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5.xml" ContentType="application/vnd.openxmlformats-officedocument.spreadsheetml.worksheet+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nfisolutionsllp-my.sharepoint.com/personal/rajat_infisolutions_org/Documents/3560/PRR 1/"/>
    </mc:Choice>
  </mc:AlternateContent>
  <xr:revisionPtr revIDLastSave="3" documentId="13_ncr:1_{E10D21A5-C2CF-4DAC-8718-C15BE11B86CF}" xr6:coauthVersionLast="47" xr6:coauthVersionMax="47" xr10:uidLastSave="{8AA83520-9291-4233-8D83-8458FC06390A}"/>
  <bookViews>
    <workbookView xWindow="-120" yWindow="-120" windowWidth="20730" windowHeight="11040" firstSheet="3" activeTab="4" xr2:uid="{00000000-000D-0000-FFFF-FFFF00000000}"/>
  </bookViews>
  <sheets>
    <sheet name="General Information" sheetId="1" r:id="rId1"/>
    <sheet name="Mangifera indica" sheetId="2" r:id="rId2"/>
    <sheet name="Gauva" sheetId="11" r:id="rId3"/>
    <sheet name="Red Sander" sheetId="9" r:id="rId4"/>
    <sheet name="SOC" sheetId="3" r:id="rId5"/>
    <sheet name="Total ER" sheetId="13" r:id="rId6"/>
    <sheet name="Baseline" sheetId="5" r:id="rId7"/>
    <sheet name="Leakage" sheetId="6" r:id="rId8"/>
    <sheet name="NPR" sheetId="7" r:id="rId9"/>
    <sheet name="Summary" sheetId="8" r:id="rId10"/>
    <sheet name="LTA" sheetId="12" r:id="rId11"/>
  </sheets>
  <externalReferences>
    <externalReference r:id="rId12"/>
    <externalReference r:id="rId13"/>
  </externalReferences>
  <definedNames>
    <definedName name="FI_Cropland">'[1]IPCC Tables'!$B$15:$F$15</definedName>
    <definedName name="FI_Grassland">'[1]IPCC Tables'!$J$15:$M$15</definedName>
    <definedName name="FLU">'[1]IPCC Tables'!$J$2:$M$2</definedName>
    <definedName name="FMG_Cropland">'[2]IPCC Tables'!$P$2:$S$2</definedName>
    <definedName name="FMG_Grassland">'[2]IPCC Tables'!$V$2:$Z$2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7" i="1" l="1"/>
  <c r="D57" i="1"/>
  <c r="E56" i="1"/>
  <c r="D42" i="1"/>
  <c r="E41" i="1"/>
  <c r="E36" i="1"/>
  <c r="E37" i="1"/>
  <c r="E38" i="1"/>
  <c r="E39" i="1"/>
  <c r="E40" i="1"/>
  <c r="E53" i="1"/>
  <c r="E54" i="1"/>
  <c r="E55" i="1"/>
  <c r="E52" i="1"/>
  <c r="U23" i="1"/>
  <c r="K15" i="6"/>
  <c r="T20" i="2"/>
  <c r="T21" i="2"/>
  <c r="T22" i="2"/>
  <c r="T23" i="2"/>
  <c r="T24" i="2"/>
  <c r="S20" i="2"/>
  <c r="S21" i="2"/>
  <c r="S22" i="2"/>
  <c r="S23" i="2"/>
  <c r="S24" i="2"/>
  <c r="R20" i="2"/>
  <c r="R21" i="2"/>
  <c r="R22" i="2"/>
  <c r="R23" i="2"/>
  <c r="R24" i="2"/>
  <c r="Q20" i="2"/>
  <c r="Q21" i="2"/>
  <c r="Q22" i="2"/>
  <c r="Q23" i="2"/>
  <c r="Q24" i="2"/>
  <c r="P20" i="2"/>
  <c r="P21" i="2"/>
  <c r="P22" i="2"/>
  <c r="P23" i="2"/>
  <c r="P24" i="2"/>
  <c r="O20" i="2"/>
  <c r="O21" i="2"/>
  <c r="O22" i="2"/>
  <c r="O23" i="2"/>
  <c r="O24" i="2"/>
  <c r="N20" i="2"/>
  <c r="N21" i="2"/>
  <c r="N22" i="2"/>
  <c r="N23" i="2"/>
  <c r="N24" i="2"/>
  <c r="M20" i="2"/>
  <c r="M21" i="2"/>
  <c r="M22" i="2"/>
  <c r="M23" i="2"/>
  <c r="M24" i="2"/>
  <c r="L20" i="2"/>
  <c r="L21" i="2"/>
  <c r="L22" i="2"/>
  <c r="L23" i="2"/>
  <c r="K20" i="2"/>
  <c r="K21" i="2"/>
  <c r="K22" i="2"/>
  <c r="K23" i="2"/>
  <c r="K24" i="2"/>
  <c r="J20" i="2"/>
  <c r="J21" i="2"/>
  <c r="J22" i="2"/>
  <c r="J23" i="2"/>
  <c r="J24" i="2"/>
  <c r="I20" i="2"/>
  <c r="I21" i="2"/>
  <c r="I22" i="2"/>
  <c r="I23" i="2"/>
  <c r="I24" i="2"/>
  <c r="H20" i="2"/>
  <c r="H21" i="2"/>
  <c r="H22" i="2"/>
  <c r="H23" i="2"/>
  <c r="H24" i="2"/>
  <c r="G20" i="2"/>
  <c r="G21" i="2"/>
  <c r="G22" i="2"/>
  <c r="G23" i="2"/>
  <c r="G24" i="2"/>
  <c r="F20" i="2"/>
  <c r="F21" i="2"/>
  <c r="F22" i="2"/>
  <c r="F23" i="2"/>
  <c r="F24" i="2"/>
  <c r="E20" i="2"/>
  <c r="E21" i="2"/>
  <c r="E22" i="2"/>
  <c r="E23" i="2"/>
  <c r="E24" i="2"/>
  <c r="D20" i="2"/>
  <c r="D21" i="2"/>
  <c r="D22" i="2"/>
  <c r="D23" i="2"/>
  <c r="D24" i="2"/>
  <c r="C20" i="2"/>
  <c r="C21" i="2"/>
  <c r="C22" i="2"/>
  <c r="C23" i="2"/>
  <c r="C24" i="2"/>
  <c r="D27" i="1"/>
  <c r="E27" i="1"/>
  <c r="F27" i="1"/>
  <c r="G27" i="1"/>
  <c r="H27" i="1"/>
  <c r="I27" i="1"/>
  <c r="J27" i="1"/>
  <c r="K27" i="1"/>
  <c r="L27" i="1"/>
  <c r="M27" i="1"/>
  <c r="N27" i="1"/>
  <c r="O27" i="1"/>
  <c r="P27" i="1"/>
  <c r="Q27" i="1"/>
  <c r="R27" i="1"/>
  <c r="S27" i="1"/>
  <c r="T27" i="1"/>
  <c r="C27" i="1"/>
  <c r="U22" i="1"/>
  <c r="U24" i="1"/>
  <c r="U25" i="1"/>
  <c r="U26" i="1"/>
  <c r="C35" i="1"/>
  <c r="H41" i="12"/>
  <c r="I41" i="12" s="1"/>
  <c r="C41" i="12"/>
  <c r="C40" i="12"/>
  <c r="B37" i="7"/>
  <c r="B37" i="6"/>
  <c r="J45" i="3"/>
  <c r="P45" i="3" s="1"/>
  <c r="B37" i="13" s="1"/>
  <c r="C37" i="5" s="1"/>
  <c r="I45" i="3"/>
  <c r="J48" i="9"/>
  <c r="J48" i="11"/>
  <c r="AC48" i="2"/>
  <c r="AG48" i="2"/>
  <c r="J44" i="9"/>
  <c r="J45" i="9"/>
  <c r="J46" i="9"/>
  <c r="J47" i="9"/>
  <c r="J15" i="9"/>
  <c r="J16" i="9"/>
  <c r="J17" i="9"/>
  <c r="J18" i="9"/>
  <c r="J19" i="9"/>
  <c r="J20" i="9"/>
  <c r="J21" i="9"/>
  <c r="J22" i="9"/>
  <c r="J23" i="9"/>
  <c r="J24" i="9"/>
  <c r="J25" i="9"/>
  <c r="J26" i="9"/>
  <c r="J27" i="9"/>
  <c r="J28" i="9"/>
  <c r="J29" i="9"/>
  <c r="J30" i="9"/>
  <c r="J31" i="9"/>
  <c r="J32" i="9"/>
  <c r="J33" i="9"/>
  <c r="J34" i="9"/>
  <c r="J35" i="9"/>
  <c r="J36" i="9"/>
  <c r="J37" i="9"/>
  <c r="J38" i="9"/>
  <c r="J39" i="9"/>
  <c r="J40" i="9"/>
  <c r="J41" i="9"/>
  <c r="J42" i="9"/>
  <c r="J43" i="9"/>
  <c r="J14" i="9"/>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14" i="11"/>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14" i="2"/>
  <c r="AC44" i="2"/>
  <c r="AC45" i="2"/>
  <c r="AC46" i="2"/>
  <c r="AC47" i="2"/>
  <c r="H37" i="12"/>
  <c r="I37" i="12" s="1"/>
  <c r="H38" i="12"/>
  <c r="I38" i="12" s="1"/>
  <c r="H39" i="12"/>
  <c r="I39" i="12" s="1"/>
  <c r="H40" i="12"/>
  <c r="I40" i="12" s="1"/>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7" i="12"/>
  <c r="D4" i="8"/>
  <c r="C6" i="12"/>
  <c r="B3" i="7"/>
  <c r="B31" i="7"/>
  <c r="B32" i="7"/>
  <c r="B33" i="7"/>
  <c r="B34" i="7"/>
  <c r="B35" i="7"/>
  <c r="B36" i="7"/>
  <c r="B36" i="6"/>
  <c r="B33" i="6"/>
  <c r="B34" i="6"/>
  <c r="B35" i="6"/>
  <c r="J41" i="3"/>
  <c r="P41" i="3" s="1"/>
  <c r="B33" i="13" s="1"/>
  <c r="C33" i="5" s="1"/>
  <c r="J42" i="3"/>
  <c r="P42" i="3" s="1"/>
  <c r="B34" i="13" s="1"/>
  <c r="C34" i="5" s="1"/>
  <c r="J43" i="3"/>
  <c r="P43" i="3" s="1"/>
  <c r="B35" i="13" s="1"/>
  <c r="C35" i="5" s="1"/>
  <c r="J44" i="3"/>
  <c r="P44" i="3" s="1"/>
  <c r="B36" i="13" s="1"/>
  <c r="C36" i="5" s="1"/>
  <c r="J12" i="3"/>
  <c r="P12" i="3" s="1"/>
  <c r="B4" i="13" s="1"/>
  <c r="C4" i="5" s="1"/>
  <c r="J13" i="3"/>
  <c r="P13" i="3" s="1"/>
  <c r="B5" i="13" s="1"/>
  <c r="C5" i="5" s="1"/>
  <c r="J14" i="3"/>
  <c r="P14" i="3" s="1"/>
  <c r="B6" i="13" s="1"/>
  <c r="C6" i="5" s="1"/>
  <c r="J15" i="3"/>
  <c r="P15" i="3" s="1"/>
  <c r="B7" i="13" s="1"/>
  <c r="C7" i="5" s="1"/>
  <c r="J16" i="3"/>
  <c r="P16" i="3" s="1"/>
  <c r="B8" i="13" s="1"/>
  <c r="C8" i="5" s="1"/>
  <c r="J17" i="3"/>
  <c r="P17" i="3" s="1"/>
  <c r="B9" i="13" s="1"/>
  <c r="C9" i="5" s="1"/>
  <c r="J18" i="3"/>
  <c r="P18" i="3" s="1"/>
  <c r="B10" i="13" s="1"/>
  <c r="C10" i="5" s="1"/>
  <c r="J19" i="3"/>
  <c r="P19" i="3" s="1"/>
  <c r="B11" i="13" s="1"/>
  <c r="C11" i="5" s="1"/>
  <c r="J20" i="3"/>
  <c r="P20" i="3" s="1"/>
  <c r="B12" i="13" s="1"/>
  <c r="C12" i="5" s="1"/>
  <c r="J21" i="3"/>
  <c r="P21" i="3" s="1"/>
  <c r="B13" i="13" s="1"/>
  <c r="C13" i="5" s="1"/>
  <c r="J22" i="3"/>
  <c r="P22" i="3" s="1"/>
  <c r="B14" i="13" s="1"/>
  <c r="C14" i="5" s="1"/>
  <c r="J23" i="3"/>
  <c r="P23" i="3" s="1"/>
  <c r="B15" i="13" s="1"/>
  <c r="C15" i="5" s="1"/>
  <c r="J24" i="3"/>
  <c r="P24" i="3" s="1"/>
  <c r="B16" i="13" s="1"/>
  <c r="C16" i="5" s="1"/>
  <c r="J25" i="3"/>
  <c r="P25" i="3" s="1"/>
  <c r="B17" i="13" s="1"/>
  <c r="C17" i="5" s="1"/>
  <c r="J26" i="3"/>
  <c r="P26" i="3" s="1"/>
  <c r="B18" i="13" s="1"/>
  <c r="C18" i="5" s="1"/>
  <c r="J27" i="3"/>
  <c r="P27" i="3" s="1"/>
  <c r="B19" i="13" s="1"/>
  <c r="C19" i="5" s="1"/>
  <c r="J28" i="3"/>
  <c r="P28" i="3" s="1"/>
  <c r="B20" i="13" s="1"/>
  <c r="C20" i="5" s="1"/>
  <c r="J29" i="3"/>
  <c r="P29" i="3" s="1"/>
  <c r="B21" i="13" s="1"/>
  <c r="C21" i="5" s="1"/>
  <c r="J30" i="3"/>
  <c r="P30" i="3" s="1"/>
  <c r="B22" i="13" s="1"/>
  <c r="C22" i="5" s="1"/>
  <c r="J31" i="3"/>
  <c r="P31" i="3" s="1"/>
  <c r="B23" i="13" s="1"/>
  <c r="C23" i="5" s="1"/>
  <c r="J32" i="3"/>
  <c r="P32" i="3" s="1"/>
  <c r="B24" i="13" s="1"/>
  <c r="C24" i="5" s="1"/>
  <c r="J33" i="3"/>
  <c r="P33" i="3" s="1"/>
  <c r="B25" i="13" s="1"/>
  <c r="C25" i="5" s="1"/>
  <c r="J34" i="3"/>
  <c r="P34" i="3" s="1"/>
  <c r="B26" i="13" s="1"/>
  <c r="C26" i="5" s="1"/>
  <c r="J35" i="3"/>
  <c r="P35" i="3" s="1"/>
  <c r="B27" i="13" s="1"/>
  <c r="C27" i="5" s="1"/>
  <c r="J36" i="3"/>
  <c r="P36" i="3" s="1"/>
  <c r="B28" i="13" s="1"/>
  <c r="C28" i="5" s="1"/>
  <c r="J37" i="3"/>
  <c r="P37" i="3" s="1"/>
  <c r="B29" i="13" s="1"/>
  <c r="C29" i="5" s="1"/>
  <c r="J38" i="3"/>
  <c r="P38" i="3" s="1"/>
  <c r="B30" i="13" s="1"/>
  <c r="C30" i="5" s="1"/>
  <c r="J39" i="3"/>
  <c r="P39" i="3" s="1"/>
  <c r="B31" i="13" s="1"/>
  <c r="C31" i="5" s="1"/>
  <c r="J40" i="3"/>
  <c r="P40" i="3" s="1"/>
  <c r="B32" i="13" s="1"/>
  <c r="C32" i="5" s="1"/>
  <c r="J11" i="3"/>
  <c r="P11" i="3" s="1"/>
  <c r="B3" i="13" s="1"/>
  <c r="C3" i="5" s="1"/>
  <c r="I41" i="3"/>
  <c r="I42" i="3"/>
  <c r="I43" i="3"/>
  <c r="I44"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11" i="3"/>
  <c r="M15" i="6"/>
  <c r="C42" i="1" l="1"/>
  <c r="C36" i="7"/>
  <c r="C36" i="6"/>
  <c r="C35" i="7"/>
  <c r="C35" i="6"/>
  <c r="C34" i="7"/>
  <c r="C34" i="6"/>
  <c r="C33" i="7"/>
  <c r="C33" i="6"/>
  <c r="C37" i="7"/>
  <c r="C37" i="6"/>
  <c r="U27" i="1"/>
  <c r="U24" i="2"/>
  <c r="V24" i="2" s="1"/>
  <c r="W24" i="2" s="1"/>
  <c r="U23" i="2"/>
  <c r="V23" i="2" s="1"/>
  <c r="U22" i="2"/>
  <c r="V22" i="2" s="1"/>
  <c r="W22" i="2" s="1"/>
  <c r="U21" i="2"/>
  <c r="V21" i="2" s="1"/>
  <c r="W21" i="2" s="1"/>
  <c r="U20" i="2"/>
  <c r="V20" i="2" s="1"/>
  <c r="W20" i="2" s="1"/>
  <c r="AD46" i="2"/>
  <c r="AD47" i="2"/>
  <c r="AD45" i="2"/>
  <c r="AD48" i="2"/>
  <c r="K28" i="9"/>
  <c r="K27" i="9"/>
  <c r="K26" i="9"/>
  <c r="K25" i="9"/>
  <c r="K24" i="9"/>
  <c r="K23" i="9"/>
  <c r="K22" i="9"/>
  <c r="K21" i="9"/>
  <c r="K20" i="9"/>
  <c r="K19" i="9"/>
  <c r="K18" i="9"/>
  <c r="K17" i="9"/>
  <c r="K16" i="9"/>
  <c r="K15" i="9"/>
  <c r="K14" i="9"/>
  <c r="K43" i="11"/>
  <c r="M43" i="11" s="1"/>
  <c r="K42" i="11"/>
  <c r="M42" i="11" s="1"/>
  <c r="K41" i="11"/>
  <c r="M41" i="11" s="1"/>
  <c r="K40" i="11"/>
  <c r="M40" i="11" s="1"/>
  <c r="K39" i="11"/>
  <c r="M39" i="11" s="1"/>
  <c r="K38" i="11"/>
  <c r="M38" i="11" s="1"/>
  <c r="K37" i="11"/>
  <c r="M37" i="11" s="1"/>
  <c r="K36" i="11"/>
  <c r="M36" i="11" s="1"/>
  <c r="K35" i="11"/>
  <c r="M35" i="11" s="1"/>
  <c r="K34" i="11"/>
  <c r="M34" i="11" s="1"/>
  <c r="K33" i="11"/>
  <c r="K32" i="11"/>
  <c r="K31" i="11"/>
  <c r="K30" i="11"/>
  <c r="M29" i="11"/>
  <c r="M44" i="11" s="1"/>
  <c r="M28" i="11"/>
  <c r="M27" i="11"/>
  <c r="M26" i="11"/>
  <c r="M25" i="11"/>
  <c r="M24" i="11"/>
  <c r="M23" i="11"/>
  <c r="M22" i="11"/>
  <c r="M21" i="11"/>
  <c r="M20" i="11"/>
  <c r="M19" i="11"/>
  <c r="M18" i="11"/>
  <c r="M17" i="11"/>
  <c r="M16" i="11"/>
  <c r="M15" i="11"/>
  <c r="N44" i="11" l="1"/>
  <c r="M30" i="11"/>
  <c r="M45" i="11" s="1"/>
  <c r="N45" i="11" s="1"/>
  <c r="K45" i="11"/>
  <c r="M31" i="11"/>
  <c r="M46" i="11" s="1"/>
  <c r="N46" i="11" s="1"/>
  <c r="K46" i="11"/>
  <c r="M32" i="11"/>
  <c r="M47" i="11" s="1"/>
  <c r="K47" i="11"/>
  <c r="M33" i="11"/>
  <c r="M48" i="11" s="1"/>
  <c r="N48" i="11" s="1"/>
  <c r="K48" i="11"/>
  <c r="W23" i="2"/>
  <c r="H34" i="8"/>
  <c r="D33"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 i="8"/>
  <c r="N47" i="11" l="1"/>
  <c r="D34" i="8"/>
  <c r="D35" i="8" s="1"/>
  <c r="AC16" i="2"/>
  <c r="AC17" i="2"/>
  <c r="AC18" i="2"/>
  <c r="AC19" i="2"/>
  <c r="AC20" i="2"/>
  <c r="AC21" i="2"/>
  <c r="AC22" i="2"/>
  <c r="AC23" i="2"/>
  <c r="AC24" i="2"/>
  <c r="AC25" i="2"/>
  <c r="AC26" i="2"/>
  <c r="AC27" i="2"/>
  <c r="AC28" i="2"/>
  <c r="AC29" i="2"/>
  <c r="AC30" i="2"/>
  <c r="AC31" i="2"/>
  <c r="AC32" i="2"/>
  <c r="AC33" i="2"/>
  <c r="AC34" i="2"/>
  <c r="AC35" i="2"/>
  <c r="AC36" i="2"/>
  <c r="AC37" i="2"/>
  <c r="AC38" i="2"/>
  <c r="AC39" i="2"/>
  <c r="AC40" i="2"/>
  <c r="AC41" i="2"/>
  <c r="AC42" i="2"/>
  <c r="AC43" i="2"/>
  <c r="AD44" i="2" s="1"/>
  <c r="AC15" i="2" l="1"/>
  <c r="AC14" i="2"/>
  <c r="N5" i="3"/>
  <c r="N7" i="3" s="1"/>
  <c r="G5" i="3"/>
  <c r="G7" i="3" s="1"/>
  <c r="C32" i="7" l="1"/>
  <c r="C31" i="7"/>
  <c r="C30" i="7"/>
  <c r="B30" i="7"/>
  <c r="C29" i="7"/>
  <c r="B29" i="7"/>
  <c r="C28" i="7"/>
  <c r="B28" i="7"/>
  <c r="C27" i="7"/>
  <c r="B27" i="7"/>
  <c r="C26" i="7"/>
  <c r="B26" i="7"/>
  <c r="C25" i="7"/>
  <c r="B25" i="7"/>
  <c r="C24" i="7"/>
  <c r="B24" i="7"/>
  <c r="C23" i="7"/>
  <c r="B23" i="7"/>
  <c r="C22" i="7"/>
  <c r="B22" i="7"/>
  <c r="C21" i="7"/>
  <c r="B21" i="7"/>
  <c r="C20" i="7"/>
  <c r="B20" i="7"/>
  <c r="C19" i="7"/>
  <c r="B19" i="7"/>
  <c r="C18" i="7"/>
  <c r="B18" i="7"/>
  <c r="C17" i="7"/>
  <c r="B17" i="7"/>
  <c r="C16" i="7"/>
  <c r="B16" i="7"/>
  <c r="C15" i="7"/>
  <c r="B15" i="7"/>
  <c r="C14" i="7"/>
  <c r="B14" i="7"/>
  <c r="C13" i="7"/>
  <c r="B13" i="7"/>
  <c r="C12" i="7"/>
  <c r="B12" i="7"/>
  <c r="C11" i="7"/>
  <c r="B11" i="7"/>
  <c r="C10" i="7"/>
  <c r="B10" i="7"/>
  <c r="C9" i="7"/>
  <c r="B9" i="7"/>
  <c r="C8" i="7"/>
  <c r="B8" i="7"/>
  <c r="C7" i="7"/>
  <c r="B7" i="7"/>
  <c r="C6" i="7"/>
  <c r="B6" i="7"/>
  <c r="C5" i="7"/>
  <c r="B5" i="7"/>
  <c r="C4" i="7"/>
  <c r="B4" i="7"/>
  <c r="C3" i="7"/>
  <c r="E20" i="11" l="1"/>
  <c r="E21" i="11" l="1"/>
  <c r="C15" i="11"/>
  <c r="E15" i="11" s="1"/>
  <c r="C16" i="11"/>
  <c r="E16" i="11" s="1"/>
  <c r="C17" i="11"/>
  <c r="E17" i="11" s="1"/>
  <c r="C18" i="11"/>
  <c r="E18" i="11" s="1"/>
  <c r="C19" i="11"/>
  <c r="E19" i="11" s="1"/>
  <c r="C22" i="11"/>
  <c r="E22" i="11" s="1"/>
  <c r="C23" i="11"/>
  <c r="E23" i="11" s="1"/>
  <c r="C14" i="11"/>
  <c r="E14" i="11" s="1"/>
  <c r="E47" i="1"/>
  <c r="E48" i="1"/>
  <c r="E49" i="1"/>
  <c r="E50" i="1"/>
  <c r="E51" i="1"/>
  <c r="E46" i="1"/>
  <c r="E21" i="9"/>
  <c r="E22" i="9"/>
  <c r="E23" i="9"/>
  <c r="E24" i="9"/>
  <c r="E25" i="9"/>
  <c r="E26" i="9"/>
  <c r="E27" i="9"/>
  <c r="E28" i="9"/>
  <c r="E29" i="9"/>
  <c r="E30" i="9"/>
  <c r="E31" i="9"/>
  <c r="E32" i="9"/>
  <c r="E33" i="9"/>
  <c r="E34" i="9"/>
  <c r="E35" i="9"/>
  <c r="E36" i="9"/>
  <c r="E37" i="9"/>
  <c r="E38" i="9"/>
  <c r="E39" i="9"/>
  <c r="E40" i="9"/>
  <c r="E41" i="9"/>
  <c r="E42" i="9"/>
  <c r="E43" i="9"/>
  <c r="D14" i="9"/>
  <c r="D15" i="9"/>
  <c r="D16" i="9"/>
  <c r="D17" i="9"/>
  <c r="D18" i="9"/>
  <c r="D19" i="9"/>
  <c r="C15" i="9"/>
  <c r="C16" i="9"/>
  <c r="C17" i="9"/>
  <c r="C18" i="9"/>
  <c r="C19" i="9"/>
  <c r="D14" i="2"/>
  <c r="E14" i="2"/>
  <c r="F14" i="2"/>
  <c r="G14" i="2"/>
  <c r="H14" i="2"/>
  <c r="I14" i="2"/>
  <c r="J14" i="2"/>
  <c r="K14" i="2"/>
  <c r="L14" i="2"/>
  <c r="M14" i="2"/>
  <c r="N14" i="2"/>
  <c r="O14" i="2"/>
  <c r="P14" i="2"/>
  <c r="Q14" i="2"/>
  <c r="R14" i="2"/>
  <c r="S14" i="2"/>
  <c r="T14" i="2"/>
  <c r="D15" i="2"/>
  <c r="E15" i="2"/>
  <c r="F15" i="2"/>
  <c r="G15" i="2"/>
  <c r="H15" i="2"/>
  <c r="I15" i="2"/>
  <c r="J15" i="2"/>
  <c r="K15" i="2"/>
  <c r="L15" i="2"/>
  <c r="M15" i="2"/>
  <c r="N15" i="2"/>
  <c r="O15" i="2"/>
  <c r="P15" i="2"/>
  <c r="Q15" i="2"/>
  <c r="R15" i="2"/>
  <c r="S15" i="2"/>
  <c r="T15" i="2"/>
  <c r="D16" i="2"/>
  <c r="E16" i="2"/>
  <c r="F16" i="2"/>
  <c r="G16" i="2"/>
  <c r="H16" i="2"/>
  <c r="I16" i="2"/>
  <c r="J16" i="2"/>
  <c r="K16" i="2"/>
  <c r="L16" i="2"/>
  <c r="M16" i="2"/>
  <c r="N16" i="2"/>
  <c r="O16" i="2"/>
  <c r="P16" i="2"/>
  <c r="Q16" i="2"/>
  <c r="R16" i="2"/>
  <c r="S16" i="2"/>
  <c r="T16" i="2"/>
  <c r="D17" i="2"/>
  <c r="E17" i="2"/>
  <c r="F17" i="2"/>
  <c r="G17" i="2"/>
  <c r="H17" i="2"/>
  <c r="I17" i="2"/>
  <c r="J17" i="2"/>
  <c r="K17" i="2"/>
  <c r="L17" i="2"/>
  <c r="M17" i="2"/>
  <c r="N17" i="2"/>
  <c r="O17" i="2"/>
  <c r="P17" i="2"/>
  <c r="Q17" i="2"/>
  <c r="R17" i="2"/>
  <c r="S17" i="2"/>
  <c r="T17" i="2"/>
  <c r="D18" i="2"/>
  <c r="E18" i="2"/>
  <c r="F18" i="2"/>
  <c r="G18" i="2"/>
  <c r="H18" i="2"/>
  <c r="I18" i="2"/>
  <c r="J18" i="2"/>
  <c r="K18" i="2"/>
  <c r="L18" i="2"/>
  <c r="M18" i="2"/>
  <c r="N18" i="2"/>
  <c r="O18" i="2"/>
  <c r="P18" i="2"/>
  <c r="Q18" i="2"/>
  <c r="R18" i="2"/>
  <c r="S18" i="2"/>
  <c r="T18" i="2"/>
  <c r="D19" i="2"/>
  <c r="E19" i="2"/>
  <c r="F19" i="2"/>
  <c r="G19" i="2"/>
  <c r="H19" i="2"/>
  <c r="I19" i="2"/>
  <c r="J19" i="2"/>
  <c r="K19" i="2"/>
  <c r="L19" i="2"/>
  <c r="M19" i="2"/>
  <c r="N19" i="2"/>
  <c r="O19" i="2"/>
  <c r="P19" i="2"/>
  <c r="Q19" i="2"/>
  <c r="R19" i="2"/>
  <c r="S19" i="2"/>
  <c r="T19" i="2"/>
  <c r="C15" i="2"/>
  <c r="C16" i="2"/>
  <c r="C17" i="2"/>
  <c r="C18" i="2"/>
  <c r="C19" i="2"/>
  <c r="C14" i="2"/>
  <c r="U17" i="1"/>
  <c r="U18" i="1"/>
  <c r="U19" i="1"/>
  <c r="U20" i="1"/>
  <c r="U21" i="1"/>
  <c r="U16" i="1"/>
  <c r="D14" i="3" l="1"/>
  <c r="D12" i="3"/>
  <c r="D11" i="3"/>
  <c r="E11" i="3" s="1"/>
  <c r="F11" i="3" s="1"/>
  <c r="G11" i="3" s="1"/>
  <c r="D15" i="3"/>
  <c r="D13" i="3"/>
  <c r="D16" i="3"/>
  <c r="D17" i="3" s="1"/>
  <c r="D18" i="3" s="1"/>
  <c r="D19" i="3" s="1"/>
  <c r="D20" i="3" s="1"/>
  <c r="E20" i="9"/>
  <c r="E19" i="9"/>
  <c r="E18" i="9"/>
  <c r="E15" i="9"/>
  <c r="E17" i="9"/>
  <c r="U18" i="2"/>
  <c r="E16" i="9"/>
  <c r="U17" i="2"/>
  <c r="U15" i="2"/>
  <c r="U19" i="2"/>
  <c r="U14" i="2"/>
  <c r="U16" i="2"/>
  <c r="D21" i="3" l="1"/>
  <c r="D22" i="3" s="1"/>
  <c r="D23" i="3" s="1"/>
  <c r="D24" i="3" s="1"/>
  <c r="D25" i="3" s="1"/>
  <c r="D26" i="3" s="1"/>
  <c r="D27" i="3" s="1"/>
  <c r="D28" i="3" s="1"/>
  <c r="D29" i="3" s="1"/>
  <c r="D30" i="3" s="1"/>
  <c r="E16" i="3"/>
  <c r="E12" i="3"/>
  <c r="E13" i="3"/>
  <c r="D38" i="3" l="1"/>
  <c r="D37" i="3"/>
  <c r="D36" i="3"/>
  <c r="D35" i="3"/>
  <c r="D34" i="3"/>
  <c r="D33" i="3"/>
  <c r="D32" i="3"/>
  <c r="D31" i="3"/>
  <c r="E14" i="3"/>
  <c r="E15" i="3" l="1"/>
  <c r="H25" i="12" l="1"/>
  <c r="H21" i="12"/>
  <c r="I21" i="12" s="1"/>
  <c r="H22" i="12"/>
  <c r="I22" i="12" s="1"/>
  <c r="H23" i="12"/>
  <c r="I23" i="12" s="1"/>
  <c r="H24" i="12"/>
  <c r="I24" i="12" s="1"/>
  <c r="H34" i="12"/>
  <c r="I34" i="12" s="1"/>
  <c r="H35" i="12"/>
  <c r="I35" i="12" s="1"/>
  <c r="H36" i="12"/>
  <c r="I36" i="12" s="1"/>
  <c r="B32" i="6"/>
  <c r="B24" i="6"/>
  <c r="B25" i="6"/>
  <c r="B26" i="6"/>
  <c r="B27" i="6"/>
  <c r="B28" i="6"/>
  <c r="B29" i="6"/>
  <c r="B30" i="6"/>
  <c r="B31" i="6"/>
  <c r="B4" i="6"/>
  <c r="B5" i="6"/>
  <c r="B6" i="6"/>
  <c r="B7" i="6"/>
  <c r="B8" i="6"/>
  <c r="B9" i="6"/>
  <c r="B10" i="6"/>
  <c r="B11" i="6"/>
  <c r="B12" i="6"/>
  <c r="B13" i="6"/>
  <c r="B14" i="6"/>
  <c r="B15" i="6"/>
  <c r="B16" i="6"/>
  <c r="B17" i="6"/>
  <c r="B18" i="6"/>
  <c r="B19" i="6"/>
  <c r="B20" i="6"/>
  <c r="B21" i="6"/>
  <c r="B22" i="6"/>
  <c r="B23" i="6"/>
  <c r="B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 i="6"/>
  <c r="P7" i="11"/>
  <c r="P6" i="11"/>
  <c r="P5" i="11"/>
  <c r="P4" i="11"/>
  <c r="N7" i="11"/>
  <c r="N6" i="11"/>
  <c r="N5" i="11"/>
  <c r="N4" i="11"/>
  <c r="E31" i="1"/>
  <c r="K11" i="3" s="1"/>
  <c r="L11" i="3" s="1"/>
  <c r="M11" i="3" s="1"/>
  <c r="E35" i="1"/>
  <c r="E34" i="1"/>
  <c r="E33" i="1"/>
  <c r="E32" i="1"/>
  <c r="N11" i="3" l="1"/>
  <c r="R11" i="3" s="1"/>
  <c r="Q11" i="3"/>
  <c r="K12" i="3"/>
  <c r="E17" i="3"/>
  <c r="E42" i="1"/>
  <c r="H27" i="12"/>
  <c r="I27" i="12" s="1"/>
  <c r="I25" i="12"/>
  <c r="H26" i="12"/>
  <c r="I26" i="12" s="1"/>
  <c r="F21" i="11"/>
  <c r="G21" i="11" s="1"/>
  <c r="F22" i="11"/>
  <c r="N42" i="11"/>
  <c r="N33" i="11"/>
  <c r="N32" i="11"/>
  <c r="N25" i="11"/>
  <c r="N23" i="11"/>
  <c r="F23" i="11"/>
  <c r="G23" i="11" s="1"/>
  <c r="N21" i="11"/>
  <c r="N16" i="11"/>
  <c r="N15" i="11"/>
  <c r="N14" i="11"/>
  <c r="L12" i="3" l="1"/>
  <c r="M12" i="3" s="1"/>
  <c r="N12" i="3" s="1"/>
  <c r="K13" i="3"/>
  <c r="L13" i="3" s="1"/>
  <c r="E18" i="3"/>
  <c r="H28" i="12"/>
  <c r="I28" i="12" s="1"/>
  <c r="N37" i="11"/>
  <c r="N31" i="11"/>
  <c r="N26" i="11"/>
  <c r="N18" i="11"/>
  <c r="N27" i="11"/>
  <c r="F20" i="11"/>
  <c r="G20" i="11" s="1"/>
  <c r="F15" i="11"/>
  <c r="G15" i="11" s="1"/>
  <c r="F19" i="11"/>
  <c r="G19" i="11" s="1"/>
  <c r="F16" i="11"/>
  <c r="G16" i="11" s="1"/>
  <c r="F14" i="11"/>
  <c r="G14" i="11" s="1"/>
  <c r="F17" i="11"/>
  <c r="G17" i="11" s="1"/>
  <c r="N24" i="11"/>
  <c r="N34" i="11"/>
  <c r="N41" i="11"/>
  <c r="N19" i="11"/>
  <c r="N38" i="11"/>
  <c r="N28" i="11"/>
  <c r="N17" i="11"/>
  <c r="N22" i="11"/>
  <c r="N40" i="11"/>
  <c r="N20" i="11"/>
  <c r="N29" i="11"/>
  <c r="N39" i="11"/>
  <c r="F18" i="11"/>
  <c r="G18" i="11" s="1"/>
  <c r="N36" i="11"/>
  <c r="N35" i="11"/>
  <c r="G22" i="11"/>
  <c r="N43" i="11"/>
  <c r="N30" i="11"/>
  <c r="F22" i="9"/>
  <c r="G22" i="9" s="1"/>
  <c r="F30" i="9"/>
  <c r="C14" i="9"/>
  <c r="E14" i="9" s="1"/>
  <c r="R6" i="9"/>
  <c r="R5" i="9"/>
  <c r="P4" i="9"/>
  <c r="N7" i="9"/>
  <c r="N10" i="1"/>
  <c r="P6" i="9" s="1"/>
  <c r="O10" i="1"/>
  <c r="P7" i="9" s="1"/>
  <c r="P10" i="1"/>
  <c r="R4" i="9" s="1"/>
  <c r="M10" i="1"/>
  <c r="P5" i="9" s="1"/>
  <c r="N6" i="9"/>
  <c r="N5" i="9"/>
  <c r="N4" i="9"/>
  <c r="F21" i="9"/>
  <c r="F23" i="9"/>
  <c r="G23" i="9" s="1"/>
  <c r="P22" i="6" s="1"/>
  <c r="Q22" i="6" s="1"/>
  <c r="F24" i="9"/>
  <c r="F25" i="9"/>
  <c r="F26" i="9"/>
  <c r="F27" i="9"/>
  <c r="F28" i="9"/>
  <c r="G28" i="9" s="1"/>
  <c r="F29" i="9"/>
  <c r="F33" i="9"/>
  <c r="G33" i="9" s="1"/>
  <c r="F31" i="9"/>
  <c r="AF7" i="2"/>
  <c r="AF6" i="2"/>
  <c r="AF5" i="2"/>
  <c r="AF4" i="2"/>
  <c r="AD7" i="2"/>
  <c r="AD6" i="2"/>
  <c r="AD5" i="2"/>
  <c r="AD4" i="2"/>
  <c r="U25" i="2"/>
  <c r="U26" i="2"/>
  <c r="U27" i="2"/>
  <c r="U28" i="2"/>
  <c r="U29" i="2"/>
  <c r="U30" i="2"/>
  <c r="U31" i="2"/>
  <c r="U32" i="2"/>
  <c r="V32" i="2" s="1"/>
  <c r="U33" i="2"/>
  <c r="U34" i="2"/>
  <c r="U35" i="2"/>
  <c r="U36" i="2"/>
  <c r="U37" i="2"/>
  <c r="U38" i="2"/>
  <c r="U39" i="2"/>
  <c r="U40" i="2"/>
  <c r="V40" i="2" s="1"/>
  <c r="U41" i="2"/>
  <c r="U42" i="2"/>
  <c r="U43" i="2"/>
  <c r="AD14" i="2"/>
  <c r="AD23" i="2"/>
  <c r="AD33" i="2"/>
  <c r="P21" i="6" l="1"/>
  <c r="Q21" i="6" s="1"/>
  <c r="AN20" i="2"/>
  <c r="AZ20" i="2" s="1"/>
  <c r="BL20" i="2" s="1"/>
  <c r="AN29" i="2"/>
  <c r="AZ29" i="2" s="1"/>
  <c r="BL29" i="2" s="1"/>
  <c r="AN39" i="2"/>
  <c r="AZ39" i="2" s="1"/>
  <c r="BL39" i="2" s="1"/>
  <c r="AK44" i="11"/>
  <c r="AR44" i="11" s="1"/>
  <c r="AZ44" i="11" s="1"/>
  <c r="AK37" i="11"/>
  <c r="AK48" i="11"/>
  <c r="AR48" i="11" s="1"/>
  <c r="AZ48" i="11" s="1"/>
  <c r="T17" i="11"/>
  <c r="AA17" i="11" s="1"/>
  <c r="AH17" i="11" s="1"/>
  <c r="T47" i="11"/>
  <c r="T45" i="11"/>
  <c r="T46" i="11"/>
  <c r="T48" i="11"/>
  <c r="T44" i="11"/>
  <c r="V36" i="11"/>
  <c r="AC36" i="11" s="1"/>
  <c r="AJ36" i="11" s="1"/>
  <c r="V47" i="11"/>
  <c r="V48" i="11"/>
  <c r="S24" i="11"/>
  <c r="Z24" i="11" s="1"/>
  <c r="AG24" i="11" s="1"/>
  <c r="S45" i="11"/>
  <c r="S44" i="11"/>
  <c r="S46" i="11"/>
  <c r="Z46" i="11" s="1"/>
  <c r="AG46" i="11" s="1"/>
  <c r="AN46" i="11" s="1"/>
  <c r="AV46" i="11" s="1"/>
  <c r="S47" i="11"/>
  <c r="S48" i="11"/>
  <c r="U46" i="11"/>
  <c r="U47" i="11"/>
  <c r="U48" i="11"/>
  <c r="U44" i="11"/>
  <c r="U45" i="11"/>
  <c r="R43" i="11"/>
  <c r="Y43" i="11" s="1"/>
  <c r="AF43" i="11" s="1"/>
  <c r="R44" i="11"/>
  <c r="Y44" i="11" s="1"/>
  <c r="AF44" i="11" s="1"/>
  <c r="AM44" i="11" s="1"/>
  <c r="R48" i="11"/>
  <c r="R45" i="11"/>
  <c r="R46" i="11"/>
  <c r="R47" i="11"/>
  <c r="V46" i="11"/>
  <c r="AC46" i="11" s="1"/>
  <c r="AJ46" i="11" s="1"/>
  <c r="AQ46" i="11" s="1"/>
  <c r="AY46" i="11" s="1"/>
  <c r="AK45" i="11"/>
  <c r="AR45" i="11" s="1"/>
  <c r="AZ45" i="11" s="1"/>
  <c r="V44" i="11"/>
  <c r="S43" i="11"/>
  <c r="AK46" i="11"/>
  <c r="AR46" i="11" s="1"/>
  <c r="AZ46" i="11" s="1"/>
  <c r="V45" i="11"/>
  <c r="AK47" i="11"/>
  <c r="AR47" i="11" s="1"/>
  <c r="AZ47" i="11" s="1"/>
  <c r="M19" i="9"/>
  <c r="K34" i="9"/>
  <c r="M27" i="9"/>
  <c r="K42" i="9"/>
  <c r="M20" i="9"/>
  <c r="K35" i="9"/>
  <c r="M35" i="9" s="1"/>
  <c r="M28" i="9"/>
  <c r="K43" i="9"/>
  <c r="M43" i="9" s="1"/>
  <c r="M21" i="9"/>
  <c r="K36" i="9"/>
  <c r="M14" i="9"/>
  <c r="N14" i="9" s="1"/>
  <c r="K29" i="9"/>
  <c r="M22" i="9"/>
  <c r="K37" i="9"/>
  <c r="M37" i="9" s="1"/>
  <c r="M15" i="9"/>
  <c r="K30" i="9"/>
  <c r="M23" i="9"/>
  <c r="K38" i="9"/>
  <c r="M16" i="9"/>
  <c r="K31" i="9"/>
  <c r="M24" i="9"/>
  <c r="K39" i="9"/>
  <c r="M39" i="9" s="1"/>
  <c r="M17" i="9"/>
  <c r="K32" i="9"/>
  <c r="M25" i="9"/>
  <c r="K40" i="9"/>
  <c r="M18" i="9"/>
  <c r="K33" i="9"/>
  <c r="M26" i="9"/>
  <c r="K41" i="9"/>
  <c r="M13" i="3"/>
  <c r="N13" i="3" s="1"/>
  <c r="K14" i="3"/>
  <c r="L14" i="3" s="1"/>
  <c r="V19" i="11"/>
  <c r="AC19" i="11" s="1"/>
  <c r="AJ19" i="11" s="1"/>
  <c r="V18" i="11"/>
  <c r="S30" i="11"/>
  <c r="V33" i="11"/>
  <c r="T31" i="11"/>
  <c r="T43" i="11"/>
  <c r="S42" i="11"/>
  <c r="S16" i="11"/>
  <c r="S33" i="11"/>
  <c r="T25" i="11"/>
  <c r="T41" i="11"/>
  <c r="V43" i="11"/>
  <c r="S40" i="11"/>
  <c r="S17" i="11"/>
  <c r="T42" i="11"/>
  <c r="S41" i="11"/>
  <c r="T26" i="11"/>
  <c r="V28" i="11"/>
  <c r="S25" i="11"/>
  <c r="V22" i="11"/>
  <c r="T20" i="11"/>
  <c r="S19" i="11"/>
  <c r="T35" i="11"/>
  <c r="T34" i="11"/>
  <c r="T18" i="11"/>
  <c r="S20" i="11"/>
  <c r="V23" i="11"/>
  <c r="T21" i="11"/>
  <c r="T24" i="11"/>
  <c r="S23" i="11"/>
  <c r="V26" i="11"/>
  <c r="U19" i="11"/>
  <c r="U27" i="11"/>
  <c r="U35" i="11"/>
  <c r="U43" i="11"/>
  <c r="U33" i="11"/>
  <c r="U26" i="11"/>
  <c r="U20" i="11"/>
  <c r="U28" i="11"/>
  <c r="U36" i="11"/>
  <c r="U17" i="11"/>
  <c r="U25" i="11"/>
  <c r="U41" i="11"/>
  <c r="U21" i="11"/>
  <c r="U29" i="11"/>
  <c r="U37" i="11"/>
  <c r="U34" i="11"/>
  <c r="U22" i="11"/>
  <c r="U30" i="11"/>
  <c r="U38" i="11"/>
  <c r="U23" i="11"/>
  <c r="U31" i="11"/>
  <c r="U39" i="11"/>
  <c r="U24" i="11"/>
  <c r="U32" i="11"/>
  <c r="U40" i="11"/>
  <c r="U18" i="11"/>
  <c r="U42" i="11"/>
  <c r="S27" i="11"/>
  <c r="V30" i="11"/>
  <c r="T28" i="11"/>
  <c r="R15" i="11"/>
  <c r="S34" i="11"/>
  <c r="T27" i="11"/>
  <c r="V20" i="11"/>
  <c r="T32" i="11"/>
  <c r="S31" i="11"/>
  <c r="V34" i="11"/>
  <c r="S36" i="11"/>
  <c r="V39" i="11"/>
  <c r="T37" i="11"/>
  <c r="V21" i="11"/>
  <c r="T19" i="11"/>
  <c r="S18" i="11"/>
  <c r="T33" i="11"/>
  <c r="V35" i="11"/>
  <c r="S32" i="11"/>
  <c r="R32" i="11"/>
  <c r="V37" i="11"/>
  <c r="S26" i="11"/>
  <c r="T23" i="11"/>
  <c r="S21" i="11"/>
  <c r="V24" i="11"/>
  <c r="T22" i="11"/>
  <c r="S37" i="11"/>
  <c r="T38" i="11"/>
  <c r="V40" i="11"/>
  <c r="S29" i="11"/>
  <c r="V32" i="11"/>
  <c r="T30" i="11"/>
  <c r="S38" i="11"/>
  <c r="V41" i="11"/>
  <c r="T39" i="11"/>
  <c r="R21" i="11"/>
  <c r="S15" i="11"/>
  <c r="V29" i="11"/>
  <c r="V25" i="11"/>
  <c r="V38" i="11"/>
  <c r="S35" i="11"/>
  <c r="T36" i="11"/>
  <c r="S28" i="11"/>
  <c r="V31" i="11"/>
  <c r="T29" i="11"/>
  <c r="T40" i="11"/>
  <c r="S39" i="11"/>
  <c r="V42" i="11"/>
  <c r="T16" i="11"/>
  <c r="V27" i="11"/>
  <c r="S22" i="11"/>
  <c r="R37" i="11"/>
  <c r="R39" i="11"/>
  <c r="R19" i="11"/>
  <c r="R33" i="11"/>
  <c r="R29" i="11"/>
  <c r="R41" i="11"/>
  <c r="R38" i="11"/>
  <c r="R30" i="11"/>
  <c r="R20" i="11"/>
  <c r="R34" i="11"/>
  <c r="R27" i="11"/>
  <c r="R23" i="11"/>
  <c r="R40" i="11"/>
  <c r="R24" i="11"/>
  <c r="R18" i="11"/>
  <c r="R14" i="11"/>
  <c r="R16" i="11"/>
  <c r="R36" i="11"/>
  <c r="R22" i="11"/>
  <c r="R26" i="11"/>
  <c r="R25" i="11"/>
  <c r="R28" i="11"/>
  <c r="R35" i="11"/>
  <c r="R17" i="11"/>
  <c r="R31" i="11"/>
  <c r="R42" i="11"/>
  <c r="AK20" i="11"/>
  <c r="AK38" i="11"/>
  <c r="AK41" i="11"/>
  <c r="AK33" i="11"/>
  <c r="AK42" i="11"/>
  <c r="AK19" i="11"/>
  <c r="AD16" i="2"/>
  <c r="AK43" i="11"/>
  <c r="AK26" i="11"/>
  <c r="AK24" i="11"/>
  <c r="AK34" i="11"/>
  <c r="AK35" i="11"/>
  <c r="AK25" i="11"/>
  <c r="AK39" i="11"/>
  <c r="AK32" i="11"/>
  <c r="AK21" i="11"/>
  <c r="AK29" i="11"/>
  <c r="AK23" i="11"/>
  <c r="AK30" i="11"/>
  <c r="AK28" i="11"/>
  <c r="AK27" i="11"/>
  <c r="AK31" i="11"/>
  <c r="AK40" i="11"/>
  <c r="AK22" i="11"/>
  <c r="AK36" i="11"/>
  <c r="E19" i="3"/>
  <c r="M34" i="9"/>
  <c r="M40" i="9"/>
  <c r="M36" i="9"/>
  <c r="M42" i="9"/>
  <c r="M38" i="9"/>
  <c r="M41" i="9"/>
  <c r="H29" i="12"/>
  <c r="I29" i="12" s="1"/>
  <c r="F16" i="9"/>
  <c r="G16" i="9" s="1"/>
  <c r="F19" i="9"/>
  <c r="G19" i="9" s="1"/>
  <c r="F18" i="9"/>
  <c r="G18" i="9" s="1"/>
  <c r="F14" i="9"/>
  <c r="G14" i="9" s="1"/>
  <c r="F15" i="9"/>
  <c r="G15" i="9" s="1"/>
  <c r="F17" i="9"/>
  <c r="G17" i="9" s="1"/>
  <c r="G26" i="9"/>
  <c r="G27" i="9"/>
  <c r="G30" i="9"/>
  <c r="G29" i="9"/>
  <c r="G24" i="9"/>
  <c r="P23" i="6" s="1"/>
  <c r="Q23" i="6" s="1"/>
  <c r="G25" i="9"/>
  <c r="F34" i="9"/>
  <c r="G34" i="9" s="1"/>
  <c r="G21" i="9"/>
  <c r="P20" i="6" s="1"/>
  <c r="Q20" i="6" s="1"/>
  <c r="F36" i="9"/>
  <c r="G36" i="9" s="1"/>
  <c r="F38" i="9"/>
  <c r="G38" i="9" s="1"/>
  <c r="F40" i="9"/>
  <c r="G40" i="9" s="1"/>
  <c r="F42" i="9"/>
  <c r="G42" i="9" s="1"/>
  <c r="G31" i="9"/>
  <c r="F32" i="9"/>
  <c r="G32" i="9" s="1"/>
  <c r="F35" i="9"/>
  <c r="G35" i="9" s="1"/>
  <c r="F37" i="9"/>
  <c r="G37" i="9" s="1"/>
  <c r="F39" i="9"/>
  <c r="G39" i="9" s="1"/>
  <c r="F41" i="9"/>
  <c r="G41" i="9" s="1"/>
  <c r="F43" i="9"/>
  <c r="G43" i="9" s="1"/>
  <c r="AD41" i="2"/>
  <c r="AD18" i="2"/>
  <c r="AD42" i="2"/>
  <c r="AN48" i="2" s="1"/>
  <c r="AZ48" i="2" s="1"/>
  <c r="BL48" i="2" s="1"/>
  <c r="AD31" i="2"/>
  <c r="AD25" i="2"/>
  <c r="AD15" i="2"/>
  <c r="AD39" i="2"/>
  <c r="AD26" i="2"/>
  <c r="AD30" i="2"/>
  <c r="AD40" i="2"/>
  <c r="AD17" i="2"/>
  <c r="AD34" i="2"/>
  <c r="AD24" i="2"/>
  <c r="AD32" i="2"/>
  <c r="AD22" i="2"/>
  <c r="V39" i="2"/>
  <c r="W39" i="2" s="1"/>
  <c r="V31" i="2"/>
  <c r="W31" i="2" s="1"/>
  <c r="AQ32" i="2"/>
  <c r="BC32" i="2" s="1"/>
  <c r="BO32" i="2" s="1"/>
  <c r="W40" i="2"/>
  <c r="V38" i="2"/>
  <c r="W38" i="2" s="1"/>
  <c r="V30" i="2"/>
  <c r="W30" i="2" s="1"/>
  <c r="AP31" i="2"/>
  <c r="BB31" i="2" s="1"/>
  <c r="BN31" i="2" s="1"/>
  <c r="AR33" i="2"/>
  <c r="BD33" i="2" s="1"/>
  <c r="BP33" i="2" s="1"/>
  <c r="CB33" i="2" s="1"/>
  <c r="V37" i="2"/>
  <c r="W37" i="2" s="1"/>
  <c r="V29" i="2"/>
  <c r="W29" i="2" s="1"/>
  <c r="AO40" i="2"/>
  <c r="BA40" i="2" s="1"/>
  <c r="BM40" i="2" s="1"/>
  <c r="W32" i="2"/>
  <c r="V36" i="2"/>
  <c r="W36" i="2" s="1"/>
  <c r="V28" i="2"/>
  <c r="W28" i="2" s="1"/>
  <c r="V43" i="2"/>
  <c r="W43" i="2" s="1"/>
  <c r="V35" i="2"/>
  <c r="W35" i="2" s="1"/>
  <c r="V27" i="2"/>
  <c r="W27" i="2" s="1"/>
  <c r="V19" i="2"/>
  <c r="W19" i="2" s="1"/>
  <c r="V42" i="2"/>
  <c r="W42" i="2" s="1"/>
  <c r="V34" i="2"/>
  <c r="W34" i="2" s="1"/>
  <c r="V26" i="2"/>
  <c r="W26" i="2" s="1"/>
  <c r="V41" i="2"/>
  <c r="W41" i="2" s="1"/>
  <c r="V33" i="2"/>
  <c r="W33" i="2" s="1"/>
  <c r="V25" i="2"/>
  <c r="W25" i="2" s="1"/>
  <c r="V15" i="2"/>
  <c r="W15" i="2" s="1"/>
  <c r="P14" i="6" s="1"/>
  <c r="Q14" i="6" s="1"/>
  <c r="V18" i="2"/>
  <c r="W18" i="2" s="1"/>
  <c r="P17" i="6" s="1"/>
  <c r="Q17" i="6" s="1"/>
  <c r="V17" i="2"/>
  <c r="W17" i="2" s="1"/>
  <c r="P16" i="6" s="1"/>
  <c r="Q16" i="6" s="1"/>
  <c r="V16" i="2"/>
  <c r="W16" i="2" s="1"/>
  <c r="P15" i="6" s="1"/>
  <c r="Q15" i="6" s="1"/>
  <c r="V14" i="2"/>
  <c r="W14" i="2" s="1"/>
  <c r="AD38" i="2"/>
  <c r="AD19" i="2"/>
  <c r="AD43" i="2"/>
  <c r="AD35" i="2"/>
  <c r="AD27" i="2"/>
  <c r="AH14" i="2" l="1"/>
  <c r="P13" i="6"/>
  <c r="AM19" i="2"/>
  <c r="P18" i="6"/>
  <c r="Q18" i="6" s="1"/>
  <c r="BH44" i="11"/>
  <c r="CO33" i="2"/>
  <c r="DB33" i="2"/>
  <c r="M33" i="9"/>
  <c r="K48" i="9"/>
  <c r="M48" i="9" s="1"/>
  <c r="M32" i="9"/>
  <c r="K47" i="9"/>
  <c r="M47" i="9" s="1"/>
  <c r="M31" i="9"/>
  <c r="N32" i="9" s="1"/>
  <c r="K46" i="9"/>
  <c r="M46" i="9" s="1"/>
  <c r="M30" i="9"/>
  <c r="K45" i="9"/>
  <c r="M45" i="9" s="1"/>
  <c r="M29" i="9"/>
  <c r="N29" i="9" s="1"/>
  <c r="K44" i="9"/>
  <c r="M44" i="9" s="1"/>
  <c r="N44" i="9" s="1"/>
  <c r="N43" i="9"/>
  <c r="W48" i="9" s="1"/>
  <c r="AE48" i="9" s="1"/>
  <c r="AL48" i="9" s="1"/>
  <c r="AS48" i="9" s="1"/>
  <c r="AZ48" i="9" s="1"/>
  <c r="N19" i="9"/>
  <c r="V23" i="9" s="1"/>
  <c r="AD23" i="9" s="1"/>
  <c r="BC44" i="11"/>
  <c r="AU44" i="11"/>
  <c r="AT14" i="2"/>
  <c r="BF14" i="2" s="1"/>
  <c r="BR14" i="2" s="1"/>
  <c r="BX39" i="2"/>
  <c r="BX48" i="2"/>
  <c r="BX29" i="2"/>
  <c r="BY40" i="2"/>
  <c r="CA32" i="2"/>
  <c r="BZ31" i="2"/>
  <c r="BX20" i="2"/>
  <c r="AY19" i="2"/>
  <c r="BK19" i="2" s="1"/>
  <c r="BW19" i="2" s="1"/>
  <c r="CW19" i="2" s="1"/>
  <c r="AQ42" i="2"/>
  <c r="BC42" i="2" s="1"/>
  <c r="BO42" i="2" s="1"/>
  <c r="AO21" i="2"/>
  <c r="BA21" i="2" s="1"/>
  <c r="BM21" i="2" s="1"/>
  <c r="AO41" i="2"/>
  <c r="BA41" i="2" s="1"/>
  <c r="BM41" i="2" s="1"/>
  <c r="AR44" i="2"/>
  <c r="BD44" i="2" s="1"/>
  <c r="BP44" i="2" s="1"/>
  <c r="CB44" i="2" s="1"/>
  <c r="AQ43" i="2"/>
  <c r="BC43" i="2" s="1"/>
  <c r="BO43" i="2" s="1"/>
  <c r="AP42" i="2"/>
  <c r="BB42" i="2" s="1"/>
  <c r="BN42" i="2" s="1"/>
  <c r="AN40" i="2"/>
  <c r="AZ40" i="2" s="1"/>
  <c r="BL40" i="2" s="1"/>
  <c r="AR41" i="2"/>
  <c r="BD41" i="2" s="1"/>
  <c r="BP41" i="2" s="1"/>
  <c r="CB41" i="2" s="1"/>
  <c r="AQ40" i="2"/>
  <c r="BC40" i="2" s="1"/>
  <c r="BO40" i="2" s="1"/>
  <c r="AP39" i="2"/>
  <c r="BB39" i="2" s="1"/>
  <c r="BN39" i="2" s="1"/>
  <c r="AN37" i="2"/>
  <c r="AZ37" i="2" s="1"/>
  <c r="BL37" i="2" s="1"/>
  <c r="AO38" i="2"/>
  <c r="BA38" i="2" s="1"/>
  <c r="BM38" i="2" s="1"/>
  <c r="AR26" i="2"/>
  <c r="BD26" i="2" s="1"/>
  <c r="BP26" i="2" s="1"/>
  <c r="CB26" i="2" s="1"/>
  <c r="AQ25" i="2"/>
  <c r="BC25" i="2" s="1"/>
  <c r="BO25" i="2" s="1"/>
  <c r="AP24" i="2"/>
  <c r="BB24" i="2" s="1"/>
  <c r="BN24" i="2" s="1"/>
  <c r="AN22" i="2"/>
  <c r="AZ22" i="2" s="1"/>
  <c r="BL22" i="2" s="1"/>
  <c r="AO23" i="2"/>
  <c r="BA23" i="2" s="1"/>
  <c r="BM23" i="2" s="1"/>
  <c r="AP41" i="2"/>
  <c r="BB41" i="2" s="1"/>
  <c r="BN41" i="2" s="1"/>
  <c r="AR34" i="2"/>
  <c r="BD34" i="2" s="1"/>
  <c r="BP34" i="2" s="1"/>
  <c r="CB34" i="2" s="1"/>
  <c r="AQ33" i="2"/>
  <c r="BC33" i="2" s="1"/>
  <c r="BO33" i="2" s="1"/>
  <c r="AP32" i="2"/>
  <c r="BB32" i="2" s="1"/>
  <c r="BN32" i="2" s="1"/>
  <c r="AO31" i="2"/>
  <c r="BA31" i="2" s="1"/>
  <c r="BM31" i="2" s="1"/>
  <c r="AN30" i="2"/>
  <c r="AZ30" i="2" s="1"/>
  <c r="BL30" i="2" s="1"/>
  <c r="AP48" i="2"/>
  <c r="BB48" i="2" s="1"/>
  <c r="BN48" i="2" s="1"/>
  <c r="AN46" i="2"/>
  <c r="AZ46" i="2" s="1"/>
  <c r="BL46" i="2" s="1"/>
  <c r="AO47" i="2"/>
  <c r="BA47" i="2" s="1"/>
  <c r="BM47" i="2" s="1"/>
  <c r="AO25" i="2"/>
  <c r="BA25" i="2" s="1"/>
  <c r="BM25" i="2" s="1"/>
  <c r="AR28" i="2"/>
  <c r="BD28" i="2" s="1"/>
  <c r="BP28" i="2" s="1"/>
  <c r="CB28" i="2" s="1"/>
  <c r="AQ27" i="2"/>
  <c r="BC27" i="2" s="1"/>
  <c r="BO27" i="2" s="1"/>
  <c r="AP26" i="2"/>
  <c r="BB26" i="2" s="1"/>
  <c r="BN26" i="2" s="1"/>
  <c r="AN24" i="2"/>
  <c r="AZ24" i="2" s="1"/>
  <c r="BL24" i="2" s="1"/>
  <c r="AR43" i="2"/>
  <c r="BD43" i="2" s="1"/>
  <c r="BP43" i="2" s="1"/>
  <c r="CB43" i="2" s="1"/>
  <c r="AO30" i="2"/>
  <c r="BA30" i="2" s="1"/>
  <c r="BM30" i="2" s="1"/>
  <c r="AP46" i="2"/>
  <c r="BB46" i="2" s="1"/>
  <c r="BN46" i="2" s="1"/>
  <c r="AQ47" i="2"/>
  <c r="BC47" i="2" s="1"/>
  <c r="BO47" i="2" s="1"/>
  <c r="AN44" i="2"/>
  <c r="AZ44" i="2" s="1"/>
  <c r="BL44" i="2" s="1"/>
  <c r="AR48" i="2"/>
  <c r="BD48" i="2" s="1"/>
  <c r="BP48" i="2" s="1"/>
  <c r="CB48" i="2" s="1"/>
  <c r="AO45" i="2"/>
  <c r="BA45" i="2" s="1"/>
  <c r="BM45" i="2" s="1"/>
  <c r="AO24" i="2"/>
  <c r="BA24" i="2" s="1"/>
  <c r="BM24" i="2" s="1"/>
  <c r="AR27" i="2"/>
  <c r="BD27" i="2" s="1"/>
  <c r="BP27" i="2" s="1"/>
  <c r="CB27" i="2" s="1"/>
  <c r="AQ26" i="2"/>
  <c r="BC26" i="2" s="1"/>
  <c r="BO26" i="2" s="1"/>
  <c r="AP25" i="2"/>
  <c r="BB25" i="2" s="1"/>
  <c r="BN25" i="2" s="1"/>
  <c r="AN23" i="2"/>
  <c r="AZ23" i="2" s="1"/>
  <c r="BL23" i="2" s="1"/>
  <c r="AP38" i="2"/>
  <c r="BB38" i="2" s="1"/>
  <c r="BN38" i="2" s="1"/>
  <c r="AN36" i="2"/>
  <c r="AZ36" i="2" s="1"/>
  <c r="BL36" i="2" s="1"/>
  <c r="AQ39" i="2"/>
  <c r="BC39" i="2" s="1"/>
  <c r="BO39" i="2" s="1"/>
  <c r="AO37" i="2"/>
  <c r="BA37" i="2" s="1"/>
  <c r="BM37" i="2" s="1"/>
  <c r="AR40" i="2"/>
  <c r="BD40" i="2" s="1"/>
  <c r="BP40" i="2" s="1"/>
  <c r="CB40" i="2" s="1"/>
  <c r="AO48" i="2"/>
  <c r="BA48" i="2" s="1"/>
  <c r="BM48" i="2" s="1"/>
  <c r="AN47" i="2"/>
  <c r="AZ47" i="2" s="1"/>
  <c r="BL47" i="2" s="1"/>
  <c r="AO42" i="2"/>
  <c r="BA42" i="2" s="1"/>
  <c r="BM42" i="2" s="1"/>
  <c r="AR45" i="2"/>
  <c r="BD45" i="2" s="1"/>
  <c r="BP45" i="2" s="1"/>
  <c r="CB45" i="2" s="1"/>
  <c r="AQ44" i="2"/>
  <c r="BC44" i="2" s="1"/>
  <c r="BO44" i="2" s="1"/>
  <c r="AN41" i="2"/>
  <c r="AZ41" i="2" s="1"/>
  <c r="BL41" i="2" s="1"/>
  <c r="AP43" i="2"/>
  <c r="BB43" i="2" s="1"/>
  <c r="BN43" i="2" s="1"/>
  <c r="AO33" i="2"/>
  <c r="BA33" i="2" s="1"/>
  <c r="BM33" i="2" s="1"/>
  <c r="AR36" i="2"/>
  <c r="BD36" i="2" s="1"/>
  <c r="BP36" i="2" s="1"/>
  <c r="CB36" i="2" s="1"/>
  <c r="AQ35" i="2"/>
  <c r="BC35" i="2" s="1"/>
  <c r="BO35" i="2" s="1"/>
  <c r="AP34" i="2"/>
  <c r="BB34" i="2" s="1"/>
  <c r="BN34" i="2" s="1"/>
  <c r="AN32" i="2"/>
  <c r="AZ32" i="2" s="1"/>
  <c r="BL32" i="2" s="1"/>
  <c r="AP22" i="2"/>
  <c r="BB22" i="2" s="1"/>
  <c r="BN22" i="2" s="1"/>
  <c r="AN33" i="2"/>
  <c r="AZ33" i="2" s="1"/>
  <c r="BL33" i="2" s="1"/>
  <c r="AO34" i="2"/>
  <c r="BA34" i="2" s="1"/>
  <c r="BM34" i="2" s="1"/>
  <c r="AR37" i="2"/>
  <c r="BD37" i="2" s="1"/>
  <c r="BP37" i="2" s="1"/>
  <c r="CB37" i="2" s="1"/>
  <c r="AQ36" i="2"/>
  <c r="BC36" i="2" s="1"/>
  <c r="BO36" i="2" s="1"/>
  <c r="AP35" i="2"/>
  <c r="BB35" i="2" s="1"/>
  <c r="BN35" i="2" s="1"/>
  <c r="AP30" i="2"/>
  <c r="BB30" i="2" s="1"/>
  <c r="BN30" i="2" s="1"/>
  <c r="AN28" i="2"/>
  <c r="AZ28" i="2" s="1"/>
  <c r="BL28" i="2" s="1"/>
  <c r="AQ31" i="2"/>
  <c r="BC31" i="2" s="1"/>
  <c r="BO31" i="2" s="1"/>
  <c r="AO29" i="2"/>
  <c r="BA29" i="2" s="1"/>
  <c r="BM29" i="2" s="1"/>
  <c r="AR32" i="2"/>
  <c r="BD32" i="2" s="1"/>
  <c r="BP32" i="2" s="1"/>
  <c r="CB32" i="2" s="1"/>
  <c r="AQ48" i="2"/>
  <c r="BC48" i="2" s="1"/>
  <c r="BO48" i="2" s="1"/>
  <c r="AP47" i="2"/>
  <c r="BB47" i="2" s="1"/>
  <c r="BN47" i="2" s="1"/>
  <c r="AN45" i="2"/>
  <c r="AZ45" i="2" s="1"/>
  <c r="BL45" i="2" s="1"/>
  <c r="AO46" i="2"/>
  <c r="BA46" i="2" s="1"/>
  <c r="BM46" i="2" s="1"/>
  <c r="AQ23" i="2"/>
  <c r="BC23" i="2" s="1"/>
  <c r="BO23" i="2" s="1"/>
  <c r="AO32" i="2"/>
  <c r="BA32" i="2" s="1"/>
  <c r="BM32" i="2" s="1"/>
  <c r="AR35" i="2"/>
  <c r="BD35" i="2" s="1"/>
  <c r="BP35" i="2" s="1"/>
  <c r="CB35" i="2" s="1"/>
  <c r="AQ34" i="2"/>
  <c r="BC34" i="2" s="1"/>
  <c r="BO34" i="2" s="1"/>
  <c r="AP33" i="2"/>
  <c r="BB33" i="2" s="1"/>
  <c r="BN33" i="2" s="1"/>
  <c r="AN31" i="2"/>
  <c r="AZ31" i="2" s="1"/>
  <c r="BL31" i="2" s="1"/>
  <c r="AO26" i="2"/>
  <c r="BA26" i="2" s="1"/>
  <c r="BM26" i="2" s="1"/>
  <c r="AN25" i="2"/>
  <c r="AZ25" i="2" s="1"/>
  <c r="BL25" i="2" s="1"/>
  <c r="AR29" i="2"/>
  <c r="BD29" i="2" s="1"/>
  <c r="BP29" i="2" s="1"/>
  <c r="CB29" i="2" s="1"/>
  <c r="AQ28" i="2"/>
  <c r="BC28" i="2" s="1"/>
  <c r="BO28" i="2" s="1"/>
  <c r="AP27" i="2"/>
  <c r="BB27" i="2" s="1"/>
  <c r="BN27" i="2" s="1"/>
  <c r="AR42" i="2"/>
  <c r="BD42" i="2" s="1"/>
  <c r="BP42" i="2" s="1"/>
  <c r="CB42" i="2" s="1"/>
  <c r="AQ41" i="2"/>
  <c r="BC41" i="2" s="1"/>
  <c r="BO41" i="2" s="1"/>
  <c r="AO39" i="2"/>
  <c r="BA39" i="2" s="1"/>
  <c r="BM39" i="2" s="1"/>
  <c r="AP40" i="2"/>
  <c r="BB40" i="2" s="1"/>
  <c r="BN40" i="2" s="1"/>
  <c r="AN38" i="2"/>
  <c r="AZ38" i="2" s="1"/>
  <c r="BL38" i="2" s="1"/>
  <c r="AR25" i="2"/>
  <c r="BD25" i="2" s="1"/>
  <c r="BP25" i="2" s="1"/>
  <c r="CB25" i="2" s="1"/>
  <c r="AQ24" i="2"/>
  <c r="BC24" i="2" s="1"/>
  <c r="BO24" i="2" s="1"/>
  <c r="AP23" i="2"/>
  <c r="BB23" i="2" s="1"/>
  <c r="BN23" i="2" s="1"/>
  <c r="AN21" i="2"/>
  <c r="AZ21" i="2" s="1"/>
  <c r="BL21" i="2" s="1"/>
  <c r="AO22" i="2"/>
  <c r="BA22" i="2" s="1"/>
  <c r="BM22" i="2" s="1"/>
  <c r="AR24" i="2"/>
  <c r="BD24" i="2" s="1"/>
  <c r="BP24" i="2" s="1"/>
  <c r="CB24" i="2" s="1"/>
  <c r="V47" i="9"/>
  <c r="AD47" i="9" s="1"/>
  <c r="AK47" i="9" s="1"/>
  <c r="AR47" i="9" s="1"/>
  <c r="AY47" i="9" s="1"/>
  <c r="V48" i="9"/>
  <c r="AD48" i="9" s="1"/>
  <c r="T45" i="9"/>
  <c r="T46" i="9"/>
  <c r="AB46" i="9" s="1"/>
  <c r="AI46" i="9" s="1"/>
  <c r="S45" i="9"/>
  <c r="AA45" i="9" s="1"/>
  <c r="AH45" i="9" s="1"/>
  <c r="AO45" i="9" s="1"/>
  <c r="AV45" i="9" s="1"/>
  <c r="BH48" i="11"/>
  <c r="R44" i="9"/>
  <c r="Z44" i="9" s="1"/>
  <c r="R43" i="9"/>
  <c r="Z47" i="11"/>
  <c r="AG47" i="11" s="1"/>
  <c r="AN47" i="11" s="1"/>
  <c r="AV47" i="11" s="1"/>
  <c r="Z48" i="11"/>
  <c r="AG48" i="11" s="1"/>
  <c r="AN48" i="11" s="1"/>
  <c r="AV48" i="11" s="1"/>
  <c r="AA48" i="11"/>
  <c r="AH48" i="11" s="1"/>
  <c r="AO48" i="11" s="1"/>
  <c r="AW48" i="11" s="1"/>
  <c r="AB48" i="11"/>
  <c r="AI48" i="11" s="1"/>
  <c r="AP48" i="11" s="1"/>
  <c r="AX48" i="11" s="1"/>
  <c r="AC48" i="11"/>
  <c r="AJ48" i="11" s="1"/>
  <c r="AQ48" i="11" s="1"/>
  <c r="AY48" i="11" s="1"/>
  <c r="Y48" i="11"/>
  <c r="AF48" i="11" s="1"/>
  <c r="AM48" i="11" s="1"/>
  <c r="U47" i="9"/>
  <c r="AC47" i="9" s="1"/>
  <c r="U46" i="9"/>
  <c r="AM46" i="2"/>
  <c r="AM47" i="2"/>
  <c r="AM48" i="2"/>
  <c r="AM45" i="2"/>
  <c r="AM44" i="2"/>
  <c r="AL48" i="2"/>
  <c r="AL47" i="2"/>
  <c r="AL44" i="2"/>
  <c r="AL45" i="2"/>
  <c r="AL46" i="2"/>
  <c r="AK17" i="2"/>
  <c r="AW17" i="2" s="1"/>
  <c r="AK44" i="2"/>
  <c r="AK45" i="2"/>
  <c r="AK46" i="2"/>
  <c r="AK47" i="2"/>
  <c r="AK48" i="2"/>
  <c r="AJ47" i="2"/>
  <c r="AJ48" i="2"/>
  <c r="AJ44" i="2"/>
  <c r="AJ45" i="2"/>
  <c r="AJ46" i="2"/>
  <c r="AI46" i="2"/>
  <c r="AI47" i="2"/>
  <c r="AI48" i="2"/>
  <c r="AI44" i="2"/>
  <c r="AI45" i="2"/>
  <c r="AH48" i="2"/>
  <c r="AH46" i="2"/>
  <c r="AH47" i="2"/>
  <c r="AH45" i="2"/>
  <c r="AH44" i="2"/>
  <c r="N18" i="9"/>
  <c r="W23" i="9" s="1"/>
  <c r="AE23" i="9" s="1"/>
  <c r="N15" i="9"/>
  <c r="R15" i="9" s="1"/>
  <c r="Z15" i="9" s="1"/>
  <c r="N28" i="9"/>
  <c r="T30" i="9" s="1"/>
  <c r="AB30" i="9" s="1"/>
  <c r="AI30" i="9" s="1"/>
  <c r="N27" i="9"/>
  <c r="S28" i="9" s="1"/>
  <c r="AA28" i="9" s="1"/>
  <c r="N25" i="9"/>
  <c r="W30" i="9" s="1"/>
  <c r="AE30" i="9" s="1"/>
  <c r="N21" i="9"/>
  <c r="BG46" i="11"/>
  <c r="Y46" i="11"/>
  <c r="AF46" i="11" s="1"/>
  <c r="AM46" i="11" s="1"/>
  <c r="AC44" i="11"/>
  <c r="AJ44" i="11" s="1"/>
  <c r="AQ44" i="11" s="1"/>
  <c r="AY44" i="11" s="1"/>
  <c r="AA47" i="11"/>
  <c r="AH47" i="11" s="1"/>
  <c r="AO47" i="11" s="1"/>
  <c r="AW47" i="11" s="1"/>
  <c r="AB45" i="11"/>
  <c r="AI45" i="11" s="1"/>
  <c r="AP45" i="11" s="1"/>
  <c r="AX45" i="11" s="1"/>
  <c r="BH45" i="11"/>
  <c r="AB44" i="11"/>
  <c r="AI44" i="11" s="1"/>
  <c r="AP44" i="11" s="1"/>
  <c r="AX44" i="11" s="1"/>
  <c r="AA45" i="11"/>
  <c r="AH45" i="11" s="1"/>
  <c r="AO45" i="11" s="1"/>
  <c r="AW45" i="11" s="1"/>
  <c r="AB46" i="11"/>
  <c r="AI46" i="11" s="1"/>
  <c r="AP46" i="11" s="1"/>
  <c r="AX46" i="11" s="1"/>
  <c r="BH47" i="11"/>
  <c r="Y47" i="11"/>
  <c r="AF47" i="11" s="1"/>
  <c r="AM47" i="11" s="1"/>
  <c r="AB47" i="11"/>
  <c r="AI47" i="11" s="1"/>
  <c r="AP47" i="11" s="1"/>
  <c r="AX47" i="11" s="1"/>
  <c r="AA44" i="11"/>
  <c r="AH44" i="11" s="1"/>
  <c r="AO44" i="11" s="1"/>
  <c r="AW44" i="11" s="1"/>
  <c r="AC45" i="11"/>
  <c r="AJ45" i="11" s="1"/>
  <c r="AQ45" i="11" s="1"/>
  <c r="AY45" i="11" s="1"/>
  <c r="AA46" i="11"/>
  <c r="AH46" i="11" s="1"/>
  <c r="AO46" i="11" s="1"/>
  <c r="AW46" i="11" s="1"/>
  <c r="AC47" i="11"/>
  <c r="AJ47" i="11" s="1"/>
  <c r="AQ47" i="11" s="1"/>
  <c r="AY47" i="11" s="1"/>
  <c r="Z44" i="11"/>
  <c r="AG44" i="11" s="1"/>
  <c r="AN44" i="11" s="1"/>
  <c r="AV44" i="11" s="1"/>
  <c r="BH46" i="11"/>
  <c r="BD46" i="11"/>
  <c r="Y45" i="11"/>
  <c r="AF45" i="11" s="1"/>
  <c r="AM45" i="11" s="1"/>
  <c r="Z45" i="11"/>
  <c r="AG45" i="11" s="1"/>
  <c r="AN45" i="11" s="1"/>
  <c r="AV45" i="11" s="1"/>
  <c r="N23" i="9"/>
  <c r="S24" i="9" s="1"/>
  <c r="AA24" i="9" s="1"/>
  <c r="N20" i="9"/>
  <c r="V24" i="9" s="1"/>
  <c r="AD24" i="9" s="1"/>
  <c r="N24" i="9"/>
  <c r="R24" i="9" s="1"/>
  <c r="Z24" i="9" s="1"/>
  <c r="N22" i="9"/>
  <c r="V26" i="9" s="1"/>
  <c r="AD26" i="9" s="1"/>
  <c r="N17" i="9"/>
  <c r="N16" i="9"/>
  <c r="W21" i="9" s="1"/>
  <c r="AE21" i="9" s="1"/>
  <c r="N26" i="9"/>
  <c r="T28" i="9" s="1"/>
  <c r="AB28" i="9" s="1"/>
  <c r="AI28" i="9" s="1"/>
  <c r="AJ36" i="2"/>
  <c r="AV36" i="2" s="1"/>
  <c r="AH32" i="2"/>
  <c r="AT32" i="2" s="1"/>
  <c r="AH15" i="2"/>
  <c r="M14" i="3"/>
  <c r="N14" i="3" s="1"/>
  <c r="K15" i="3"/>
  <c r="L15" i="3" s="1"/>
  <c r="N42" i="9"/>
  <c r="N39" i="9"/>
  <c r="N36" i="9"/>
  <c r="U39" i="9" s="1"/>
  <c r="AC39" i="9" s="1"/>
  <c r="AJ39" i="9" s="1"/>
  <c r="Z28" i="11"/>
  <c r="AG28" i="11" s="1"/>
  <c r="AA28" i="11"/>
  <c r="AH28" i="11" s="1"/>
  <c r="Z40" i="11"/>
  <c r="AG40" i="11" s="1"/>
  <c r="Y24" i="11"/>
  <c r="AF24" i="11" s="1"/>
  <c r="AM24" i="11" s="1"/>
  <c r="AC41" i="11"/>
  <c r="AJ41" i="11" s="1"/>
  <c r="AC43" i="11"/>
  <c r="AJ43" i="11" s="1"/>
  <c r="Y31" i="11"/>
  <c r="AF31" i="11" s="1"/>
  <c r="AM31" i="11" s="1"/>
  <c r="Y16" i="11"/>
  <c r="AF16" i="11" s="1"/>
  <c r="AM16" i="11" s="1"/>
  <c r="Y20" i="11"/>
  <c r="AF20" i="11" s="1"/>
  <c r="AM20" i="11" s="1"/>
  <c r="Y37" i="11"/>
  <c r="AF37" i="11" s="1"/>
  <c r="AM37" i="11" s="1"/>
  <c r="AA29" i="11"/>
  <c r="AH29" i="11" s="1"/>
  <c r="Z15" i="11"/>
  <c r="AG15" i="11" s="1"/>
  <c r="AN15" i="11" s="1"/>
  <c r="AC40" i="11"/>
  <c r="AJ40" i="11" s="1"/>
  <c r="AC37" i="11"/>
  <c r="AJ37" i="11" s="1"/>
  <c r="AA37" i="11"/>
  <c r="AH37" i="11" s="1"/>
  <c r="Z34" i="11"/>
  <c r="AG34" i="11" s="1"/>
  <c r="AB32" i="11"/>
  <c r="AI32" i="11" s="1"/>
  <c r="AB34" i="11"/>
  <c r="AI34" i="11" s="1"/>
  <c r="AB28" i="11"/>
  <c r="AI28" i="11" s="1"/>
  <c r="AC26" i="11"/>
  <c r="AJ26" i="11" s="1"/>
  <c r="AA35" i="11"/>
  <c r="AH35" i="11" s="1"/>
  <c r="AA42" i="11"/>
  <c r="AH42" i="11" s="1"/>
  <c r="Z42" i="11"/>
  <c r="AG42" i="11" s="1"/>
  <c r="Y18" i="11"/>
  <c r="AF18" i="11" s="1"/>
  <c r="AM18" i="11" s="1"/>
  <c r="Z36" i="11"/>
  <c r="AG36" i="11" s="1"/>
  <c r="Y41" i="11"/>
  <c r="AF41" i="11" s="1"/>
  <c r="AM41" i="11" s="1"/>
  <c r="AA22" i="11"/>
  <c r="AH22" i="11" s="1"/>
  <c r="AC30" i="11"/>
  <c r="AJ30" i="11" s="1"/>
  <c r="AC22" i="11"/>
  <c r="AJ22" i="11" s="1"/>
  <c r="Y17" i="11"/>
  <c r="AF17" i="11" s="1"/>
  <c r="AM17" i="11" s="1"/>
  <c r="Y14" i="11"/>
  <c r="AF14" i="11" s="1"/>
  <c r="AM14" i="11" s="1"/>
  <c r="Y30" i="11"/>
  <c r="AF30" i="11" s="1"/>
  <c r="AM30" i="11" s="1"/>
  <c r="Z22" i="11"/>
  <c r="AG22" i="11" s="1"/>
  <c r="AC31" i="11"/>
  <c r="AJ31" i="11" s="1"/>
  <c r="Y21" i="11"/>
  <c r="AF21" i="11" s="1"/>
  <c r="AM21" i="11" s="1"/>
  <c r="AA38" i="11"/>
  <c r="AH38" i="11" s="1"/>
  <c r="Y32" i="11"/>
  <c r="AF32" i="11" s="1"/>
  <c r="AM32" i="11" s="1"/>
  <c r="AC39" i="11"/>
  <c r="AJ39" i="11" s="1"/>
  <c r="Y15" i="11"/>
  <c r="AF15" i="11" s="1"/>
  <c r="AM15" i="11" s="1"/>
  <c r="AB24" i="11"/>
  <c r="AI24" i="11" s="1"/>
  <c r="AB37" i="11"/>
  <c r="AI37" i="11" s="1"/>
  <c r="AB20" i="11"/>
  <c r="AI20" i="11" s="1"/>
  <c r="Z23" i="11"/>
  <c r="AG23" i="11" s="1"/>
  <c r="Z19" i="11"/>
  <c r="AG19" i="11" s="1"/>
  <c r="Z17" i="11"/>
  <c r="AG17" i="11" s="1"/>
  <c r="AA43" i="11"/>
  <c r="AH43" i="11" s="1"/>
  <c r="Y38" i="11"/>
  <c r="AF38" i="11" s="1"/>
  <c r="AM38" i="11" s="1"/>
  <c r="Z32" i="11"/>
  <c r="AG32" i="11" s="1"/>
  <c r="AB39" i="11"/>
  <c r="AI39" i="11" s="1"/>
  <c r="AA20" i="11"/>
  <c r="AH20" i="11" s="1"/>
  <c r="AA16" i="11"/>
  <c r="AH16" i="11" s="1"/>
  <c r="AO16" i="11" s="1"/>
  <c r="AW16" i="11" s="1"/>
  <c r="AC34" i="11"/>
  <c r="AJ34" i="11" s="1"/>
  <c r="AB33" i="11"/>
  <c r="AI33" i="11" s="1"/>
  <c r="Y25" i="11"/>
  <c r="AF25" i="11" s="1"/>
  <c r="AM25" i="11" s="1"/>
  <c r="Y40" i="11"/>
  <c r="AF40" i="11" s="1"/>
  <c r="AM40" i="11" s="1"/>
  <c r="Y29" i="11"/>
  <c r="AF29" i="11" s="1"/>
  <c r="AM29" i="11" s="1"/>
  <c r="Z43" i="11"/>
  <c r="AG43" i="11" s="1"/>
  <c r="Z35" i="11"/>
  <c r="AG35" i="11" s="1"/>
  <c r="Z38" i="11"/>
  <c r="AG38" i="11" s="1"/>
  <c r="AC24" i="11"/>
  <c r="AJ24" i="11" s="1"/>
  <c r="AA33" i="11"/>
  <c r="AH33" i="11" s="1"/>
  <c r="Z31" i="11"/>
  <c r="AG31" i="11" s="1"/>
  <c r="Z27" i="11"/>
  <c r="AG27" i="11" s="1"/>
  <c r="AB23" i="11"/>
  <c r="AI23" i="11" s="1"/>
  <c r="AB41" i="11"/>
  <c r="AI41" i="11" s="1"/>
  <c r="AB43" i="11"/>
  <c r="AI43" i="11" s="1"/>
  <c r="AC23" i="11"/>
  <c r="AJ23" i="11" s="1"/>
  <c r="Z25" i="11"/>
  <c r="AG25" i="11" s="1"/>
  <c r="AA41" i="11"/>
  <c r="AH41" i="11" s="1"/>
  <c r="Z30" i="11"/>
  <c r="AG30" i="11" s="1"/>
  <c r="Y35" i="11"/>
  <c r="AF35" i="11" s="1"/>
  <c r="AM35" i="11" s="1"/>
  <c r="AA39" i="11"/>
  <c r="AH39" i="11" s="1"/>
  <c r="AB29" i="11"/>
  <c r="AI29" i="11" s="1"/>
  <c r="AA31" i="11"/>
  <c r="AH31" i="11" s="1"/>
  <c r="Y28" i="11"/>
  <c r="AF28" i="11" s="1"/>
  <c r="AM28" i="11" s="1"/>
  <c r="AA36" i="11"/>
  <c r="AH36" i="11" s="1"/>
  <c r="AC35" i="11"/>
  <c r="AJ35" i="11" s="1"/>
  <c r="AB31" i="11"/>
  <c r="AI31" i="11" s="1"/>
  <c r="AC33" i="11"/>
  <c r="AJ33" i="11" s="1"/>
  <c r="Y26" i="11"/>
  <c r="AF26" i="11" s="1"/>
  <c r="AM26" i="11" s="1"/>
  <c r="Y23" i="11"/>
  <c r="AF23" i="11" s="1"/>
  <c r="AM23" i="11" s="1"/>
  <c r="Y33" i="11"/>
  <c r="AF33" i="11" s="1"/>
  <c r="AM33" i="11" s="1"/>
  <c r="AC42" i="11"/>
  <c r="AJ42" i="11" s="1"/>
  <c r="AC38" i="11"/>
  <c r="AJ38" i="11" s="1"/>
  <c r="AA30" i="11"/>
  <c r="AH30" i="11" s="1"/>
  <c r="Z21" i="11"/>
  <c r="AG21" i="11" s="1"/>
  <c r="Z18" i="11"/>
  <c r="AG18" i="11" s="1"/>
  <c r="AA32" i="11"/>
  <c r="AH32" i="11" s="1"/>
  <c r="AB42" i="11"/>
  <c r="AI42" i="11" s="1"/>
  <c r="AB38" i="11"/>
  <c r="AI38" i="11" s="1"/>
  <c r="AB25" i="11"/>
  <c r="AI25" i="11" s="1"/>
  <c r="AB35" i="11"/>
  <c r="AI35" i="11" s="1"/>
  <c r="Z20" i="11"/>
  <c r="AG20" i="11" s="1"/>
  <c r="AC28" i="11"/>
  <c r="AJ28" i="11" s="1"/>
  <c r="AA25" i="11"/>
  <c r="AH25" i="11" s="1"/>
  <c r="Z37" i="11"/>
  <c r="AG37" i="11" s="1"/>
  <c r="AA24" i="11"/>
  <c r="AH24" i="11" s="1"/>
  <c r="AB21" i="11"/>
  <c r="AI21" i="11" s="1"/>
  <c r="Y22" i="11"/>
  <c r="AF22" i="11" s="1"/>
  <c r="AM22" i="11" s="1"/>
  <c r="Y27" i="11"/>
  <c r="AF27" i="11" s="1"/>
  <c r="AM27" i="11" s="1"/>
  <c r="Y19" i="11"/>
  <c r="AF19" i="11" s="1"/>
  <c r="AM19" i="11" s="1"/>
  <c r="Z39" i="11"/>
  <c r="AG39" i="11" s="1"/>
  <c r="AC25" i="11"/>
  <c r="AJ25" i="11" s="1"/>
  <c r="AC32" i="11"/>
  <c r="AJ32" i="11" s="1"/>
  <c r="AA23" i="11"/>
  <c r="AH23" i="11" s="1"/>
  <c r="AA19" i="11"/>
  <c r="AH19" i="11" s="1"/>
  <c r="AC20" i="11"/>
  <c r="AJ20" i="11" s="1"/>
  <c r="AB18" i="11"/>
  <c r="AI18" i="11" s="1"/>
  <c r="AB30" i="11"/>
  <c r="AI30" i="11" s="1"/>
  <c r="AB17" i="11"/>
  <c r="AI17" i="11" s="1"/>
  <c r="AP17" i="11" s="1"/>
  <c r="AX17" i="11" s="1"/>
  <c r="AB27" i="11"/>
  <c r="AI27" i="11" s="1"/>
  <c r="AA18" i="11"/>
  <c r="AH18" i="11" s="1"/>
  <c r="AA26" i="11"/>
  <c r="AH26" i="11" s="1"/>
  <c r="Z33" i="11"/>
  <c r="AG33" i="11" s="1"/>
  <c r="AC27" i="11"/>
  <c r="AJ27" i="11" s="1"/>
  <c r="AB26" i="11"/>
  <c r="AI26" i="11" s="1"/>
  <c r="AA21" i="11"/>
  <c r="AH21" i="11" s="1"/>
  <c r="Y42" i="11"/>
  <c r="AF42" i="11" s="1"/>
  <c r="AM42" i="11" s="1"/>
  <c r="Y36" i="11"/>
  <c r="AF36" i="11" s="1"/>
  <c r="AM36" i="11" s="1"/>
  <c r="Y34" i="11"/>
  <c r="AF34" i="11" s="1"/>
  <c r="AM34" i="11" s="1"/>
  <c r="Y39" i="11"/>
  <c r="AF39" i="11" s="1"/>
  <c r="AM39" i="11" s="1"/>
  <c r="AA40" i="11"/>
  <c r="AH40" i="11" s="1"/>
  <c r="AC29" i="11"/>
  <c r="AJ29" i="11" s="1"/>
  <c r="Z29" i="11"/>
  <c r="AG29" i="11" s="1"/>
  <c r="Z26" i="11"/>
  <c r="AG26" i="11" s="1"/>
  <c r="AC21" i="11"/>
  <c r="AJ21" i="11" s="1"/>
  <c r="AA27" i="11"/>
  <c r="AH27" i="11" s="1"/>
  <c r="AB40" i="11"/>
  <c r="AI40" i="11" s="1"/>
  <c r="AB22" i="11"/>
  <c r="AI22" i="11" s="1"/>
  <c r="AB36" i="11"/>
  <c r="AI36" i="11" s="1"/>
  <c r="AB19" i="11"/>
  <c r="AI19" i="11" s="1"/>
  <c r="AA34" i="11"/>
  <c r="AH34" i="11" s="1"/>
  <c r="Z41" i="11"/>
  <c r="AG41" i="11" s="1"/>
  <c r="Z16" i="11"/>
  <c r="AG16" i="11" s="1"/>
  <c r="AC18" i="11"/>
  <c r="AJ18" i="11" s="1"/>
  <c r="AQ18" i="11" s="1"/>
  <c r="AY18" i="11" s="1"/>
  <c r="AH38" i="2"/>
  <c r="AT38" i="2" s="1"/>
  <c r="AH27" i="2"/>
  <c r="AT27" i="2" s="1"/>
  <c r="AH22" i="2"/>
  <c r="AT22" i="2" s="1"/>
  <c r="AH39" i="2"/>
  <c r="AT39" i="2" s="1"/>
  <c r="AH41" i="2"/>
  <c r="AT41" i="2" s="1"/>
  <c r="AH30" i="2"/>
  <c r="AT30" i="2" s="1"/>
  <c r="AH19" i="2"/>
  <c r="AT19" i="2" s="1"/>
  <c r="AH26" i="2"/>
  <c r="AT26" i="2" s="1"/>
  <c r="AH23" i="2"/>
  <c r="AT23" i="2" s="1"/>
  <c r="AH31" i="2"/>
  <c r="AT31" i="2" s="1"/>
  <c r="AH43" i="2"/>
  <c r="AT43" i="2" s="1"/>
  <c r="AH17" i="2"/>
  <c r="AT17" i="2" s="1"/>
  <c r="AH42" i="2"/>
  <c r="AT42" i="2" s="1"/>
  <c r="AH35" i="2"/>
  <c r="AT35" i="2" s="1"/>
  <c r="AH34" i="2"/>
  <c r="AT34" i="2" s="1"/>
  <c r="AH40" i="2"/>
  <c r="AT40" i="2" s="1"/>
  <c r="AH18" i="2"/>
  <c r="AT18" i="2" s="1"/>
  <c r="AH33" i="2"/>
  <c r="AT33" i="2" s="1"/>
  <c r="N37" i="9"/>
  <c r="R37" i="9" s="1"/>
  <c r="Z37" i="9" s="1"/>
  <c r="N40" i="9"/>
  <c r="V44" i="9" s="1"/>
  <c r="AD44" i="9" s="1"/>
  <c r="AH24" i="2"/>
  <c r="AT24" i="2" s="1"/>
  <c r="AH25" i="2"/>
  <c r="AT25" i="2" s="1"/>
  <c r="AH16" i="2"/>
  <c r="AT16" i="2" s="1"/>
  <c r="E20" i="3"/>
  <c r="N41" i="9"/>
  <c r="N35" i="9"/>
  <c r="U38" i="9" s="1"/>
  <c r="AC38" i="9" s="1"/>
  <c r="AJ38" i="9" s="1"/>
  <c r="N38" i="9"/>
  <c r="AK34" i="2"/>
  <c r="AW34" i="2" s="1"/>
  <c r="H30" i="12"/>
  <c r="I30" i="12" s="1"/>
  <c r="AM43" i="11"/>
  <c r="AR19" i="11"/>
  <c r="AZ19" i="11" s="1"/>
  <c r="W41" i="9"/>
  <c r="AE41" i="9" s="1"/>
  <c r="W26" i="9"/>
  <c r="AE26" i="9" s="1"/>
  <c r="W32" i="9"/>
  <c r="AE32" i="9" s="1"/>
  <c r="W25" i="9"/>
  <c r="AE25" i="9" s="1"/>
  <c r="W19" i="9"/>
  <c r="AE19" i="9" s="1"/>
  <c r="W28" i="9"/>
  <c r="AE28" i="9" s="1"/>
  <c r="V29" i="9"/>
  <c r="AD29" i="9" s="1"/>
  <c r="V40" i="9"/>
  <c r="AD40" i="9" s="1"/>
  <c r="V25" i="9"/>
  <c r="AD25" i="9" s="1"/>
  <c r="V27" i="9"/>
  <c r="AD27" i="9" s="1"/>
  <c r="V28" i="9"/>
  <c r="AD28" i="9" s="1"/>
  <c r="V18" i="9"/>
  <c r="AD18" i="9" s="1"/>
  <c r="U19" i="9"/>
  <c r="AC19" i="9" s="1"/>
  <c r="AJ19" i="9" s="1"/>
  <c r="U23" i="9"/>
  <c r="AC23" i="9" s="1"/>
  <c r="AJ23" i="9" s="1"/>
  <c r="U24" i="9"/>
  <c r="AC24" i="9" s="1"/>
  <c r="AJ24" i="9" s="1"/>
  <c r="U20" i="9"/>
  <c r="AC20" i="9" s="1"/>
  <c r="AJ20" i="9" s="1"/>
  <c r="U17" i="9"/>
  <c r="AC17" i="9" s="1"/>
  <c r="AJ17" i="9" s="1"/>
  <c r="U21" i="9"/>
  <c r="AC21" i="9" s="1"/>
  <c r="AJ21" i="9" s="1"/>
  <c r="U27" i="9"/>
  <c r="AC27" i="9" s="1"/>
  <c r="AJ27" i="9" s="1"/>
  <c r="T20" i="9"/>
  <c r="AB20" i="9" s="1"/>
  <c r="AI20" i="9" s="1"/>
  <c r="T23" i="9"/>
  <c r="AB23" i="9" s="1"/>
  <c r="AI23" i="9" s="1"/>
  <c r="T16" i="9"/>
  <c r="T21" i="9"/>
  <c r="AB21" i="9" s="1"/>
  <c r="AI21" i="9" s="1"/>
  <c r="T38" i="9"/>
  <c r="AB38" i="9" s="1"/>
  <c r="AI38" i="9" s="1"/>
  <c r="R21" i="9"/>
  <c r="Z21" i="9" s="1"/>
  <c r="R14" i="9"/>
  <c r="Z14" i="9" s="1"/>
  <c r="R18" i="9"/>
  <c r="Z18" i="9" s="1"/>
  <c r="R19" i="9"/>
  <c r="Z19" i="9" s="1"/>
  <c r="R36" i="9"/>
  <c r="Z36" i="9" s="1"/>
  <c r="S15" i="9"/>
  <c r="AA15" i="9" s="1"/>
  <c r="S21" i="9"/>
  <c r="AA21" i="9" s="1"/>
  <c r="S22" i="9"/>
  <c r="AA22" i="9" s="1"/>
  <c r="S16" i="9"/>
  <c r="AA16" i="9" s="1"/>
  <c r="F20" i="9"/>
  <c r="G20" i="9" s="1"/>
  <c r="P19" i="6" s="1"/>
  <c r="Q19" i="6" s="1"/>
  <c r="AL19" i="2"/>
  <c r="AX19" i="2" s="1"/>
  <c r="AJ16" i="2"/>
  <c r="AV16" i="2" s="1"/>
  <c r="AJ28" i="2"/>
  <c r="AV28" i="2" s="1"/>
  <c r="AI40" i="2"/>
  <c r="AU40" i="2" s="1"/>
  <c r="AI43" i="2"/>
  <c r="AU43" i="2" s="1"/>
  <c r="AI41" i="2"/>
  <c r="AU41" i="2" s="1"/>
  <c r="AI27" i="2"/>
  <c r="AU27" i="2" s="1"/>
  <c r="AI34" i="2"/>
  <c r="AU34" i="2" s="1"/>
  <c r="AM30" i="2"/>
  <c r="AY30" i="2" s="1"/>
  <c r="AM28" i="2"/>
  <c r="AY28" i="2" s="1"/>
  <c r="AM23" i="2"/>
  <c r="AY23" i="2" s="1"/>
  <c r="AL35" i="2"/>
  <c r="AX35" i="2" s="1"/>
  <c r="AJ17" i="2"/>
  <c r="AV17" i="2" s="1"/>
  <c r="AL29" i="2"/>
  <c r="AX29" i="2" s="1"/>
  <c r="AD36" i="2"/>
  <c r="AL36" i="2"/>
  <c r="AX36" i="2" s="1"/>
  <c r="AL20" i="2"/>
  <c r="AX20" i="2" s="1"/>
  <c r="AL27" i="2"/>
  <c r="AX27" i="2" s="1"/>
  <c r="AL26" i="2"/>
  <c r="AX26" i="2" s="1"/>
  <c r="AL38" i="2"/>
  <c r="AX38" i="2" s="1"/>
  <c r="AL21" i="2"/>
  <c r="AX21" i="2" s="1"/>
  <c r="AM29" i="2"/>
  <c r="AY29" i="2" s="1"/>
  <c r="AJ40" i="2"/>
  <c r="AV40" i="2" s="1"/>
  <c r="AM43" i="2"/>
  <c r="AY43" i="2" s="1"/>
  <c r="AK41" i="2"/>
  <c r="AW41" i="2" s="1"/>
  <c r="AL42" i="2"/>
  <c r="AX42" i="2" s="1"/>
  <c r="AI39" i="2"/>
  <c r="AU39" i="2" s="1"/>
  <c r="AK36" i="2"/>
  <c r="AW36" i="2" s="1"/>
  <c r="AD29" i="2"/>
  <c r="AD28" i="2"/>
  <c r="AM38" i="2"/>
  <c r="AY38" i="2" s="1"/>
  <c r="AM37" i="2"/>
  <c r="AY37" i="2" s="1"/>
  <c r="AI35" i="2"/>
  <c r="AU35" i="2" s="1"/>
  <c r="AI18" i="2"/>
  <c r="AU18" i="2" s="1"/>
  <c r="AM20" i="2"/>
  <c r="AY20" i="2" s="1"/>
  <c r="AI26" i="2"/>
  <c r="AU26" i="2" s="1"/>
  <c r="AI23" i="2"/>
  <c r="AU23" i="2" s="1"/>
  <c r="AK29" i="2"/>
  <c r="AW29" i="2" s="1"/>
  <c r="AJ41" i="2"/>
  <c r="AV41" i="2" s="1"/>
  <c r="AI31" i="2"/>
  <c r="AU31" i="2" s="1"/>
  <c r="AI15" i="2"/>
  <c r="AI24" i="2"/>
  <c r="AU24" i="2" s="1"/>
  <c r="AL37" i="2"/>
  <c r="AX37" i="2" s="1"/>
  <c r="AJ34" i="2"/>
  <c r="AV34" i="2" s="1"/>
  <c r="AJ26" i="2"/>
  <c r="AV26" i="2" s="1"/>
  <c r="AI16" i="2"/>
  <c r="AU16" i="2" s="1"/>
  <c r="AJ20" i="2"/>
  <c r="AV20" i="2" s="1"/>
  <c r="AL30" i="2"/>
  <c r="AX30" i="2" s="1"/>
  <c r="AL34" i="2"/>
  <c r="AX34" i="2" s="1"/>
  <c r="AK28" i="2"/>
  <c r="AW28" i="2" s="1"/>
  <c r="AK33" i="2"/>
  <c r="AW33" i="2" s="1"/>
  <c r="AM24" i="2"/>
  <c r="AY24" i="2" s="1"/>
  <c r="AL23" i="2"/>
  <c r="AX23" i="2" s="1"/>
  <c r="AJ21" i="2"/>
  <c r="AV21" i="2" s="1"/>
  <c r="AI20" i="2"/>
  <c r="AU20" i="2" s="1"/>
  <c r="AK22" i="2"/>
  <c r="AW22" i="2" s="1"/>
  <c r="AD21" i="2"/>
  <c r="AD20" i="2"/>
  <c r="AJ25" i="2"/>
  <c r="AV25" i="2" s="1"/>
  <c r="AM36" i="2"/>
  <c r="AY36" i="2" s="1"/>
  <c r="AK35" i="2"/>
  <c r="AW35" i="2" s="1"/>
  <c r="AL28" i="2"/>
  <c r="AX28" i="2" s="1"/>
  <c r="AM39" i="2"/>
  <c r="AY39" i="2" s="1"/>
  <c r="AK18" i="2"/>
  <c r="AW18" i="2" s="1"/>
  <c r="AK21" i="2"/>
  <c r="AW21" i="2" s="1"/>
  <c r="AM27" i="2"/>
  <c r="AY27" i="2" s="1"/>
  <c r="AM21" i="2"/>
  <c r="AY21" i="2" s="1"/>
  <c r="AJ43" i="2"/>
  <c r="AV43" i="2" s="1"/>
  <c r="AK20" i="2"/>
  <c r="AW20" i="2" s="1"/>
  <c r="AK42" i="2"/>
  <c r="AW42" i="2" s="1"/>
  <c r="AD37" i="2"/>
  <c r="AK26" i="2"/>
  <c r="AW26" i="2" s="1"/>
  <c r="AJ33" i="2"/>
  <c r="AV33" i="2" s="1"/>
  <c r="AI33" i="2"/>
  <c r="AU33" i="2" s="1"/>
  <c r="AK27" i="2"/>
  <c r="AW27" i="2" s="1"/>
  <c r="AM22" i="2"/>
  <c r="AY22" i="2" s="1"/>
  <c r="AJ27" i="2"/>
  <c r="AV27" i="2" s="1"/>
  <c r="AI19" i="2"/>
  <c r="AU19" i="2" s="1"/>
  <c r="AJ24" i="2"/>
  <c r="AV24" i="2" s="1"/>
  <c r="AJ18" i="2"/>
  <c r="AV18" i="2" s="1"/>
  <c r="AM31" i="2"/>
  <c r="AY31" i="2" s="1"/>
  <c r="AM35" i="2"/>
  <c r="AY35" i="2" s="1"/>
  <c r="AK37" i="2"/>
  <c r="AW37" i="2" s="1"/>
  <c r="AM32" i="2"/>
  <c r="AY32" i="2" s="1"/>
  <c r="AL31" i="2"/>
  <c r="AX31" i="2" s="1"/>
  <c r="AI28" i="2"/>
  <c r="AU28" i="2" s="1"/>
  <c r="AJ29" i="2"/>
  <c r="AV29" i="2" s="1"/>
  <c r="AK30" i="2"/>
  <c r="AW30" i="2" s="1"/>
  <c r="AL18" i="2"/>
  <c r="AX18" i="2" s="1"/>
  <c r="AJ42" i="2"/>
  <c r="AV42" i="2" s="1"/>
  <c r="AI32" i="2"/>
  <c r="AU32" i="2" s="1"/>
  <c r="AI25" i="2"/>
  <c r="AU25" i="2" s="1"/>
  <c r="AJ19" i="2"/>
  <c r="AV19" i="2" s="1"/>
  <c r="AL22" i="2"/>
  <c r="AX22" i="2" s="1"/>
  <c r="AK25" i="2"/>
  <c r="AW25" i="2" s="1"/>
  <c r="AK19" i="2"/>
  <c r="AW19" i="2" s="1"/>
  <c r="AL43" i="2"/>
  <c r="AX43" i="2" s="1"/>
  <c r="AI42" i="2"/>
  <c r="AU42" i="2" s="1"/>
  <c r="AJ32" i="2"/>
  <c r="AV32" i="2" s="1"/>
  <c r="AM40" i="2"/>
  <c r="AY40" i="2" s="1"/>
  <c r="AL39" i="2"/>
  <c r="AX39" i="2" s="1"/>
  <c r="AI36" i="2"/>
  <c r="AU36" i="2" s="1"/>
  <c r="AK38" i="2"/>
  <c r="AW38" i="2" s="1"/>
  <c r="AJ37" i="2"/>
  <c r="AV37" i="2" s="1"/>
  <c r="AJ35" i="2"/>
  <c r="AV35" i="2" s="1"/>
  <c r="AK43" i="2"/>
  <c r="AW43" i="2" s="1"/>
  <c r="AI17" i="2"/>
  <c r="AU17" i="2" s="1"/>
  <c r="N33" i="9" l="1"/>
  <c r="Q13" i="6"/>
  <c r="E3" i="6"/>
  <c r="V33" i="9"/>
  <c r="AD33" i="9" s="1"/>
  <c r="W34" i="9"/>
  <c r="AE34" i="9" s="1"/>
  <c r="R32" i="9"/>
  <c r="Z32" i="9" s="1"/>
  <c r="S33" i="9"/>
  <c r="AA33" i="9" s="1"/>
  <c r="W37" i="9"/>
  <c r="AE37" i="9" s="1"/>
  <c r="V36" i="9"/>
  <c r="AD36" i="9" s="1"/>
  <c r="U35" i="9"/>
  <c r="AC35" i="9" s="1"/>
  <c r="AJ35" i="9" s="1"/>
  <c r="R33" i="9"/>
  <c r="Z33" i="9" s="1"/>
  <c r="AG33" i="9" s="1"/>
  <c r="AN33" i="9" s="1"/>
  <c r="AU33" i="9" s="1"/>
  <c r="BC33" i="9" s="1"/>
  <c r="W38" i="9"/>
  <c r="AE38" i="9" s="1"/>
  <c r="U26" i="9"/>
  <c r="AC26" i="9" s="1"/>
  <c r="AJ26" i="9" s="1"/>
  <c r="W24" i="9"/>
  <c r="AE24" i="9" s="1"/>
  <c r="N30" i="9"/>
  <c r="S20" i="9"/>
  <c r="AA20" i="9" s="1"/>
  <c r="S19" i="9"/>
  <c r="AA19" i="9" s="1"/>
  <c r="T22" i="9"/>
  <c r="AB22" i="9" s="1"/>
  <c r="AI22" i="9" s="1"/>
  <c r="AP22" i="9" s="1"/>
  <c r="AW22" i="9" s="1"/>
  <c r="U28" i="9"/>
  <c r="AC28" i="9" s="1"/>
  <c r="AJ28" i="9" s="1"/>
  <c r="AQ28" i="9" s="1"/>
  <c r="AX28" i="9" s="1"/>
  <c r="U22" i="9"/>
  <c r="AC22" i="9" s="1"/>
  <c r="AJ22" i="9" s="1"/>
  <c r="N31" i="9"/>
  <c r="T27" i="9"/>
  <c r="AB27" i="9" s="1"/>
  <c r="AI27" i="9" s="1"/>
  <c r="V32" i="9"/>
  <c r="AD32" i="9" s="1"/>
  <c r="N34" i="9"/>
  <c r="W39" i="9" s="1"/>
  <c r="AE39" i="9" s="1"/>
  <c r="R28" i="9"/>
  <c r="Z28" i="9" s="1"/>
  <c r="AG28" i="9" s="1"/>
  <c r="AN28" i="9" s="1"/>
  <c r="AU28" i="9" s="1"/>
  <c r="BC28" i="9" s="1"/>
  <c r="R23" i="9"/>
  <c r="Z23" i="9" s="1"/>
  <c r="AG23" i="9" s="1"/>
  <c r="AN23" i="9" s="1"/>
  <c r="AU23" i="9" s="1"/>
  <c r="BC23" i="9" s="1"/>
  <c r="T25" i="9"/>
  <c r="AB25" i="9" s="1"/>
  <c r="AI25" i="9" s="1"/>
  <c r="AP25" i="9" s="1"/>
  <c r="AW25" i="9" s="1"/>
  <c r="V22" i="9"/>
  <c r="AD22" i="9" s="1"/>
  <c r="S26" i="9"/>
  <c r="AA26" i="9" s="1"/>
  <c r="R25" i="9"/>
  <c r="Z25" i="9" s="1"/>
  <c r="R20" i="9"/>
  <c r="Z20" i="9" s="1"/>
  <c r="U31" i="9"/>
  <c r="AC31" i="9" s="1"/>
  <c r="AJ31" i="9" s="1"/>
  <c r="S44" i="9"/>
  <c r="AA44" i="9" s="1"/>
  <c r="AH44" i="9" s="1"/>
  <c r="AO44" i="9" s="1"/>
  <c r="AV44" i="9" s="1"/>
  <c r="BD44" i="9" s="1"/>
  <c r="BC43" i="11"/>
  <c r="AU43" i="11"/>
  <c r="V45" i="9"/>
  <c r="AD45" i="9" s="1"/>
  <c r="AK45" i="9" s="1"/>
  <c r="AR45" i="9" s="1"/>
  <c r="AY45" i="9" s="1"/>
  <c r="U44" i="9"/>
  <c r="AC44" i="9" s="1"/>
  <c r="AJ44" i="9" s="1"/>
  <c r="BC39" i="11"/>
  <c r="AU39" i="11"/>
  <c r="BC34" i="11"/>
  <c r="AU34" i="11"/>
  <c r="BC36" i="11"/>
  <c r="AU36" i="11"/>
  <c r="BC42" i="11"/>
  <c r="AU42" i="11"/>
  <c r="BC19" i="11"/>
  <c r="AU19" i="11"/>
  <c r="BC27" i="11"/>
  <c r="AU27" i="11"/>
  <c r="BC22" i="11"/>
  <c r="AU22" i="11"/>
  <c r="BC33" i="11"/>
  <c r="AU33" i="11"/>
  <c r="BC23" i="11"/>
  <c r="AU23" i="11"/>
  <c r="BC26" i="11"/>
  <c r="AU26" i="11"/>
  <c r="BC28" i="11"/>
  <c r="AU28" i="11"/>
  <c r="BC35" i="11"/>
  <c r="AU35" i="11"/>
  <c r="BC29" i="11"/>
  <c r="AU29" i="11"/>
  <c r="BC40" i="11"/>
  <c r="AU40" i="11"/>
  <c r="BC25" i="11"/>
  <c r="AU25" i="11"/>
  <c r="BC38" i="11"/>
  <c r="AU38" i="11"/>
  <c r="BC15" i="11"/>
  <c r="AU15" i="11"/>
  <c r="BC32" i="11"/>
  <c r="AU32" i="11"/>
  <c r="BC21" i="11"/>
  <c r="AU21" i="11"/>
  <c r="BC30" i="11"/>
  <c r="AU30" i="11"/>
  <c r="BC14" i="11"/>
  <c r="AU14" i="11"/>
  <c r="BA14" i="11" s="1"/>
  <c r="BC17" i="11"/>
  <c r="AU17" i="11"/>
  <c r="BC41" i="11"/>
  <c r="AU41" i="11"/>
  <c r="BC18" i="11"/>
  <c r="AU18" i="11"/>
  <c r="BD15" i="11"/>
  <c r="AV15" i="11"/>
  <c r="BC37" i="11"/>
  <c r="AU37" i="11"/>
  <c r="BC20" i="11"/>
  <c r="AU20" i="11"/>
  <c r="BC16" i="11"/>
  <c r="AU16" i="11"/>
  <c r="BC31" i="11"/>
  <c r="AU31" i="11"/>
  <c r="BC24" i="11"/>
  <c r="AU24" i="11"/>
  <c r="R42" i="9"/>
  <c r="Z42" i="9" s="1"/>
  <c r="AG42" i="9" s="1"/>
  <c r="AN42" i="9" s="1"/>
  <c r="AU42" i="9" s="1"/>
  <c r="BC42" i="9" s="1"/>
  <c r="V46" i="9"/>
  <c r="AD46" i="9" s="1"/>
  <c r="AK46" i="9" s="1"/>
  <c r="AR46" i="9" s="1"/>
  <c r="AY46" i="9" s="1"/>
  <c r="T44" i="9"/>
  <c r="AB44" i="9" s="1"/>
  <c r="AI44" i="9" s="1"/>
  <c r="S43" i="9"/>
  <c r="U45" i="9"/>
  <c r="AC45" i="9" s="1"/>
  <c r="AJ45" i="9" s="1"/>
  <c r="BC45" i="11"/>
  <c r="AU45" i="11"/>
  <c r="BC47" i="11"/>
  <c r="AU47" i="11"/>
  <c r="BC46" i="11"/>
  <c r="AU46" i="11"/>
  <c r="BC48" i="11"/>
  <c r="AU48" i="11"/>
  <c r="CO24" i="2"/>
  <c r="DB24" i="2"/>
  <c r="CO25" i="2"/>
  <c r="DB25" i="2"/>
  <c r="CO42" i="2"/>
  <c r="DB42" i="2"/>
  <c r="CO29" i="2"/>
  <c r="DB29" i="2"/>
  <c r="CO35" i="2"/>
  <c r="DB35" i="2"/>
  <c r="CO32" i="2"/>
  <c r="DB32" i="2"/>
  <c r="CO37" i="2"/>
  <c r="DB37" i="2"/>
  <c r="CO36" i="2"/>
  <c r="DB36" i="2"/>
  <c r="CO45" i="2"/>
  <c r="DB45" i="2"/>
  <c r="CO40" i="2"/>
  <c r="DB40" i="2"/>
  <c r="CO27" i="2"/>
  <c r="DB27" i="2"/>
  <c r="CO48" i="2"/>
  <c r="DB48" i="2"/>
  <c r="CO43" i="2"/>
  <c r="DB43" i="2"/>
  <c r="CO28" i="2"/>
  <c r="DB28" i="2"/>
  <c r="CO34" i="2"/>
  <c r="DB34" i="2"/>
  <c r="CO26" i="2"/>
  <c r="DB26" i="2"/>
  <c r="CO41" i="2"/>
  <c r="DB41" i="2"/>
  <c r="CO44" i="2"/>
  <c r="DB44" i="2"/>
  <c r="CK20" i="2"/>
  <c r="CX20" i="2"/>
  <c r="CM31" i="2"/>
  <c r="CZ31" i="2"/>
  <c r="CN32" i="2"/>
  <c r="DA32" i="2"/>
  <c r="CL40" i="2"/>
  <c r="CY40" i="2"/>
  <c r="CK29" i="2"/>
  <c r="CX29" i="2"/>
  <c r="CK48" i="2"/>
  <c r="CX48" i="2"/>
  <c r="CK39" i="2"/>
  <c r="CX39" i="2"/>
  <c r="N45" i="9"/>
  <c r="N46" i="9"/>
  <c r="N47" i="9"/>
  <c r="N48" i="9"/>
  <c r="R48" i="9" s="1"/>
  <c r="Z48" i="9" s="1"/>
  <c r="AG48" i="9" s="1"/>
  <c r="AN48" i="9" s="1"/>
  <c r="AU48" i="9" s="1"/>
  <c r="BC48" i="9" s="1"/>
  <c r="CC14" i="2"/>
  <c r="CR14" i="2"/>
  <c r="DC14" i="2" s="1"/>
  <c r="CE14" i="2"/>
  <c r="CP14" i="2" s="1"/>
  <c r="CJ19" i="2"/>
  <c r="AU15" i="2"/>
  <c r="BG15" i="2" s="1"/>
  <c r="BS15" i="2" s="1"/>
  <c r="BX31" i="2"/>
  <c r="BX46" i="2"/>
  <c r="BX22" i="2"/>
  <c r="BX21" i="2"/>
  <c r="BX24" i="2"/>
  <c r="BX30" i="2"/>
  <c r="BX40" i="2"/>
  <c r="BX33" i="2"/>
  <c r="BX41" i="2"/>
  <c r="BX36" i="2"/>
  <c r="BX28" i="2"/>
  <c r="BX38" i="2"/>
  <c r="BX25" i="2"/>
  <c r="BX23" i="2"/>
  <c r="BX37" i="2"/>
  <c r="BX32" i="2"/>
  <c r="BX44" i="2"/>
  <c r="BX45" i="2"/>
  <c r="BX47" i="2"/>
  <c r="CA41" i="2"/>
  <c r="CA48" i="2"/>
  <c r="CA34" i="2"/>
  <c r="BY34" i="2"/>
  <c r="BZ43" i="2"/>
  <c r="BY37" i="2"/>
  <c r="BY24" i="2"/>
  <c r="BZ24" i="2"/>
  <c r="BZ23" i="2"/>
  <c r="BZ27" i="2"/>
  <c r="BY29" i="2"/>
  <c r="CA39" i="2"/>
  <c r="BY45" i="2"/>
  <c r="BZ26" i="2"/>
  <c r="BY31" i="2"/>
  <c r="CA25" i="2"/>
  <c r="BZ42" i="2"/>
  <c r="BY22" i="2"/>
  <c r="BY33" i="2"/>
  <c r="BY32" i="2"/>
  <c r="BZ32" i="2"/>
  <c r="CA23" i="2"/>
  <c r="BZ38" i="2"/>
  <c r="CA33" i="2"/>
  <c r="BY38" i="2"/>
  <c r="BZ22" i="2"/>
  <c r="BY46" i="2"/>
  <c r="BZ30" i="2"/>
  <c r="BZ34" i="2"/>
  <c r="BY42" i="2"/>
  <c r="CA47" i="2"/>
  <c r="BY25" i="2"/>
  <c r="BY41" i="2"/>
  <c r="BZ48" i="2"/>
  <c r="CA24" i="2"/>
  <c r="CA31" i="2"/>
  <c r="CA27" i="2"/>
  <c r="BZ40" i="2"/>
  <c r="BY26" i="2"/>
  <c r="BZ35" i="2"/>
  <c r="CA35" i="2"/>
  <c r="BZ25" i="2"/>
  <c r="BZ46" i="2"/>
  <c r="BY47" i="2"/>
  <c r="BZ41" i="2"/>
  <c r="BZ39" i="2"/>
  <c r="BY21" i="2"/>
  <c r="BZ33" i="2"/>
  <c r="CA28" i="2"/>
  <c r="CA44" i="2"/>
  <c r="CA43" i="2"/>
  <c r="BY39" i="2"/>
  <c r="BZ47" i="2"/>
  <c r="CA36" i="2"/>
  <c r="BY48" i="2"/>
  <c r="CA26" i="2"/>
  <c r="BY30" i="2"/>
  <c r="BY23" i="2"/>
  <c r="CA40" i="2"/>
  <c r="CA42" i="2"/>
  <c r="AN26" i="2"/>
  <c r="AZ26" i="2" s="1"/>
  <c r="BL26" i="2" s="1"/>
  <c r="AO27" i="2"/>
  <c r="BA27" i="2" s="1"/>
  <c r="BM27" i="2" s="1"/>
  <c r="AR30" i="2"/>
  <c r="BD30" i="2" s="1"/>
  <c r="BP30" i="2" s="1"/>
  <c r="CB30" i="2" s="1"/>
  <c r="AQ29" i="2"/>
  <c r="BC29" i="2" s="1"/>
  <c r="BO29" i="2" s="1"/>
  <c r="AP28" i="2"/>
  <c r="BB28" i="2" s="1"/>
  <c r="BN28" i="2" s="1"/>
  <c r="AP37" i="2"/>
  <c r="BB37" i="2" s="1"/>
  <c r="BN37" i="2" s="1"/>
  <c r="AN35" i="2"/>
  <c r="AZ35" i="2" s="1"/>
  <c r="BL35" i="2" s="1"/>
  <c r="AO36" i="2"/>
  <c r="BA36" i="2" s="1"/>
  <c r="BM36" i="2" s="1"/>
  <c r="AR39" i="2"/>
  <c r="BD39" i="2" s="1"/>
  <c r="BP39" i="2" s="1"/>
  <c r="CB39" i="2" s="1"/>
  <c r="AQ38" i="2"/>
  <c r="BC38" i="2" s="1"/>
  <c r="BO38" i="2" s="1"/>
  <c r="AN27" i="2"/>
  <c r="AZ27" i="2" s="1"/>
  <c r="BL27" i="2" s="1"/>
  <c r="AP29" i="2"/>
  <c r="BB29" i="2" s="1"/>
  <c r="BN29" i="2" s="1"/>
  <c r="AO28" i="2"/>
  <c r="BA28" i="2" s="1"/>
  <c r="BM28" i="2" s="1"/>
  <c r="AR31" i="2"/>
  <c r="BD31" i="2" s="1"/>
  <c r="BP31" i="2" s="1"/>
  <c r="CB31" i="2" s="1"/>
  <c r="AQ30" i="2"/>
  <c r="BC30" i="2" s="1"/>
  <c r="BO30" i="2" s="1"/>
  <c r="AN43" i="2"/>
  <c r="AZ43" i="2" s="1"/>
  <c r="BL43" i="2" s="1"/>
  <c r="AO44" i="2"/>
  <c r="BA44" i="2" s="1"/>
  <c r="BM44" i="2" s="1"/>
  <c r="AP45" i="2"/>
  <c r="BB45" i="2" s="1"/>
  <c r="BN45" i="2" s="1"/>
  <c r="AR47" i="2"/>
  <c r="BD47" i="2" s="1"/>
  <c r="BP47" i="2" s="1"/>
  <c r="CB47" i="2" s="1"/>
  <c r="AQ46" i="2"/>
  <c r="BC46" i="2" s="1"/>
  <c r="BO46" i="2" s="1"/>
  <c r="AN42" i="2"/>
  <c r="AZ42" i="2" s="1"/>
  <c r="BL42" i="2" s="1"/>
  <c r="AO43" i="2"/>
  <c r="BA43" i="2" s="1"/>
  <c r="BM43" i="2" s="1"/>
  <c r="AR46" i="2"/>
  <c r="BD46" i="2" s="1"/>
  <c r="BP46" i="2" s="1"/>
  <c r="CB46" i="2" s="1"/>
  <c r="AQ45" i="2"/>
  <c r="BC45" i="2" s="1"/>
  <c r="BO45" i="2" s="1"/>
  <c r="AP44" i="2"/>
  <c r="BB44" i="2" s="1"/>
  <c r="BN44" i="2" s="1"/>
  <c r="AN34" i="2"/>
  <c r="AZ34" i="2" s="1"/>
  <c r="BL34" i="2" s="1"/>
  <c r="AO35" i="2"/>
  <c r="BA35" i="2" s="1"/>
  <c r="BM35" i="2" s="1"/>
  <c r="AR38" i="2"/>
  <c r="BD38" i="2" s="1"/>
  <c r="BP38" i="2" s="1"/>
  <c r="CB38" i="2" s="1"/>
  <c r="AQ37" i="2"/>
  <c r="BC37" i="2" s="1"/>
  <c r="BO37" i="2" s="1"/>
  <c r="AP36" i="2"/>
  <c r="BB36" i="2" s="1"/>
  <c r="BN36" i="2" s="1"/>
  <c r="BD47" i="11"/>
  <c r="BH48" i="9"/>
  <c r="BP48" i="9"/>
  <c r="BD45" i="9"/>
  <c r="BL45" i="9"/>
  <c r="BG47" i="9"/>
  <c r="BO47" i="9"/>
  <c r="AK44" i="9"/>
  <c r="AR44" i="9" s="1"/>
  <c r="AY44" i="9" s="1"/>
  <c r="AK48" i="9"/>
  <c r="AR48" i="9" s="1"/>
  <c r="AY48" i="9" s="1"/>
  <c r="BG48" i="11"/>
  <c r="BF48" i="11"/>
  <c r="BE48" i="11"/>
  <c r="BD48" i="11"/>
  <c r="AS48" i="11"/>
  <c r="AJ47" i="9"/>
  <c r="AQ47" i="9" s="1"/>
  <c r="AX47" i="9" s="1"/>
  <c r="AP46" i="9"/>
  <c r="AW46" i="9" s="1"/>
  <c r="AY44" i="2"/>
  <c r="BK44" i="2" s="1"/>
  <c r="BW44" i="2" s="1"/>
  <c r="AY45" i="2"/>
  <c r="BK45" i="2" s="1"/>
  <c r="BW45" i="2" s="1"/>
  <c r="AY48" i="2"/>
  <c r="BK48" i="2" s="1"/>
  <c r="BW48" i="2" s="1"/>
  <c r="AY47" i="2"/>
  <c r="BK47" i="2" s="1"/>
  <c r="BW47" i="2" s="1"/>
  <c r="AY46" i="2"/>
  <c r="BK46" i="2" s="1"/>
  <c r="BW46" i="2" s="1"/>
  <c r="AX46" i="2"/>
  <c r="BJ46" i="2" s="1"/>
  <c r="BV46" i="2" s="1"/>
  <c r="AX45" i="2"/>
  <c r="BJ45" i="2" s="1"/>
  <c r="BV45" i="2" s="1"/>
  <c r="AX44" i="2"/>
  <c r="BJ44" i="2" s="1"/>
  <c r="BV44" i="2" s="1"/>
  <c r="AX47" i="2"/>
  <c r="BJ47" i="2" s="1"/>
  <c r="BV47" i="2" s="1"/>
  <c r="AX48" i="2"/>
  <c r="BJ48" i="2" s="1"/>
  <c r="BV48" i="2" s="1"/>
  <c r="AW48" i="2"/>
  <c r="BI48" i="2" s="1"/>
  <c r="BU48" i="2" s="1"/>
  <c r="AW47" i="2"/>
  <c r="BI47" i="2" s="1"/>
  <c r="BU47" i="2" s="1"/>
  <c r="AW46" i="2"/>
  <c r="BI46" i="2" s="1"/>
  <c r="BU46" i="2" s="1"/>
  <c r="AW45" i="2"/>
  <c r="BI45" i="2" s="1"/>
  <c r="BU45" i="2" s="1"/>
  <c r="AW44" i="2"/>
  <c r="BI44" i="2" s="1"/>
  <c r="BU44" i="2" s="1"/>
  <c r="AV46" i="2"/>
  <c r="BH46" i="2" s="1"/>
  <c r="BT46" i="2" s="1"/>
  <c r="AV45" i="2"/>
  <c r="BH45" i="2" s="1"/>
  <c r="BT45" i="2" s="1"/>
  <c r="AV44" i="2"/>
  <c r="BH44" i="2" s="1"/>
  <c r="BT44" i="2" s="1"/>
  <c r="AV48" i="2"/>
  <c r="BH48" i="2" s="1"/>
  <c r="BT48" i="2" s="1"/>
  <c r="AV47" i="2"/>
  <c r="BH47" i="2" s="1"/>
  <c r="BT47" i="2" s="1"/>
  <c r="AU45" i="2"/>
  <c r="BG45" i="2" s="1"/>
  <c r="BS45" i="2" s="1"/>
  <c r="AU44" i="2"/>
  <c r="BG44" i="2" s="1"/>
  <c r="BS44" i="2" s="1"/>
  <c r="AU48" i="2"/>
  <c r="BG48" i="2" s="1"/>
  <c r="BS48" i="2" s="1"/>
  <c r="AU47" i="2"/>
  <c r="BG47" i="2" s="1"/>
  <c r="BS47" i="2" s="1"/>
  <c r="AU46" i="2"/>
  <c r="BG46" i="2" s="1"/>
  <c r="BS46" i="2" s="1"/>
  <c r="AT15" i="2"/>
  <c r="BF15" i="2" s="1"/>
  <c r="AT44" i="2"/>
  <c r="BF44" i="2" s="1"/>
  <c r="BR44" i="2" s="1"/>
  <c r="AT45" i="2"/>
  <c r="BF45" i="2" s="1"/>
  <c r="BR45" i="2" s="1"/>
  <c r="AT47" i="2"/>
  <c r="BF47" i="2" s="1"/>
  <c r="BR47" i="2" s="1"/>
  <c r="AT46" i="2"/>
  <c r="BF46" i="2" s="1"/>
  <c r="BR46" i="2" s="1"/>
  <c r="AT48" i="2"/>
  <c r="BF48" i="2" s="1"/>
  <c r="BR48" i="2" s="1"/>
  <c r="AG44" i="9"/>
  <c r="AN44" i="9" s="1"/>
  <c r="AU44" i="9" s="1"/>
  <c r="BC44" i="9" s="1"/>
  <c r="V42" i="9"/>
  <c r="AD42" i="9" s="1"/>
  <c r="AK42" i="9" s="1"/>
  <c r="AR42" i="9" s="1"/>
  <c r="AY42" i="9" s="1"/>
  <c r="U43" i="9"/>
  <c r="AC43" i="9" s="1"/>
  <c r="AJ43" i="9" s="1"/>
  <c r="AQ43" i="9" s="1"/>
  <c r="AX43" i="9" s="1"/>
  <c r="BF43" i="9" s="1"/>
  <c r="W45" i="9"/>
  <c r="AE45" i="9" s="1"/>
  <c r="S30" i="9"/>
  <c r="AA30" i="9" s="1"/>
  <c r="AH30" i="9" s="1"/>
  <c r="AO30" i="9" s="1"/>
  <c r="AV30" i="9" s="1"/>
  <c r="S34" i="9"/>
  <c r="AA34" i="9" s="1"/>
  <c r="AH34" i="9" s="1"/>
  <c r="AO34" i="9" s="1"/>
  <c r="AV34" i="9" s="1"/>
  <c r="T29" i="9"/>
  <c r="AB29" i="9" s="1"/>
  <c r="AI29" i="9" s="1"/>
  <c r="T35" i="9"/>
  <c r="AB35" i="9" s="1"/>
  <c r="AI35" i="9" s="1"/>
  <c r="V19" i="9"/>
  <c r="AD19" i="9" s="1"/>
  <c r="AK19" i="9" s="1"/>
  <c r="AR19" i="9" s="1"/>
  <c r="AY19" i="9" s="1"/>
  <c r="V31" i="9"/>
  <c r="AD31" i="9" s="1"/>
  <c r="AK31" i="9" s="1"/>
  <c r="AR31" i="9" s="1"/>
  <c r="AY31" i="9" s="1"/>
  <c r="R16" i="9"/>
  <c r="Z16" i="9" s="1"/>
  <c r="AG16" i="9" s="1"/>
  <c r="AN16" i="9" s="1"/>
  <c r="AU16" i="9" s="1"/>
  <c r="BC16" i="9" s="1"/>
  <c r="R27" i="9"/>
  <c r="Z27" i="9" s="1"/>
  <c r="AG27" i="9" s="1"/>
  <c r="AN27" i="9" s="1"/>
  <c r="AU27" i="9" s="1"/>
  <c r="BC27" i="9" s="1"/>
  <c r="U30" i="9"/>
  <c r="AC30" i="9" s="1"/>
  <c r="AJ30" i="9" s="1"/>
  <c r="W33" i="9"/>
  <c r="AE33" i="9" s="1"/>
  <c r="AL33" i="9" s="1"/>
  <c r="AS33" i="9" s="1"/>
  <c r="AZ33" i="9" s="1"/>
  <c r="S42" i="9"/>
  <c r="AA42" i="9" s="1"/>
  <c r="AH42" i="9" s="1"/>
  <c r="AO42" i="9" s="1"/>
  <c r="AV42" i="9" s="1"/>
  <c r="W46" i="9"/>
  <c r="AE46" i="9" s="1"/>
  <c r="V21" i="9"/>
  <c r="AD21" i="9" s="1"/>
  <c r="AK21" i="9" s="1"/>
  <c r="AR21" i="9" s="1"/>
  <c r="AY21" i="9" s="1"/>
  <c r="T41" i="9"/>
  <c r="AB41" i="9" s="1"/>
  <c r="AI41" i="9" s="1"/>
  <c r="W44" i="9"/>
  <c r="AE44" i="9" s="1"/>
  <c r="S29" i="9"/>
  <c r="AA29" i="9" s="1"/>
  <c r="AH29" i="9" s="1"/>
  <c r="AO29" i="9" s="1"/>
  <c r="AV29" i="9" s="1"/>
  <c r="R22" i="9"/>
  <c r="Z22" i="9" s="1"/>
  <c r="AG22" i="9" s="1"/>
  <c r="AN22" i="9" s="1"/>
  <c r="AU22" i="9" s="1"/>
  <c r="BC22" i="9" s="1"/>
  <c r="W20" i="9"/>
  <c r="AE20" i="9" s="1"/>
  <c r="AL20" i="9" s="1"/>
  <c r="AS20" i="9" s="1"/>
  <c r="AZ20" i="9" s="1"/>
  <c r="AA43" i="9"/>
  <c r="AH43" i="9" s="1"/>
  <c r="AO43" i="9" s="1"/>
  <c r="AV43" i="9" s="1"/>
  <c r="W47" i="9"/>
  <c r="AE47" i="9" s="1"/>
  <c r="S25" i="9"/>
  <c r="AA25" i="9" s="1"/>
  <c r="AH25" i="9" s="1"/>
  <c r="AO25" i="9" s="1"/>
  <c r="AV25" i="9" s="1"/>
  <c r="T17" i="9"/>
  <c r="AB17" i="9" s="1"/>
  <c r="AI17" i="9" s="1"/>
  <c r="U18" i="9"/>
  <c r="AC18" i="9" s="1"/>
  <c r="AJ18" i="9" s="1"/>
  <c r="W27" i="9"/>
  <c r="AE27" i="9" s="1"/>
  <c r="AL27" i="9" s="1"/>
  <c r="AS27" i="9" s="1"/>
  <c r="AZ27" i="9" s="1"/>
  <c r="Z43" i="9"/>
  <c r="AG43" i="9" s="1"/>
  <c r="AN43" i="9" s="1"/>
  <c r="AU43" i="9" s="1"/>
  <c r="BC43" i="9" s="1"/>
  <c r="AB45" i="9"/>
  <c r="AI45" i="9" s="1"/>
  <c r="AC46" i="9"/>
  <c r="BG44" i="11"/>
  <c r="BG47" i="11"/>
  <c r="BD44" i="11"/>
  <c r="AS44" i="11"/>
  <c r="AS45" i="11"/>
  <c r="BF44" i="11"/>
  <c r="BG18" i="11"/>
  <c r="AS46" i="11"/>
  <c r="BF45" i="11"/>
  <c r="BE46" i="11"/>
  <c r="BF47" i="11"/>
  <c r="BE45" i="11"/>
  <c r="BE47" i="11"/>
  <c r="BE16" i="11"/>
  <c r="BG45" i="11"/>
  <c r="AS47" i="11"/>
  <c r="BD45" i="11"/>
  <c r="BF17" i="11"/>
  <c r="BE44" i="11"/>
  <c r="BF46" i="11"/>
  <c r="BH19" i="11"/>
  <c r="BI14" i="11"/>
  <c r="R29" i="9"/>
  <c r="Z29" i="9" s="1"/>
  <c r="AG29" i="9" s="1"/>
  <c r="AN29" i="9" s="1"/>
  <c r="AU29" i="9" s="1"/>
  <c r="BC29" i="9" s="1"/>
  <c r="U32" i="9"/>
  <c r="AC32" i="9" s="1"/>
  <c r="AJ32" i="9" s="1"/>
  <c r="AQ32" i="9" s="1"/>
  <c r="AX32" i="9" s="1"/>
  <c r="T31" i="9"/>
  <c r="AB31" i="9" s="1"/>
  <c r="AI31" i="9" s="1"/>
  <c r="U42" i="9"/>
  <c r="AC42" i="9" s="1"/>
  <c r="AJ42" i="9" s="1"/>
  <c r="W29" i="9"/>
  <c r="AE29" i="9" s="1"/>
  <c r="AL29" i="9" s="1"/>
  <c r="AS29" i="9" s="1"/>
  <c r="AZ29" i="9" s="1"/>
  <c r="S23" i="9"/>
  <c r="AA23" i="9" s="1"/>
  <c r="AH23" i="9" s="1"/>
  <c r="AO23" i="9" s="1"/>
  <c r="AV23" i="9" s="1"/>
  <c r="U25" i="9"/>
  <c r="AC25" i="9" s="1"/>
  <c r="AJ25" i="9" s="1"/>
  <c r="AQ25" i="9" s="1"/>
  <c r="AX25" i="9" s="1"/>
  <c r="T24" i="9"/>
  <c r="AB24" i="9" s="1"/>
  <c r="AI24" i="9" s="1"/>
  <c r="S37" i="9"/>
  <c r="AA37" i="9" s="1"/>
  <c r="AH37" i="9" s="1"/>
  <c r="AO37" i="9" s="1"/>
  <c r="AV37" i="9" s="1"/>
  <c r="U36" i="9"/>
  <c r="AC36" i="9" s="1"/>
  <c r="AJ36" i="9" s="1"/>
  <c r="V37" i="9"/>
  <c r="AD37" i="9" s="1"/>
  <c r="S18" i="9"/>
  <c r="AA18" i="9" s="1"/>
  <c r="AH18" i="9" s="1"/>
  <c r="AO18" i="9" s="1"/>
  <c r="AV18" i="9" s="1"/>
  <c r="V20" i="9"/>
  <c r="AD20" i="9" s="1"/>
  <c r="AQ19" i="9" s="1"/>
  <c r="AX19" i="9" s="1"/>
  <c r="T19" i="9"/>
  <c r="AB19" i="9" s="1"/>
  <c r="AI19" i="9" s="1"/>
  <c r="AP19" i="9" s="1"/>
  <c r="AW19" i="9" s="1"/>
  <c r="U34" i="9"/>
  <c r="AC34" i="9" s="1"/>
  <c r="AJ34" i="9" s="1"/>
  <c r="T34" i="9"/>
  <c r="AB34" i="9" s="1"/>
  <c r="AI34" i="9" s="1"/>
  <c r="R30" i="9"/>
  <c r="Z30" i="9" s="1"/>
  <c r="AG30" i="9" s="1"/>
  <c r="AN30" i="9" s="1"/>
  <c r="AU30" i="9" s="1"/>
  <c r="BC30" i="9" s="1"/>
  <c r="S17" i="9"/>
  <c r="AA17" i="9" s="1"/>
  <c r="AH17" i="9" s="1"/>
  <c r="AO17" i="9" s="1"/>
  <c r="AV17" i="9" s="1"/>
  <c r="T18" i="9"/>
  <c r="AB18" i="9" s="1"/>
  <c r="AI18" i="9" s="1"/>
  <c r="AP18" i="9" s="1"/>
  <c r="AW18" i="9" s="1"/>
  <c r="U33" i="9"/>
  <c r="AC33" i="9" s="1"/>
  <c r="AJ33" i="9" s="1"/>
  <c r="W35" i="9"/>
  <c r="AE35" i="9" s="1"/>
  <c r="AL35" i="9" s="1"/>
  <c r="AS35" i="9" s="1"/>
  <c r="AZ35" i="9" s="1"/>
  <c r="R26" i="9"/>
  <c r="Z26" i="9" s="1"/>
  <c r="AG26" i="9" s="1"/>
  <c r="AN26" i="9" s="1"/>
  <c r="AU26" i="9" s="1"/>
  <c r="BC26" i="9" s="1"/>
  <c r="S27" i="9"/>
  <c r="AA27" i="9" s="1"/>
  <c r="AH27" i="9" s="1"/>
  <c r="AO27" i="9" s="1"/>
  <c r="AV27" i="9" s="1"/>
  <c r="U29" i="9"/>
  <c r="AC29" i="9" s="1"/>
  <c r="AJ29" i="9" s="1"/>
  <c r="V30" i="9"/>
  <c r="AD30" i="9" s="1"/>
  <c r="AK30" i="9" s="1"/>
  <c r="AR30" i="9" s="1"/>
  <c r="AY30" i="9" s="1"/>
  <c r="W31" i="9"/>
  <c r="AE31" i="9" s="1"/>
  <c r="AL31" i="9" s="1"/>
  <c r="AS31" i="9" s="1"/>
  <c r="AZ31" i="9" s="1"/>
  <c r="T26" i="9"/>
  <c r="AB26" i="9" s="1"/>
  <c r="AI26" i="9" s="1"/>
  <c r="AP26" i="9" s="1"/>
  <c r="AW26" i="9" s="1"/>
  <c r="U37" i="9"/>
  <c r="AC37" i="9" s="1"/>
  <c r="AJ37" i="9" s="1"/>
  <c r="R34" i="9"/>
  <c r="Z34" i="9" s="1"/>
  <c r="AG34" i="9" s="1"/>
  <c r="AN34" i="9" s="1"/>
  <c r="AU34" i="9" s="1"/>
  <c r="BC34" i="9" s="1"/>
  <c r="S35" i="9"/>
  <c r="AA35" i="9" s="1"/>
  <c r="AH35" i="9" s="1"/>
  <c r="AO35" i="9" s="1"/>
  <c r="AV35" i="9" s="1"/>
  <c r="T36" i="9"/>
  <c r="AB36" i="9" s="1"/>
  <c r="AI36" i="9" s="1"/>
  <c r="V38" i="9"/>
  <c r="AD38" i="9" s="1"/>
  <c r="AK38" i="9" s="1"/>
  <c r="AR38" i="9" s="1"/>
  <c r="AY38" i="9" s="1"/>
  <c r="R17" i="9"/>
  <c r="Z17" i="9" s="1"/>
  <c r="AG17" i="9" s="1"/>
  <c r="AN17" i="9" s="1"/>
  <c r="AU17" i="9" s="1"/>
  <c r="BC17" i="9" s="1"/>
  <c r="W22" i="9"/>
  <c r="AE22" i="9" s="1"/>
  <c r="AL22" i="9" s="1"/>
  <c r="AS22" i="9" s="1"/>
  <c r="AZ22" i="9" s="1"/>
  <c r="T40" i="9"/>
  <c r="AB40" i="9" s="1"/>
  <c r="AI40" i="9" s="1"/>
  <c r="T42" i="9"/>
  <c r="AB42" i="9" s="1"/>
  <c r="AI42" i="9" s="1"/>
  <c r="S41" i="9"/>
  <c r="AA41" i="9" s="1"/>
  <c r="AH41" i="9" s="1"/>
  <c r="AO41" i="9" s="1"/>
  <c r="AV41" i="9" s="1"/>
  <c r="U41" i="9"/>
  <c r="AC41" i="9" s="1"/>
  <c r="AJ41" i="9" s="1"/>
  <c r="R40" i="9"/>
  <c r="Z40" i="9" s="1"/>
  <c r="AG40" i="9" s="1"/>
  <c r="AN40" i="9" s="1"/>
  <c r="AU40" i="9" s="1"/>
  <c r="BC40" i="9" s="1"/>
  <c r="V41" i="9"/>
  <c r="AD41" i="9" s="1"/>
  <c r="AK41" i="9" s="1"/>
  <c r="AR41" i="9" s="1"/>
  <c r="AY41" i="9" s="1"/>
  <c r="W43" i="9"/>
  <c r="AE43" i="9" s="1"/>
  <c r="AL43" i="9" s="1"/>
  <c r="AS43" i="9" s="1"/>
  <c r="AZ43" i="9" s="1"/>
  <c r="R38" i="9"/>
  <c r="Z38" i="9" s="1"/>
  <c r="AG38" i="9" s="1"/>
  <c r="AN38" i="9" s="1"/>
  <c r="AU38" i="9" s="1"/>
  <c r="BC38" i="9" s="1"/>
  <c r="S39" i="9"/>
  <c r="AA39" i="9" s="1"/>
  <c r="AH39" i="9" s="1"/>
  <c r="AO39" i="9" s="1"/>
  <c r="AV39" i="9" s="1"/>
  <c r="S40" i="9"/>
  <c r="AA40" i="9" s="1"/>
  <c r="AH40" i="9" s="1"/>
  <c r="AO40" i="9" s="1"/>
  <c r="AV40" i="9" s="1"/>
  <c r="R39" i="9"/>
  <c r="Z39" i="9" s="1"/>
  <c r="AG39" i="9" s="1"/>
  <c r="AN39" i="9" s="1"/>
  <c r="AU39" i="9" s="1"/>
  <c r="BC39" i="9" s="1"/>
  <c r="V43" i="9"/>
  <c r="AD43" i="9" s="1"/>
  <c r="M15" i="3"/>
  <c r="N15" i="3" s="1"/>
  <c r="K16" i="3"/>
  <c r="L16" i="3" s="1"/>
  <c r="AB16" i="9"/>
  <c r="AI16" i="9" s="1"/>
  <c r="AP16" i="9" s="1"/>
  <c r="AW16" i="9" s="1"/>
  <c r="S38" i="9"/>
  <c r="AA38" i="9" s="1"/>
  <c r="AH38" i="9" s="1"/>
  <c r="AO38" i="9" s="1"/>
  <c r="AV38" i="9" s="1"/>
  <c r="S36" i="9"/>
  <c r="AA36" i="9" s="1"/>
  <c r="AH36" i="9" s="1"/>
  <c r="AO36" i="9" s="1"/>
  <c r="AV36" i="9" s="1"/>
  <c r="R35" i="9"/>
  <c r="Z35" i="9" s="1"/>
  <c r="AG35" i="9" s="1"/>
  <c r="AN35" i="9" s="1"/>
  <c r="AU35" i="9" s="1"/>
  <c r="BC35" i="9" s="1"/>
  <c r="T39" i="9"/>
  <c r="AB39" i="9" s="1"/>
  <c r="AI39" i="9" s="1"/>
  <c r="U40" i="9"/>
  <c r="AC40" i="9" s="1"/>
  <c r="AJ40" i="9" s="1"/>
  <c r="W42" i="9"/>
  <c r="AE42" i="9" s="1"/>
  <c r="AL42" i="9" s="1"/>
  <c r="AS42" i="9" s="1"/>
  <c r="AZ42" i="9" s="1"/>
  <c r="T37" i="9"/>
  <c r="AB37" i="9" s="1"/>
  <c r="AI37" i="9" s="1"/>
  <c r="AP37" i="9" s="1"/>
  <c r="AW37" i="9" s="1"/>
  <c r="V39" i="9"/>
  <c r="AD39" i="9" s="1"/>
  <c r="AK39" i="9" s="1"/>
  <c r="AR39" i="9" s="1"/>
  <c r="AY39" i="9" s="1"/>
  <c r="W40" i="9"/>
  <c r="AE40" i="9" s="1"/>
  <c r="AL40" i="9" s="1"/>
  <c r="AS40" i="9" s="1"/>
  <c r="AZ40" i="9" s="1"/>
  <c r="AP30" i="9"/>
  <c r="AW30" i="9" s="1"/>
  <c r="AH29" i="2"/>
  <c r="AT29" i="2" s="1"/>
  <c r="AH28" i="2"/>
  <c r="AT28" i="2" s="1"/>
  <c r="AH20" i="2"/>
  <c r="AT20" i="2" s="1"/>
  <c r="AH36" i="2"/>
  <c r="AT36" i="2" s="1"/>
  <c r="R41" i="9"/>
  <c r="Z41" i="9" s="1"/>
  <c r="AG41" i="9" s="1"/>
  <c r="AN41" i="9" s="1"/>
  <c r="AU41" i="9" s="1"/>
  <c r="BC41" i="9" s="1"/>
  <c r="AH37" i="2"/>
  <c r="AT37" i="2" s="1"/>
  <c r="AH21" i="2"/>
  <c r="AT21" i="2" s="1"/>
  <c r="E21" i="3"/>
  <c r="T43" i="9"/>
  <c r="AB43" i="9" s="1"/>
  <c r="AI43" i="9" s="1"/>
  <c r="AP43" i="9" s="1"/>
  <c r="AW43" i="9" s="1"/>
  <c r="H31" i="12"/>
  <c r="I31" i="12" s="1"/>
  <c r="AQ31" i="9"/>
  <c r="AX31" i="9" s="1"/>
  <c r="AP21" i="9"/>
  <c r="AW21" i="9" s="1"/>
  <c r="AQ26" i="9"/>
  <c r="AX26" i="9" s="1"/>
  <c r="AP38" i="9"/>
  <c r="AW38" i="9" s="1"/>
  <c r="AP36" i="11"/>
  <c r="AX36" i="11" s="1"/>
  <c r="AN26" i="11"/>
  <c r="AV26" i="11" s="1"/>
  <c r="AP23" i="11"/>
  <c r="AX23" i="11" s="1"/>
  <c r="AN23" i="11"/>
  <c r="AV23" i="11" s="1"/>
  <c r="AQ37" i="11"/>
  <c r="AY37" i="11" s="1"/>
  <c r="AQ31" i="11"/>
  <c r="AY31" i="11" s="1"/>
  <c r="AR22" i="11"/>
  <c r="AZ22" i="11" s="1"/>
  <c r="AP39" i="11"/>
  <c r="AX39" i="11" s="1"/>
  <c r="AN20" i="11"/>
  <c r="AV20" i="11" s="1"/>
  <c r="AO31" i="11"/>
  <c r="AW31" i="11" s="1"/>
  <c r="AP30" i="11"/>
  <c r="AX30" i="11" s="1"/>
  <c r="AN43" i="11"/>
  <c r="AV43" i="11" s="1"/>
  <c r="AQ28" i="11"/>
  <c r="AY28" i="11" s="1"/>
  <c r="AN35" i="11"/>
  <c r="AV35" i="11" s="1"/>
  <c r="AN37" i="11"/>
  <c r="AV37" i="11" s="1"/>
  <c r="AP38" i="11"/>
  <c r="AX38" i="11" s="1"/>
  <c r="AQ22" i="11"/>
  <c r="AY22" i="11" s="1"/>
  <c r="AP26" i="11"/>
  <c r="AX26" i="11" s="1"/>
  <c r="AN29" i="11"/>
  <c r="AV29" i="11" s="1"/>
  <c r="AR23" i="11"/>
  <c r="AZ23" i="11" s="1"/>
  <c r="AO34" i="11"/>
  <c r="AW34" i="11" s="1"/>
  <c r="AQ25" i="11"/>
  <c r="AY25" i="11" s="1"/>
  <c r="AQ38" i="11"/>
  <c r="AY38" i="11" s="1"/>
  <c r="AP41" i="11"/>
  <c r="AX41" i="11" s="1"/>
  <c r="AR34" i="11"/>
  <c r="AZ34" i="11" s="1"/>
  <c r="AQ40" i="11"/>
  <c r="AY40" i="11" s="1"/>
  <c r="AQ21" i="11"/>
  <c r="AY21" i="11" s="1"/>
  <c r="AR37" i="11"/>
  <c r="AZ37" i="11" s="1"/>
  <c r="AQ32" i="11"/>
  <c r="AY32" i="11" s="1"/>
  <c r="AN30" i="11"/>
  <c r="AV30" i="11" s="1"/>
  <c r="AP43" i="11"/>
  <c r="AX43" i="11" s="1"/>
  <c r="AP35" i="11"/>
  <c r="AX35" i="11" s="1"/>
  <c r="AP27" i="11"/>
  <c r="AX27" i="11" s="1"/>
  <c r="AN17" i="11"/>
  <c r="AV17" i="11" s="1"/>
  <c r="AN24" i="11"/>
  <c r="AV24" i="11" s="1"/>
  <c r="AO36" i="11"/>
  <c r="AW36" i="11" s="1"/>
  <c r="AR40" i="11"/>
  <c r="AZ40" i="11" s="1"/>
  <c r="AR30" i="11"/>
  <c r="AZ30" i="11" s="1"/>
  <c r="AR38" i="11"/>
  <c r="AZ38" i="11" s="1"/>
  <c r="AQ24" i="11"/>
  <c r="AY24" i="11" s="1"/>
  <c r="AN16" i="11"/>
  <c r="AV16" i="11" s="1"/>
  <c r="AR25" i="11"/>
  <c r="AZ25" i="11" s="1"/>
  <c r="AO17" i="11"/>
  <c r="AW17" i="11" s="1"/>
  <c r="AP33" i="11"/>
  <c r="AX33" i="11" s="1"/>
  <c r="AR28" i="11"/>
  <c r="AZ28" i="11" s="1"/>
  <c r="AO24" i="11"/>
  <c r="AW24" i="11" s="1"/>
  <c r="AR26" i="11"/>
  <c r="AZ26" i="11" s="1"/>
  <c r="AO22" i="11"/>
  <c r="AW22" i="11" s="1"/>
  <c r="AQ19" i="11"/>
  <c r="AY19" i="11" s="1"/>
  <c r="AP28" i="11"/>
  <c r="AX28" i="11" s="1"/>
  <c r="AR35" i="11"/>
  <c r="AZ35" i="11" s="1"/>
  <c r="AO26" i="11"/>
  <c r="AW26" i="11" s="1"/>
  <c r="AR27" i="11"/>
  <c r="AZ27" i="11" s="1"/>
  <c r="AR21" i="11"/>
  <c r="AZ21" i="11" s="1"/>
  <c r="AO32" i="11"/>
  <c r="AW32" i="11" s="1"/>
  <c r="AR41" i="11"/>
  <c r="AZ41" i="11" s="1"/>
  <c r="AP18" i="11"/>
  <c r="AX18" i="11" s="1"/>
  <c r="AR33" i="11"/>
  <c r="AZ33" i="11" s="1"/>
  <c r="AN18" i="11"/>
  <c r="AV18" i="11" s="1"/>
  <c r="AP19" i="11"/>
  <c r="AX19" i="11" s="1"/>
  <c r="AP42" i="11"/>
  <c r="AX42" i="11" s="1"/>
  <c r="AP34" i="11"/>
  <c r="AX34" i="11" s="1"/>
  <c r="AR32" i="11"/>
  <c r="AZ32" i="11" s="1"/>
  <c r="AN28" i="11"/>
  <c r="AV28" i="11" s="1"/>
  <c r="AP40" i="11"/>
  <c r="AX40" i="11" s="1"/>
  <c r="AN25" i="11"/>
  <c r="AV25" i="11" s="1"/>
  <c r="AQ20" i="11"/>
  <c r="AY20" i="11" s="1"/>
  <c r="AR20" i="11"/>
  <c r="AZ20" i="11" s="1"/>
  <c r="AQ39" i="11"/>
  <c r="AY39" i="11" s="1"/>
  <c r="AR24" i="11"/>
  <c r="AZ24" i="11" s="1"/>
  <c r="AO20" i="11"/>
  <c r="AW20" i="11" s="1"/>
  <c r="AQ27" i="11"/>
  <c r="AY27" i="11" s="1"/>
  <c r="AP20" i="11"/>
  <c r="AX20" i="11" s="1"/>
  <c r="AO21" i="11"/>
  <c r="AW21" i="11" s="1"/>
  <c r="AQ43" i="11"/>
  <c r="AY43" i="11" s="1"/>
  <c r="AR31" i="11"/>
  <c r="AZ31" i="11" s="1"/>
  <c r="AO35" i="11"/>
  <c r="AW35" i="11" s="1"/>
  <c r="AN42" i="11"/>
  <c r="AV42" i="11" s="1"/>
  <c r="AO28" i="11"/>
  <c r="AW28" i="11" s="1"/>
  <c r="AQ34" i="11"/>
  <c r="AY34" i="11" s="1"/>
  <c r="AP31" i="11"/>
  <c r="AX31" i="11" s="1"/>
  <c r="AR39" i="11"/>
  <c r="AZ39" i="11" s="1"/>
  <c r="AO42" i="11"/>
  <c r="AW42" i="11" s="1"/>
  <c r="AO40" i="11"/>
  <c r="AW40" i="11" s="1"/>
  <c r="AN34" i="11"/>
  <c r="AV34" i="11" s="1"/>
  <c r="AQ30" i="11"/>
  <c r="AY30" i="11" s="1"/>
  <c r="AP24" i="11"/>
  <c r="AX24" i="11" s="1"/>
  <c r="AQ33" i="11"/>
  <c r="AY33" i="11" s="1"/>
  <c r="AO18" i="11"/>
  <c r="AW18" i="11" s="1"/>
  <c r="AO23" i="11"/>
  <c r="AW23" i="11" s="1"/>
  <c r="AO33" i="11"/>
  <c r="AW33" i="11" s="1"/>
  <c r="AQ26" i="11"/>
  <c r="AY26" i="11" s="1"/>
  <c r="AO38" i="11"/>
  <c r="AW38" i="11" s="1"/>
  <c r="AN19" i="11"/>
  <c r="AV19" i="11" s="1"/>
  <c r="AR36" i="11"/>
  <c r="AZ36" i="11" s="1"/>
  <c r="AQ36" i="11"/>
  <c r="AY36" i="11" s="1"/>
  <c r="AN33" i="11"/>
  <c r="AV33" i="11" s="1"/>
  <c r="AO19" i="11"/>
  <c r="AW19" i="11" s="1"/>
  <c r="AP32" i="11"/>
  <c r="AX32" i="11" s="1"/>
  <c r="AO27" i="11"/>
  <c r="AW27" i="11" s="1"/>
  <c r="AN41" i="11"/>
  <c r="AV41" i="11" s="1"/>
  <c r="AN39" i="11"/>
  <c r="AV39" i="11" s="1"/>
  <c r="AP25" i="11"/>
  <c r="AX25" i="11" s="1"/>
  <c r="AP22" i="11"/>
  <c r="AX22" i="11" s="1"/>
  <c r="AQ41" i="11"/>
  <c r="AY41" i="11" s="1"/>
  <c r="AR42" i="11"/>
  <c r="AZ42" i="11" s="1"/>
  <c r="AO25" i="11"/>
  <c r="AW25" i="11" s="1"/>
  <c r="AN21" i="11"/>
  <c r="AV21" i="11" s="1"/>
  <c r="AQ23" i="11"/>
  <c r="AY23" i="11" s="1"/>
  <c r="AO29" i="11"/>
  <c r="AW29" i="11" s="1"/>
  <c r="AN38" i="11"/>
  <c r="AV38" i="11" s="1"/>
  <c r="AQ42" i="11"/>
  <c r="AY42" i="11" s="1"/>
  <c r="AP29" i="11"/>
  <c r="AX29" i="11" s="1"/>
  <c r="AO39" i="11"/>
  <c r="AW39" i="11" s="1"/>
  <c r="AN36" i="11"/>
  <c r="AV36" i="11" s="1"/>
  <c r="AO37" i="11"/>
  <c r="AW37" i="11" s="1"/>
  <c r="AP37" i="11"/>
  <c r="AX37" i="11" s="1"/>
  <c r="AO30" i="11"/>
  <c r="AW30" i="11" s="1"/>
  <c r="AN27" i="11"/>
  <c r="AV27" i="11" s="1"/>
  <c r="AO43" i="11"/>
  <c r="AW43" i="11" s="1"/>
  <c r="AN31" i="11"/>
  <c r="AV31" i="11" s="1"/>
  <c r="AN40" i="11"/>
  <c r="AV40" i="11" s="1"/>
  <c r="AN32" i="11"/>
  <c r="AV32" i="11" s="1"/>
  <c r="AN22" i="11"/>
  <c r="AV22" i="11" s="1"/>
  <c r="AR29" i="11"/>
  <c r="AZ29" i="11" s="1"/>
  <c r="AQ29" i="11"/>
  <c r="AY29" i="11" s="1"/>
  <c r="AP21" i="11"/>
  <c r="AX21" i="11" s="1"/>
  <c r="AR43" i="11"/>
  <c r="AZ43" i="11" s="1"/>
  <c r="AQ35" i="11"/>
  <c r="AY35" i="11" s="1"/>
  <c r="AO41" i="11"/>
  <c r="AW41" i="11" s="1"/>
  <c r="AP20" i="9"/>
  <c r="AW20" i="9" s="1"/>
  <c r="AQ22" i="9"/>
  <c r="AX22" i="9" s="1"/>
  <c r="AQ23" i="9"/>
  <c r="AX23" i="9" s="1"/>
  <c r="AQ21" i="9"/>
  <c r="AX21" i="9" s="1"/>
  <c r="AG19" i="9"/>
  <c r="AN19" i="9" s="1"/>
  <c r="AU19" i="9" s="1"/>
  <c r="BC19" i="9" s="1"/>
  <c r="AG21" i="9"/>
  <c r="AN21" i="9" s="1"/>
  <c r="AU21" i="9" s="1"/>
  <c r="BC21" i="9" s="1"/>
  <c r="AG24" i="9"/>
  <c r="AN24" i="9" s="1"/>
  <c r="AU24" i="9" s="1"/>
  <c r="BC24" i="9" s="1"/>
  <c r="AG36" i="9"/>
  <c r="AN36" i="9" s="1"/>
  <c r="AU36" i="9" s="1"/>
  <c r="BC36" i="9" s="1"/>
  <c r="AG37" i="9"/>
  <c r="AN37" i="9" s="1"/>
  <c r="AU37" i="9" s="1"/>
  <c r="BC37" i="9" s="1"/>
  <c r="AG20" i="9"/>
  <c r="AN20" i="9" s="1"/>
  <c r="AU20" i="9" s="1"/>
  <c r="BC20" i="9" s="1"/>
  <c r="AG15" i="9"/>
  <c r="AN15" i="9" s="1"/>
  <c r="AU15" i="9" s="1"/>
  <c r="BC15" i="9" s="1"/>
  <c r="AG18" i="9"/>
  <c r="AN18" i="9" s="1"/>
  <c r="AU18" i="9" s="1"/>
  <c r="BC18" i="9" s="1"/>
  <c r="AG25" i="9"/>
  <c r="AN25" i="9" s="1"/>
  <c r="AU25" i="9" s="1"/>
  <c r="BC25" i="9" s="1"/>
  <c r="AG14" i="9"/>
  <c r="AN14" i="9" s="1"/>
  <c r="AU14" i="9" s="1"/>
  <c r="BC14" i="9" s="1"/>
  <c r="AG32" i="9"/>
  <c r="AN32" i="9" s="1"/>
  <c r="AU32" i="9" s="1"/>
  <c r="BC32" i="9" s="1"/>
  <c r="AL28" i="9"/>
  <c r="AS28" i="9" s="1"/>
  <c r="AZ28" i="9" s="1"/>
  <c r="AL21" i="9"/>
  <c r="AS21" i="9" s="1"/>
  <c r="AZ21" i="9" s="1"/>
  <c r="AL19" i="9"/>
  <c r="AS19" i="9" s="1"/>
  <c r="AZ19" i="9" s="1"/>
  <c r="AL34" i="9"/>
  <c r="AS34" i="9" s="1"/>
  <c r="AZ34" i="9" s="1"/>
  <c r="AL38" i="9"/>
  <c r="AS38" i="9" s="1"/>
  <c r="AZ38" i="9" s="1"/>
  <c r="AL26" i="9"/>
  <c r="AS26" i="9" s="1"/>
  <c r="AZ26" i="9" s="1"/>
  <c r="AL30" i="9"/>
  <c r="AS30" i="9" s="1"/>
  <c r="AZ30" i="9" s="1"/>
  <c r="AL41" i="9"/>
  <c r="AS41" i="9" s="1"/>
  <c r="AZ41" i="9" s="1"/>
  <c r="AL24" i="9"/>
  <c r="AS24" i="9" s="1"/>
  <c r="AZ24" i="9" s="1"/>
  <c r="AL25" i="9"/>
  <c r="AS25" i="9" s="1"/>
  <c r="AZ25" i="9" s="1"/>
  <c r="AL37" i="9"/>
  <c r="AS37" i="9" s="1"/>
  <c r="AZ37" i="9" s="1"/>
  <c r="AL39" i="9"/>
  <c r="AS39" i="9" s="1"/>
  <c r="AZ39" i="9" s="1"/>
  <c r="AL32" i="9"/>
  <c r="AS32" i="9" s="1"/>
  <c r="AZ32" i="9" s="1"/>
  <c r="AL23" i="9"/>
  <c r="AS23" i="9" s="1"/>
  <c r="AZ23" i="9" s="1"/>
  <c r="AK18" i="9"/>
  <c r="AR18" i="9" s="1"/>
  <c r="AY18" i="9" s="1"/>
  <c r="AK29" i="9"/>
  <c r="AR29" i="9" s="1"/>
  <c r="AY29" i="9" s="1"/>
  <c r="AK33" i="9"/>
  <c r="AR33" i="9" s="1"/>
  <c r="AY33" i="9" s="1"/>
  <c r="AK22" i="9"/>
  <c r="AR22" i="9" s="1"/>
  <c r="AY22" i="9" s="1"/>
  <c r="AQ27" i="9"/>
  <c r="AX27" i="9" s="1"/>
  <c r="AQ24" i="9"/>
  <c r="AX24" i="9" s="1"/>
  <c r="AK24" i="9"/>
  <c r="AR24" i="9" s="1"/>
  <c r="AY24" i="9" s="1"/>
  <c r="AQ39" i="9"/>
  <c r="AX39" i="9" s="1"/>
  <c r="AK27" i="9"/>
  <c r="AR27" i="9" s="1"/>
  <c r="AY27" i="9" s="1"/>
  <c r="AK23" i="9"/>
  <c r="AR23" i="9" s="1"/>
  <c r="AY23" i="9" s="1"/>
  <c r="AK26" i="9"/>
  <c r="AR26" i="9" s="1"/>
  <c r="AY26" i="9" s="1"/>
  <c r="AK28" i="9"/>
  <c r="AR28" i="9" s="1"/>
  <c r="AY28" i="9" s="1"/>
  <c r="AQ17" i="9"/>
  <c r="AX17" i="9" s="1"/>
  <c r="AK25" i="9"/>
  <c r="AR25" i="9" s="1"/>
  <c r="AY25" i="9" s="1"/>
  <c r="AK40" i="9"/>
  <c r="AR40" i="9" s="1"/>
  <c r="AY40" i="9" s="1"/>
  <c r="AK32" i="9"/>
  <c r="AR32" i="9" s="1"/>
  <c r="AY32" i="9" s="1"/>
  <c r="AP23" i="9"/>
  <c r="AW23" i="9" s="1"/>
  <c r="AH24" i="9"/>
  <c r="AO24" i="9" s="1"/>
  <c r="AV24" i="9" s="1"/>
  <c r="AH28" i="9"/>
  <c r="AO28" i="9" s="1"/>
  <c r="AV28" i="9" s="1"/>
  <c r="AH26" i="9"/>
  <c r="AO26" i="9" s="1"/>
  <c r="AV26" i="9" s="1"/>
  <c r="AH16" i="9"/>
  <c r="AO16" i="9" s="1"/>
  <c r="AV16" i="9" s="1"/>
  <c r="AH22" i="9"/>
  <c r="AO22" i="9" s="1"/>
  <c r="AV22" i="9" s="1"/>
  <c r="AH20" i="9"/>
  <c r="AO20" i="9" s="1"/>
  <c r="AV20" i="9" s="1"/>
  <c r="AH21" i="9"/>
  <c r="AO21" i="9" s="1"/>
  <c r="AV21" i="9" s="1"/>
  <c r="AH19" i="9"/>
  <c r="AO19" i="9" s="1"/>
  <c r="AV19" i="9" s="1"/>
  <c r="AH33" i="9"/>
  <c r="AO33" i="9" s="1"/>
  <c r="AV33" i="9" s="1"/>
  <c r="AH15" i="9"/>
  <c r="AO15" i="9" s="1"/>
  <c r="AV15" i="9" s="1"/>
  <c r="AM41" i="2"/>
  <c r="AY41" i="2" s="1"/>
  <c r="AK39" i="2"/>
  <c r="AW39" i="2" s="1"/>
  <c r="AJ38" i="2"/>
  <c r="AV38" i="2" s="1"/>
  <c r="AI37" i="2"/>
  <c r="AU37" i="2" s="1"/>
  <c r="AL40" i="2"/>
  <c r="AX40" i="2" s="1"/>
  <c r="AJ31" i="2"/>
  <c r="AV31" i="2" s="1"/>
  <c r="AM34" i="2"/>
  <c r="AY34" i="2" s="1"/>
  <c r="AL33" i="2"/>
  <c r="AX33" i="2" s="1"/>
  <c r="AI30" i="2"/>
  <c r="AU30" i="2" s="1"/>
  <c r="AK32" i="2"/>
  <c r="AW32" i="2" s="1"/>
  <c r="AJ22" i="2"/>
  <c r="AV22" i="2" s="1"/>
  <c r="AM25" i="2"/>
  <c r="AY25" i="2" s="1"/>
  <c r="AL24" i="2"/>
  <c r="AX24" i="2" s="1"/>
  <c r="AI21" i="2"/>
  <c r="AU21" i="2" s="1"/>
  <c r="AK23" i="2"/>
  <c r="AW23" i="2" s="1"/>
  <c r="AJ39" i="2"/>
  <c r="AV39" i="2" s="1"/>
  <c r="AM42" i="2"/>
  <c r="AY42" i="2" s="1"/>
  <c r="AL41" i="2"/>
  <c r="AX41" i="2" s="1"/>
  <c r="AI38" i="2"/>
  <c r="AU38" i="2" s="1"/>
  <c r="AK40" i="2"/>
  <c r="AW40" i="2" s="1"/>
  <c r="AJ23" i="2"/>
  <c r="AM26" i="2"/>
  <c r="AY26" i="2" s="1"/>
  <c r="AL25" i="2"/>
  <c r="AX25" i="2" s="1"/>
  <c r="AI22" i="2"/>
  <c r="AU22" i="2" s="1"/>
  <c r="AK24" i="2"/>
  <c r="AW24" i="2" s="1"/>
  <c r="AJ30" i="2"/>
  <c r="AV30" i="2" s="1"/>
  <c r="AM33" i="2"/>
  <c r="AY33" i="2" s="1"/>
  <c r="AL32" i="2"/>
  <c r="AX32" i="2" s="1"/>
  <c r="AI29" i="2"/>
  <c r="AU29" i="2" s="1"/>
  <c r="AK31" i="2"/>
  <c r="AW31" i="2" s="1"/>
  <c r="AQ35" i="9" l="1"/>
  <c r="AX35" i="9" s="1"/>
  <c r="E4" i="6"/>
  <c r="F3" i="6"/>
  <c r="BL44" i="9"/>
  <c r="S31" i="9"/>
  <c r="AA31" i="9" s="1"/>
  <c r="AH31" i="9" s="1"/>
  <c r="AO31" i="9" s="1"/>
  <c r="AV31" i="9" s="1"/>
  <c r="T32" i="9"/>
  <c r="AB32" i="9" s="1"/>
  <c r="AI32" i="9" s="1"/>
  <c r="V34" i="9"/>
  <c r="AD34" i="9" s="1"/>
  <c r="AK34" i="9" s="1"/>
  <c r="AR34" i="9" s="1"/>
  <c r="AY34" i="9" s="1"/>
  <c r="AK36" i="9"/>
  <c r="AR36" i="9" s="1"/>
  <c r="AY36" i="9" s="1"/>
  <c r="AQ33" i="9"/>
  <c r="AX33" i="9" s="1"/>
  <c r="BN33" i="9" s="1"/>
  <c r="AP34" i="9"/>
  <c r="AW34" i="9" s="1"/>
  <c r="T33" i="9"/>
  <c r="AB33" i="9" s="1"/>
  <c r="AI33" i="9" s="1"/>
  <c r="AP33" i="9" s="1"/>
  <c r="AW33" i="9" s="1"/>
  <c r="BE33" i="9" s="1"/>
  <c r="V35" i="9"/>
  <c r="AD35" i="9" s="1"/>
  <c r="AK35" i="9" s="1"/>
  <c r="AR35" i="9" s="1"/>
  <c r="AY35" i="9" s="1"/>
  <c r="R31" i="9"/>
  <c r="Z31" i="9" s="1"/>
  <c r="AG31" i="9" s="1"/>
  <c r="AN31" i="9" s="1"/>
  <c r="AU31" i="9" s="1"/>
  <c r="BC31" i="9" s="1"/>
  <c r="W36" i="9"/>
  <c r="AE36" i="9" s="1"/>
  <c r="AL36" i="9" s="1"/>
  <c r="AS36" i="9" s="1"/>
  <c r="AZ36" i="9" s="1"/>
  <c r="S32" i="9"/>
  <c r="AA32" i="9" s="1"/>
  <c r="AH32" i="9" s="1"/>
  <c r="AO32" i="9" s="1"/>
  <c r="AV32" i="9" s="1"/>
  <c r="AP27" i="9"/>
  <c r="AW27" i="9" s="1"/>
  <c r="AQ34" i="9"/>
  <c r="AX34" i="9" s="1"/>
  <c r="AQ41" i="9"/>
  <c r="AX41" i="9" s="1"/>
  <c r="AP32" i="9"/>
  <c r="AW32" i="9" s="1"/>
  <c r="BE32" i="9" s="1"/>
  <c r="AQ45" i="9"/>
  <c r="AX45" i="9" s="1"/>
  <c r="AP44" i="9"/>
  <c r="AW44" i="9" s="1"/>
  <c r="AQ44" i="9"/>
  <c r="AX44" i="9" s="1"/>
  <c r="CO38" i="2"/>
  <c r="DB38" i="2"/>
  <c r="CO46" i="2"/>
  <c r="DB46" i="2"/>
  <c r="CO47" i="2"/>
  <c r="DB47" i="2"/>
  <c r="CO31" i="2"/>
  <c r="DB31" i="2"/>
  <c r="CO39" i="2"/>
  <c r="DB39" i="2"/>
  <c r="CO30" i="2"/>
  <c r="DB30" i="2"/>
  <c r="CN42" i="2"/>
  <c r="DA42" i="2"/>
  <c r="CN40" i="2"/>
  <c r="DA40" i="2"/>
  <c r="CL23" i="2"/>
  <c r="CY23" i="2"/>
  <c r="CL30" i="2"/>
  <c r="CY30" i="2"/>
  <c r="CN26" i="2"/>
  <c r="DA26" i="2"/>
  <c r="CL48" i="2"/>
  <c r="CY48" i="2"/>
  <c r="CN36" i="2"/>
  <c r="DA36" i="2"/>
  <c r="CM47" i="2"/>
  <c r="CZ47" i="2"/>
  <c r="CL39" i="2"/>
  <c r="CY39" i="2"/>
  <c r="CN43" i="2"/>
  <c r="DA43" i="2"/>
  <c r="CN44" i="2"/>
  <c r="DA44" i="2"/>
  <c r="CN28" i="2"/>
  <c r="DA28" i="2"/>
  <c r="CM33" i="2"/>
  <c r="CZ33" i="2"/>
  <c r="CL21" i="2"/>
  <c r="CY21" i="2"/>
  <c r="CM39" i="2"/>
  <c r="CZ39" i="2"/>
  <c r="CM41" i="2"/>
  <c r="CZ41" i="2"/>
  <c r="CL47" i="2"/>
  <c r="CY47" i="2"/>
  <c r="CM46" i="2"/>
  <c r="CZ46" i="2"/>
  <c r="CM25" i="2"/>
  <c r="CZ25" i="2"/>
  <c r="CN35" i="2"/>
  <c r="DA35" i="2"/>
  <c r="CM35" i="2"/>
  <c r="CZ35" i="2"/>
  <c r="CL26" i="2"/>
  <c r="CY26" i="2"/>
  <c r="CM40" i="2"/>
  <c r="CZ40" i="2"/>
  <c r="CN27" i="2"/>
  <c r="DA27" i="2"/>
  <c r="CN31" i="2"/>
  <c r="DA31" i="2"/>
  <c r="CN24" i="2"/>
  <c r="DA24" i="2"/>
  <c r="CM48" i="2"/>
  <c r="CZ48" i="2"/>
  <c r="CL41" i="2"/>
  <c r="CY41" i="2"/>
  <c r="CL25" i="2"/>
  <c r="CY25" i="2"/>
  <c r="CN47" i="2"/>
  <c r="DA47" i="2"/>
  <c r="CL42" i="2"/>
  <c r="CY42" i="2"/>
  <c r="CM34" i="2"/>
  <c r="CZ34" i="2"/>
  <c r="CM30" i="2"/>
  <c r="CZ30" i="2"/>
  <c r="CL46" i="2"/>
  <c r="CY46" i="2"/>
  <c r="CM22" i="2"/>
  <c r="CZ22" i="2"/>
  <c r="CL38" i="2"/>
  <c r="CY38" i="2"/>
  <c r="CN33" i="2"/>
  <c r="DA33" i="2"/>
  <c r="CM38" i="2"/>
  <c r="CZ38" i="2"/>
  <c r="CN23" i="2"/>
  <c r="DA23" i="2"/>
  <c r="CM32" i="2"/>
  <c r="CZ32" i="2"/>
  <c r="CL32" i="2"/>
  <c r="CY32" i="2"/>
  <c r="CL33" i="2"/>
  <c r="CY33" i="2"/>
  <c r="CL22" i="2"/>
  <c r="CY22" i="2"/>
  <c r="CM42" i="2"/>
  <c r="CZ42" i="2"/>
  <c r="CN25" i="2"/>
  <c r="DA25" i="2"/>
  <c r="CL31" i="2"/>
  <c r="CY31" i="2"/>
  <c r="CM26" i="2"/>
  <c r="CZ26" i="2"/>
  <c r="CL45" i="2"/>
  <c r="CY45" i="2"/>
  <c r="CN39" i="2"/>
  <c r="DA39" i="2"/>
  <c r="CL29" i="2"/>
  <c r="CY29" i="2"/>
  <c r="CM27" i="2"/>
  <c r="CZ27" i="2"/>
  <c r="CM23" i="2"/>
  <c r="CZ23" i="2"/>
  <c r="CM24" i="2"/>
  <c r="CZ24" i="2"/>
  <c r="CL24" i="2"/>
  <c r="CY24" i="2"/>
  <c r="CL37" i="2"/>
  <c r="CY37" i="2"/>
  <c r="CM43" i="2"/>
  <c r="CZ43" i="2"/>
  <c r="CL34" i="2"/>
  <c r="CY34" i="2"/>
  <c r="CN34" i="2"/>
  <c r="DA34" i="2"/>
  <c r="CN48" i="2"/>
  <c r="DA48" i="2"/>
  <c r="CN41" i="2"/>
  <c r="DA41" i="2"/>
  <c r="CK47" i="2"/>
  <c r="CX47" i="2"/>
  <c r="CK45" i="2"/>
  <c r="CX45" i="2"/>
  <c r="CK44" i="2"/>
  <c r="CX44" i="2"/>
  <c r="CK32" i="2"/>
  <c r="CX32" i="2"/>
  <c r="CK37" i="2"/>
  <c r="CX37" i="2"/>
  <c r="CK23" i="2"/>
  <c r="CX23" i="2"/>
  <c r="CK25" i="2"/>
  <c r="CX25" i="2"/>
  <c r="CK38" i="2"/>
  <c r="CX38" i="2"/>
  <c r="CK28" i="2"/>
  <c r="CX28" i="2"/>
  <c r="CK36" i="2"/>
  <c r="CX36" i="2"/>
  <c r="CK41" i="2"/>
  <c r="CX41" i="2"/>
  <c r="CK33" i="2"/>
  <c r="CX33" i="2"/>
  <c r="CK40" i="2"/>
  <c r="CX40" i="2"/>
  <c r="CK30" i="2"/>
  <c r="CX30" i="2"/>
  <c r="CK24" i="2"/>
  <c r="CX24" i="2"/>
  <c r="CK21" i="2"/>
  <c r="CX21" i="2"/>
  <c r="CK22" i="2"/>
  <c r="CX22" i="2"/>
  <c r="CK46" i="2"/>
  <c r="CX46" i="2"/>
  <c r="CK31" i="2"/>
  <c r="CX31" i="2"/>
  <c r="DE14" i="2"/>
  <c r="S48" i="9"/>
  <c r="AA48" i="9" s="1"/>
  <c r="AH48" i="9" s="1"/>
  <c r="AO48" i="9" s="1"/>
  <c r="AV48" i="9" s="1"/>
  <c r="BL48" i="9" s="1"/>
  <c r="R47" i="9"/>
  <c r="Z47" i="9" s="1"/>
  <c r="AG47" i="9" s="1"/>
  <c r="AN47" i="9" s="1"/>
  <c r="AU47" i="9" s="1"/>
  <c r="BC47" i="9" s="1"/>
  <c r="T48" i="9"/>
  <c r="AB48" i="9" s="1"/>
  <c r="AI48" i="9" s="1"/>
  <c r="AP48" i="9" s="1"/>
  <c r="AW48" i="9" s="1"/>
  <c r="S47" i="9"/>
  <c r="AA47" i="9" s="1"/>
  <c r="AH47" i="9" s="1"/>
  <c r="AO47" i="9" s="1"/>
  <c r="AV47" i="9" s="1"/>
  <c r="BD47" i="9" s="1"/>
  <c r="R46" i="9"/>
  <c r="Z46" i="9" s="1"/>
  <c r="T47" i="9"/>
  <c r="AB47" i="9" s="1"/>
  <c r="AI47" i="9" s="1"/>
  <c r="S46" i="9"/>
  <c r="AA46" i="9" s="1"/>
  <c r="AH46" i="9" s="1"/>
  <c r="AO46" i="9" s="1"/>
  <c r="AV46" i="9" s="1"/>
  <c r="R45" i="9"/>
  <c r="Z45" i="9" s="1"/>
  <c r="AG45" i="9" s="1"/>
  <c r="AN45" i="9" s="1"/>
  <c r="AU45" i="9" s="1"/>
  <c r="BC45" i="9" s="1"/>
  <c r="U48" i="9"/>
  <c r="AC48" i="9" s="1"/>
  <c r="CE45" i="2"/>
  <c r="CR45" i="2"/>
  <c r="CV48" i="2"/>
  <c r="CI48" i="2"/>
  <c r="CS46" i="2"/>
  <c r="CF46" i="2"/>
  <c r="CT45" i="2"/>
  <c r="CG45" i="2"/>
  <c r="CV47" i="2"/>
  <c r="CI47" i="2"/>
  <c r="CW44" i="2"/>
  <c r="CJ44" i="2"/>
  <c r="CT47" i="2"/>
  <c r="CG47" i="2"/>
  <c r="CT48" i="2"/>
  <c r="CG48" i="2"/>
  <c r="CS47" i="2"/>
  <c r="CF47" i="2"/>
  <c r="CT46" i="2"/>
  <c r="CG46" i="2"/>
  <c r="CV44" i="2"/>
  <c r="CI44" i="2"/>
  <c r="CE44" i="2"/>
  <c r="CR44" i="2"/>
  <c r="CT44" i="2"/>
  <c r="CG44" i="2"/>
  <c r="CR48" i="2"/>
  <c r="CE48" i="2"/>
  <c r="CF48" i="2"/>
  <c r="CS48" i="2"/>
  <c r="CH44" i="2"/>
  <c r="CU44" i="2"/>
  <c r="CV45" i="2"/>
  <c r="CI45" i="2"/>
  <c r="CW47" i="2"/>
  <c r="CJ47" i="2"/>
  <c r="CW48" i="2"/>
  <c r="CJ48" i="2"/>
  <c r="CW45" i="2"/>
  <c r="CJ45" i="2"/>
  <c r="CE46" i="2"/>
  <c r="CR46" i="2"/>
  <c r="CS44" i="2"/>
  <c r="CF44" i="2"/>
  <c r="CU45" i="2"/>
  <c r="CH45" i="2"/>
  <c r="CV46" i="2"/>
  <c r="CI46" i="2"/>
  <c r="CU47" i="2"/>
  <c r="CH47" i="2"/>
  <c r="CU48" i="2"/>
  <c r="CH48" i="2"/>
  <c r="CF15" i="2"/>
  <c r="CS15" i="2"/>
  <c r="CR47" i="2"/>
  <c r="CE47" i="2"/>
  <c r="CS45" i="2"/>
  <c r="CF45" i="2"/>
  <c r="CU46" i="2"/>
  <c r="CH46" i="2"/>
  <c r="CW46" i="2"/>
  <c r="CJ46" i="2"/>
  <c r="BX42" i="2"/>
  <c r="BX34" i="2"/>
  <c r="BX26" i="2"/>
  <c r="BX43" i="2"/>
  <c r="BX35" i="2"/>
  <c r="BX27" i="2"/>
  <c r="BZ45" i="2"/>
  <c r="BY27" i="2"/>
  <c r="BY44" i="2"/>
  <c r="CA45" i="2"/>
  <c r="BY36" i="2"/>
  <c r="CA38" i="2"/>
  <c r="BZ44" i="2"/>
  <c r="CA30" i="2"/>
  <c r="BY43" i="2"/>
  <c r="BZ37" i="2"/>
  <c r="BY28" i="2"/>
  <c r="CA46" i="2"/>
  <c r="DA46" i="2" s="1"/>
  <c r="BZ29" i="2"/>
  <c r="CA29" i="2"/>
  <c r="BZ36" i="2"/>
  <c r="CA37" i="2"/>
  <c r="BZ28" i="2"/>
  <c r="BY35" i="2"/>
  <c r="CC48" i="2"/>
  <c r="CC47" i="2"/>
  <c r="AV23" i="2"/>
  <c r="BH23" i="2" s="1"/>
  <c r="AQ36" i="9"/>
  <c r="AX36" i="9" s="1"/>
  <c r="BN36" i="9" s="1"/>
  <c r="AP17" i="9"/>
  <c r="AW17" i="9" s="1"/>
  <c r="BM17" i="9" s="1"/>
  <c r="AP35" i="9"/>
  <c r="AW35" i="9" s="1"/>
  <c r="BG48" i="9"/>
  <c r="BO48" i="9"/>
  <c r="BG44" i="9"/>
  <c r="BO44" i="9"/>
  <c r="BK48" i="9"/>
  <c r="BG45" i="9"/>
  <c r="BO45" i="9"/>
  <c r="AL46" i="9"/>
  <c r="AS46" i="9" s="1"/>
  <c r="AZ46" i="9" s="1"/>
  <c r="BO46" i="9"/>
  <c r="BG46" i="9"/>
  <c r="AL47" i="9"/>
  <c r="AS47" i="9" s="1"/>
  <c r="AZ47" i="9" s="1"/>
  <c r="AQ20" i="9"/>
  <c r="AX20" i="9" s="1"/>
  <c r="BN20" i="9" s="1"/>
  <c r="AQ30" i="9"/>
  <c r="AX30" i="9" s="1"/>
  <c r="BF30" i="9" s="1"/>
  <c r="AL44" i="9"/>
  <c r="AS44" i="9" s="1"/>
  <c r="AZ44" i="9" s="1"/>
  <c r="AK37" i="9"/>
  <c r="AR37" i="9" s="1"/>
  <c r="AY37" i="9" s="1"/>
  <c r="BG37" i="9" s="1"/>
  <c r="AP24" i="9"/>
  <c r="AW24" i="9" s="1"/>
  <c r="BE24" i="9" s="1"/>
  <c r="AL45" i="9"/>
  <c r="AS45" i="9" s="1"/>
  <c r="AZ45" i="9" s="1"/>
  <c r="BI48" i="11"/>
  <c r="BA48" i="11"/>
  <c r="BN47" i="9"/>
  <c r="BF47" i="9"/>
  <c r="BE46" i="9"/>
  <c r="BM46" i="9"/>
  <c r="BE44" i="9"/>
  <c r="BM44" i="9"/>
  <c r="BF45" i="9"/>
  <c r="BN45" i="9"/>
  <c r="AP42" i="9"/>
  <c r="AW42" i="9" s="1"/>
  <c r="BE42" i="9" s="1"/>
  <c r="BK44" i="9"/>
  <c r="AG46" i="9"/>
  <c r="AN46" i="9" s="1"/>
  <c r="AU46" i="9" s="1"/>
  <c r="BC46" i="9" s="1"/>
  <c r="AP45" i="9"/>
  <c r="AW45" i="9" s="1"/>
  <c r="AJ46" i="9"/>
  <c r="AQ46" i="9" s="1"/>
  <c r="AX46" i="9" s="1"/>
  <c r="BI47" i="11"/>
  <c r="BA44" i="11"/>
  <c r="BI44" i="11"/>
  <c r="BN43" i="9"/>
  <c r="AP41" i="9"/>
  <c r="AW41" i="9" s="1"/>
  <c r="BE41" i="9" s="1"/>
  <c r="AQ18" i="9"/>
  <c r="AX18" i="9" s="1"/>
  <c r="BN18" i="9" s="1"/>
  <c r="AK20" i="9"/>
  <c r="AR20" i="9" s="1"/>
  <c r="AY20" i="9" s="1"/>
  <c r="BO20" i="9" s="1"/>
  <c r="AP29" i="9"/>
  <c r="AW29" i="9" s="1"/>
  <c r="BE29" i="9" s="1"/>
  <c r="BF32" i="11"/>
  <c r="BE42" i="11"/>
  <c r="BG20" i="11"/>
  <c r="BH35" i="11"/>
  <c r="BG21" i="11"/>
  <c r="BF30" i="11"/>
  <c r="BE25" i="11"/>
  <c r="BE33" i="11"/>
  <c r="BG43" i="11"/>
  <c r="BD18" i="11"/>
  <c r="BE17" i="11"/>
  <c r="BD24" i="11"/>
  <c r="BD29" i="11"/>
  <c r="BF23" i="11"/>
  <c r="BE41" i="11"/>
  <c r="BD40" i="11"/>
  <c r="BE39" i="11"/>
  <c r="BH42" i="11"/>
  <c r="BE19" i="11"/>
  <c r="BE23" i="11"/>
  <c r="BH39" i="11"/>
  <c r="BE21" i="11"/>
  <c r="BD25" i="11"/>
  <c r="BH33" i="11"/>
  <c r="BF28" i="11"/>
  <c r="BH25" i="11"/>
  <c r="BD17" i="11"/>
  <c r="BG40" i="11"/>
  <c r="BF26" i="11"/>
  <c r="BE31" i="11"/>
  <c r="BD26" i="11"/>
  <c r="BD32" i="11"/>
  <c r="BD33" i="11"/>
  <c r="BF18" i="11"/>
  <c r="BG22" i="11"/>
  <c r="BH43" i="11"/>
  <c r="BE43" i="11"/>
  <c r="BG42" i="11"/>
  <c r="BF22" i="11"/>
  <c r="BG36" i="11"/>
  <c r="BG33" i="11"/>
  <c r="BG34" i="11"/>
  <c r="BG27" i="11"/>
  <c r="BD28" i="11"/>
  <c r="BH41" i="11"/>
  <c r="BE22" i="11"/>
  <c r="BG24" i="11"/>
  <c r="BF35" i="11"/>
  <c r="BF41" i="11"/>
  <c r="BF38" i="11"/>
  <c r="BF39" i="11"/>
  <c r="BI45" i="11"/>
  <c r="BD36" i="11"/>
  <c r="BF29" i="11"/>
  <c r="BF20" i="11"/>
  <c r="BH34" i="11"/>
  <c r="BF21" i="11"/>
  <c r="BD27" i="11"/>
  <c r="BD38" i="11"/>
  <c r="BF25" i="11"/>
  <c r="BH36" i="11"/>
  <c r="BF24" i="11"/>
  <c r="BE28" i="11"/>
  <c r="BE20" i="11"/>
  <c r="BH32" i="11"/>
  <c r="BE32" i="11"/>
  <c r="BH26" i="11"/>
  <c r="BH38" i="11"/>
  <c r="BF43" i="11"/>
  <c r="BG38" i="11"/>
  <c r="BD37" i="11"/>
  <c r="BH22" i="11"/>
  <c r="BI46" i="11"/>
  <c r="BA45" i="11"/>
  <c r="BG41" i="11"/>
  <c r="BF40" i="11"/>
  <c r="BF27" i="11"/>
  <c r="BE29" i="11"/>
  <c r="BD39" i="11"/>
  <c r="BD19" i="11"/>
  <c r="BG30" i="11"/>
  <c r="BD42" i="11"/>
  <c r="BH24" i="11"/>
  <c r="BF34" i="11"/>
  <c r="BH21" i="11"/>
  <c r="BE24" i="11"/>
  <c r="BH30" i="11"/>
  <c r="BD30" i="11"/>
  <c r="BG25" i="11"/>
  <c r="BD35" i="11"/>
  <c r="BG31" i="11"/>
  <c r="BA46" i="11"/>
  <c r="BG35" i="11"/>
  <c r="BE18" i="11"/>
  <c r="BG19" i="11"/>
  <c r="BF36" i="11"/>
  <c r="BE30" i="11"/>
  <c r="BH29" i="11"/>
  <c r="BF37" i="11"/>
  <c r="BG23" i="11"/>
  <c r="BD41" i="11"/>
  <c r="BE38" i="11"/>
  <c r="BD34" i="11"/>
  <c r="BE35" i="11"/>
  <c r="BG39" i="11"/>
  <c r="BF42" i="11"/>
  <c r="BH27" i="11"/>
  <c r="BH28" i="11"/>
  <c r="BH40" i="11"/>
  <c r="BG32" i="11"/>
  <c r="BE34" i="11"/>
  <c r="BG28" i="11"/>
  <c r="BG37" i="11"/>
  <c r="BD31" i="11"/>
  <c r="BF31" i="11"/>
  <c r="BA16" i="11"/>
  <c r="BD16" i="11"/>
  <c r="BI16" i="11" s="1"/>
  <c r="BD20" i="11"/>
  <c r="BG29" i="11"/>
  <c r="BD22" i="11"/>
  <c r="BE37" i="11"/>
  <c r="BD21" i="11"/>
  <c r="BE27" i="11"/>
  <c r="BG26" i="11"/>
  <c r="BE40" i="11"/>
  <c r="BH31" i="11"/>
  <c r="BH20" i="11"/>
  <c r="BF19" i="11"/>
  <c r="BE26" i="11"/>
  <c r="BF33" i="11"/>
  <c r="BE36" i="11"/>
  <c r="BH37" i="11"/>
  <c r="BH23" i="11"/>
  <c r="BD43" i="11"/>
  <c r="BD23" i="11"/>
  <c r="BA47" i="11"/>
  <c r="AP31" i="9"/>
  <c r="AW31" i="9" s="1"/>
  <c r="BM31" i="9" s="1"/>
  <c r="AQ29" i="9"/>
  <c r="AX29" i="9" s="1"/>
  <c r="BF29" i="9" s="1"/>
  <c r="AP28" i="9"/>
  <c r="AW28" i="9" s="1"/>
  <c r="BM28" i="9" s="1"/>
  <c r="AQ42" i="9"/>
  <c r="AX42" i="9" s="1"/>
  <c r="BF42" i="9" s="1"/>
  <c r="AP36" i="9"/>
  <c r="AW36" i="9" s="1"/>
  <c r="BE36" i="9" s="1"/>
  <c r="AQ37" i="9"/>
  <c r="AX37" i="9" s="1"/>
  <c r="BF37" i="9" s="1"/>
  <c r="AP40" i="9"/>
  <c r="AW40" i="9" s="1"/>
  <c r="BE40" i="9" s="1"/>
  <c r="AK43" i="9"/>
  <c r="AR43" i="9" s="1"/>
  <c r="AY43" i="9" s="1"/>
  <c r="BO43" i="9" s="1"/>
  <c r="BL19" i="9"/>
  <c r="BD19" i="9"/>
  <c r="BD16" i="9"/>
  <c r="BL16" i="9"/>
  <c r="BE35" i="9"/>
  <c r="BM35" i="9"/>
  <c r="BD21" i="9"/>
  <c r="BL21" i="9"/>
  <c r="BL26" i="9"/>
  <c r="BD26" i="9"/>
  <c r="BO26" i="9"/>
  <c r="BG26" i="9"/>
  <c r="BG38" i="9"/>
  <c r="BO38" i="9"/>
  <c r="BH31" i="9"/>
  <c r="BP31" i="9"/>
  <c r="BP20" i="9"/>
  <c r="BH20" i="9"/>
  <c r="BK42" i="9"/>
  <c r="BK24" i="9"/>
  <c r="BF22" i="9"/>
  <c r="BN22" i="9"/>
  <c r="BD23" i="9"/>
  <c r="BL23" i="9"/>
  <c r="BD28" i="9"/>
  <c r="BL28" i="9"/>
  <c r="BD15" i="9"/>
  <c r="BL15" i="9"/>
  <c r="BL18" i="9"/>
  <c r="BD18" i="9"/>
  <c r="BF39" i="9"/>
  <c r="BN39" i="9"/>
  <c r="BP37" i="9"/>
  <c r="BH37" i="9"/>
  <c r="BP27" i="9"/>
  <c r="BH27" i="9"/>
  <c r="BK43" i="9"/>
  <c r="BL33" i="9"/>
  <c r="BD33" i="9"/>
  <c r="BD20" i="9"/>
  <c r="BL20" i="9"/>
  <c r="BG32" i="9"/>
  <c r="BO32" i="9"/>
  <c r="BG21" i="9"/>
  <c r="BO21" i="9"/>
  <c r="BP35" i="9"/>
  <c r="BH35" i="9"/>
  <c r="BK18" i="9"/>
  <c r="BF21" i="9"/>
  <c r="BN21" i="9"/>
  <c r="BE26" i="9"/>
  <c r="BM26" i="9"/>
  <c r="BD37" i="9"/>
  <c r="BL37" i="9"/>
  <c r="BD39" i="9"/>
  <c r="BL39" i="9"/>
  <c r="BG40" i="9"/>
  <c r="BO40" i="9"/>
  <c r="BO35" i="9"/>
  <c r="BG35" i="9"/>
  <c r="BH22" i="9"/>
  <c r="BP22" i="9"/>
  <c r="BI14" i="9"/>
  <c r="BK14" i="9"/>
  <c r="BQ14" i="9" s="1"/>
  <c r="BK28" i="9"/>
  <c r="BF35" i="9"/>
  <c r="BN35" i="9"/>
  <c r="BE34" i="9"/>
  <c r="BM34" i="9"/>
  <c r="BL43" i="9"/>
  <c r="BD43" i="9"/>
  <c r="BD29" i="9"/>
  <c r="BL29" i="9"/>
  <c r="BL34" i="9"/>
  <c r="BD34" i="9"/>
  <c r="BG25" i="9"/>
  <c r="BO25" i="9"/>
  <c r="BG30" i="9"/>
  <c r="BO30" i="9"/>
  <c r="BH26" i="9"/>
  <c r="BP26" i="9"/>
  <c r="BK40" i="9"/>
  <c r="BK36" i="9"/>
  <c r="BD31" i="9"/>
  <c r="BL31" i="9"/>
  <c r="BD32" i="9"/>
  <c r="BL32" i="9"/>
  <c r="BN17" i="9"/>
  <c r="BF17" i="9"/>
  <c r="BG22" i="9"/>
  <c r="BO22" i="9"/>
  <c r="BP40" i="9"/>
  <c r="BH40" i="9"/>
  <c r="BP21" i="9"/>
  <c r="BH21" i="9"/>
  <c r="BK17" i="9"/>
  <c r="BK16" i="9"/>
  <c r="BM37" i="9"/>
  <c r="BE37" i="9"/>
  <c r="BD40" i="9"/>
  <c r="BL40" i="9"/>
  <c r="BL35" i="9"/>
  <c r="BD35" i="9"/>
  <c r="BD22" i="9"/>
  <c r="BL22" i="9"/>
  <c r="BO19" i="9"/>
  <c r="BG19" i="9"/>
  <c r="BO28" i="9"/>
  <c r="BG28" i="9"/>
  <c r="BN34" i="9"/>
  <c r="BF34" i="9"/>
  <c r="BN25" i="9"/>
  <c r="BF25" i="9"/>
  <c r="BO36" i="9"/>
  <c r="BG36" i="9"/>
  <c r="BH33" i="9"/>
  <c r="BP33" i="9"/>
  <c r="BH38" i="9"/>
  <c r="BP38" i="9"/>
  <c r="BP28" i="9"/>
  <c r="BH28" i="9"/>
  <c r="BK35" i="9"/>
  <c r="BK20" i="9"/>
  <c r="BK41" i="9"/>
  <c r="BF19" i="9"/>
  <c r="BN19" i="9"/>
  <c r="BM21" i="9"/>
  <c r="BE21" i="9"/>
  <c r="BE43" i="9"/>
  <c r="BM43" i="9"/>
  <c r="BH42" i="9"/>
  <c r="BP42" i="9"/>
  <c r="BG41" i="9"/>
  <c r="BO41" i="9"/>
  <c r="BG24" i="9"/>
  <c r="BO24" i="9"/>
  <c r="BG33" i="9"/>
  <c r="BO33" i="9"/>
  <c r="BH23" i="9"/>
  <c r="BP23" i="9"/>
  <c r="BH25" i="9"/>
  <c r="BP25" i="9"/>
  <c r="BP43" i="9"/>
  <c r="BH43" i="9"/>
  <c r="BK32" i="9"/>
  <c r="BK34" i="9"/>
  <c r="BK31" i="9"/>
  <c r="BK29" i="9"/>
  <c r="BF23" i="9"/>
  <c r="BN23" i="9"/>
  <c r="BE18" i="9"/>
  <c r="BM18" i="9"/>
  <c r="BM22" i="9"/>
  <c r="BE22" i="9"/>
  <c r="BN41" i="9"/>
  <c r="BF41" i="9"/>
  <c r="BM30" i="9"/>
  <c r="BE30" i="9"/>
  <c r="BF28" i="9"/>
  <c r="BN28" i="9"/>
  <c r="BO31" i="9"/>
  <c r="BG31" i="9"/>
  <c r="BN24" i="9"/>
  <c r="BF24" i="9"/>
  <c r="BG29" i="9"/>
  <c r="BO29" i="9"/>
  <c r="BP32" i="9"/>
  <c r="BH32" i="9"/>
  <c r="BH24" i="9"/>
  <c r="BP24" i="9"/>
  <c r="BH34" i="9"/>
  <c r="BP34" i="9"/>
  <c r="BK27" i="9"/>
  <c r="BK15" i="9"/>
  <c r="BL41" i="9"/>
  <c r="BD41" i="9"/>
  <c r="BD30" i="9"/>
  <c r="BL30" i="9"/>
  <c r="BO42" i="9"/>
  <c r="BG42" i="9"/>
  <c r="BG23" i="9"/>
  <c r="BO23" i="9"/>
  <c r="BF27" i="9"/>
  <c r="BN27" i="9"/>
  <c r="BO18" i="9"/>
  <c r="BG18" i="9"/>
  <c r="BP29" i="9"/>
  <c r="BH29" i="9"/>
  <c r="BH41" i="9"/>
  <c r="BP41" i="9"/>
  <c r="BP36" i="9"/>
  <c r="BH36" i="9"/>
  <c r="BK23" i="9"/>
  <c r="BK30" i="9"/>
  <c r="BK33" i="9"/>
  <c r="BK19" i="9"/>
  <c r="BE25" i="9"/>
  <c r="BM25" i="9"/>
  <c r="BN26" i="9"/>
  <c r="BF26" i="9"/>
  <c r="BF31" i="9"/>
  <c r="BN31" i="9"/>
  <c r="BD36" i="9"/>
  <c r="BL36" i="9"/>
  <c r="BK39" i="9"/>
  <c r="BK21" i="9"/>
  <c r="BE20" i="9"/>
  <c r="BM20" i="9"/>
  <c r="BM38" i="9"/>
  <c r="BE38" i="9"/>
  <c r="BL25" i="9"/>
  <c r="BD25" i="9"/>
  <c r="BL42" i="9"/>
  <c r="BD42" i="9"/>
  <c r="BL27" i="9"/>
  <c r="BD27" i="9"/>
  <c r="BL17" i="9"/>
  <c r="BD17" i="9"/>
  <c r="BD24" i="9"/>
  <c r="BL24" i="9"/>
  <c r="BM23" i="9"/>
  <c r="BE23" i="9"/>
  <c r="BN32" i="9"/>
  <c r="BF32" i="9"/>
  <c r="BO27" i="9"/>
  <c r="BG27" i="9"/>
  <c r="BO34" i="9"/>
  <c r="BG34" i="9"/>
  <c r="BH39" i="9"/>
  <c r="BP39" i="9"/>
  <c r="BH30" i="9"/>
  <c r="BP30" i="9"/>
  <c r="BP19" i="9"/>
  <c r="BH19" i="9"/>
  <c r="BK25" i="9"/>
  <c r="BK26" i="9"/>
  <c r="BK37" i="9"/>
  <c r="BK22" i="9"/>
  <c r="BE27" i="9"/>
  <c r="BM27" i="9"/>
  <c r="BD38" i="9"/>
  <c r="BL38" i="9"/>
  <c r="BK38" i="9"/>
  <c r="BE19" i="9"/>
  <c r="BM19" i="9"/>
  <c r="BG39" i="9"/>
  <c r="BO39" i="9"/>
  <c r="BE16" i="9"/>
  <c r="BM16" i="9"/>
  <c r="AQ40" i="9"/>
  <c r="AX40" i="9" s="1"/>
  <c r="K17" i="3"/>
  <c r="L17" i="3" s="1"/>
  <c r="M16" i="3"/>
  <c r="N16" i="3" s="1"/>
  <c r="AP39" i="9"/>
  <c r="AW39" i="9" s="1"/>
  <c r="AQ38" i="9"/>
  <c r="AX38" i="9" s="1"/>
  <c r="E22" i="3"/>
  <c r="H32" i="12"/>
  <c r="I32" i="12" s="1"/>
  <c r="BI15" i="11"/>
  <c r="BA15" i="11"/>
  <c r="BA14" i="9"/>
  <c r="F3" i="8" l="1"/>
  <c r="E5" i="6"/>
  <c r="F4" i="6"/>
  <c r="BF33" i="9"/>
  <c r="BL47" i="9"/>
  <c r="BM32" i="9"/>
  <c r="BE17" i="9"/>
  <c r="BI17" i="9" s="1"/>
  <c r="BN42" i="9"/>
  <c r="BD48" i="9"/>
  <c r="BF20" i="9"/>
  <c r="BF36" i="9"/>
  <c r="DC47" i="2"/>
  <c r="BF44" i="9"/>
  <c r="BN44" i="9"/>
  <c r="CL35" i="2"/>
  <c r="CY35" i="2"/>
  <c r="CM28" i="2"/>
  <c r="CZ28" i="2"/>
  <c r="CN37" i="2"/>
  <c r="DA37" i="2"/>
  <c r="CM36" i="2"/>
  <c r="CZ36" i="2"/>
  <c r="CN29" i="2"/>
  <c r="DA29" i="2"/>
  <c r="CM29" i="2"/>
  <c r="CZ29" i="2"/>
  <c r="CL28" i="2"/>
  <c r="CY28" i="2"/>
  <c r="CM37" i="2"/>
  <c r="CZ37" i="2"/>
  <c r="CL43" i="2"/>
  <c r="CY43" i="2"/>
  <c r="CN30" i="2"/>
  <c r="DA30" i="2"/>
  <c r="CM44" i="2"/>
  <c r="CZ44" i="2"/>
  <c r="CN38" i="2"/>
  <c r="DA38" i="2"/>
  <c r="CL36" i="2"/>
  <c r="CY36" i="2"/>
  <c r="CN45" i="2"/>
  <c r="DA45" i="2"/>
  <c r="CL44" i="2"/>
  <c r="CP44" i="2" s="1"/>
  <c r="CY44" i="2"/>
  <c r="DC44" i="2" s="1"/>
  <c r="CL27" i="2"/>
  <c r="CY27" i="2"/>
  <c r="CM45" i="2"/>
  <c r="CZ45" i="2"/>
  <c r="CK27" i="2"/>
  <c r="CX27" i="2"/>
  <c r="CK35" i="2"/>
  <c r="CX35" i="2"/>
  <c r="CK43" i="2"/>
  <c r="CX43" i="2"/>
  <c r="CK26" i="2"/>
  <c r="CX26" i="2"/>
  <c r="CK34" i="2"/>
  <c r="CX34" i="2"/>
  <c r="CK42" i="2"/>
  <c r="CX42" i="2"/>
  <c r="DC46" i="2"/>
  <c r="DC48" i="2"/>
  <c r="AJ48" i="9"/>
  <c r="AQ48" i="9" s="1"/>
  <c r="AX48" i="9" s="1"/>
  <c r="AP47" i="9"/>
  <c r="AW47" i="9" s="1"/>
  <c r="BA47" i="9" s="1"/>
  <c r="BL46" i="9"/>
  <c r="BD46" i="9"/>
  <c r="BE48" i="9"/>
  <c r="BM48" i="9"/>
  <c r="CP47" i="2"/>
  <c r="CC45" i="2"/>
  <c r="CP48" i="2"/>
  <c r="CC46" i="2"/>
  <c r="CN46" i="2"/>
  <c r="CP46" i="2" s="1"/>
  <c r="CC44" i="2"/>
  <c r="BM33" i="9"/>
  <c r="BQ33" i="9" s="1"/>
  <c r="BN30" i="9"/>
  <c r="BQ30" i="9" s="1"/>
  <c r="BK48" i="11"/>
  <c r="BI43" i="11"/>
  <c r="BM42" i="9"/>
  <c r="BI32" i="11"/>
  <c r="BI21" i="11"/>
  <c r="BA39" i="11"/>
  <c r="BA41" i="11"/>
  <c r="BA17" i="11"/>
  <c r="BM29" i="9"/>
  <c r="BA18" i="11"/>
  <c r="BG20" i="9"/>
  <c r="BM41" i="9"/>
  <c r="BQ41" i="9" s="1"/>
  <c r="BO37" i="9"/>
  <c r="BH44" i="9"/>
  <c r="BP44" i="9"/>
  <c r="BA44" i="9"/>
  <c r="BM36" i="9"/>
  <c r="BQ36" i="9" s="1"/>
  <c r="BA21" i="11"/>
  <c r="BA34" i="11"/>
  <c r="BI19" i="11"/>
  <c r="BA40" i="11"/>
  <c r="BK44" i="11"/>
  <c r="BP46" i="9"/>
  <c r="BH46" i="9"/>
  <c r="BE28" i="9"/>
  <c r="BI28" i="9" s="1"/>
  <c r="BM24" i="9"/>
  <c r="BQ24" i="9" s="1"/>
  <c r="BA42" i="11"/>
  <c r="BI18" i="11"/>
  <c r="BI29" i="11"/>
  <c r="BI33" i="11"/>
  <c r="BP45" i="9"/>
  <c r="BH45" i="9"/>
  <c r="BP47" i="9"/>
  <c r="BH47" i="9"/>
  <c r="BF18" i="9"/>
  <c r="BI18" i="9" s="1"/>
  <c r="BA29" i="11"/>
  <c r="BI38" i="11"/>
  <c r="BA23" i="11"/>
  <c r="BA36" i="11"/>
  <c r="BI42" i="11"/>
  <c r="BI34" i="11"/>
  <c r="BA35" i="11"/>
  <c r="BA32" i="11"/>
  <c r="BA43" i="11"/>
  <c r="BA26" i="11"/>
  <c r="BI17" i="11"/>
  <c r="BI37" i="11"/>
  <c r="BI28" i="11"/>
  <c r="BA38" i="11"/>
  <c r="BI40" i="11"/>
  <c r="BK45" i="9"/>
  <c r="BK46" i="9"/>
  <c r="BK47" i="9"/>
  <c r="BN46" i="9"/>
  <c r="BF46" i="9"/>
  <c r="BA46" i="9"/>
  <c r="BE45" i="9"/>
  <c r="BM45" i="9"/>
  <c r="BA45" i="9"/>
  <c r="BK47" i="11"/>
  <c r="BK46" i="11"/>
  <c r="BN29" i="9"/>
  <c r="BE31" i="9"/>
  <c r="BI31" i="9" s="1"/>
  <c r="BA27" i="11"/>
  <c r="BA20" i="11"/>
  <c r="BI25" i="11"/>
  <c r="BI39" i="11"/>
  <c r="BI24" i="11"/>
  <c r="BA24" i="11"/>
  <c r="BA33" i="11"/>
  <c r="BA28" i="11"/>
  <c r="BI35" i="11"/>
  <c r="BI36" i="11"/>
  <c r="BA30" i="11"/>
  <c r="BA19" i="11"/>
  <c r="BI27" i="11"/>
  <c r="BA25" i="11"/>
  <c r="BI30" i="11"/>
  <c r="BI20" i="11"/>
  <c r="BI22" i="11"/>
  <c r="BI31" i="11"/>
  <c r="BA37" i="11"/>
  <c r="BI26" i="11"/>
  <c r="BA22" i="11"/>
  <c r="BA31" i="11"/>
  <c r="BK45" i="11"/>
  <c r="BI41" i="11"/>
  <c r="BI23" i="11"/>
  <c r="BN37" i="9"/>
  <c r="BG43" i="9"/>
  <c r="BI43" i="9" s="1"/>
  <c r="BM40" i="9"/>
  <c r="BM39" i="9"/>
  <c r="BQ39" i="9" s="1"/>
  <c r="BE39" i="9"/>
  <c r="BI39" i="9" s="1"/>
  <c r="BN40" i="9"/>
  <c r="BF40" i="9"/>
  <c r="BI40" i="9" s="1"/>
  <c r="BF38" i="9"/>
  <c r="BI38" i="9" s="1"/>
  <c r="BN38" i="9"/>
  <c r="BQ38" i="9" s="1"/>
  <c r="M17" i="3"/>
  <c r="N17" i="3" s="1"/>
  <c r="K18" i="3"/>
  <c r="L18" i="3" s="1"/>
  <c r="E23" i="3"/>
  <c r="H33" i="12"/>
  <c r="I33" i="12" s="1"/>
  <c r="BI16" i="9"/>
  <c r="BI15" i="9"/>
  <c r="BI32" i="9"/>
  <c r="BQ17" i="9"/>
  <c r="BI25" i="9"/>
  <c r="BI34" i="9"/>
  <c r="BQ22" i="9"/>
  <c r="BI27" i="9"/>
  <c r="BI35" i="9"/>
  <c r="BI19" i="9"/>
  <c r="BQ16" i="9"/>
  <c r="BQ32" i="9"/>
  <c r="BI29" i="9"/>
  <c r="BQ23" i="9"/>
  <c r="BI42" i="9"/>
  <c r="BQ35" i="9"/>
  <c r="BI26" i="9"/>
  <c r="BQ21" i="9"/>
  <c r="BQ28" i="9"/>
  <c r="BI23" i="9"/>
  <c r="BQ31" i="9"/>
  <c r="BQ26" i="9"/>
  <c r="BI24" i="9"/>
  <c r="BI21" i="9"/>
  <c r="BQ20" i="9"/>
  <c r="BI37" i="9"/>
  <c r="BI33" i="9"/>
  <c r="BQ25" i="9"/>
  <c r="BQ18" i="9"/>
  <c r="BQ43" i="9"/>
  <c r="BI41" i="9"/>
  <c r="BQ27" i="9"/>
  <c r="BI36" i="9"/>
  <c r="BI30" i="9"/>
  <c r="BQ34" i="9"/>
  <c r="BI22" i="9"/>
  <c r="BQ15" i="9"/>
  <c r="BQ19" i="9"/>
  <c r="F4" i="8" l="1"/>
  <c r="E6" i="6"/>
  <c r="F5" i="6"/>
  <c r="F5" i="8" s="1"/>
  <c r="BI20" i="9"/>
  <c r="BQ42" i="9"/>
  <c r="CP45" i="2"/>
  <c r="DC45" i="2"/>
  <c r="DE48" i="2"/>
  <c r="BQ29" i="9"/>
  <c r="BQ44" i="9"/>
  <c r="DE44" i="2"/>
  <c r="BI44" i="9"/>
  <c r="DE47" i="2"/>
  <c r="DE46" i="2"/>
  <c r="BM47" i="9"/>
  <c r="BQ47" i="9" s="1"/>
  <c r="BE47" i="9"/>
  <c r="BI47" i="9" s="1"/>
  <c r="BF48" i="9"/>
  <c r="BI48" i="9" s="1"/>
  <c r="BN48" i="9"/>
  <c r="BQ48" i="9" s="1"/>
  <c r="BA48" i="9"/>
  <c r="BQ37" i="9"/>
  <c r="BQ45" i="9"/>
  <c r="BI45" i="9"/>
  <c r="BI46" i="9"/>
  <c r="BQ46" i="9"/>
  <c r="BQ40" i="9"/>
  <c r="M18" i="3"/>
  <c r="N18" i="3" s="1"/>
  <c r="K19" i="3"/>
  <c r="L19" i="3" s="1"/>
  <c r="E24" i="3"/>
  <c r="BF41" i="2"/>
  <c r="AS41" i="11" s="1"/>
  <c r="BK41" i="11" s="1"/>
  <c r="BF31" i="2"/>
  <c r="AS31" i="11" s="1"/>
  <c r="BK31" i="11" s="1"/>
  <c r="BF18" i="2"/>
  <c r="BF32" i="2"/>
  <c r="AS32" i="11" s="1"/>
  <c r="BK32" i="11" s="1"/>
  <c r="BF39" i="2"/>
  <c r="AS39" i="11" s="1"/>
  <c r="BK39" i="11" s="1"/>
  <c r="BH39" i="2"/>
  <c r="BH35" i="2"/>
  <c r="BH18" i="2"/>
  <c r="BH34" i="2"/>
  <c r="BH31" i="2"/>
  <c r="BH30" i="2"/>
  <c r="BH22" i="2"/>
  <c r="BF40" i="2"/>
  <c r="AS40" i="11" s="1"/>
  <c r="BK40" i="11" s="1"/>
  <c r="BF33" i="2"/>
  <c r="AS33" i="11" s="1"/>
  <c r="BK33" i="11" s="1"/>
  <c r="BF25" i="2"/>
  <c r="AS25" i="11" s="1"/>
  <c r="BK25" i="11" s="1"/>
  <c r="BH27" i="2"/>
  <c r="BH38" i="2"/>
  <c r="E7" i="6" l="1"/>
  <c r="F6" i="6"/>
  <c r="F6" i="8" s="1"/>
  <c r="DE45" i="2"/>
  <c r="BS44" i="9"/>
  <c r="BS48" i="9"/>
  <c r="BS45" i="9"/>
  <c r="BS47" i="9"/>
  <c r="BS46" i="9"/>
  <c r="AS18" i="11"/>
  <c r="BK18" i="11" s="1"/>
  <c r="BR18" i="2"/>
  <c r="M19" i="3"/>
  <c r="N19" i="3" s="1"/>
  <c r="K20" i="3"/>
  <c r="L20" i="3" s="1"/>
  <c r="AS14" i="11"/>
  <c r="BK14" i="11" s="1"/>
  <c r="E25" i="3"/>
  <c r="BA40" i="9"/>
  <c r="BS40" i="9" s="1"/>
  <c r="BA18" i="9"/>
  <c r="BS18" i="9" s="1"/>
  <c r="BA31" i="9"/>
  <c r="BS31" i="9" s="1"/>
  <c r="BA25" i="9"/>
  <c r="BS25" i="9" s="1"/>
  <c r="BA39" i="9"/>
  <c r="BS39" i="9" s="1"/>
  <c r="BA41" i="9"/>
  <c r="BS41" i="9" s="1"/>
  <c r="BA33" i="9"/>
  <c r="BS33" i="9" s="1"/>
  <c r="BA32" i="9"/>
  <c r="BS32" i="9" s="1"/>
  <c r="BS14" i="9"/>
  <c r="BR33" i="2"/>
  <c r="BR32" i="2"/>
  <c r="BT39" i="2"/>
  <c r="BT22" i="2"/>
  <c r="BR31" i="2"/>
  <c r="BT35" i="2"/>
  <c r="BR39" i="2"/>
  <c r="BT38" i="2"/>
  <c r="BT34" i="2"/>
  <c r="BR41" i="2"/>
  <c r="BR25" i="2"/>
  <c r="BR40" i="2"/>
  <c r="BT30" i="2"/>
  <c r="BT31" i="2"/>
  <c r="BT27" i="2"/>
  <c r="BT18" i="2"/>
  <c r="BG32" i="2"/>
  <c r="BG25" i="2"/>
  <c r="BG40" i="2"/>
  <c r="BG26" i="2"/>
  <c r="BG31" i="2"/>
  <c r="BG17" i="2"/>
  <c r="BG27" i="2"/>
  <c r="BG30" i="2"/>
  <c r="BG18" i="2"/>
  <c r="BG42" i="2"/>
  <c r="BG34" i="2"/>
  <c r="BG39" i="2"/>
  <c r="BG22" i="2"/>
  <c r="BG20" i="2"/>
  <c r="BG36" i="2"/>
  <c r="BG38" i="2"/>
  <c r="BG41" i="2"/>
  <c r="BG33" i="2"/>
  <c r="BG28" i="2"/>
  <c r="BG43" i="2"/>
  <c r="BG35" i="2"/>
  <c r="BK36" i="2"/>
  <c r="BK20" i="2"/>
  <c r="BK41" i="2"/>
  <c r="BK22" i="2"/>
  <c r="BK28" i="2"/>
  <c r="BK33" i="2"/>
  <c r="BK25" i="2"/>
  <c r="BK32" i="2"/>
  <c r="BK35" i="2"/>
  <c r="BK42" i="2"/>
  <c r="BK24" i="2"/>
  <c r="BK27" i="2"/>
  <c r="BK29" i="2"/>
  <c r="BK34" i="2"/>
  <c r="BK26" i="2"/>
  <c r="BK38" i="2"/>
  <c r="BK40" i="2"/>
  <c r="BK31" i="2"/>
  <c r="BK23" i="2"/>
  <c r="BK39" i="2"/>
  <c r="BK43" i="2"/>
  <c r="BK37" i="2"/>
  <c r="BK30" i="2"/>
  <c r="BJ33" i="2"/>
  <c r="BJ24" i="2"/>
  <c r="BJ21" i="2"/>
  <c r="BJ35" i="2"/>
  <c r="BJ36" i="2"/>
  <c r="BJ40" i="2"/>
  <c r="BJ41" i="2"/>
  <c r="BJ27" i="2"/>
  <c r="BJ28" i="2"/>
  <c r="BJ32" i="2"/>
  <c r="BJ43" i="2"/>
  <c r="BJ37" i="2"/>
  <c r="BJ38" i="2"/>
  <c r="BJ34" i="2"/>
  <c r="BJ30" i="2"/>
  <c r="BJ26" i="2"/>
  <c r="BJ19" i="2"/>
  <c r="BJ29" i="2"/>
  <c r="BJ18" i="2"/>
  <c r="BV18" i="2" s="1"/>
  <c r="BJ31" i="2"/>
  <c r="BJ39" i="2"/>
  <c r="BJ22" i="2"/>
  <c r="BJ20" i="2"/>
  <c r="BJ23" i="2"/>
  <c r="BJ42" i="2"/>
  <c r="BI23" i="2"/>
  <c r="BI31" i="2"/>
  <c r="BI34" i="2"/>
  <c r="BI42" i="2"/>
  <c r="BI26" i="2"/>
  <c r="BI18" i="2"/>
  <c r="BI19" i="2"/>
  <c r="BI39" i="2"/>
  <c r="BI20" i="2"/>
  <c r="BI35" i="2"/>
  <c r="BI43" i="2"/>
  <c r="BI36" i="2"/>
  <c r="BI27" i="2"/>
  <c r="BI38" i="2"/>
  <c r="BI28" i="2"/>
  <c r="BI37" i="2"/>
  <c r="BI22" i="2"/>
  <c r="BI21" i="2"/>
  <c r="BI29" i="2"/>
  <c r="BI33" i="2"/>
  <c r="BI32" i="2"/>
  <c r="BI25" i="2"/>
  <c r="BI24" i="2"/>
  <c r="BI30" i="2"/>
  <c r="BI41" i="2"/>
  <c r="BI40" i="2"/>
  <c r="BH28" i="2"/>
  <c r="BF43" i="2"/>
  <c r="BH26" i="2"/>
  <c r="BH16" i="2"/>
  <c r="BT16" i="2" s="1"/>
  <c r="BF16" i="2"/>
  <c r="BR16" i="2" s="1"/>
  <c r="BH42" i="2"/>
  <c r="BH43" i="2"/>
  <c r="BH20" i="2"/>
  <c r="BF17" i="2"/>
  <c r="BR17" i="2" s="1"/>
  <c r="BF23" i="2"/>
  <c r="BH19" i="2"/>
  <c r="BF24" i="2"/>
  <c r="BH32" i="2"/>
  <c r="BH21" i="2"/>
  <c r="BF28" i="2"/>
  <c r="AS28" i="11" s="1"/>
  <c r="BK28" i="11" s="1"/>
  <c r="BF36" i="2"/>
  <c r="AS36" i="11" s="1"/>
  <c r="BK36" i="11" s="1"/>
  <c r="BF21" i="2"/>
  <c r="AS21" i="11" s="1"/>
  <c r="BK21" i="11" s="1"/>
  <c r="BH17" i="2"/>
  <c r="BH29" i="2"/>
  <c r="BH40" i="2"/>
  <c r="BF30" i="2"/>
  <c r="AS30" i="11" s="1"/>
  <c r="BK30" i="11" s="1"/>
  <c r="BH37" i="2"/>
  <c r="BF29" i="2"/>
  <c r="AS29" i="11" s="1"/>
  <c r="BK29" i="11" s="1"/>
  <c r="BH25" i="2"/>
  <c r="BF19" i="2"/>
  <c r="AS19" i="11" s="1"/>
  <c r="BK19" i="11" s="1"/>
  <c r="BF22" i="2"/>
  <c r="AS22" i="11" s="1"/>
  <c r="BK22" i="11" s="1"/>
  <c r="BF35" i="2"/>
  <c r="AS35" i="11" s="1"/>
  <c r="BK35" i="11" s="1"/>
  <c r="BF38" i="2"/>
  <c r="AS38" i="11" s="1"/>
  <c r="BK38" i="11" s="1"/>
  <c r="BF34" i="2"/>
  <c r="AS34" i="11" s="1"/>
  <c r="BK34" i="11" s="1"/>
  <c r="BF37" i="2"/>
  <c r="AS37" i="11" s="1"/>
  <c r="BK37" i="11" s="1"/>
  <c r="BH33" i="2"/>
  <c r="BH36" i="2"/>
  <c r="BH24" i="2"/>
  <c r="BF27" i="2"/>
  <c r="AS27" i="11" s="1"/>
  <c r="BK27" i="11" s="1"/>
  <c r="BF42" i="2"/>
  <c r="AS42" i="11" s="1"/>
  <c r="BK42" i="11" s="1"/>
  <c r="BF20" i="2"/>
  <c r="AS20" i="11" s="1"/>
  <c r="BK20" i="11" s="1"/>
  <c r="BH41" i="2"/>
  <c r="BF26" i="2"/>
  <c r="AS26" i="11" s="1"/>
  <c r="BK26" i="11" s="1"/>
  <c r="E8" i="6" l="1"/>
  <c r="F7" i="6"/>
  <c r="F7" i="8" s="1"/>
  <c r="C3" i="13"/>
  <c r="CT31" i="2"/>
  <c r="CG31" i="2"/>
  <c r="CT35" i="2"/>
  <c r="CG35" i="2"/>
  <c r="CT30" i="2"/>
  <c r="CG30" i="2"/>
  <c r="CR31" i="2"/>
  <c r="CE31" i="2"/>
  <c r="CR25" i="2"/>
  <c r="CE25" i="2"/>
  <c r="CR41" i="2"/>
  <c r="CE41" i="2"/>
  <c r="CR32" i="2"/>
  <c r="CE32" i="2"/>
  <c r="CR18" i="2"/>
  <c r="CE18" i="2"/>
  <c r="CT22" i="2"/>
  <c r="CG22" i="2"/>
  <c r="CG34" i="2"/>
  <c r="CT34" i="2"/>
  <c r="CR33" i="2"/>
  <c r="CE33" i="2"/>
  <c r="CR17" i="2"/>
  <c r="CE17" i="2"/>
  <c r="CG18" i="2"/>
  <c r="CT18" i="2"/>
  <c r="CT38" i="2"/>
  <c r="CG38" i="2"/>
  <c r="CR16" i="2"/>
  <c r="CE16" i="2"/>
  <c r="CR40" i="2"/>
  <c r="CE40" i="2"/>
  <c r="CG16" i="2"/>
  <c r="CT16" i="2"/>
  <c r="CT39" i="2"/>
  <c r="CG39" i="2"/>
  <c r="CV18" i="2"/>
  <c r="CI18" i="2"/>
  <c r="CG27" i="2"/>
  <c r="CT27" i="2"/>
  <c r="CR39" i="2"/>
  <c r="CE39" i="2"/>
  <c r="BL14" i="11"/>
  <c r="M20" i="3"/>
  <c r="N20" i="3" s="1"/>
  <c r="K21" i="3"/>
  <c r="L21" i="3" s="1"/>
  <c r="AS15" i="11"/>
  <c r="BK15" i="11" s="1"/>
  <c r="BR15" i="2"/>
  <c r="E26" i="3"/>
  <c r="BA17" i="9"/>
  <c r="BS17" i="9" s="1"/>
  <c r="AS17" i="11"/>
  <c r="BK17" i="11" s="1"/>
  <c r="BA43" i="9"/>
  <c r="BS43" i="9" s="1"/>
  <c r="AS43" i="11"/>
  <c r="BK43" i="11" s="1"/>
  <c r="BA24" i="9"/>
  <c r="BS24" i="9" s="1"/>
  <c r="AS24" i="11"/>
  <c r="BK24" i="11" s="1"/>
  <c r="BA16" i="9"/>
  <c r="BS16" i="9" s="1"/>
  <c r="AS16" i="11"/>
  <c r="BK16" i="11" s="1"/>
  <c r="BA23" i="9"/>
  <c r="BS23" i="9" s="1"/>
  <c r="AS23" i="11"/>
  <c r="BK23" i="11" s="1"/>
  <c r="BT14" i="9"/>
  <c r="BA29" i="9"/>
  <c r="BS29" i="9" s="1"/>
  <c r="BA19" i="9"/>
  <c r="BS19" i="9" s="1"/>
  <c r="BA26" i="9"/>
  <c r="BS26" i="9" s="1"/>
  <c r="BA37" i="9"/>
  <c r="BS37" i="9" s="1"/>
  <c r="BA15" i="9"/>
  <c r="BS15" i="9" s="1"/>
  <c r="BA36" i="9"/>
  <c r="BS36" i="9" s="1"/>
  <c r="BA30" i="9"/>
  <c r="BS30" i="9" s="1"/>
  <c r="BA34" i="9"/>
  <c r="BS34" i="9" s="1"/>
  <c r="BA42" i="9"/>
  <c r="BS42" i="9" s="1"/>
  <c r="BA21" i="9"/>
  <c r="BS21" i="9" s="1"/>
  <c r="BA28" i="9"/>
  <c r="BS28" i="9" s="1"/>
  <c r="BA20" i="9"/>
  <c r="BS20" i="9" s="1"/>
  <c r="BA38" i="9"/>
  <c r="BS38" i="9" s="1"/>
  <c r="BA35" i="9"/>
  <c r="BS35" i="9" s="1"/>
  <c r="BA27" i="9"/>
  <c r="BS27" i="9" s="1"/>
  <c r="BA22" i="9"/>
  <c r="BS22" i="9" s="1"/>
  <c r="BT20" i="2"/>
  <c r="BW29" i="2"/>
  <c r="BW39" i="2"/>
  <c r="BR22" i="2"/>
  <c r="BR19" i="2"/>
  <c r="BT33" i="2"/>
  <c r="BT17" i="2"/>
  <c r="BT41" i="2"/>
  <c r="BT28" i="2"/>
  <c r="BW23" i="2"/>
  <c r="BW24" i="2"/>
  <c r="BW41" i="2"/>
  <c r="BT29" i="2"/>
  <c r="BT36" i="2"/>
  <c r="BW33" i="2"/>
  <c r="BT42" i="2"/>
  <c r="BW31" i="2"/>
  <c r="BW42" i="2"/>
  <c r="BT26" i="2"/>
  <c r="BU32" i="2"/>
  <c r="BR37" i="2"/>
  <c r="BT25" i="2"/>
  <c r="BR29" i="2"/>
  <c r="BR20" i="2"/>
  <c r="BT37" i="2"/>
  <c r="BR30" i="2"/>
  <c r="BT21" i="2"/>
  <c r="BW40" i="2"/>
  <c r="BT24" i="2"/>
  <c r="BW34" i="2"/>
  <c r="BR26" i="2"/>
  <c r="BR21" i="2"/>
  <c r="BR34" i="2"/>
  <c r="BR36" i="2"/>
  <c r="BR38" i="2"/>
  <c r="BR28" i="2"/>
  <c r="BR42" i="2"/>
  <c r="BR27" i="2"/>
  <c r="BR35" i="2"/>
  <c r="BT40" i="2"/>
  <c r="BT32" i="2"/>
  <c r="BT19" i="2"/>
  <c r="BW32" i="2"/>
  <c r="BW30" i="2"/>
  <c r="BW26" i="2"/>
  <c r="BW25" i="2"/>
  <c r="BU21" i="2"/>
  <c r="BV21" i="2"/>
  <c r="BU41" i="2"/>
  <c r="BU22" i="2"/>
  <c r="BU20" i="2"/>
  <c r="BU23" i="2"/>
  <c r="BV29" i="2"/>
  <c r="BV32" i="2"/>
  <c r="BV24" i="2"/>
  <c r="BW35" i="2"/>
  <c r="BW36" i="2"/>
  <c r="BS20" i="2"/>
  <c r="BS17" i="2"/>
  <c r="BU34" i="2"/>
  <c r="BS30" i="2"/>
  <c r="BR23" i="2"/>
  <c r="BT23" i="2"/>
  <c r="BU30" i="2"/>
  <c r="BU37" i="2"/>
  <c r="BU39" i="2"/>
  <c r="BV42" i="2"/>
  <c r="BV19" i="2"/>
  <c r="BV28" i="2"/>
  <c r="BV33" i="2"/>
  <c r="BW38" i="2"/>
  <c r="BS35" i="2"/>
  <c r="BS22" i="2"/>
  <c r="BS31" i="2"/>
  <c r="BU43" i="2"/>
  <c r="BV43" i="2"/>
  <c r="BS27" i="2"/>
  <c r="BU24" i="2"/>
  <c r="BU28" i="2"/>
  <c r="BU19" i="2"/>
  <c r="BV23" i="2"/>
  <c r="BV26" i="2"/>
  <c r="BV27" i="2"/>
  <c r="BS43" i="2"/>
  <c r="BS39" i="2"/>
  <c r="BS26" i="2"/>
  <c r="BU29" i="2"/>
  <c r="BV31" i="2"/>
  <c r="BS38" i="2"/>
  <c r="BR24" i="2"/>
  <c r="BU35" i="2"/>
  <c r="BS36" i="2"/>
  <c r="BR43" i="2"/>
  <c r="BU25" i="2"/>
  <c r="BU38" i="2"/>
  <c r="BU18" i="2"/>
  <c r="BV20" i="2"/>
  <c r="BV30" i="2"/>
  <c r="BV41" i="2"/>
  <c r="BW37" i="2"/>
  <c r="BS28" i="2"/>
  <c r="BS34" i="2"/>
  <c r="BS40" i="2"/>
  <c r="BV37" i="2"/>
  <c r="BT43" i="2"/>
  <c r="BU27" i="2"/>
  <c r="BU26" i="2"/>
  <c r="BV22" i="2"/>
  <c r="BV34" i="2"/>
  <c r="BV40" i="2"/>
  <c r="BW43" i="2"/>
  <c r="BW28" i="2"/>
  <c r="BS33" i="2"/>
  <c r="BS42" i="2"/>
  <c r="BS25" i="2"/>
  <c r="BV35" i="2"/>
  <c r="BU40" i="2"/>
  <c r="BU31" i="2"/>
  <c r="BW20" i="2"/>
  <c r="BU33" i="2"/>
  <c r="BU36" i="2"/>
  <c r="BU42" i="2"/>
  <c r="BV39" i="2"/>
  <c r="BV38" i="2"/>
  <c r="BV36" i="2"/>
  <c r="BW27" i="2"/>
  <c r="BW22" i="2"/>
  <c r="BS41" i="2"/>
  <c r="BS18" i="2"/>
  <c r="BS32" i="2"/>
  <c r="BG21" i="2"/>
  <c r="BG29" i="2"/>
  <c r="BJ25" i="2"/>
  <c r="BG19" i="2"/>
  <c r="BI17" i="2"/>
  <c r="BU17" i="2" s="1"/>
  <c r="BG24" i="2"/>
  <c r="BG23" i="2"/>
  <c r="BK21" i="2"/>
  <c r="BG16" i="2"/>
  <c r="BG37" i="2"/>
  <c r="E9" i="6" l="1"/>
  <c r="F8" i="6"/>
  <c r="CH35" i="2"/>
  <c r="CU35" i="2"/>
  <c r="CW32" i="2"/>
  <c r="CJ32" i="2"/>
  <c r="CW39" i="2"/>
  <c r="CJ39" i="2"/>
  <c r="CR24" i="2"/>
  <c r="CE24" i="2"/>
  <c r="CU22" i="2"/>
  <c r="CH22" i="2"/>
  <c r="CJ42" i="2"/>
  <c r="CW42" i="2"/>
  <c r="CI20" i="2"/>
  <c r="CV20" i="2"/>
  <c r="CW36" i="2"/>
  <c r="CJ36" i="2"/>
  <c r="CT37" i="2"/>
  <c r="CG37" i="2"/>
  <c r="CU33" i="2"/>
  <c r="CH33" i="2"/>
  <c r="CW28" i="2"/>
  <c r="CJ28" i="2"/>
  <c r="CV37" i="2"/>
  <c r="CI37" i="2"/>
  <c r="CH18" i="2"/>
  <c r="CU18" i="2"/>
  <c r="CV31" i="2"/>
  <c r="CI31" i="2"/>
  <c r="CH19" i="2"/>
  <c r="CU19" i="2"/>
  <c r="CS35" i="2"/>
  <c r="CF35" i="2"/>
  <c r="CU30" i="2"/>
  <c r="CH30" i="2"/>
  <c r="CJ35" i="2"/>
  <c r="CW35" i="2"/>
  <c r="CV21" i="2"/>
  <c r="CI21" i="2"/>
  <c r="CT40" i="2"/>
  <c r="CG40" i="2"/>
  <c r="CE21" i="2"/>
  <c r="CR21" i="2"/>
  <c r="CE20" i="2"/>
  <c r="CR20" i="2"/>
  <c r="CG42" i="2"/>
  <c r="CT42" i="2"/>
  <c r="CG41" i="2"/>
  <c r="CT41" i="2"/>
  <c r="CF25" i="2"/>
  <c r="CS25" i="2"/>
  <c r="CV41" i="2"/>
  <c r="CI41" i="2"/>
  <c r="CV42" i="2"/>
  <c r="CI42" i="2"/>
  <c r="CE38" i="2"/>
  <c r="CR38" i="2"/>
  <c r="CH42" i="2"/>
  <c r="CU42" i="2"/>
  <c r="CI26" i="2"/>
  <c r="CV26" i="2"/>
  <c r="CG19" i="2"/>
  <c r="CT19" i="2"/>
  <c r="CW29" i="2"/>
  <c r="CJ29" i="2"/>
  <c r="CS18" i="2"/>
  <c r="CF18" i="2"/>
  <c r="CH36" i="2"/>
  <c r="CU36" i="2"/>
  <c r="CG43" i="2"/>
  <c r="CT43" i="2"/>
  <c r="CV23" i="2"/>
  <c r="CI23" i="2"/>
  <c r="CU41" i="2"/>
  <c r="CH41" i="2"/>
  <c r="CR34" i="2"/>
  <c r="CE34" i="2"/>
  <c r="CT28" i="2"/>
  <c r="CG28" i="2"/>
  <c r="CU17" i="2"/>
  <c r="CH17" i="2"/>
  <c r="CJ43" i="2"/>
  <c r="CW43" i="2"/>
  <c r="CU38" i="2"/>
  <c r="CH38" i="2"/>
  <c r="CU29" i="2"/>
  <c r="CH29" i="2"/>
  <c r="CU28" i="2"/>
  <c r="CH28" i="2"/>
  <c r="CW38" i="2"/>
  <c r="CJ38" i="2"/>
  <c r="CT23" i="2"/>
  <c r="CG23" i="2"/>
  <c r="CV24" i="2"/>
  <c r="CI24" i="2"/>
  <c r="CU21" i="2"/>
  <c r="CH21" i="2"/>
  <c r="CR35" i="2"/>
  <c r="CE35" i="2"/>
  <c r="CR26" i="2"/>
  <c r="CE26" i="2"/>
  <c r="CE29" i="2"/>
  <c r="CR29" i="2"/>
  <c r="CJ33" i="2"/>
  <c r="CW33" i="2"/>
  <c r="CG17" i="2"/>
  <c r="CT17" i="2"/>
  <c r="CF17" i="2"/>
  <c r="CS17" i="2"/>
  <c r="CW24" i="2"/>
  <c r="CJ24" i="2"/>
  <c r="CS42" i="2"/>
  <c r="CF42" i="2"/>
  <c r="CF31" i="2"/>
  <c r="CS31" i="2"/>
  <c r="CR36" i="2"/>
  <c r="CE36" i="2"/>
  <c r="CS38" i="2"/>
  <c r="CF38" i="2"/>
  <c r="CF41" i="2"/>
  <c r="CS41" i="2"/>
  <c r="CW20" i="2"/>
  <c r="CJ20" i="2"/>
  <c r="CU31" i="2"/>
  <c r="CH31" i="2"/>
  <c r="CV40" i="2"/>
  <c r="CI40" i="2"/>
  <c r="CS34" i="2"/>
  <c r="CF34" i="2"/>
  <c r="CU25" i="2"/>
  <c r="CH25" i="2"/>
  <c r="CS26" i="2"/>
  <c r="CF26" i="2"/>
  <c r="CU24" i="2"/>
  <c r="CH24" i="2"/>
  <c r="CV33" i="2"/>
  <c r="CI33" i="2"/>
  <c r="CR23" i="2"/>
  <c r="CE23" i="2"/>
  <c r="CV32" i="2"/>
  <c r="CI32" i="2"/>
  <c r="CW25" i="2"/>
  <c r="CJ25" i="2"/>
  <c r="CR27" i="2"/>
  <c r="CE27" i="2"/>
  <c r="CJ34" i="2"/>
  <c r="CW34" i="2"/>
  <c r="CT25" i="2"/>
  <c r="CG25" i="2"/>
  <c r="CT36" i="2"/>
  <c r="CG36" i="2"/>
  <c r="CG33" i="2"/>
  <c r="CT33" i="2"/>
  <c r="CH26" i="2"/>
  <c r="CU26" i="2"/>
  <c r="CH43" i="2"/>
  <c r="CU43" i="2"/>
  <c r="CH20" i="2"/>
  <c r="CU20" i="2"/>
  <c r="CG26" i="2"/>
  <c r="CT26" i="2"/>
  <c r="CR15" i="2"/>
  <c r="DC15" i="2" s="1"/>
  <c r="CE15" i="2"/>
  <c r="CP15" i="2" s="1"/>
  <c r="CF32" i="2"/>
  <c r="CS32" i="2"/>
  <c r="CV30" i="2"/>
  <c r="CI30" i="2"/>
  <c r="CS20" i="2"/>
  <c r="CF20" i="2"/>
  <c r="CW23" i="2"/>
  <c r="CJ23" i="2"/>
  <c r="CS33" i="2"/>
  <c r="CF33" i="2"/>
  <c r="CU37" i="2"/>
  <c r="CH37" i="2"/>
  <c r="CT32" i="2"/>
  <c r="CG32" i="2"/>
  <c r="CW31" i="2"/>
  <c r="CJ31" i="2"/>
  <c r="CT20" i="2"/>
  <c r="CG20" i="2"/>
  <c r="CF40" i="2"/>
  <c r="CS40" i="2"/>
  <c r="CJ27" i="2"/>
  <c r="CW27" i="2"/>
  <c r="CI36" i="2"/>
  <c r="CV36" i="2"/>
  <c r="CU40" i="2"/>
  <c r="CH40" i="2"/>
  <c r="CI34" i="2"/>
  <c r="CV34" i="2"/>
  <c r="CS28" i="2"/>
  <c r="CF28" i="2"/>
  <c r="CR43" i="2"/>
  <c r="CE43" i="2"/>
  <c r="CC39" i="2"/>
  <c r="CF39" i="2"/>
  <c r="CS39" i="2"/>
  <c r="CS27" i="2"/>
  <c r="CF27" i="2"/>
  <c r="CI28" i="2"/>
  <c r="CV28" i="2"/>
  <c r="CS30" i="2"/>
  <c r="CF30" i="2"/>
  <c r="CV29" i="2"/>
  <c r="CI29" i="2"/>
  <c r="CJ26" i="2"/>
  <c r="CW26" i="2"/>
  <c r="CR42" i="2"/>
  <c r="CE42" i="2"/>
  <c r="CT24" i="2"/>
  <c r="CG24" i="2"/>
  <c r="CE37" i="2"/>
  <c r="CR37" i="2"/>
  <c r="CT29" i="2"/>
  <c r="CG29" i="2"/>
  <c r="CR19" i="2"/>
  <c r="CE19" i="2"/>
  <c r="CV39" i="2"/>
  <c r="CI39" i="2"/>
  <c r="CI27" i="2"/>
  <c r="CV27" i="2"/>
  <c r="CT21" i="2"/>
  <c r="CG21" i="2"/>
  <c r="CH27" i="2"/>
  <c r="CU27" i="2"/>
  <c r="CU39" i="2"/>
  <c r="CH39" i="2"/>
  <c r="CE30" i="2"/>
  <c r="CR30" i="2"/>
  <c r="CS22" i="2"/>
  <c r="CF22" i="2"/>
  <c r="CW22" i="2"/>
  <c r="CJ22" i="2"/>
  <c r="CV38" i="2"/>
  <c r="CI38" i="2"/>
  <c r="CI35" i="2"/>
  <c r="CV35" i="2"/>
  <c r="CV22" i="2"/>
  <c r="CI22" i="2"/>
  <c r="CW37" i="2"/>
  <c r="CJ37" i="2"/>
  <c r="CS36" i="2"/>
  <c r="CF36" i="2"/>
  <c r="CS43" i="2"/>
  <c r="CF43" i="2"/>
  <c r="CI43" i="2"/>
  <c r="CV43" i="2"/>
  <c r="CI19" i="2"/>
  <c r="CV19" i="2"/>
  <c r="CU34" i="2"/>
  <c r="CH34" i="2"/>
  <c r="CU23" i="2"/>
  <c r="CH23" i="2"/>
  <c r="CW30" i="2"/>
  <c r="CJ30" i="2"/>
  <c r="CE28" i="2"/>
  <c r="CR28" i="2"/>
  <c r="CW40" i="2"/>
  <c r="CJ40" i="2"/>
  <c r="CU32" i="2"/>
  <c r="CH32" i="2"/>
  <c r="CW41" i="2"/>
  <c r="CJ41" i="2"/>
  <c r="CE22" i="2"/>
  <c r="CR22" i="2"/>
  <c r="CC33" i="2"/>
  <c r="CC31" i="2"/>
  <c r="CC41" i="2"/>
  <c r="CC32" i="2"/>
  <c r="CC18" i="2"/>
  <c r="CC40" i="2"/>
  <c r="CC43" i="2"/>
  <c r="CC35" i="2"/>
  <c r="CC26" i="2"/>
  <c r="CC27" i="2"/>
  <c r="CC30" i="2"/>
  <c r="CC42" i="2"/>
  <c r="CC34" i="2"/>
  <c r="CC28" i="2"/>
  <c r="CC22" i="2"/>
  <c r="CC38" i="2"/>
  <c r="CC36" i="2"/>
  <c r="CC20" i="2"/>
  <c r="D3" i="13"/>
  <c r="M21" i="3"/>
  <c r="N21" i="3" s="1"/>
  <c r="K22" i="3"/>
  <c r="L22" i="3" s="1"/>
  <c r="BL15" i="11"/>
  <c r="BL16" i="11" s="1"/>
  <c r="BL17" i="11" s="1"/>
  <c r="BL18" i="11" s="1"/>
  <c r="BL19" i="11" s="1"/>
  <c r="BL20" i="11" s="1"/>
  <c r="BL21" i="11" s="1"/>
  <c r="BL22" i="11" s="1"/>
  <c r="BL23" i="11" s="1"/>
  <c r="E27" i="3"/>
  <c r="BT15" i="9"/>
  <c r="BT16" i="9" s="1"/>
  <c r="BT17" i="9" s="1"/>
  <c r="BT18" i="9" s="1"/>
  <c r="BT19" i="9" s="1"/>
  <c r="BT20" i="9" s="1"/>
  <c r="BT21" i="9" s="1"/>
  <c r="BT22" i="9" s="1"/>
  <c r="BT23" i="9" s="1"/>
  <c r="BT24" i="9" s="1"/>
  <c r="BT25" i="9" s="1"/>
  <c r="BT26" i="9" s="1"/>
  <c r="BT27" i="9" s="1"/>
  <c r="BT28" i="9" s="1"/>
  <c r="BT29" i="9" s="1"/>
  <c r="BT30" i="9" s="1"/>
  <c r="BT31" i="9" s="1"/>
  <c r="BT32" i="9" s="1"/>
  <c r="BT33" i="9" s="1"/>
  <c r="BT34" i="9" s="1"/>
  <c r="BT35" i="9" s="1"/>
  <c r="BT36" i="9" s="1"/>
  <c r="BT37" i="9" s="1"/>
  <c r="BT38" i="9" s="1"/>
  <c r="BT39" i="9" s="1"/>
  <c r="BT40" i="9" s="1"/>
  <c r="BT41" i="9" s="1"/>
  <c r="BT42" i="9" s="1"/>
  <c r="BT43" i="9" s="1"/>
  <c r="BT44" i="9" s="1"/>
  <c r="BT45" i="9" s="1"/>
  <c r="BT46" i="9" s="1"/>
  <c r="BT47" i="9" s="1"/>
  <c r="BT48" i="9" s="1"/>
  <c r="BW21" i="2"/>
  <c r="BS23" i="2"/>
  <c r="BS16" i="2"/>
  <c r="BS37" i="2"/>
  <c r="BS24" i="2"/>
  <c r="CC15" i="2"/>
  <c r="BS21" i="2"/>
  <c r="BS19" i="2"/>
  <c r="BV25" i="2"/>
  <c r="CC17" i="2"/>
  <c r="BS29" i="2"/>
  <c r="F8" i="8" l="1"/>
  <c r="E10" i="6"/>
  <c r="F9" i="6"/>
  <c r="F9" i="8" s="1"/>
  <c r="DC28" i="2"/>
  <c r="CP31" i="2"/>
  <c r="DC33" i="2"/>
  <c r="CP18" i="2"/>
  <c r="DC22" i="2"/>
  <c r="DC18" i="2"/>
  <c r="DC42" i="2"/>
  <c r="DE15" i="2"/>
  <c r="DC17" i="2"/>
  <c r="DC30" i="2"/>
  <c r="DC39" i="2"/>
  <c r="DC43" i="2"/>
  <c r="DC40" i="2"/>
  <c r="DC32" i="2"/>
  <c r="DC27" i="2"/>
  <c r="DC41" i="2"/>
  <c r="DC36" i="2"/>
  <c r="DC31" i="2"/>
  <c r="DE31" i="2" s="1"/>
  <c r="DC26" i="2"/>
  <c r="DC35" i="2"/>
  <c r="DC34" i="2"/>
  <c r="DC38" i="2"/>
  <c r="DC20" i="2"/>
  <c r="CP41" i="2"/>
  <c r="CP30" i="2"/>
  <c r="CP39" i="2"/>
  <c r="CP40" i="2"/>
  <c r="CP33" i="2"/>
  <c r="CP17" i="2"/>
  <c r="CP32" i="2"/>
  <c r="DE32" i="2" s="1"/>
  <c r="CP27" i="2"/>
  <c r="DE27" i="2" s="1"/>
  <c r="CP43" i="2"/>
  <c r="CC29" i="2"/>
  <c r="CS29" i="2"/>
  <c r="DC29" i="2" s="1"/>
  <c r="CF29" i="2"/>
  <c r="CP29" i="2" s="1"/>
  <c r="CC16" i="2"/>
  <c r="CF16" i="2"/>
  <c r="CP16" i="2" s="1"/>
  <c r="CS16" i="2"/>
  <c r="DC16" i="2" s="1"/>
  <c r="CP42" i="2"/>
  <c r="DE42" i="2" s="1"/>
  <c r="CP26" i="2"/>
  <c r="CP34" i="2"/>
  <c r="CC25" i="2"/>
  <c r="CV25" i="2"/>
  <c r="DC25" i="2" s="1"/>
  <c r="CI25" i="2"/>
  <c r="CP25" i="2" s="1"/>
  <c r="CP35" i="2"/>
  <c r="CC19" i="2"/>
  <c r="CS19" i="2"/>
  <c r="DC19" i="2" s="1"/>
  <c r="CF19" i="2"/>
  <c r="CP19" i="2" s="1"/>
  <c r="CC23" i="2"/>
  <c r="CS23" i="2"/>
  <c r="DC23" i="2" s="1"/>
  <c r="CF23" i="2"/>
  <c r="CP23" i="2" s="1"/>
  <c r="CS21" i="2"/>
  <c r="CF21" i="2"/>
  <c r="CW21" i="2"/>
  <c r="CJ21" i="2"/>
  <c r="CP20" i="2"/>
  <c r="CP22" i="2"/>
  <c r="CP28" i="2"/>
  <c r="CC37" i="2"/>
  <c r="CS37" i="2"/>
  <c r="DC37" i="2" s="1"/>
  <c r="CF37" i="2"/>
  <c r="CP37" i="2" s="1"/>
  <c r="CC24" i="2"/>
  <c r="CF24" i="2"/>
  <c r="CP24" i="2" s="1"/>
  <c r="CS24" i="2"/>
  <c r="DC24" i="2" s="1"/>
  <c r="CP36" i="2"/>
  <c r="DE36" i="2" s="1"/>
  <c r="CP38" i="2"/>
  <c r="CC21" i="2"/>
  <c r="E3" i="8"/>
  <c r="G3" i="8" s="1"/>
  <c r="DF14" i="2"/>
  <c r="D3" i="5"/>
  <c r="F3" i="5" s="1"/>
  <c r="D3" i="6" s="1"/>
  <c r="D6" i="12"/>
  <c r="M22" i="3"/>
  <c r="N22" i="3" s="1"/>
  <c r="K23" i="3"/>
  <c r="L23" i="3" s="1"/>
  <c r="BL24" i="11"/>
  <c r="E28" i="3"/>
  <c r="E11" i="6" l="1"/>
  <c r="F10" i="6"/>
  <c r="G3" i="6"/>
  <c r="D3" i="7" s="1"/>
  <c r="E3" i="7" s="1"/>
  <c r="F3" i="7" s="1"/>
  <c r="DE28" i="2"/>
  <c r="DE22" i="2"/>
  <c r="DE33" i="2"/>
  <c r="DE18" i="2"/>
  <c r="DE41" i="2"/>
  <c r="DE35" i="2"/>
  <c r="DE30" i="2"/>
  <c r="DE17" i="2"/>
  <c r="DF15" i="2"/>
  <c r="DE38" i="2"/>
  <c r="DE40" i="2"/>
  <c r="DE39" i="2"/>
  <c r="DE34" i="2"/>
  <c r="DE20" i="2"/>
  <c r="DE26" i="2"/>
  <c r="DE43" i="2"/>
  <c r="CP21" i="2"/>
  <c r="DE24" i="2"/>
  <c r="DE37" i="2"/>
  <c r="DC21" i="2"/>
  <c r="DE23" i="2"/>
  <c r="DE19" i="2"/>
  <c r="DE25" i="2"/>
  <c r="DE16" i="2"/>
  <c r="DE29" i="2"/>
  <c r="I3" i="8"/>
  <c r="F6" i="12"/>
  <c r="M23" i="3"/>
  <c r="N23" i="3" s="1"/>
  <c r="K24" i="3"/>
  <c r="L24" i="3" s="1"/>
  <c r="BL25" i="11"/>
  <c r="E29" i="3"/>
  <c r="F10" i="8" l="1"/>
  <c r="E12" i="6"/>
  <c r="F11" i="6"/>
  <c r="DE21" i="2"/>
  <c r="DF16" i="2"/>
  <c r="DF17" i="2" s="1"/>
  <c r="DF18" i="2" s="1"/>
  <c r="DF19" i="2" s="1"/>
  <c r="DF20" i="2" s="1"/>
  <c r="D43" i="3"/>
  <c r="E43" i="3" s="1"/>
  <c r="F43" i="3" s="1"/>
  <c r="D45" i="3"/>
  <c r="E45" i="3" s="1"/>
  <c r="F45" i="3" s="1"/>
  <c r="D44" i="3"/>
  <c r="E44" i="3" s="1"/>
  <c r="F44" i="3" s="1"/>
  <c r="D42" i="3"/>
  <c r="E42" i="3" s="1"/>
  <c r="F42" i="3" s="1"/>
  <c r="D41" i="3"/>
  <c r="E41" i="3" s="1"/>
  <c r="F41" i="3" s="1"/>
  <c r="M24" i="3"/>
  <c r="N24" i="3" s="1"/>
  <c r="K25" i="3"/>
  <c r="L25" i="3" s="1"/>
  <c r="BL26" i="11"/>
  <c r="E32" i="3"/>
  <c r="E31" i="3"/>
  <c r="E36" i="3"/>
  <c r="D40" i="3"/>
  <c r="E40" i="3" s="1"/>
  <c r="E33" i="3"/>
  <c r="E37" i="3"/>
  <c r="E35" i="3"/>
  <c r="E34" i="3"/>
  <c r="E38" i="3"/>
  <c r="D39" i="3"/>
  <c r="E39" i="3" s="1"/>
  <c r="E30" i="3"/>
  <c r="F11" i="8" l="1"/>
  <c r="E13" i="6"/>
  <c r="F12" i="6"/>
  <c r="F12" i="8" s="1"/>
  <c r="DF21" i="2"/>
  <c r="DF22" i="2" s="1"/>
  <c r="DF23" i="2" s="1"/>
  <c r="DF24" i="2" s="1"/>
  <c r="DF25" i="2" s="1"/>
  <c r="DF26" i="2" s="1"/>
  <c r="DF27" i="2" s="1"/>
  <c r="DF28" i="2" s="1"/>
  <c r="DF29" i="2" s="1"/>
  <c r="DF30" i="2" s="1"/>
  <c r="DF31" i="2" s="1"/>
  <c r="DF32" i="2" s="1"/>
  <c r="DF33" i="2" s="1"/>
  <c r="DF34" i="2" s="1"/>
  <c r="DF35" i="2" s="1"/>
  <c r="DF36" i="2" s="1"/>
  <c r="DF37" i="2" s="1"/>
  <c r="DF38" i="2" s="1"/>
  <c r="DF39" i="2" s="1"/>
  <c r="DF40" i="2" s="1"/>
  <c r="DF41" i="2" s="1"/>
  <c r="DF42" i="2" s="1"/>
  <c r="DF43" i="2" s="1"/>
  <c r="DF44" i="2" s="1"/>
  <c r="DF45" i="2" s="1"/>
  <c r="DF46" i="2" s="1"/>
  <c r="DF47" i="2" s="1"/>
  <c r="DF48" i="2" s="1"/>
  <c r="M25" i="3"/>
  <c r="N25" i="3" s="1"/>
  <c r="K26" i="3"/>
  <c r="L26" i="3" s="1"/>
  <c r="BL27" i="11"/>
  <c r="E14" i="6" l="1"/>
  <c r="F13" i="6"/>
  <c r="F13" i="8" s="1"/>
  <c r="M26" i="3"/>
  <c r="N26" i="3" s="1"/>
  <c r="K27" i="3"/>
  <c r="L27" i="3" s="1"/>
  <c r="J3" i="8"/>
  <c r="BL28" i="11"/>
  <c r="E15" i="6" l="1"/>
  <c r="F14" i="6"/>
  <c r="E6" i="12"/>
  <c r="G6" i="12"/>
  <c r="H6" i="12" s="1"/>
  <c r="M27" i="3"/>
  <c r="N27" i="3" s="1"/>
  <c r="K28" i="3"/>
  <c r="L28" i="3" s="1"/>
  <c r="BL29" i="11"/>
  <c r="F15" i="3"/>
  <c r="F14" i="3"/>
  <c r="Q14" i="3" s="1"/>
  <c r="C6" i="13" s="1"/>
  <c r="F12" i="3"/>
  <c r="Q12" i="3" s="1"/>
  <c r="C4" i="13" s="1"/>
  <c r="F16" i="3"/>
  <c r="Q16" i="3" s="1"/>
  <c r="C8" i="13" s="1"/>
  <c r="F17" i="3"/>
  <c r="Q17" i="3" s="1"/>
  <c r="C9" i="13" s="1"/>
  <c r="F13" i="3"/>
  <c r="Q13" i="3" s="1"/>
  <c r="F14" i="8" l="1"/>
  <c r="E16" i="6"/>
  <c r="F15" i="6"/>
  <c r="F15" i="8" s="1"/>
  <c r="C5" i="13"/>
  <c r="D5" i="5" s="1"/>
  <c r="D6" i="5"/>
  <c r="D9" i="5"/>
  <c r="F9" i="5" s="1"/>
  <c r="D9" i="6" s="1"/>
  <c r="G9" i="6" s="1"/>
  <c r="D9" i="7" s="1"/>
  <c r="D8" i="5"/>
  <c r="F8" i="5" s="1"/>
  <c r="D8" i="6" s="1"/>
  <c r="G8" i="6" s="1"/>
  <c r="D8" i="7" s="1"/>
  <c r="D4" i="13"/>
  <c r="D7" i="12" s="1"/>
  <c r="D4" i="5"/>
  <c r="E9" i="8"/>
  <c r="G9" i="8" s="1"/>
  <c r="I6" i="12"/>
  <c r="M28" i="3"/>
  <c r="N28" i="3" s="1"/>
  <c r="K29" i="3"/>
  <c r="L29" i="3" s="1"/>
  <c r="Q15" i="3"/>
  <c r="C7" i="13" s="1"/>
  <c r="BL30" i="11"/>
  <c r="G12" i="3"/>
  <c r="E17" i="6" l="1"/>
  <c r="F16" i="6"/>
  <c r="E5" i="8"/>
  <c r="G5" i="8" s="1"/>
  <c r="E6" i="8"/>
  <c r="G6" i="8" s="1"/>
  <c r="D5" i="13"/>
  <c r="D8" i="12" s="1"/>
  <c r="I9" i="8"/>
  <c r="G13" i="3"/>
  <c r="R12" i="3"/>
  <c r="F6" i="5"/>
  <c r="F4" i="5"/>
  <c r="E4" i="8"/>
  <c r="G4" i="8" s="1"/>
  <c r="M29" i="3"/>
  <c r="N29" i="3" s="1"/>
  <c r="K30" i="3"/>
  <c r="F5" i="5"/>
  <c r="BL31" i="11"/>
  <c r="E9" i="7"/>
  <c r="F9" i="7" s="1"/>
  <c r="F18" i="3"/>
  <c r="E8" i="7"/>
  <c r="F8" i="7" s="1"/>
  <c r="F16" i="8" l="1"/>
  <c r="E18" i="6"/>
  <c r="F17" i="6"/>
  <c r="F17" i="8" s="1"/>
  <c r="I5" i="8"/>
  <c r="I6" i="8"/>
  <c r="L30" i="3"/>
  <c r="M30" i="3" s="1"/>
  <c r="N30" i="3" s="1"/>
  <c r="K41" i="3"/>
  <c r="L41" i="3" s="1"/>
  <c r="M41" i="3" s="1"/>
  <c r="Q41" i="3" s="1"/>
  <c r="K42" i="3"/>
  <c r="L42" i="3" s="1"/>
  <c r="M42" i="3" s="1"/>
  <c r="Q42" i="3" s="1"/>
  <c r="K44" i="3"/>
  <c r="L44" i="3" s="1"/>
  <c r="M44" i="3" s="1"/>
  <c r="Q44" i="3" s="1"/>
  <c r="K45" i="3"/>
  <c r="L45" i="3" s="1"/>
  <c r="M45" i="3" s="1"/>
  <c r="Q45" i="3" s="1"/>
  <c r="K43" i="3"/>
  <c r="L43" i="3" s="1"/>
  <c r="M43" i="3" s="1"/>
  <c r="Q43" i="3" s="1"/>
  <c r="D7" i="5"/>
  <c r="F7" i="5" s="1"/>
  <c r="E8" i="8"/>
  <c r="G8" i="8" s="1"/>
  <c r="E7" i="8"/>
  <c r="G7" i="8" s="1"/>
  <c r="D6" i="13"/>
  <c r="I4" i="8"/>
  <c r="G14" i="3"/>
  <c r="R13" i="3"/>
  <c r="J9" i="8"/>
  <c r="Q18" i="3"/>
  <c r="C10" i="13" s="1"/>
  <c r="K33" i="3"/>
  <c r="K40" i="3"/>
  <c r="K37" i="3"/>
  <c r="K31" i="3"/>
  <c r="K39" i="3"/>
  <c r="K35" i="3"/>
  <c r="K34" i="3"/>
  <c r="K32" i="3"/>
  <c r="K38" i="3"/>
  <c r="K36" i="3"/>
  <c r="D4" i="6"/>
  <c r="G4" i="6" s="1"/>
  <c r="D6" i="6"/>
  <c r="D5" i="6"/>
  <c r="BL32" i="11"/>
  <c r="F19" i="3"/>
  <c r="Q19" i="3" s="1"/>
  <c r="C11" i="13" s="1"/>
  <c r="E19" i="6" l="1"/>
  <c r="F18" i="6"/>
  <c r="F18" i="8" s="1"/>
  <c r="C35" i="13"/>
  <c r="D35" i="5" s="1"/>
  <c r="F35" i="5" s="1"/>
  <c r="D35" i="6" s="1"/>
  <c r="C37" i="13"/>
  <c r="D37" i="5" s="1"/>
  <c r="F37" i="5" s="1"/>
  <c r="D37" i="6" s="1"/>
  <c r="C36" i="13"/>
  <c r="D36" i="5" s="1"/>
  <c r="F36" i="5" s="1"/>
  <c r="D36" i="6" s="1"/>
  <c r="C34" i="13"/>
  <c r="D34" i="5" s="1"/>
  <c r="F34" i="5" s="1"/>
  <c r="D34" i="6" s="1"/>
  <c r="C33" i="13"/>
  <c r="D33" i="5" s="1"/>
  <c r="F33" i="5" s="1"/>
  <c r="D33" i="6" s="1"/>
  <c r="I8" i="8"/>
  <c r="D10" i="5"/>
  <c r="F10" i="5" s="1"/>
  <c r="D10" i="6" s="1"/>
  <c r="D11" i="5"/>
  <c r="F11" i="5" s="1"/>
  <c r="D11" i="6" s="1"/>
  <c r="G11" i="6" s="1"/>
  <c r="D11" i="7" s="1"/>
  <c r="D9" i="12"/>
  <c r="I7" i="8"/>
  <c r="D7" i="13"/>
  <c r="D8" i="13" s="1"/>
  <c r="L36" i="3"/>
  <c r="M36" i="3" s="1"/>
  <c r="L37" i="3"/>
  <c r="M37" i="3" s="1"/>
  <c r="F7" i="12"/>
  <c r="E7" i="12"/>
  <c r="L40" i="3"/>
  <c r="M40" i="3" s="1"/>
  <c r="L33" i="3"/>
  <c r="M33" i="3" s="1"/>
  <c r="L32" i="3"/>
  <c r="M32" i="3" s="1"/>
  <c r="L34" i="3"/>
  <c r="M34" i="3" s="1"/>
  <c r="L35" i="3"/>
  <c r="M35" i="3" s="1"/>
  <c r="L31" i="3"/>
  <c r="M31" i="3" s="1"/>
  <c r="N31" i="3" s="1"/>
  <c r="L38" i="3"/>
  <c r="M38" i="3" s="1"/>
  <c r="G15" i="3"/>
  <c r="R14" i="3"/>
  <c r="L39" i="3"/>
  <c r="M39" i="3" s="1"/>
  <c r="E11" i="8"/>
  <c r="G11" i="8" s="1"/>
  <c r="E10" i="8"/>
  <c r="G5" i="6"/>
  <c r="D5" i="7" s="1"/>
  <c r="D7" i="6"/>
  <c r="D4" i="7"/>
  <c r="G6" i="6"/>
  <c r="D6" i="7" s="1"/>
  <c r="BL33" i="11"/>
  <c r="F20" i="3"/>
  <c r="Q20" i="3" s="1"/>
  <c r="C12" i="13" s="1"/>
  <c r="E20" i="6" l="1"/>
  <c r="F19" i="6"/>
  <c r="F19" i="8" s="1"/>
  <c r="D11" i="12"/>
  <c r="D9" i="13"/>
  <c r="D12" i="5"/>
  <c r="F12" i="5" s="1"/>
  <c r="D10" i="12"/>
  <c r="N32" i="3"/>
  <c r="I11" i="8"/>
  <c r="G10" i="8"/>
  <c r="I10" i="8"/>
  <c r="E8" i="12"/>
  <c r="F8" i="12"/>
  <c r="G16" i="3"/>
  <c r="R15" i="3"/>
  <c r="E6" i="7"/>
  <c r="F6" i="7" s="1"/>
  <c r="G7" i="6"/>
  <c r="D7" i="7" s="1"/>
  <c r="G10" i="6"/>
  <c r="D10" i="7" s="1"/>
  <c r="E5" i="7"/>
  <c r="F5" i="7" s="1"/>
  <c r="G7" i="12"/>
  <c r="E4" i="7"/>
  <c r="F4" i="7" s="1"/>
  <c r="BL34" i="11"/>
  <c r="F21" i="3"/>
  <c r="Q21" i="3" s="1"/>
  <c r="C13" i="13" s="1"/>
  <c r="E21" i="6" l="1"/>
  <c r="F20" i="6"/>
  <c r="F20" i="8" s="1"/>
  <c r="D10" i="13"/>
  <c r="D12" i="12"/>
  <c r="D13" i="5"/>
  <c r="F13" i="5" s="1"/>
  <c r="D13" i="6" s="1"/>
  <c r="G13" i="6" s="1"/>
  <c r="D13" i="7" s="1"/>
  <c r="H7" i="12"/>
  <c r="I7" i="12" s="1"/>
  <c r="E13" i="8"/>
  <c r="G13" i="8" s="1"/>
  <c r="E12" i="8"/>
  <c r="E9" i="12"/>
  <c r="F9" i="12"/>
  <c r="G17" i="3"/>
  <c r="R16" i="3"/>
  <c r="N33" i="3"/>
  <c r="J6" i="8"/>
  <c r="G8" i="12"/>
  <c r="H8" i="12" s="1"/>
  <c r="I8" i="12" s="1"/>
  <c r="E11" i="7"/>
  <c r="F11" i="7" s="1"/>
  <c r="D12" i="6"/>
  <c r="J5" i="8"/>
  <c r="J4" i="8"/>
  <c r="E10" i="7"/>
  <c r="F10" i="7" s="1"/>
  <c r="E7" i="7"/>
  <c r="BL35" i="11"/>
  <c r="F22" i="3"/>
  <c r="Q22" i="3" s="1"/>
  <c r="C14" i="13" s="1"/>
  <c r="E22" i="6" l="1"/>
  <c r="F21" i="6"/>
  <c r="F21" i="8" s="1"/>
  <c r="D11" i="13"/>
  <c r="D14" i="5"/>
  <c r="F14" i="5" s="1"/>
  <c r="D14" i="6" s="1"/>
  <c r="G14" i="6" s="1"/>
  <c r="D14" i="7" s="1"/>
  <c r="D13" i="12"/>
  <c r="I13" i="8"/>
  <c r="G9" i="12"/>
  <c r="H9" i="12" s="1"/>
  <c r="I9" i="12" s="1"/>
  <c r="R17" i="3"/>
  <c r="G18" i="3"/>
  <c r="E10" i="12"/>
  <c r="F10" i="12"/>
  <c r="G12" i="8"/>
  <c r="I12" i="8"/>
  <c r="N34" i="3"/>
  <c r="E14" i="8"/>
  <c r="G14" i="8" s="1"/>
  <c r="J8" i="8"/>
  <c r="F7" i="7"/>
  <c r="J7" i="8"/>
  <c r="J11" i="8"/>
  <c r="J10" i="8"/>
  <c r="G12" i="6"/>
  <c r="D12" i="7" s="1"/>
  <c r="BL36" i="11"/>
  <c r="F23" i="3"/>
  <c r="Q23" i="3" s="1"/>
  <c r="C15" i="13" s="1"/>
  <c r="E23" i="6" l="1"/>
  <c r="F22" i="6"/>
  <c r="F22" i="8" s="1"/>
  <c r="D12" i="13"/>
  <c r="D15" i="5"/>
  <c r="F15" i="5" s="1"/>
  <c r="D15" i="6" s="1"/>
  <c r="G15" i="6" s="1"/>
  <c r="D15" i="7" s="1"/>
  <c r="D14" i="12"/>
  <c r="G10" i="12"/>
  <c r="H10" i="12" s="1"/>
  <c r="I10" i="12" s="1"/>
  <c r="I14" i="8"/>
  <c r="N35" i="3"/>
  <c r="R18" i="3"/>
  <c r="G19" i="3"/>
  <c r="E11" i="12"/>
  <c r="F11" i="12"/>
  <c r="E15" i="8"/>
  <c r="E13" i="7"/>
  <c r="F13" i="7" s="1"/>
  <c r="E12" i="7"/>
  <c r="BL37" i="11"/>
  <c r="F24" i="3"/>
  <c r="Q24" i="3" s="1"/>
  <c r="C16" i="13" s="1"/>
  <c r="E24" i="6" l="1"/>
  <c r="F23" i="6"/>
  <c r="F23" i="8" s="1"/>
  <c r="D13" i="13"/>
  <c r="D16" i="5"/>
  <c r="D15" i="12"/>
  <c r="G11" i="12"/>
  <c r="H11" i="12" s="1"/>
  <c r="I11" i="12" s="1"/>
  <c r="F12" i="12"/>
  <c r="E12" i="12"/>
  <c r="R19" i="3"/>
  <c r="G20" i="3"/>
  <c r="N36" i="3"/>
  <c r="G15" i="8"/>
  <c r="I15" i="8"/>
  <c r="J12" i="8"/>
  <c r="F12" i="7"/>
  <c r="E14" i="7"/>
  <c r="F14" i="7" s="1"/>
  <c r="J13" i="8"/>
  <c r="BL38" i="11"/>
  <c r="J14" i="8"/>
  <c r="F25" i="3"/>
  <c r="Q25" i="3" s="1"/>
  <c r="C17" i="13" s="1"/>
  <c r="E25" i="6" l="1"/>
  <c r="F24" i="6"/>
  <c r="F24" i="8" s="1"/>
  <c r="D14" i="13"/>
  <c r="D17" i="5"/>
  <c r="D16" i="12"/>
  <c r="G12" i="12"/>
  <c r="H12" i="12" s="1"/>
  <c r="I12" i="12" s="1"/>
  <c r="N37" i="3"/>
  <c r="R20" i="3"/>
  <c r="G21" i="3"/>
  <c r="E17" i="8"/>
  <c r="G17" i="8" s="1"/>
  <c r="E16" i="8"/>
  <c r="F13" i="12"/>
  <c r="E13" i="12"/>
  <c r="F16" i="5"/>
  <c r="D16" i="6" s="1"/>
  <c r="G16" i="6" s="1"/>
  <c r="D16" i="7" s="1"/>
  <c r="E15" i="7"/>
  <c r="F15" i="7" s="1"/>
  <c r="J15" i="8"/>
  <c r="BL39" i="11"/>
  <c r="F26" i="3"/>
  <c r="Q26" i="3" s="1"/>
  <c r="C18" i="13" s="1"/>
  <c r="E26" i="6" l="1"/>
  <c r="F25" i="6"/>
  <c r="D18" i="5"/>
  <c r="F18" i="5" s="1"/>
  <c r="D18" i="6" s="1"/>
  <c r="G18" i="6" s="1"/>
  <c r="D18" i="7" s="1"/>
  <c r="D15" i="13"/>
  <c r="D18" i="12" s="1"/>
  <c r="D17" i="12"/>
  <c r="G13" i="12"/>
  <c r="F17" i="5"/>
  <c r="D17" i="6" s="1"/>
  <c r="G17" i="6" s="1"/>
  <c r="D17" i="7" s="1"/>
  <c r="I17" i="8"/>
  <c r="R21" i="3"/>
  <c r="G22" i="3"/>
  <c r="E14" i="12"/>
  <c r="F14" i="12"/>
  <c r="G16" i="8"/>
  <c r="I16" i="8"/>
  <c r="N38" i="3"/>
  <c r="E16" i="7"/>
  <c r="BL40" i="11"/>
  <c r="F27" i="3"/>
  <c r="Q27" i="3" s="1"/>
  <c r="C19" i="13" s="1"/>
  <c r="F25" i="8" l="1"/>
  <c r="E27" i="6"/>
  <c r="F26" i="6"/>
  <c r="F26" i="8" s="1"/>
  <c r="H13" i="12"/>
  <c r="I13" i="12" s="1"/>
  <c r="G14" i="12"/>
  <c r="D19" i="5"/>
  <c r="F19" i="5" s="1"/>
  <c r="D19" i="6" s="1"/>
  <c r="G19" i="6" s="1"/>
  <c r="D19" i="7" s="1"/>
  <c r="E19" i="7" s="1"/>
  <c r="D16" i="13"/>
  <c r="D19" i="12" s="1"/>
  <c r="E19" i="8"/>
  <c r="E18" i="8"/>
  <c r="G18" i="8" s="1"/>
  <c r="N39" i="3"/>
  <c r="R22" i="3"/>
  <c r="G23" i="3"/>
  <c r="E15" i="12"/>
  <c r="F15" i="12"/>
  <c r="J16" i="8"/>
  <c r="F16" i="7"/>
  <c r="E17" i="7"/>
  <c r="F17" i="7" s="1"/>
  <c r="BL41" i="11"/>
  <c r="F28" i="3"/>
  <c r="Q28" i="3" s="1"/>
  <c r="C20" i="13" s="1"/>
  <c r="E28" i="6" l="1"/>
  <c r="F27" i="6"/>
  <c r="F27" i="8" s="1"/>
  <c r="I19" i="8"/>
  <c r="G19" i="8"/>
  <c r="G15" i="12"/>
  <c r="H15" i="12" s="1"/>
  <c r="I15" i="12" s="1"/>
  <c r="D17" i="13"/>
  <c r="D20" i="5"/>
  <c r="F20" i="5" s="1"/>
  <c r="D20" i="6" s="1"/>
  <c r="G20" i="6" s="1"/>
  <c r="D20" i="7" s="1"/>
  <c r="E20" i="7" s="1"/>
  <c r="R23" i="3"/>
  <c r="G24" i="3"/>
  <c r="E16" i="12"/>
  <c r="F16" i="12"/>
  <c r="N40" i="3"/>
  <c r="N41" i="3" s="1"/>
  <c r="N42" i="3" s="1"/>
  <c r="N43" i="3" s="1"/>
  <c r="N44" i="3" s="1"/>
  <c r="N45" i="3" s="1"/>
  <c r="I18" i="8"/>
  <c r="E18" i="7"/>
  <c r="F18" i="7" s="1"/>
  <c r="J17" i="8"/>
  <c r="BL42" i="11"/>
  <c r="F19" i="7"/>
  <c r="F29" i="3"/>
  <c r="Q29" i="3" s="1"/>
  <c r="C21" i="13" s="1"/>
  <c r="E29" i="6" l="1"/>
  <c r="F28" i="6"/>
  <c r="F28" i="8" s="1"/>
  <c r="G16" i="12"/>
  <c r="H16" i="12" s="1"/>
  <c r="I16" i="12" s="1"/>
  <c r="D18" i="13"/>
  <c r="D21" i="5"/>
  <c r="F21" i="5" s="1"/>
  <c r="D21" i="6" s="1"/>
  <c r="G21" i="6" s="1"/>
  <c r="D21" i="7" s="1"/>
  <c r="E21" i="7" s="1"/>
  <c r="D20" i="12"/>
  <c r="E20" i="8"/>
  <c r="R24" i="3"/>
  <c r="G25" i="3"/>
  <c r="E17" i="12"/>
  <c r="F17" i="12"/>
  <c r="J18" i="8"/>
  <c r="J19" i="8"/>
  <c r="BL43" i="11"/>
  <c r="BL44" i="11" s="1"/>
  <c r="BL45" i="11" s="1"/>
  <c r="BL46" i="11" s="1"/>
  <c r="BL47" i="11" s="1"/>
  <c r="BL48" i="11" s="1"/>
  <c r="F35" i="3"/>
  <c r="Q35" i="3" s="1"/>
  <c r="C27" i="13" s="1"/>
  <c r="F40" i="3"/>
  <c r="Q40" i="3" s="1"/>
  <c r="C32" i="13" s="1"/>
  <c r="E33" i="8" s="1"/>
  <c r="F30" i="3"/>
  <c r="Q30" i="3" s="1"/>
  <c r="C22" i="13" s="1"/>
  <c r="F32" i="3"/>
  <c r="Q32" i="3" s="1"/>
  <c r="C24" i="13" s="1"/>
  <c r="F34" i="3"/>
  <c r="Q34" i="3" s="1"/>
  <c r="C26" i="13" s="1"/>
  <c r="F38" i="3"/>
  <c r="Q38" i="3" s="1"/>
  <c r="C30" i="13" s="1"/>
  <c r="F39" i="3"/>
  <c r="Q39" i="3" s="1"/>
  <c r="C31" i="13" s="1"/>
  <c r="F31" i="3"/>
  <c r="Q31" i="3" s="1"/>
  <c r="C23" i="13" s="1"/>
  <c r="F33" i="3"/>
  <c r="Q33" i="3" s="1"/>
  <c r="C25" i="13" s="1"/>
  <c r="F36" i="3"/>
  <c r="Q36" i="3" s="1"/>
  <c r="C28" i="13" s="1"/>
  <c r="F37" i="3"/>
  <c r="Q37" i="3" s="1"/>
  <c r="C29" i="13" s="1"/>
  <c r="E30" i="6" l="1"/>
  <c r="F29" i="6"/>
  <c r="F29" i="8" s="1"/>
  <c r="I20" i="8"/>
  <c r="G20" i="8"/>
  <c r="G17" i="12"/>
  <c r="H17" i="12" s="1"/>
  <c r="I17" i="12" s="1"/>
  <c r="D26" i="5"/>
  <c r="D31" i="5"/>
  <c r="F31" i="5" s="1"/>
  <c r="D31" i="6" s="1"/>
  <c r="D23" i="5"/>
  <c r="F23" i="5" s="1"/>
  <c r="D23" i="6" s="1"/>
  <c r="G23" i="6" s="1"/>
  <c r="D23" i="7" s="1"/>
  <c r="E23" i="7" s="1"/>
  <c r="D24" i="5"/>
  <c r="F24" i="5" s="1"/>
  <c r="D24" i="6" s="1"/>
  <c r="G24" i="6" s="1"/>
  <c r="D24" i="7" s="1"/>
  <c r="E24" i="7" s="1"/>
  <c r="D22" i="5"/>
  <c r="D28" i="5"/>
  <c r="F28" i="5" s="1"/>
  <c r="D28" i="6" s="1"/>
  <c r="G28" i="6" s="1"/>
  <c r="D28" i="7" s="1"/>
  <c r="E28" i="7" s="1"/>
  <c r="D32" i="5"/>
  <c r="F32" i="5" s="1"/>
  <c r="D32" i="6" s="1"/>
  <c r="D19" i="13"/>
  <c r="D22" i="12" s="1"/>
  <c r="D30" i="5"/>
  <c r="F30" i="5" s="1"/>
  <c r="D30" i="6" s="1"/>
  <c r="G30" i="6" s="1"/>
  <c r="D30" i="7" s="1"/>
  <c r="E30" i="7" s="1"/>
  <c r="D29" i="5"/>
  <c r="F29" i="5" s="1"/>
  <c r="D29" i="6" s="1"/>
  <c r="G29" i="6" s="1"/>
  <c r="D29" i="7" s="1"/>
  <c r="E29" i="7" s="1"/>
  <c r="D25" i="5"/>
  <c r="F25" i="5" s="1"/>
  <c r="D25" i="6" s="1"/>
  <c r="G25" i="6" s="1"/>
  <c r="D25" i="7" s="1"/>
  <c r="E25" i="7" s="1"/>
  <c r="D27" i="5"/>
  <c r="F27" i="5" s="1"/>
  <c r="D27" i="6" s="1"/>
  <c r="G27" i="6" s="1"/>
  <c r="D27" i="7" s="1"/>
  <c r="E27" i="7" s="1"/>
  <c r="D21" i="12"/>
  <c r="E31" i="8"/>
  <c r="G31" i="8" s="1"/>
  <c r="E29" i="8"/>
  <c r="G29" i="8" s="1"/>
  <c r="E27" i="8"/>
  <c r="G27" i="8" s="1"/>
  <c r="E25" i="8"/>
  <c r="G25" i="8" s="1"/>
  <c r="E18" i="12"/>
  <c r="F18" i="12"/>
  <c r="E30" i="8"/>
  <c r="G30" i="8" s="1"/>
  <c r="E23" i="8"/>
  <c r="G23" i="8" s="1"/>
  <c r="R25" i="3"/>
  <c r="G26" i="3"/>
  <c r="E28" i="8"/>
  <c r="G28" i="8" s="1"/>
  <c r="E26" i="8"/>
  <c r="G26" i="8" s="1"/>
  <c r="E24" i="8"/>
  <c r="G24" i="8" s="1"/>
  <c r="E21" i="8"/>
  <c r="F26" i="5"/>
  <c r="D26" i="6" s="1"/>
  <c r="G26" i="6" s="1"/>
  <c r="D26" i="7" s="1"/>
  <c r="E26" i="7" s="1"/>
  <c r="F21" i="7"/>
  <c r="E31" i="6" l="1"/>
  <c r="F30" i="6"/>
  <c r="F30" i="8" s="1"/>
  <c r="I21" i="8"/>
  <c r="G21" i="8"/>
  <c r="G18" i="12"/>
  <c r="H18" i="12" s="1"/>
  <c r="I18" i="12" s="1"/>
  <c r="I27" i="8"/>
  <c r="G33" i="8"/>
  <c r="D20" i="13"/>
  <c r="D21" i="13" s="1"/>
  <c r="E32" i="8"/>
  <c r="G32" i="8" s="1"/>
  <c r="I28" i="8"/>
  <c r="I25" i="8"/>
  <c r="I30" i="8"/>
  <c r="I29" i="8"/>
  <c r="E19" i="12"/>
  <c r="F19" i="12"/>
  <c r="E22" i="8"/>
  <c r="G22" i="8" s="1"/>
  <c r="I24" i="8"/>
  <c r="I26" i="8"/>
  <c r="F22" i="5"/>
  <c r="D22" i="6" s="1"/>
  <c r="G22" i="6" s="1"/>
  <c r="D22" i="7" s="1"/>
  <c r="E22" i="7" s="1"/>
  <c r="R26" i="3"/>
  <c r="G27" i="3"/>
  <c r="F20" i="12"/>
  <c r="E20" i="12"/>
  <c r="I23" i="8"/>
  <c r="J20" i="8"/>
  <c r="F20" i="7"/>
  <c r="F23" i="7"/>
  <c r="F24" i="7"/>
  <c r="E32" i="6" l="1"/>
  <c r="F31" i="6"/>
  <c r="F31" i="8" s="1"/>
  <c r="G31" i="6"/>
  <c r="D31" i="7" s="1"/>
  <c r="E31" i="7" s="1"/>
  <c r="J21" i="8"/>
  <c r="G34" i="8"/>
  <c r="D24" i="12"/>
  <c r="D22" i="13"/>
  <c r="D23" i="13" s="1"/>
  <c r="D23" i="12"/>
  <c r="I22" i="8"/>
  <c r="E34" i="8"/>
  <c r="E35" i="8" s="1"/>
  <c r="F21" i="12"/>
  <c r="E21" i="12"/>
  <c r="R27" i="3"/>
  <c r="G28" i="3"/>
  <c r="F22" i="7"/>
  <c r="F29" i="7"/>
  <c r="F30" i="7"/>
  <c r="J24" i="8"/>
  <c r="F28" i="7"/>
  <c r="F25" i="7"/>
  <c r="J23" i="8"/>
  <c r="F26" i="7"/>
  <c r="F27" i="7"/>
  <c r="F31" i="7"/>
  <c r="I31" i="8" l="1"/>
  <c r="E33" i="6"/>
  <c r="F32" i="6"/>
  <c r="G32" i="6"/>
  <c r="D32" i="7" s="1"/>
  <c r="E32" i="7" s="1"/>
  <c r="D26" i="12"/>
  <c r="D24" i="13"/>
  <c r="D25" i="13" s="1"/>
  <c r="D25" i="12"/>
  <c r="J22" i="8"/>
  <c r="R28" i="3"/>
  <c r="G29" i="3"/>
  <c r="E22" i="12"/>
  <c r="F22" i="12"/>
  <c r="F32" i="7"/>
  <c r="H20" i="12"/>
  <c r="I20" i="12" s="1"/>
  <c r="J29" i="8"/>
  <c r="J30" i="8"/>
  <c r="J28" i="8"/>
  <c r="J27" i="8"/>
  <c r="J31" i="8"/>
  <c r="J26" i="8"/>
  <c r="J25" i="8"/>
  <c r="F32" i="8" l="1"/>
  <c r="F33" i="8"/>
  <c r="I33" i="8" s="1"/>
  <c r="J33" i="8" s="1"/>
  <c r="E34" i="6"/>
  <c r="F33" i="6"/>
  <c r="F34" i="6" s="1"/>
  <c r="G33" i="6"/>
  <c r="D33" i="7" s="1"/>
  <c r="E33" i="7" s="1"/>
  <c r="F33" i="7" s="1"/>
  <c r="D28" i="12"/>
  <c r="D26" i="13"/>
  <c r="D27" i="12"/>
  <c r="F23" i="12"/>
  <c r="E23" i="12"/>
  <c r="R29" i="3"/>
  <c r="G30" i="3"/>
  <c r="E35" i="6" l="1"/>
  <c r="G34" i="6"/>
  <c r="D34" i="7" s="1"/>
  <c r="E34" i="7" s="1"/>
  <c r="F34" i="7" s="1"/>
  <c r="I32" i="8"/>
  <c r="F34" i="8"/>
  <c r="D27" i="13"/>
  <c r="D29" i="12"/>
  <c r="F24" i="12"/>
  <c r="E24" i="12"/>
  <c r="G31" i="3"/>
  <c r="R30" i="3"/>
  <c r="I34" i="8" l="1"/>
  <c r="J32" i="8"/>
  <c r="J34" i="8" s="1"/>
  <c r="E36" i="6"/>
  <c r="G35" i="6"/>
  <c r="D35" i="7" s="1"/>
  <c r="E35" i="7" s="1"/>
  <c r="F35" i="7" s="1"/>
  <c r="F35" i="6"/>
  <c r="F36" i="6" s="1"/>
  <c r="D28" i="13"/>
  <c r="D30" i="12"/>
  <c r="G32" i="3"/>
  <c r="R31" i="3"/>
  <c r="E25" i="12"/>
  <c r="F25" i="12"/>
  <c r="E37" i="6" l="1"/>
  <c r="G36" i="6"/>
  <c r="D36" i="7" s="1"/>
  <c r="E36" i="7" s="1"/>
  <c r="F36" i="7" s="1"/>
  <c r="D29" i="13"/>
  <c r="D31" i="12"/>
  <c r="E26" i="12"/>
  <c r="F26" i="12"/>
  <c r="G33" i="3"/>
  <c r="R32" i="3"/>
  <c r="G37" i="6" l="1"/>
  <c r="D37" i="7" s="1"/>
  <c r="E37" i="7" s="1"/>
  <c r="F37" i="7" s="1"/>
  <c r="F37" i="6"/>
  <c r="D30" i="13"/>
  <c r="D32" i="12"/>
  <c r="E27" i="12"/>
  <c r="F27" i="12"/>
  <c r="G34" i="3"/>
  <c r="R33" i="3"/>
  <c r="D31" i="13" l="1"/>
  <c r="D33" i="12"/>
  <c r="F28" i="12"/>
  <c r="E28" i="12"/>
  <c r="G35" i="3"/>
  <c r="R34" i="3"/>
  <c r="D32" i="13" l="1"/>
  <c r="D35" i="12" s="1"/>
  <c r="D34" i="12"/>
  <c r="F29" i="12"/>
  <c r="E29" i="12"/>
  <c r="G36" i="3"/>
  <c r="R35" i="3"/>
  <c r="D33" i="13" l="1"/>
  <c r="D34" i="13" s="1"/>
  <c r="G37" i="3"/>
  <c r="R36" i="3"/>
  <c r="E30" i="12"/>
  <c r="F30" i="12"/>
  <c r="D37" i="12" l="1"/>
  <c r="D35" i="13"/>
  <c r="D36" i="13" s="1"/>
  <c r="D36" i="12"/>
  <c r="E36" i="12" s="1"/>
  <c r="E31" i="12"/>
  <c r="F31" i="12"/>
  <c r="G38" i="3"/>
  <c r="R37" i="3"/>
  <c r="D39" i="12" l="1"/>
  <c r="D37" i="13"/>
  <c r="D40" i="12" s="1"/>
  <c r="D41" i="12" s="1"/>
  <c r="D38" i="12"/>
  <c r="E37" i="12"/>
  <c r="F37" i="12"/>
  <c r="E32" i="12"/>
  <c r="F32" i="12"/>
  <c r="G39" i="3"/>
  <c r="R38" i="3"/>
  <c r="E40" i="12" l="1"/>
  <c r="F40" i="12"/>
  <c r="F38" i="12"/>
  <c r="E38" i="12"/>
  <c r="E39" i="12"/>
  <c r="F39" i="12"/>
  <c r="E33" i="12"/>
  <c r="F33" i="12"/>
  <c r="G40" i="3"/>
  <c r="R39" i="3"/>
  <c r="R40" i="3" l="1"/>
  <c r="G41" i="3"/>
  <c r="E41" i="12"/>
  <c r="F41" i="12"/>
  <c r="E34" i="12"/>
  <c r="F34" i="12"/>
  <c r="G42" i="3" l="1"/>
  <c r="R41" i="3"/>
  <c r="E35" i="12"/>
  <c r="F35" i="12"/>
  <c r="G43" i="3" l="1"/>
  <c r="R42" i="3"/>
  <c r="F36" i="12"/>
  <c r="F42" i="12" s="1"/>
  <c r="F43" i="12" s="1"/>
  <c r="G19" i="12" s="1"/>
  <c r="H19" i="12" s="1"/>
  <c r="I19" i="12" s="1"/>
  <c r="G44" i="3" l="1"/>
  <c r="R43" i="3"/>
  <c r="H14" i="12"/>
  <c r="I14" i="12" s="1"/>
  <c r="R44" i="3" l="1"/>
  <c r="G45" i="3"/>
  <c r="R45" i="3" s="1"/>
  <c r="E57" i="1"/>
  <c r="E36" i="8" s="1"/>
  <c r="D36"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Sahil Pathan</author>
    <author>Rajat Singh</author>
  </authors>
  <commentList>
    <comment ref="G2" authorId="0" shapeId="0" xr:uid="{F358E4CB-B353-4F61-96AA-22F675B9977D}">
      <text>
        <r>
          <rPr>
            <b/>
            <sz val="9"/>
            <color indexed="81"/>
            <rFont val="Tahoma"/>
            <family val="2"/>
          </rPr>
          <t>Dhaval:</t>
        </r>
        <r>
          <rPr>
            <sz val="9"/>
            <color indexed="81"/>
            <rFont val="Tahoma"/>
            <family val="2"/>
          </rPr>
          <t xml:space="preserve">
As per CDM Tool 14</t>
        </r>
      </text>
    </comment>
    <comment ref="I2" authorId="1" shapeId="0" xr:uid="{6E2ADD69-641F-4C32-980D-79F6DC8237AE}">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J2" authorId="1" shapeId="0" xr:uid="{EB1F449F-BA1A-4C44-AFEC-AC001D438028}">
      <text>
        <r>
          <rPr>
            <b/>
            <sz val="9"/>
            <color indexed="81"/>
            <rFont val="Tahoma"/>
            <family val="2"/>
          </rPr>
          <t>Rajat Singh:</t>
        </r>
        <r>
          <rPr>
            <sz val="9"/>
            <color indexed="81"/>
            <rFont val="Tahoma"/>
            <family val="2"/>
          </rPr>
          <t xml:space="preserve">
as Per CDM Tool 12</t>
        </r>
      </text>
    </comment>
    <comment ref="K2" authorId="1" shapeId="0" xr:uid="{C1CFE6B8-CB44-4CCD-87D9-2B00B9ED26D3}">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E4" authorId="0" shapeId="0" xr:uid="{31BA8643-631E-4CB5-98FF-371744EB463E}">
      <text>
        <r>
          <rPr>
            <sz val="9"/>
            <color indexed="81"/>
            <rFont val="Tahoma"/>
            <family val="2"/>
          </rPr>
          <t xml:space="preserve">
where X= collar Diameter</t>
        </r>
      </text>
    </comment>
    <comment ref="L9" authorId="1" shapeId="0" xr:uid="{DB4AE77C-E66E-418C-870E-858838F04741}">
      <text>
        <r>
          <rPr>
            <b/>
            <sz val="9"/>
            <color indexed="81"/>
            <rFont val="Tahoma"/>
            <family val="2"/>
          </rPr>
          <t>Rajat Singh:</t>
        </r>
        <r>
          <rPr>
            <sz val="9"/>
            <color indexed="81"/>
            <rFont val="Tahoma"/>
            <family val="2"/>
          </rPr>
          <t xml:space="preserve">
As per CDM Tool 14</t>
        </r>
      </text>
    </comment>
    <comment ref="M9" authorId="1" shapeId="0" xr:uid="{CEEB3F8B-3580-414B-9A26-67EC1AA5469D}">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N9" authorId="1" shapeId="0" xr:uid="{340B08D3-495C-42CB-B299-36134E70471C}">
      <text>
        <r>
          <rPr>
            <b/>
            <sz val="9"/>
            <color indexed="81"/>
            <rFont val="Tahoma"/>
            <family val="2"/>
          </rPr>
          <t>Rajat Singh:</t>
        </r>
        <r>
          <rPr>
            <sz val="9"/>
            <color indexed="81"/>
            <rFont val="Tahoma"/>
            <family val="2"/>
          </rPr>
          <t xml:space="preserve">
as Per CDM Tool 12</t>
        </r>
      </text>
    </comment>
    <comment ref="O9" authorId="1" shapeId="0" xr:uid="{160369A0-64DF-47A4-9BC1-5C28AA75FECA}">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E10" authorId="1" shapeId="0" xr:uid="{FCCAA801-9332-4E62-A272-FBF8260C8169}">
      <text>
        <r>
          <rPr>
            <b/>
            <sz val="9"/>
            <color indexed="81"/>
            <rFont val="Tahoma"/>
            <family val="2"/>
          </rPr>
          <t>Rajat Singh:</t>
        </r>
        <r>
          <rPr>
            <sz val="9"/>
            <color indexed="81"/>
            <rFont val="Tahoma"/>
            <family val="2"/>
          </rPr>
          <t xml:space="preserve">
Andhra Pradesh forest Inventary Report,2010</t>
        </r>
      </text>
    </comment>
    <comment ref="I10" authorId="1" shapeId="0" xr:uid="{989874BE-F34B-4268-B6F1-B13FE7D6DBA7}">
      <text>
        <r>
          <rPr>
            <b/>
            <sz val="9"/>
            <color indexed="81"/>
            <rFont val="Tahoma"/>
            <family val="2"/>
          </rPr>
          <t>Rajat Singh:</t>
        </r>
        <r>
          <rPr>
            <sz val="9"/>
            <color indexed="81"/>
            <rFont val="Tahoma"/>
            <family val="2"/>
          </rPr>
          <t xml:space="preserve">
As per the Tool- 14</t>
        </r>
      </text>
    </comment>
    <comment ref="J10" authorId="1" shapeId="0" xr:uid="{B18245A1-4DD5-4130-9BE6-E041B65716D2}">
      <text>
        <r>
          <rPr>
            <b/>
            <sz val="9"/>
            <color indexed="81"/>
            <rFont val="Tahoma"/>
            <family val="2"/>
          </rPr>
          <t>Rajat Singh:</t>
        </r>
        <r>
          <rPr>
            <sz val="9"/>
            <color indexed="81"/>
            <rFont val="Tahoma"/>
            <family val="2"/>
          </rPr>
          <t xml:space="preserve">
As per the IPPC default value, 
Tale 3.19.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Rajat Singh</author>
  </authors>
  <commentList>
    <comment ref="AA11" authorId="0" shapeId="0" xr:uid="{5BA66A22-D880-485A-8BFF-6BD2E801ADDF}">
      <text>
        <r>
          <rPr>
            <b/>
            <sz val="9"/>
            <color indexed="81"/>
            <rFont val="Tahoma"/>
            <family val="2"/>
          </rPr>
          <t>Rajat Singh:</t>
        </r>
        <r>
          <rPr>
            <sz val="9"/>
            <color indexed="81"/>
            <rFont val="Tahoma"/>
            <family val="2"/>
          </rPr>
          <t xml:space="preserve">
https://krishikosh.egranth.ac.in/assets/pdfjs/web/viewer.html?file=https%3A%2F%2Fkrishikosh.egranth.ac.in%2Fserver%2Fapi%2Fcore%2Fbitstreams%2F3471dde7-11cf-482c-801f-9cb015a8aa0e%2Fcontent
Table 1  give the stem girth at 5 cm DBH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Rajat Singh</author>
  </authors>
  <commentList>
    <comment ref="K11" authorId="0" shapeId="0" xr:uid="{7F17425E-261B-4237-9234-1B6D416F3A85}">
      <text>
        <r>
          <rPr>
            <b/>
            <sz val="9"/>
            <color indexed="81"/>
            <rFont val="Tahoma"/>
            <family val="2"/>
          </rPr>
          <t>Rajat Singh:</t>
        </r>
        <r>
          <rPr>
            <sz val="9"/>
            <color indexed="81"/>
            <rFont val="Tahoma"/>
            <family val="2"/>
          </rPr>
          <t xml:space="preserve">
https://www.currentscience.ac.in/Volumes/120/10/1627.pdf</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Rajat Singh</author>
  </authors>
  <commentList>
    <comment ref="K11" authorId="0" shapeId="0" xr:uid="{00A04A7D-978B-4DC3-9AC6-1A5C7E7CB52D}">
      <text>
        <r>
          <rPr>
            <b/>
            <sz val="9"/>
            <color indexed="81"/>
            <rFont val="Tahoma"/>
            <family val="2"/>
          </rPr>
          <t>Rajat Singh:</t>
        </r>
        <r>
          <rPr>
            <sz val="9"/>
            <color indexed="81"/>
            <rFont val="Tahoma"/>
            <family val="2"/>
          </rPr>
          <t xml:space="preserve">
Table 03:
https://krishikosh.egranth.ac.in/assets/pdfjs/web/viewer.html?file=https%3A%2F%2Fkrishikosh.egranth.ac.in%2Fserver%2Fapi%2Fcore%2Fbitstreams%2Fad5f5982-8fc8-445d-b889-59fecc51074b%2Fcontent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Rajat Singh</author>
  </authors>
  <commentList>
    <comment ref="E4" authorId="0" shapeId="0" xr:uid="{A13B5EAA-1AF9-42ED-8CB0-E3DC31C2A0F1}">
      <text>
        <r>
          <rPr>
            <b/>
            <sz val="9"/>
            <color indexed="81"/>
            <rFont val="Tahoma"/>
            <family val="2"/>
          </rPr>
          <t>Rajat Singh:</t>
        </r>
        <r>
          <rPr>
            <sz val="9"/>
            <color indexed="81"/>
            <rFont val="Tahoma"/>
            <family val="2"/>
          </rPr>
          <t xml:space="preserve">
https://oar.icrisat.org/6817/1/CurrentSc_104_10_1308-1323_2013.pdf</t>
        </r>
      </text>
    </comment>
    <comment ref="L4" authorId="0" shapeId="0" xr:uid="{131AEF32-0E06-4178-BEAE-9371C8545464}">
      <text>
        <r>
          <rPr>
            <b/>
            <sz val="9"/>
            <color indexed="81"/>
            <rFont val="Tahoma"/>
            <charset val="1"/>
          </rPr>
          <t>Rajat Singh:</t>
        </r>
        <r>
          <rPr>
            <sz val="9"/>
            <color indexed="81"/>
            <rFont val="Tahoma"/>
            <charset val="1"/>
          </rPr>
          <t xml:space="preserve">
https://oar.icrisat.org/6817/1/CurrentSc_104_10_1308-1323_2013.pdf</t>
        </r>
      </text>
    </comment>
    <comment ref="E5" authorId="0" shapeId="0" xr:uid="{F0A0FBC3-B25B-472A-B4E6-B29DC8E2444B}">
      <text>
        <r>
          <rPr>
            <b/>
            <sz val="9"/>
            <color indexed="81"/>
            <rFont val="Tahoma"/>
            <family val="2"/>
          </rPr>
          <t>Rajat Singh:</t>
        </r>
        <r>
          <rPr>
            <sz val="9"/>
            <color indexed="81"/>
            <rFont val="Tahoma"/>
            <family val="2"/>
          </rPr>
          <t xml:space="preserve">
Area has been continuously
managed for crops for more than
20 years </t>
        </r>
      </text>
    </comment>
    <comment ref="L5" authorId="0" shapeId="0" xr:uid="{4C70286D-D32C-45D0-87DE-68183448442F}">
      <text>
        <r>
          <rPr>
            <b/>
            <sz val="9"/>
            <color indexed="81"/>
            <rFont val="Tahoma"/>
            <family val="2"/>
          </rPr>
          <t>Rajat Singh:</t>
        </r>
        <r>
          <rPr>
            <sz val="9"/>
            <color indexed="81"/>
            <rFont val="Tahoma"/>
            <family val="2"/>
          </rPr>
          <t xml:space="preserve">
Area has been continuously
managed for crops for more than
20 years </t>
        </r>
      </text>
    </comment>
    <comment ref="E6" authorId="0" shapeId="0" xr:uid="{FAFE3A10-F395-4A3D-9121-C8EAD1A3F93C}">
      <text>
        <r>
          <rPr>
            <b/>
            <sz val="9"/>
            <color indexed="81"/>
            <rFont val="Tahoma"/>
            <family val="2"/>
          </rPr>
          <t>Rajat Singh:</t>
        </r>
        <r>
          <rPr>
            <sz val="9"/>
            <color indexed="81"/>
            <rFont val="Tahoma"/>
            <family val="2"/>
          </rPr>
          <t xml:space="preserve">
Substantial soil disturbance with
full inversion and/or frequent
(within-year) tillage operations.
At planting time, little (e.g. &lt;30%)
of the surface is covered by
residues</t>
        </r>
      </text>
    </comment>
    <comment ref="L6" authorId="0" shapeId="0" xr:uid="{6B21995E-EB80-4F31-9E38-16EAC63F9042}">
      <text>
        <r>
          <rPr>
            <b/>
            <sz val="9"/>
            <color indexed="81"/>
            <rFont val="Tahoma"/>
            <family val="2"/>
          </rPr>
          <t>Rajat Singh:</t>
        </r>
        <r>
          <rPr>
            <sz val="9"/>
            <color indexed="81"/>
            <rFont val="Tahoma"/>
            <family val="2"/>
          </rPr>
          <t xml:space="preserve">
Substantial soil disturbance with
full inversion and/or frequent
(within-year) tillage operations.
At planting time, little (e.g. &lt;30%)
of the surface is covered by
residues</t>
        </r>
      </text>
    </comment>
    <comment ref="E7" authorId="0" shapeId="0" xr:uid="{4871828A-A9D2-4A38-B68E-D79342F82328}">
      <text>
        <r>
          <rPr>
            <b/>
            <sz val="9"/>
            <color indexed="81"/>
            <rFont val="Tahoma"/>
            <family val="2"/>
          </rPr>
          <t>Rajat Singh:</t>
        </r>
        <r>
          <rPr>
            <sz val="9"/>
            <color indexed="81"/>
            <rFont val="Tahoma"/>
            <family val="2"/>
          </rPr>
          <t xml:space="preserve">
All crop residues are returned to
the field. If residues are removed
then supplemental organic matter
(e.g. manure) is added.</t>
        </r>
      </text>
    </comment>
    <comment ref="L7" authorId="0" shapeId="0" xr:uid="{EC766B3F-4701-4D25-889B-4810CFA3E64F}">
      <text>
        <r>
          <rPr>
            <b/>
            <sz val="9"/>
            <color indexed="81"/>
            <rFont val="Tahoma"/>
            <family val="2"/>
          </rPr>
          <t>Rajat Singh:</t>
        </r>
        <r>
          <rPr>
            <sz val="9"/>
            <color indexed="81"/>
            <rFont val="Tahoma"/>
            <family val="2"/>
          </rPr>
          <t xml:space="preserve">
All crop residues are returned to
the field. If residues are removed
then supplemental organic matter
(e.g. manure) is added.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Himanshu</author>
    <author xml:space="preserve">Pankaj Kumar Tomar </author>
  </authors>
  <commentList>
    <comment ref="M12" authorId="0" shapeId="0" xr:uid="{B5480F57-37A1-4782-BBC2-2F8A5671E977}">
      <text>
        <r>
          <rPr>
            <b/>
            <sz val="9"/>
            <color indexed="81"/>
            <rFont val="Tahoma"/>
            <family val="2"/>
          </rPr>
          <t>Himanshu:</t>
        </r>
        <r>
          <rPr>
            <sz val="9"/>
            <color indexed="81"/>
            <rFont val="Tahoma"/>
            <family val="2"/>
          </rPr>
          <t xml:space="preserve">
Default value from tool AR-TOOL 14</t>
        </r>
      </text>
    </comment>
    <comment ref="Q12" authorId="1" shapeId="0" xr:uid="{63D98BBF-7D4B-4F3D-941F-8C41D0581632}">
      <text>
        <r>
          <rPr>
            <b/>
            <sz val="9"/>
            <color indexed="81"/>
            <rFont val="Tahoma"/>
            <family val="2"/>
          </rPr>
          <t>Pankaj Kumar Tomar :</t>
        </r>
        <r>
          <rPr>
            <sz val="9"/>
            <color indexed="81"/>
            <rFont val="Tahoma"/>
            <family val="2"/>
          </rPr>
          <t xml:space="preserve">
A</t>
        </r>
        <r>
          <rPr>
            <vertAlign val="subscript"/>
            <sz val="9"/>
            <color indexed="81"/>
            <rFont val="Tahoma"/>
            <family val="2"/>
          </rPr>
          <t>DISP,i</t>
        </r>
        <r>
          <rPr>
            <sz val="9"/>
            <color indexed="81"/>
            <rFont val="Tahoma"/>
            <family val="2"/>
          </rPr>
          <t>=(3.14*radius</t>
        </r>
        <r>
          <rPr>
            <vertAlign val="superscript"/>
            <sz val="9"/>
            <color indexed="81"/>
            <rFont val="Tahoma"/>
            <family val="2"/>
          </rPr>
          <t>2</t>
        </r>
        <r>
          <rPr>
            <sz val="9"/>
            <color indexed="81"/>
            <rFont val="Tahoma"/>
            <family val="2"/>
          </rPr>
          <t xml:space="preserve">)*No. of trees
</t>
        </r>
      </text>
    </comment>
    <comment ref="M13" authorId="0" shapeId="0" xr:uid="{4BA4A702-8DEC-4057-8E90-2F05797D1846}">
      <text>
        <r>
          <rPr>
            <b/>
            <sz val="9"/>
            <color indexed="81"/>
            <rFont val="Tahoma"/>
            <family val="2"/>
          </rPr>
          <t>Himanshu:</t>
        </r>
        <r>
          <rPr>
            <sz val="9"/>
            <color indexed="81"/>
            <rFont val="Tahoma"/>
            <family val="2"/>
          </rPr>
          <t xml:space="preserve">
Default value for Forest in India as per table 3A.1.4 of IPCC GPG-LULUCF 2003</t>
        </r>
      </text>
    </comment>
    <comment ref="K14" authorId="0" shapeId="0" xr:uid="{4CF8FE22-E78B-4D74-9747-3F9A3C770143}">
      <text>
        <r>
          <rPr>
            <b/>
            <sz val="9"/>
            <color indexed="81"/>
            <rFont val="Tahoma"/>
            <family val="2"/>
          </rPr>
          <t>Himanshu:</t>
        </r>
        <r>
          <rPr>
            <sz val="9"/>
            <color indexed="81"/>
            <rFont val="Tahoma"/>
            <family val="2"/>
          </rPr>
          <t xml:space="preserve">
Default value from tool AR-TOOL 14</t>
        </r>
      </text>
    </comment>
    <comment ref="M14" authorId="0" shapeId="0" xr:uid="{4FB254D8-80E0-461D-8488-D4186884C485}">
      <text>
        <r>
          <rPr>
            <b/>
            <sz val="9"/>
            <color indexed="81"/>
            <rFont val="Tahoma"/>
            <family val="2"/>
          </rPr>
          <t>Himanshu:</t>
        </r>
        <r>
          <rPr>
            <sz val="9"/>
            <color indexed="81"/>
            <rFont val="Tahoma"/>
            <family val="2"/>
          </rPr>
          <t xml:space="preserve">
Default value as per the CDM AR- Tool 14 Estimation of carbon stocks and change 
in carbon stocks of trees and shrubs in A/R CDM project activities, version 04.2, para 64, table 2</t>
        </r>
      </text>
    </comment>
    <comment ref="M15" authorId="0" shapeId="0" xr:uid="{9740ACCB-1E8E-4C23-B026-60D1FC5A09F7}">
      <text>
        <r>
          <rPr>
            <b/>
            <sz val="9"/>
            <color indexed="81"/>
            <rFont val="Tahoma"/>
            <family val="2"/>
          </rPr>
          <t>Himanshu:</t>
        </r>
        <r>
          <rPr>
            <sz val="9"/>
            <color indexed="81"/>
            <rFont val="Tahoma"/>
            <family val="2"/>
          </rPr>
          <t xml:space="preserve">
Default value from tool AR-TOOL 14</t>
        </r>
      </text>
    </comment>
    <comment ref="K16" authorId="0" shapeId="0" xr:uid="{E9B197AC-2220-4B3F-9773-432BB4300CE0}">
      <text>
        <r>
          <rPr>
            <b/>
            <sz val="9"/>
            <color indexed="81"/>
            <rFont val="Tahoma"/>
            <family val="2"/>
          </rPr>
          <t xml:space="preserve">Himanshu:
</t>
        </r>
        <r>
          <rPr>
            <sz val="9"/>
            <color indexed="81"/>
            <rFont val="Tahoma"/>
            <family val="2"/>
          </rPr>
          <t>Default value from tool AR-TOOL 14</t>
        </r>
      </text>
    </comment>
  </commentList>
</comments>
</file>

<file path=xl/sharedStrings.xml><?xml version="1.0" encoding="utf-8"?>
<sst xmlns="http://schemas.openxmlformats.org/spreadsheetml/2006/main" count="559" uniqueCount="261">
  <si>
    <t>Sr.No.</t>
  </si>
  <si>
    <t>Species</t>
  </si>
  <si>
    <t>Botanical name</t>
  </si>
  <si>
    <t>Allometric equation</t>
  </si>
  <si>
    <t>Referense</t>
  </si>
  <si>
    <t>Root-shoot ratio</t>
  </si>
  <si>
    <t>Carbon fraction</t>
  </si>
  <si>
    <t>Litter</t>
  </si>
  <si>
    <t>CF for Litter</t>
  </si>
  <si>
    <t>Deadwood</t>
  </si>
  <si>
    <r>
      <t>CO</t>
    </r>
    <r>
      <rPr>
        <vertAlign val="subscript"/>
        <sz val="10.5"/>
        <color theme="1"/>
        <rFont val="Franklin Gothic Book"/>
        <family val="2"/>
      </rPr>
      <t>2</t>
    </r>
    <r>
      <rPr>
        <sz val="10.5"/>
        <color theme="1"/>
        <rFont val="Franklin Gothic Book"/>
        <family val="2"/>
      </rPr>
      <t>/C</t>
    </r>
  </si>
  <si>
    <t xml:space="preserve">Mango </t>
  </si>
  <si>
    <t>Mangifera indica</t>
  </si>
  <si>
    <t>Y=0.20*Collar Diameter^1.85</t>
  </si>
  <si>
    <t>https://www.researchgate.net/profile/A-Raizada/publication/365489423_Biomass_carbon_stocks_estimation_and_predictive_modeling_in_mango_based_land_uses_on_degraded_lands_in_Indian_Sub-_Himalayas/links/63774b081766b34c54363701/Biomass-carbon-stocks-estimation-and-predictive-modeling-in-mango-based-land-uses-on-degraded-lands-in-Indian-Sub-Himalayas.pdf</t>
  </si>
  <si>
    <t>Gauva</t>
  </si>
  <si>
    <t>Psidium guajava</t>
  </si>
  <si>
    <t>Y=(3.264X^1.012)+3.446</t>
  </si>
  <si>
    <t>https://www.currentscience.ac.in/Volumes/120/10/1627.pdf</t>
  </si>
  <si>
    <t>Volume Equation</t>
  </si>
  <si>
    <t>Biomass Expansion Factor (BEF)</t>
  </si>
  <si>
    <t>Carbon Fraction</t>
  </si>
  <si>
    <t>Wood Desity</t>
  </si>
  <si>
    <t xml:space="preserve">Red Sander </t>
  </si>
  <si>
    <t>Pterocarpus santalinus</t>
  </si>
  <si>
    <t>v^1/2=-0.144504+2.943115*D</t>
  </si>
  <si>
    <t>Andhra Pradesh forest Inventary Report,2010</t>
  </si>
  <si>
    <r>
      <t>Haripriya, G.S., 2000. Estimates of biomass in Indian forests. </t>
    </r>
    <r>
      <rPr>
        <i/>
        <sz val="10.5"/>
        <color rgb="FF222222"/>
        <rFont val="Franklin Gothic Book"/>
        <family val="2"/>
      </rPr>
      <t>Biomass and bioenergy</t>
    </r>
    <r>
      <rPr>
        <sz val="10.5"/>
        <color rgb="FF222222"/>
        <rFont val="Franklin Gothic Book"/>
        <family val="2"/>
      </rPr>
      <t>, </t>
    </r>
    <r>
      <rPr>
        <i/>
        <sz val="10.5"/>
        <color rgb="FF222222"/>
        <rFont val="Franklin Gothic Book"/>
        <family val="2"/>
      </rPr>
      <t>19</t>
    </r>
    <r>
      <rPr>
        <sz val="10.5"/>
        <color rgb="FF222222"/>
        <rFont val="Franklin Gothic Book"/>
        <family val="2"/>
      </rPr>
      <t>(4), pp.245-258.</t>
    </r>
    <r>
      <rPr>
        <sz val="10.5"/>
        <color theme="1"/>
        <rFont val="Franklin Gothic Book"/>
        <family val="2"/>
      </rPr>
      <t xml:space="preserve">
https://sci-hub.st/https://doi.org/10.1016/S0961-9534(00)00040-4 </t>
    </r>
  </si>
  <si>
    <t>As per the IPPC default value, Tale 3.19.</t>
  </si>
  <si>
    <t>Total area of mango (ha)</t>
  </si>
  <si>
    <t>Year</t>
  </si>
  <si>
    <t>Model (10 × 7)</t>
  </si>
  <si>
    <t>Model (4.5 × 4.5)</t>
  </si>
  <si>
    <t>Model (5 × 5)</t>
  </si>
  <si>
    <t>Model (5 × 7)</t>
  </si>
  <si>
    <t>Model (5.5 × 5)</t>
  </si>
  <si>
    <t>Model (6 × 6)</t>
  </si>
  <si>
    <t>Model (6 × 7)</t>
  </si>
  <si>
    <t>Model (6 × 8)</t>
  </si>
  <si>
    <t>Model (6.5 × 6)</t>
  </si>
  <si>
    <t>Model (7 × 6)</t>
  </si>
  <si>
    <t>Model (7 × 6.5)</t>
  </si>
  <si>
    <t>Model (7 × 7)</t>
  </si>
  <si>
    <t>Model (7.5 × 7)</t>
  </si>
  <si>
    <t>Model (7.5 × 8)</t>
  </si>
  <si>
    <t>Model (8 × 7)</t>
  </si>
  <si>
    <t>Model (8 × 8)</t>
  </si>
  <si>
    <t>Model (9 × 6)</t>
  </si>
  <si>
    <t>Model (9 × 8)</t>
  </si>
  <si>
    <t>Grand Total</t>
  </si>
  <si>
    <t>Total</t>
  </si>
  <si>
    <t>Total area of Gauva (ha)</t>
  </si>
  <si>
    <t>Model (3×2)</t>
  </si>
  <si>
    <t>Model (3×3)</t>
  </si>
  <si>
    <t xml:space="preserve"> </t>
  </si>
  <si>
    <t>Total area of   Red Sandal (ha)</t>
  </si>
  <si>
    <t>Model (3×4)</t>
  </si>
  <si>
    <t>S.N.</t>
  </si>
  <si>
    <t>Harvesting Cycle</t>
  </si>
  <si>
    <t>No harvesting involve during the crediting period of 30 year</t>
  </si>
  <si>
    <t>Harvesting involve after completion of 15 year of roatation age</t>
  </si>
  <si>
    <t>General Information</t>
  </si>
  <si>
    <t>Local Name</t>
  </si>
  <si>
    <t>Root Shoot Ration</t>
  </si>
  <si>
    <r>
      <t>C/CO</t>
    </r>
    <r>
      <rPr>
        <b/>
        <vertAlign val="subscript"/>
        <sz val="10.5"/>
        <color theme="1"/>
        <rFont val="Franklin Gothic Book"/>
        <family val="2"/>
      </rPr>
      <t>2</t>
    </r>
  </si>
  <si>
    <t>Botanical Name</t>
  </si>
  <si>
    <t>Litter (%)</t>
  </si>
  <si>
    <t>Allometric Equation</t>
  </si>
  <si>
    <t>Deadwood (%)</t>
  </si>
  <si>
    <r>
      <t xml:space="preserve">Growth model for </t>
    </r>
    <r>
      <rPr>
        <b/>
        <i/>
        <sz val="10.5"/>
        <color theme="1"/>
        <rFont val="Franklin Gothic Book"/>
        <family val="2"/>
      </rPr>
      <t>Mangifera Indica</t>
    </r>
  </si>
  <si>
    <t>Total tree planted each year</t>
  </si>
  <si>
    <t>Mortality (10%)</t>
  </si>
  <si>
    <t>Number of tree survie after the Mortality</t>
  </si>
  <si>
    <t>Age</t>
  </si>
  <si>
    <t>Collar Diameter (cm)</t>
  </si>
  <si>
    <t>Above Ground Biomass (kg/tree)</t>
  </si>
  <si>
    <t>Change in AGB Biomass (kg/tree)</t>
  </si>
  <si>
    <t xml:space="preserve"> Above Ground Biomass (tonnes) </t>
  </si>
  <si>
    <t xml:space="preserve">Below Ground Biomass (tonnes) </t>
  </si>
  <si>
    <t xml:space="preserve">Total  Biomass (tonnes) </t>
  </si>
  <si>
    <t>Total tree sequatration  (tCO2e)</t>
  </si>
  <si>
    <t>Total tree ER (tCO2e)</t>
  </si>
  <si>
    <t>Total Litter sequatration  (tCO2e)</t>
  </si>
  <si>
    <t>Total litter ER (tCO2e)</t>
  </si>
  <si>
    <t>Total Deadwood sequatration  (tCO2e)</t>
  </si>
  <si>
    <t>Total deadwood ER (tCO2e)</t>
  </si>
  <si>
    <t>Annual  ER (tCO2e)</t>
  </si>
  <si>
    <t>Total  ER (tCO2e)</t>
  </si>
  <si>
    <t>Area (ha)</t>
  </si>
  <si>
    <t>2018 -2019</t>
  </si>
  <si>
    <t>2019-2020</t>
  </si>
  <si>
    <t>2020-2021</t>
  </si>
  <si>
    <t>2021-2022</t>
  </si>
  <si>
    <t>2022-2023</t>
  </si>
  <si>
    <t>2023-2024</t>
  </si>
  <si>
    <t>https://krishikosh.egranth.ac.in/assets/pdfjs/web/viewer.html?file=https%3A%2F%2Fkrishikosh.egranth.ac.in%2Fserver%2Fapi%2Fcore%2Fbitstreams%2F3471dde7-11cf-482c-801f-9cb015a8aa0e%2Fcontent</t>
  </si>
  <si>
    <t>2024-2025</t>
  </si>
  <si>
    <t>2025-2026</t>
  </si>
  <si>
    <t>2026-2027</t>
  </si>
  <si>
    <t>2027-2028</t>
  </si>
  <si>
    <t>2028-2029</t>
  </si>
  <si>
    <t>2029-2030</t>
  </si>
  <si>
    <t>2030-2031</t>
  </si>
  <si>
    <t>2031-2032</t>
  </si>
  <si>
    <t>2032-2033</t>
  </si>
  <si>
    <t>2033-2034</t>
  </si>
  <si>
    <t>2034-2035</t>
  </si>
  <si>
    <t>2035-2036</t>
  </si>
  <si>
    <t>2036-2037</t>
  </si>
  <si>
    <t>2037-2038</t>
  </si>
  <si>
    <t>2038-2039</t>
  </si>
  <si>
    <t>2039-2040</t>
  </si>
  <si>
    <t>2040-2041</t>
  </si>
  <si>
    <t>2041-2042</t>
  </si>
  <si>
    <t>2042-2043</t>
  </si>
  <si>
    <t>2043-2044</t>
  </si>
  <si>
    <t>2044-2045</t>
  </si>
  <si>
    <t>2045-2046</t>
  </si>
  <si>
    <t>2046-2047</t>
  </si>
  <si>
    <t>2047-2048</t>
  </si>
  <si>
    <t>2048-2049</t>
  </si>
  <si>
    <t>2049-2050</t>
  </si>
  <si>
    <t>2050-2051</t>
  </si>
  <si>
    <t>2051-2052</t>
  </si>
  <si>
    <t>2052-2053</t>
  </si>
  <si>
    <r>
      <t>Growth model for P</t>
    </r>
    <r>
      <rPr>
        <b/>
        <i/>
        <sz val="10.5"/>
        <color theme="1"/>
        <rFont val="Franklin Gothic Book"/>
        <family val="2"/>
      </rPr>
      <t>sidium guajava</t>
    </r>
  </si>
  <si>
    <t>Coliar Diameter (cm)</t>
  </si>
  <si>
    <t>Above Biomass (kg/tree)</t>
  </si>
  <si>
    <t>Change in Biomass (kg/tree)</t>
  </si>
  <si>
    <t>Total tree sequatration (tCO2e)</t>
  </si>
  <si>
    <t>2051-2051</t>
  </si>
  <si>
    <t>Wood Density</t>
  </si>
  <si>
    <t>Volumetric Equation</t>
  </si>
  <si>
    <t>Biomass expansion Factor (BEF)</t>
  </si>
  <si>
    <t>Growth model for  Red Sandal</t>
  </si>
  <si>
    <t>Model (3.5 × 3.5)</t>
  </si>
  <si>
    <t>DBH (meter)</t>
  </si>
  <si>
    <t>Volume of tree (m3/tree)</t>
  </si>
  <si>
    <t>Change in Volume of tree (m3/tree)</t>
  </si>
  <si>
    <r>
      <t>Volume (m</t>
    </r>
    <r>
      <rPr>
        <b/>
        <vertAlign val="superscript"/>
        <sz val="10.5"/>
        <color theme="1"/>
        <rFont val="Franklin Gothic Book"/>
        <family val="2"/>
      </rPr>
      <t>3</t>
    </r>
    <r>
      <rPr>
        <b/>
        <sz val="10.5"/>
        <color theme="1"/>
        <rFont val="Franklin Gothic Book"/>
        <family val="2"/>
      </rPr>
      <t>)</t>
    </r>
  </si>
  <si>
    <t>Above Ground Bimass (ton)</t>
  </si>
  <si>
    <t>https://krishikosh.egranth.ac.in/assets/pdfjs/web/viewer.html?file=https%3A%2F%2Fkrishikosh.egranth.ac.in%2Fserver%2Fapi%2Fcore%2Fbitstreams%2Fad5f5982-8fc8-445d-b889-59fecc51074b%2Fcontent</t>
  </si>
  <si>
    <t>2051-2053</t>
  </si>
  <si>
    <t>Andhra Pradesh and Tamil Nadu</t>
  </si>
  <si>
    <t>Madhya Pradesh</t>
  </si>
  <si>
    <t>Parameter</t>
  </si>
  <si>
    <t>Symbol</t>
  </si>
  <si>
    <t>Value</t>
  </si>
  <si>
    <t xml:space="preserve">Source (SOC estimation tool, V01.1.0) </t>
  </si>
  <si>
    <t>Reference SOC (tC/ha)</t>
  </si>
  <si>
    <t>SOCREF,i</t>
  </si>
  <si>
    <t>Table 3: HACsoils, Tropical Dry</t>
  </si>
  <si>
    <t>C/CO2</t>
  </si>
  <si>
    <t>Table 3: LAC soils, Tropical dry.</t>
  </si>
  <si>
    <t>C to CO2</t>
  </si>
  <si>
    <t xml:space="preserve">Land use factor  </t>
  </si>
  <si>
    <t>fLU ,i</t>
  </si>
  <si>
    <t xml:space="preserve">1. Long term Cultivated , Table 4 </t>
  </si>
  <si>
    <t xml:space="preserve"> SOCINITIAL,i</t>
  </si>
  <si>
    <t>Management factor</t>
  </si>
  <si>
    <t>fMG,i</t>
  </si>
  <si>
    <t>1. Full tillage, Table 4</t>
  </si>
  <si>
    <t xml:space="preserve"> SOCLOSS,i </t>
  </si>
  <si>
    <t>Input factor</t>
  </si>
  <si>
    <t>fIN,i</t>
  </si>
  <si>
    <t>2. Medium , Table 5</t>
  </si>
  <si>
    <t xml:space="preserve"> dSOCt,i</t>
  </si>
  <si>
    <t>dSOCt,i</t>
  </si>
  <si>
    <t>Annual change in SOC (tCO2e)</t>
  </si>
  <si>
    <t>Total tCO2e</t>
  </si>
  <si>
    <t>Annual  change in SOC (tCO2e)</t>
  </si>
  <si>
    <t>total change in SOC (tCO2e)</t>
  </si>
  <si>
    <t>Annual ER (tCo2e)</t>
  </si>
  <si>
    <t>Total ER (tCo2e)</t>
  </si>
  <si>
    <t>Annual Emission reductions (tCO2e)</t>
  </si>
  <si>
    <t>Baseline emissions (tCO2e)</t>
  </si>
  <si>
    <t>Annual Emission reductions/removals after baseline deductions in  (tCO2e)</t>
  </si>
  <si>
    <t>Annual emission reductions after baseline deduction (tCO2e)</t>
  </si>
  <si>
    <t>Annual Leakage emissions (tCO2e)</t>
  </si>
  <si>
    <r>
      <t>Total Leakage emissions (t CO</t>
    </r>
    <r>
      <rPr>
        <b/>
        <vertAlign val="subscript"/>
        <sz val="11"/>
        <rFont val="Times New Roman"/>
        <family val="1"/>
      </rPr>
      <t>2</t>
    </r>
    <r>
      <rPr>
        <b/>
        <sz val="11"/>
        <rFont val="Times New Roman"/>
        <family val="1"/>
      </rPr>
      <t>e)</t>
    </r>
  </si>
  <si>
    <t>Annual Emission reductions/removals after baseline and leakage deductions (tCO2e)</t>
  </si>
  <si>
    <r>
      <t>∆SOC</t>
    </r>
    <r>
      <rPr>
        <vertAlign val="subscript"/>
        <sz val="11"/>
        <color theme="1"/>
        <rFont val="Franklin Gothic Book"/>
        <family val="2"/>
      </rPr>
      <t>LUC,t</t>
    </r>
  </si>
  <si>
    <r>
      <t>BDR</t>
    </r>
    <r>
      <rPr>
        <vertAlign val="subscript"/>
        <sz val="11"/>
        <color theme="1"/>
        <rFont val="Franklin Gothic Book"/>
        <family val="2"/>
      </rPr>
      <t>SF</t>
    </r>
  </si>
  <si>
    <t>No. of trees</t>
  </si>
  <si>
    <t>Area displaced</t>
  </si>
  <si>
    <t>Justification</t>
  </si>
  <si>
    <r>
      <t>b</t>
    </r>
    <r>
      <rPr>
        <vertAlign val="subscript"/>
        <sz val="11"/>
        <color theme="1"/>
        <rFont val="Franklin Gothic Book"/>
        <family val="2"/>
      </rPr>
      <t>TREE</t>
    </r>
  </si>
  <si>
    <r>
      <t>b</t>
    </r>
    <r>
      <rPr>
        <vertAlign val="subscript"/>
        <sz val="11"/>
        <color theme="1"/>
        <rFont val="Franklin Gothic Book"/>
        <family val="2"/>
      </rPr>
      <t>FOREST</t>
    </r>
    <r>
      <rPr>
        <sz val="11"/>
        <color theme="1"/>
        <rFont val="Franklin Gothic Book"/>
        <family val="2"/>
      </rPr>
      <t xml:space="preserve"> </t>
    </r>
  </si>
  <si>
    <t>Based on recorded primary field data (No. of trees planted)</t>
  </si>
  <si>
    <r>
      <t>R</t>
    </r>
    <r>
      <rPr>
        <vertAlign val="subscript"/>
        <sz val="11"/>
        <color theme="1"/>
        <rFont val="Franklin Gothic Book"/>
        <family val="2"/>
      </rPr>
      <t>TREE</t>
    </r>
  </si>
  <si>
    <r>
      <t>CC</t>
    </r>
    <r>
      <rPr>
        <vertAlign val="subscript"/>
        <sz val="11"/>
        <color theme="1"/>
        <rFont val="Franklin Gothic Book"/>
        <family val="2"/>
      </rPr>
      <t>SHRUB,i</t>
    </r>
    <r>
      <rPr>
        <sz val="11"/>
        <color theme="1"/>
        <rFont val="Franklin Gothic Book"/>
        <family val="2"/>
      </rPr>
      <t xml:space="preserve"> </t>
    </r>
  </si>
  <si>
    <r>
      <rPr>
        <sz val="11"/>
        <color theme="1"/>
        <rFont val="Franklin Gothic Book"/>
        <family val="2"/>
      </rPr>
      <t>b</t>
    </r>
    <r>
      <rPr>
        <vertAlign val="subscript"/>
        <sz val="11"/>
        <color theme="1"/>
        <rFont val="Franklin Gothic Book"/>
        <family val="2"/>
      </rPr>
      <t>SHRUB</t>
    </r>
  </si>
  <si>
    <t>CF</t>
  </si>
  <si>
    <t>Rs</t>
  </si>
  <si>
    <t>Based on planned future plantations</t>
  </si>
  <si>
    <r>
      <rPr>
        <b/>
        <sz val="10"/>
        <color theme="1"/>
        <rFont val="Franklin Gothic Book"/>
        <family val="2"/>
      </rPr>
      <t>Approach:</t>
    </r>
    <r>
      <rPr>
        <sz val="10"/>
        <color theme="1"/>
        <rFont val="Franklin Gothic Book"/>
        <family val="2"/>
      </rPr>
      <t xml:space="preserve">
</t>
    </r>
    <r>
      <rPr>
        <b/>
        <sz val="10"/>
        <color theme="1"/>
        <rFont val="Franklin Gothic Book"/>
        <family val="2"/>
      </rPr>
      <t>Area considered as displaced:</t>
    </r>
    <r>
      <rPr>
        <sz val="10"/>
        <color theme="1"/>
        <rFont val="Franklin Gothic Book"/>
        <family val="2"/>
      </rPr>
      <t xml:space="preserve"> As per the study titled ‘PERFORMANCE OF MANGO BASED AGROFORESTRY SYSTEM WITH DIFFERENT SUMMER VEGETABLES COMBINATIONS’, the Full shade condition was considered as 0m to 0.5m distance from the mango tree base. In this condition, land did not get full sunlight from 10pm to 3pm. Which is not suitable for agriculture. Hence, 0.5 m radius spherical area around each tree stem is considered displaced due to implementation of the project.
Since there were no trees in the pre-project scenario, the only insignificant displacement of agriculture activities has been considered as traditional seasonal agriculture practices of crops which are considered in the category of Shrubs. Hence, b</t>
    </r>
    <r>
      <rPr>
        <vertAlign val="subscript"/>
        <sz val="10"/>
        <color theme="1"/>
        <rFont val="Franklin Gothic Book"/>
        <family val="2"/>
      </rPr>
      <t>TREE</t>
    </r>
    <r>
      <rPr>
        <sz val="10"/>
        <color theme="1"/>
        <rFont val="Franklin Gothic Book"/>
        <family val="2"/>
      </rPr>
      <t xml:space="preserve"> and ∆SOC</t>
    </r>
    <r>
      <rPr>
        <vertAlign val="subscript"/>
        <sz val="10"/>
        <color theme="1"/>
        <rFont val="Franklin Gothic Book"/>
        <family val="2"/>
      </rPr>
      <t>LUC,t</t>
    </r>
    <r>
      <rPr>
        <sz val="10"/>
        <color theme="1"/>
        <rFont val="Franklin Gothic Book"/>
        <family val="2"/>
      </rPr>
      <t xml:space="preserve"> is considered as 0.
b</t>
    </r>
    <r>
      <rPr>
        <vertAlign val="subscript"/>
        <sz val="10"/>
        <color theme="1"/>
        <rFont val="Franklin Gothic Book"/>
        <family val="2"/>
      </rPr>
      <t>SHRUB</t>
    </r>
    <r>
      <rPr>
        <sz val="10"/>
        <color theme="1"/>
        <rFont val="Franklin Gothic Book"/>
        <family val="2"/>
      </rPr>
      <t>= Mean above-ground shrub biomass in land receiving the displaced activity; t d.m. ha</t>
    </r>
    <r>
      <rPr>
        <vertAlign val="superscript"/>
        <sz val="10"/>
        <color theme="1"/>
        <rFont val="Franklin Gothic Book"/>
        <family val="2"/>
      </rPr>
      <t>-1</t>
    </r>
    <r>
      <rPr>
        <sz val="10"/>
        <color theme="1"/>
        <rFont val="Franklin Gothic Book"/>
        <family val="2"/>
      </rPr>
      <t xml:space="preserve">
b</t>
    </r>
    <r>
      <rPr>
        <vertAlign val="subscript"/>
        <sz val="10"/>
        <color theme="1"/>
        <rFont val="Franklin Gothic Book"/>
        <family val="2"/>
      </rPr>
      <t>SHRUB</t>
    </r>
    <r>
      <rPr>
        <sz val="10"/>
        <color theme="1"/>
        <rFont val="Franklin Gothic Book"/>
        <family val="2"/>
      </rPr>
      <t xml:space="preserve"> is calculated using equation 27, CDM AR-Tool 14. 
b</t>
    </r>
    <r>
      <rPr>
        <vertAlign val="subscript"/>
        <sz val="10"/>
        <color theme="1"/>
        <rFont val="Franklin Gothic Book"/>
        <family val="2"/>
      </rPr>
      <t>SHRUB</t>
    </r>
    <r>
      <rPr>
        <sz val="10"/>
        <color theme="1"/>
        <rFont val="Franklin Gothic Book"/>
        <family val="2"/>
      </rPr>
      <t>= BDR</t>
    </r>
    <r>
      <rPr>
        <vertAlign val="subscript"/>
        <sz val="10"/>
        <color theme="1"/>
        <rFont val="Franklin Gothic Book"/>
        <family val="2"/>
      </rPr>
      <t>SF</t>
    </r>
    <r>
      <rPr>
        <sz val="10"/>
        <color theme="1"/>
        <rFont val="Franklin Gothic Book"/>
        <family val="2"/>
      </rPr>
      <t>*b</t>
    </r>
    <r>
      <rPr>
        <vertAlign val="subscript"/>
        <sz val="10"/>
        <color theme="1"/>
        <rFont val="Franklin Gothic Book"/>
        <family val="2"/>
      </rPr>
      <t>FOREST</t>
    </r>
    <r>
      <rPr>
        <sz val="10"/>
        <color theme="1"/>
        <rFont val="Franklin Gothic Book"/>
        <family val="2"/>
      </rPr>
      <t>*CC</t>
    </r>
    <r>
      <rPr>
        <vertAlign val="subscript"/>
        <sz val="10"/>
        <color theme="1"/>
        <rFont val="Franklin Gothic Book"/>
        <family val="2"/>
      </rPr>
      <t xml:space="preserve">SHRUB,i
</t>
    </r>
    <r>
      <rPr>
        <sz val="10"/>
        <color theme="1"/>
        <rFont val="Franklin Gothic Book"/>
        <family val="2"/>
      </rPr>
      <t>∆C</t>
    </r>
    <r>
      <rPr>
        <vertAlign val="subscript"/>
        <sz val="10"/>
        <color theme="1"/>
        <rFont val="Franklin Gothic Book"/>
        <family val="2"/>
      </rPr>
      <t>BIOMASS,t</t>
    </r>
    <r>
      <rPr>
        <sz val="10"/>
        <color theme="1"/>
        <rFont val="Franklin Gothic Book"/>
        <family val="2"/>
      </rPr>
      <t>=[1.1*b</t>
    </r>
    <r>
      <rPr>
        <vertAlign val="subscript"/>
        <sz val="10"/>
        <color theme="1"/>
        <rFont val="Franklin Gothic Book"/>
        <family val="2"/>
      </rPr>
      <t>TREE</t>
    </r>
    <r>
      <rPr>
        <sz val="10"/>
        <color theme="1"/>
        <rFont val="Franklin Gothic Book"/>
        <family val="2"/>
      </rPr>
      <t>*(1+R</t>
    </r>
    <r>
      <rPr>
        <vertAlign val="subscript"/>
        <sz val="10"/>
        <color theme="1"/>
        <rFont val="Franklin Gothic Book"/>
        <family val="2"/>
      </rPr>
      <t>TREE</t>
    </r>
    <r>
      <rPr>
        <sz val="10"/>
        <color theme="1"/>
        <rFont val="Franklin Gothic Book"/>
        <family val="2"/>
      </rPr>
      <t>)+b</t>
    </r>
    <r>
      <rPr>
        <vertAlign val="subscript"/>
        <sz val="10"/>
        <color theme="1"/>
        <rFont val="Franklin Gothic Book"/>
        <family val="2"/>
      </rPr>
      <t>SHRUB</t>
    </r>
    <r>
      <rPr>
        <sz val="10"/>
        <color theme="1"/>
        <rFont val="Franklin Gothic Book"/>
        <family val="2"/>
      </rPr>
      <t>*(1+R</t>
    </r>
    <r>
      <rPr>
        <vertAlign val="subscript"/>
        <sz val="10"/>
        <color theme="1"/>
        <rFont val="Franklin Gothic Book"/>
        <family val="2"/>
      </rPr>
      <t>S</t>
    </r>
    <r>
      <rPr>
        <sz val="10"/>
        <color theme="1"/>
        <rFont val="Franklin Gothic Book"/>
        <family val="2"/>
      </rPr>
      <t>)]*CF*A</t>
    </r>
    <r>
      <rPr>
        <vertAlign val="subscript"/>
        <sz val="10"/>
        <color theme="1"/>
        <rFont val="Franklin Gothic Book"/>
        <family val="2"/>
      </rPr>
      <t xml:space="preserve">DISP,t
</t>
    </r>
    <r>
      <rPr>
        <sz val="10"/>
        <color theme="1"/>
        <rFont val="Franklin Gothic Book"/>
        <family val="2"/>
      </rPr>
      <t>∆C</t>
    </r>
    <r>
      <rPr>
        <vertAlign val="subscript"/>
        <sz val="10"/>
        <color theme="1"/>
        <rFont val="Franklin Gothic Book"/>
        <family val="2"/>
      </rPr>
      <t>BIOMASS,t</t>
    </r>
    <r>
      <rPr>
        <sz val="10"/>
        <color theme="1"/>
        <rFont val="Franklin Gothic Book"/>
        <family val="2"/>
      </rPr>
      <t>=[1.1*0*(1+0.25)+(3.65*(1+0.4)]*0.47*A</t>
    </r>
    <r>
      <rPr>
        <vertAlign val="subscript"/>
        <sz val="10"/>
        <color theme="1"/>
        <rFont val="Franklin Gothic Book"/>
        <family val="2"/>
      </rPr>
      <t xml:space="preserve">DISP,t
</t>
    </r>
    <r>
      <rPr>
        <sz val="10"/>
        <color theme="1"/>
        <rFont val="Franklin Gothic Book"/>
        <family val="2"/>
      </rPr>
      <t xml:space="preserve">
LK</t>
    </r>
    <r>
      <rPr>
        <vertAlign val="subscript"/>
        <sz val="10"/>
        <color theme="1"/>
        <rFont val="Franklin Gothic Book"/>
        <family val="2"/>
      </rPr>
      <t>AGRIC,t</t>
    </r>
    <r>
      <rPr>
        <sz val="10"/>
        <color theme="1"/>
        <rFont val="Franklin Gothic Book"/>
        <family val="2"/>
      </rPr>
      <t>=44/12*(∆C</t>
    </r>
    <r>
      <rPr>
        <vertAlign val="subscript"/>
        <sz val="10"/>
        <color theme="1"/>
        <rFont val="Franklin Gothic Book"/>
        <family val="2"/>
      </rPr>
      <t>BIOMASS,t</t>
    </r>
    <r>
      <rPr>
        <sz val="10"/>
        <color theme="1"/>
        <rFont val="Franklin Gothic Book"/>
        <family val="2"/>
      </rPr>
      <t>+∆SOC</t>
    </r>
    <r>
      <rPr>
        <vertAlign val="subscript"/>
        <sz val="10"/>
        <color theme="1"/>
        <rFont val="Franklin Gothic Book"/>
        <family val="2"/>
      </rPr>
      <t>LUC,t</t>
    </r>
    <r>
      <rPr>
        <sz val="10"/>
        <color theme="1"/>
        <rFont val="Franklin Gothic Book"/>
        <family val="2"/>
      </rPr>
      <t>)
LK</t>
    </r>
    <r>
      <rPr>
        <vertAlign val="subscript"/>
        <sz val="10"/>
        <color theme="1"/>
        <rFont val="Franklin Gothic Book"/>
        <family val="2"/>
      </rPr>
      <t>AGRIC,t</t>
    </r>
    <r>
      <rPr>
        <sz val="10"/>
        <color theme="1"/>
        <rFont val="Franklin Gothic Book"/>
        <family val="2"/>
      </rPr>
      <t>=44/12*(∆C</t>
    </r>
    <r>
      <rPr>
        <vertAlign val="subscript"/>
        <sz val="10"/>
        <color theme="1"/>
        <rFont val="Franklin Gothic Book"/>
        <family val="2"/>
      </rPr>
      <t>BIOMASS,t</t>
    </r>
    <r>
      <rPr>
        <sz val="10"/>
        <color theme="1"/>
        <rFont val="Franklin Gothic Book"/>
        <family val="2"/>
      </rPr>
      <t>+0)</t>
    </r>
  </si>
  <si>
    <t>Reference</t>
  </si>
  <si>
    <t>http://103.7.193.12:8080/xmlui/bitstream/handle/123456789/1614/PERFORMANCE%20OF%20MANGO%20BASED%20AGROFORESTRY%20SYSTEM%20WITH%20DIFFERENT%20SUMMER%20VEGETABLES%20COMBINATIONS%20by%20MST.%20SHUBA.pdf?sequence=1&amp;isAllowed=</t>
  </si>
  <si>
    <t>Annual Credits after baseline and leakage deduction(tCO2e)</t>
  </si>
  <si>
    <t>Buffer credits (tCO2e)</t>
  </si>
  <si>
    <t>Annual Net removals (tCO2e)</t>
  </si>
  <si>
    <t>NPR</t>
  </si>
  <si>
    <t>Vinatge Period</t>
  </si>
  <si>
    <r>
      <t>Estimated Baseline emissions or removals (tCO</t>
    </r>
    <r>
      <rPr>
        <b/>
        <vertAlign val="subscript"/>
        <sz val="10.5"/>
        <color rgb="FFFFFFFF"/>
        <rFont val="Franklin Gothic Book"/>
        <family val="2"/>
      </rPr>
      <t>2</t>
    </r>
    <r>
      <rPr>
        <b/>
        <sz val="10.5"/>
        <color rgb="FFFFFFFF"/>
        <rFont val="Franklin Gothic Book"/>
        <family val="2"/>
      </rPr>
      <t>e)</t>
    </r>
  </si>
  <si>
    <r>
      <t>Estimated GHG emission reductions or removals (tCO</t>
    </r>
    <r>
      <rPr>
        <b/>
        <vertAlign val="subscript"/>
        <sz val="10.5"/>
        <color rgb="FFFFFFFF"/>
        <rFont val="Franklin Gothic Book"/>
        <family val="2"/>
      </rPr>
      <t>2</t>
    </r>
    <r>
      <rPr>
        <b/>
        <sz val="10.5"/>
        <color rgb="FFFFFFFF"/>
        <rFont val="Franklin Gothic Book"/>
        <family val="2"/>
      </rPr>
      <t>e)</t>
    </r>
  </si>
  <si>
    <r>
      <t>Estimated Leakage emissions (tCO</t>
    </r>
    <r>
      <rPr>
        <b/>
        <vertAlign val="subscript"/>
        <sz val="10.5"/>
        <color rgb="FFFFFFFF"/>
        <rFont val="Franklin Gothic Book"/>
        <family val="2"/>
      </rPr>
      <t>2</t>
    </r>
    <r>
      <rPr>
        <b/>
        <sz val="10.5"/>
        <color rgb="FFFFFFFF"/>
        <rFont val="Franklin Gothic Book"/>
        <family val="2"/>
      </rPr>
      <t>e)</t>
    </r>
  </si>
  <si>
    <t>Buffer pool allocation</t>
  </si>
  <si>
    <r>
      <t>Estimated reduction VCUs (tCO</t>
    </r>
    <r>
      <rPr>
        <b/>
        <vertAlign val="subscript"/>
        <sz val="10.5"/>
        <color rgb="FFFFFFFF"/>
        <rFont val="Franklin Gothic Book"/>
        <family val="2"/>
      </rPr>
      <t>2</t>
    </r>
    <r>
      <rPr>
        <b/>
        <sz val="10.5"/>
        <color rgb="FFFFFFFF"/>
        <rFont val="Franklin Gothic Book"/>
        <family val="2"/>
      </rPr>
      <t>e)</t>
    </r>
  </si>
  <si>
    <r>
      <t>Estimated removal VCUs (tCO</t>
    </r>
    <r>
      <rPr>
        <b/>
        <vertAlign val="subscript"/>
        <sz val="10.5"/>
        <color rgb="FFFFFFFF"/>
        <rFont val="Franklin Gothic Book"/>
        <family val="2"/>
      </rPr>
      <t>2</t>
    </r>
    <r>
      <rPr>
        <b/>
        <sz val="10.5"/>
        <color rgb="FFFFFFFF"/>
        <rFont val="Franklin Gothic Book"/>
        <family val="2"/>
      </rPr>
      <t>e)</t>
    </r>
  </si>
  <si>
    <r>
      <t>Estimated total VCU issuance (tCO</t>
    </r>
    <r>
      <rPr>
        <b/>
        <vertAlign val="subscript"/>
        <sz val="10.5"/>
        <color rgb="FFFFFFFF"/>
        <rFont val="Franklin Gothic Book"/>
        <family val="2"/>
      </rPr>
      <t>2</t>
    </r>
    <r>
      <rPr>
        <b/>
        <sz val="10.5"/>
        <color rgb="FFFFFFFF"/>
        <rFont val="Franklin Gothic Book"/>
        <family val="2"/>
      </rPr>
      <t>e)</t>
    </r>
  </si>
  <si>
    <t xml:space="preserve">1-March-2018 to 31-December-2018 </t>
  </si>
  <si>
    <t>01-January-2019 to 31-December-2019</t>
  </si>
  <si>
    <t>01-January-2020 to 31-December-2020</t>
  </si>
  <si>
    <t>01-January-2021 to 31-December-2021</t>
  </si>
  <si>
    <t>01-January-2022 to 31-December-2022</t>
  </si>
  <si>
    <t>01-January-2023 to 31-December-2023</t>
  </si>
  <si>
    <t>01-January-2024 to 31-December-2024</t>
  </si>
  <si>
    <t>01-January-2025 to 31-December-2025</t>
  </si>
  <si>
    <t>01-January-2026 to 31-December-2026</t>
  </si>
  <si>
    <t>01-January-2027 to 31-December-2027</t>
  </si>
  <si>
    <t>01-January-2028 to 31-December-2028</t>
  </si>
  <si>
    <t>01-January-2029 to 31-December-2029</t>
  </si>
  <si>
    <t>01-January-2030 to 31-December-2030</t>
  </si>
  <si>
    <t>01-January-2031 to 31-December-2031</t>
  </si>
  <si>
    <t>01-January-2032 to 31-December-2032</t>
  </si>
  <si>
    <t>01-January-2033 to 31-December-2033</t>
  </si>
  <si>
    <t>01-January-2034 to 31-December-2034</t>
  </si>
  <si>
    <t>01-January-2035 to 31-December-2035</t>
  </si>
  <si>
    <t>01-January-2036 to 31-December-2036</t>
  </si>
  <si>
    <t>01-January-2037 to 31-December-2037</t>
  </si>
  <si>
    <t>01-January-2038 to 31-December-2038</t>
  </si>
  <si>
    <t>01-January-2039 to 31-December-2039</t>
  </si>
  <si>
    <t>01-January-2040 to 31-December-2040</t>
  </si>
  <si>
    <t>01-January-2041 to 31-December-2041</t>
  </si>
  <si>
    <t>01-January-2042 to 31-December-2042</t>
  </si>
  <si>
    <t>01-January-2043 to 31-December-2043</t>
  </si>
  <si>
    <t>01-January-2044 to 31-December-2044</t>
  </si>
  <si>
    <t>01-January-2045 to 31-December-2045</t>
  </si>
  <si>
    <t>01-January-2046 to 31-December-2046</t>
  </si>
  <si>
    <t>01-January-2047 to 31-December-2047</t>
  </si>
  <si>
    <t>01-January-2048 to 29-Feburvary-2048</t>
  </si>
  <si>
    <t>Annual</t>
  </si>
  <si>
    <t>Annual ER/ha</t>
  </si>
  <si>
    <t>Baseline scenario: to_x0002_date GHG emission reductions and removals at year t(tCO2e)(BE)</t>
  </si>
  <si>
    <t>Project scenario: to_x0002_date GHG emission reductions and removals at year t (tCO2e)(PE)</t>
  </si>
  <si>
    <t xml:space="preserve">Annual change in 
GHG
benefit  (tCO2e) (PEt-PEt-1)
</t>
  </si>
  <si>
    <t>Expected 
total GHG 
benefit to date (tCO2e) (PEt- Bet)</t>
  </si>
  <si>
    <t>Total VCUs available each year (VCUs)</t>
  </si>
  <si>
    <t>Buffer Pool Allocation ((tCO2e/Yr)</t>
  </si>
  <si>
    <t>Total number of VCUs for issuance (tCO2e/Yr)</t>
  </si>
  <si>
    <t>tCO2e</t>
  </si>
  <si>
    <t>BE</t>
  </si>
  <si>
    <t>PE</t>
  </si>
  <si>
    <t>PEt − PEt-1</t>
  </si>
  <si>
    <t>01-January-2048 to 31-December-2048</t>
  </si>
  <si>
    <t>01-January-2049 to 31-December-2049</t>
  </si>
  <si>
    <t>01-January-2050 to 31-December-2050</t>
  </si>
  <si>
    <t>01-January-2051to 31-December-2051</t>
  </si>
  <si>
    <t>01-January-2052to 31-December-2052</t>
  </si>
  <si>
    <t>01-January-2053 to 28-February-2053</t>
  </si>
  <si>
    <t>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</si>
</sst>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ed][&lt;0]\-General;[Black]General;[Black]General"/>
  </numFmts>
  <fonts count="43" x14ac:knownFonts="1">
    <font>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sz val="11"/>
      <color indexed="8"/>
      <name val="Calibri"/>
      <family val="2"/>
      <charset val="1"/>
    </font>
    <font>
      <sz val="10"/>
      <name val="Arial"/>
      <family val="2"/>
    </font>
    <font>
      <b/>
      <sz val="10.5"/>
      <color rgb="FFFFFFFF"/>
      <name val="Franklin Gothic Book"/>
      <family val="2"/>
    </font>
    <font>
      <sz val="11"/>
      <color theme="1"/>
      <name val="Calibri"/>
      <family val="2"/>
      <scheme val="minor"/>
    </font>
    <font>
      <sz val="12"/>
      <color theme="1"/>
      <name val="Calibri"/>
      <family val="2"/>
      <scheme val="minor"/>
    </font>
    <font>
      <sz val="8"/>
      <name val="Calibri"/>
      <family val="2"/>
      <scheme val="minor"/>
    </font>
    <font>
      <vertAlign val="subscript"/>
      <sz val="9"/>
      <color indexed="81"/>
      <name val="Tahoma"/>
      <family val="2"/>
    </font>
    <font>
      <vertAlign val="superscript"/>
      <sz val="9"/>
      <color indexed="81"/>
      <name val="Tahoma"/>
      <family val="2"/>
    </font>
    <font>
      <sz val="11"/>
      <color theme="1"/>
      <name val="Franklin Gothic Book"/>
      <family val="2"/>
    </font>
    <font>
      <sz val="10.5"/>
      <color theme="1"/>
      <name val="Franklin Gothic Book"/>
      <family val="2"/>
    </font>
    <font>
      <b/>
      <sz val="10.5"/>
      <color theme="1"/>
      <name val="Franklin Gothic Book"/>
      <family val="2"/>
    </font>
    <font>
      <vertAlign val="subscript"/>
      <sz val="10.5"/>
      <color theme="1"/>
      <name val="Franklin Gothic Book"/>
      <family val="2"/>
    </font>
    <font>
      <u/>
      <sz val="10.5"/>
      <color theme="10"/>
      <name val="Franklin Gothic Book"/>
      <family val="2"/>
    </font>
    <font>
      <u/>
      <sz val="10.5"/>
      <color theme="1"/>
      <name val="Franklin Gothic Book"/>
      <family val="2"/>
    </font>
    <font>
      <i/>
      <sz val="10.5"/>
      <color rgb="FF1F1F1F"/>
      <name val="Franklin Gothic Book"/>
      <family val="2"/>
    </font>
    <font>
      <i/>
      <sz val="10.5"/>
      <color rgb="FF222222"/>
      <name val="Franklin Gothic Book"/>
      <family val="2"/>
    </font>
    <font>
      <sz val="10.5"/>
      <color rgb="FF222222"/>
      <name val="Franklin Gothic Book"/>
      <family val="2"/>
    </font>
    <font>
      <sz val="10.5"/>
      <name val="Franklin Gothic Book"/>
      <family val="2"/>
    </font>
    <font>
      <sz val="10"/>
      <color theme="1"/>
      <name val="Franklin Gothic Book"/>
      <family val="2"/>
    </font>
    <font>
      <b/>
      <sz val="10"/>
      <color theme="1"/>
      <name val="Franklin Gothic Book"/>
      <family val="2"/>
    </font>
    <font>
      <b/>
      <vertAlign val="subscript"/>
      <sz val="10.5"/>
      <color theme="1"/>
      <name val="Franklin Gothic Book"/>
      <family val="2"/>
    </font>
    <font>
      <i/>
      <sz val="10.5"/>
      <color theme="1"/>
      <name val="Franklin Gothic Book"/>
      <family val="2"/>
    </font>
    <font>
      <b/>
      <i/>
      <sz val="10.5"/>
      <color theme="1"/>
      <name val="Franklin Gothic Book"/>
      <family val="2"/>
    </font>
    <font>
      <b/>
      <vertAlign val="superscript"/>
      <sz val="10.5"/>
      <color theme="1"/>
      <name val="Franklin Gothic Book"/>
      <family val="2"/>
    </font>
    <font>
      <b/>
      <sz val="10.5"/>
      <name val="Franklin Gothic Book"/>
      <family val="2"/>
    </font>
    <font>
      <b/>
      <sz val="10"/>
      <name val="Franklin Gothic Book"/>
      <family val="2"/>
    </font>
    <font>
      <vertAlign val="subscript"/>
      <sz val="11"/>
      <color theme="1"/>
      <name val="Franklin Gothic Book"/>
      <family val="2"/>
    </font>
    <font>
      <vertAlign val="subscript"/>
      <sz val="10"/>
      <color theme="1"/>
      <name val="Franklin Gothic Book"/>
      <family val="2"/>
    </font>
    <font>
      <vertAlign val="superscript"/>
      <sz val="10"/>
      <color theme="1"/>
      <name val="Franklin Gothic Book"/>
      <family val="2"/>
    </font>
    <font>
      <b/>
      <vertAlign val="subscript"/>
      <sz val="10.5"/>
      <color rgb="FFFFFFFF"/>
      <name val="Franklin Gothic Book"/>
      <family val="2"/>
    </font>
    <font>
      <b/>
      <vertAlign val="subscript"/>
      <sz val="11"/>
      <name val="Times New Roman"/>
      <family val="1"/>
    </font>
    <font>
      <b/>
      <sz val="11"/>
      <name val="Times New Roman"/>
      <family val="1"/>
    </font>
    <font>
      <b/>
      <sz val="11"/>
      <name val="Arial"/>
      <family val="2"/>
    </font>
    <font>
      <b/>
      <sz val="11"/>
      <color theme="1"/>
      <name val="Arial"/>
      <family val="2"/>
    </font>
    <font>
      <i/>
      <sz val="11"/>
      <color theme="1"/>
      <name val="Arial"/>
      <family val="2"/>
    </font>
    <font>
      <sz val="11"/>
      <color theme="1"/>
      <name val="Arial"/>
      <family val="2"/>
    </font>
    <font>
      <i/>
      <sz val="11"/>
      <color rgb="FF1F1F1F"/>
      <name val="Arial"/>
      <family val="2"/>
    </font>
    <font>
      <sz val="9"/>
      <color indexed="81"/>
      <name val="Tahoma"/>
      <charset val="1"/>
    </font>
    <font>
      <b/>
      <sz val="9"/>
      <color indexed="81"/>
      <name val="Tahoma"/>
      <charset val="1"/>
    </font>
  </fonts>
  <fills count="17">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2B3957"/>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indexed="42"/>
        <bgColor indexed="64"/>
      </patternFill>
    </fill>
    <fill>
      <patternFill patternType="solid">
        <fgColor rgb="FF92D050"/>
        <bgColor indexed="64"/>
      </patternFill>
    </fill>
    <fill>
      <patternFill patternType="solid">
        <fgColor rgb="FF00B0F0"/>
        <bgColor theme="4" tint="0.79998168889431442"/>
      </patternFill>
    </fill>
    <fill>
      <patternFill patternType="solid">
        <fgColor theme="4"/>
        <bgColor indexed="64"/>
      </patternFill>
    </fill>
    <fill>
      <patternFill patternType="solid">
        <fgColor rgb="FFFF0000"/>
        <bgColor indexed="64"/>
      </patternFill>
    </fill>
    <fill>
      <patternFill patternType="solid">
        <fgColor theme="3"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1" fillId="0" borderId="0" applyNumberFormat="0" applyFill="0" applyBorder="0" applyAlignment="0" applyProtection="0"/>
    <xf numFmtId="0" fontId="4" fillId="0" borderId="0"/>
    <xf numFmtId="164" fontId="7" fillId="0" borderId="0" applyFont="0" applyFill="0" applyBorder="0" applyAlignment="0" applyProtection="0"/>
    <xf numFmtId="0" fontId="8" fillId="0" borderId="0"/>
    <xf numFmtId="0" fontId="5" fillId="0" borderId="0"/>
    <xf numFmtId="165" fontId="5" fillId="11" borderId="22">
      <alignment wrapText="1"/>
      <protection locked="0"/>
    </xf>
  </cellStyleXfs>
  <cellXfs count="244">
    <xf numFmtId="0" fontId="0" fillId="0" borderId="0" xfId="0"/>
    <xf numFmtId="0" fontId="6" fillId="7" borderId="1" xfId="3" applyNumberFormat="1" applyFont="1" applyFill="1" applyBorder="1" applyAlignment="1">
      <alignment horizontal="center" vertical="center" wrapText="1"/>
    </xf>
    <xf numFmtId="0" fontId="12" fillId="0" borderId="0" xfId="0" applyFont="1"/>
    <xf numFmtId="0" fontId="13" fillId="0" borderId="0" xfId="0" applyFont="1"/>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6" xfId="0" applyFont="1" applyFill="1" applyBorder="1" applyAlignment="1">
      <alignment horizontal="center" vertical="center"/>
    </xf>
    <xf numFmtId="0" fontId="13" fillId="0" borderId="18" xfId="0" applyFont="1" applyBorder="1" applyAlignment="1">
      <alignment horizontal="center" vertical="center"/>
    </xf>
    <xf numFmtId="0" fontId="16" fillId="0" borderId="18" xfId="1" applyFont="1" applyBorder="1" applyAlignment="1">
      <alignment horizontal="center" vertical="center"/>
    </xf>
    <xf numFmtId="10" fontId="13" fillId="0" borderId="18"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27" xfId="0" applyFont="1" applyBorder="1" applyAlignment="1">
      <alignment horizontal="center" vertical="center"/>
    </xf>
    <xf numFmtId="0" fontId="13" fillId="6" borderId="1" xfId="0" applyFont="1" applyFill="1" applyBorder="1" applyAlignment="1">
      <alignment horizontal="left"/>
    </xf>
    <xf numFmtId="0" fontId="16" fillId="6" borderId="1" xfId="1" applyFont="1" applyFill="1" applyBorder="1" applyAlignment="1">
      <alignment horizontal="left"/>
    </xf>
    <xf numFmtId="10" fontId="13" fillId="0" borderId="27" xfId="0" applyNumberFormat="1" applyFont="1" applyBorder="1" applyAlignment="1">
      <alignment horizontal="center" vertical="center"/>
    </xf>
    <xf numFmtId="10" fontId="17" fillId="0" borderId="27" xfId="0" applyNumberFormat="1" applyFont="1" applyBorder="1" applyAlignment="1">
      <alignment horizontal="center" vertical="center"/>
    </xf>
    <xf numFmtId="0" fontId="13" fillId="0" borderId="14" xfId="0" applyFont="1" applyBorder="1" applyAlignment="1">
      <alignment horizontal="center" vertical="center"/>
    </xf>
    <xf numFmtId="0" fontId="13" fillId="0" borderId="0" xfId="0" applyFont="1" applyAlignment="1">
      <alignment horizontal="center" vertical="center"/>
    </xf>
    <xf numFmtId="0" fontId="14" fillId="2" borderId="25" xfId="0" applyFont="1" applyFill="1" applyBorder="1" applyAlignment="1">
      <alignment horizontal="center" vertical="center"/>
    </xf>
    <xf numFmtId="0" fontId="14" fillId="2" borderId="6" xfId="0" applyFont="1" applyFill="1" applyBorder="1" applyAlignment="1">
      <alignment horizontal="center" vertical="center"/>
    </xf>
    <xf numFmtId="0" fontId="13" fillId="0" borderId="31" xfId="0" applyFont="1" applyBorder="1" applyAlignment="1">
      <alignment horizontal="center"/>
    </xf>
    <xf numFmtId="0" fontId="13" fillId="0" borderId="28" xfId="0" applyFont="1" applyBorder="1" applyAlignment="1">
      <alignment horizontal="center"/>
    </xf>
    <xf numFmtId="0" fontId="18" fillId="0" borderId="28" xfId="0" applyFont="1" applyBorder="1" applyAlignment="1">
      <alignment horizontal="center"/>
    </xf>
    <xf numFmtId="0" fontId="13" fillId="0" borderId="28" xfId="0" applyFont="1" applyBorder="1" applyAlignment="1">
      <alignment horizontal="center" wrapText="1"/>
    </xf>
    <xf numFmtId="10" fontId="13" fillId="0" borderId="28" xfId="0" applyNumberFormat="1" applyFont="1" applyBorder="1" applyAlignment="1">
      <alignment horizontal="center"/>
    </xf>
    <xf numFmtId="9" fontId="13" fillId="0" borderId="28" xfId="0" applyNumberFormat="1" applyFont="1" applyBorder="1" applyAlignment="1">
      <alignment horizontal="center"/>
    </xf>
    <xf numFmtId="0" fontId="13" fillId="0" borderId="32" xfId="0" applyFont="1" applyBorder="1" applyAlignment="1">
      <alignment horizontal="center"/>
    </xf>
    <xf numFmtId="0" fontId="14" fillId="2" borderId="31" xfId="0" applyFont="1" applyFill="1" applyBorder="1" applyAlignment="1">
      <alignment horizontal="center"/>
    </xf>
    <xf numFmtId="0" fontId="14" fillId="13" borderId="28" xfId="0" applyFont="1" applyFill="1" applyBorder="1"/>
    <xf numFmtId="0" fontId="14" fillId="13" borderId="32" xfId="0" applyFont="1" applyFill="1" applyBorder="1"/>
    <xf numFmtId="0" fontId="14" fillId="0" borderId="37" xfId="0" applyFont="1" applyBorder="1" applyAlignment="1">
      <alignment horizontal="center"/>
    </xf>
    <xf numFmtId="2" fontId="13" fillId="0" borderId="12" xfId="0" applyNumberFormat="1" applyFont="1" applyBorder="1" applyAlignment="1">
      <alignment horizontal="center"/>
    </xf>
    <xf numFmtId="2" fontId="14" fillId="0" borderId="38" xfId="0" applyNumberFormat="1" applyFont="1" applyBorder="1" applyAlignment="1">
      <alignment horizontal="center"/>
    </xf>
    <xf numFmtId="0" fontId="14" fillId="0" borderId="36" xfId="0" applyFont="1" applyBorder="1" applyAlignment="1">
      <alignment horizontal="center"/>
    </xf>
    <xf numFmtId="2" fontId="13" fillId="0" borderId="1" xfId="0" applyNumberFormat="1" applyFont="1" applyBorder="1" applyAlignment="1">
      <alignment horizontal="center"/>
    </xf>
    <xf numFmtId="2" fontId="14" fillId="0" borderId="35" xfId="0" applyNumberFormat="1" applyFont="1" applyBorder="1" applyAlignment="1">
      <alignment horizontal="center"/>
    </xf>
    <xf numFmtId="0" fontId="14" fillId="0" borderId="34" xfId="0" applyFont="1" applyBorder="1" applyAlignment="1">
      <alignment horizontal="center"/>
    </xf>
    <xf numFmtId="2" fontId="13" fillId="0" borderId="10" xfId="0" applyNumberFormat="1" applyFont="1" applyBorder="1" applyAlignment="1">
      <alignment horizontal="center"/>
    </xf>
    <xf numFmtId="0" fontId="14" fillId="0" borderId="17" xfId="0" applyFont="1" applyBorder="1" applyAlignment="1">
      <alignment horizontal="center"/>
    </xf>
    <xf numFmtId="2" fontId="14" fillId="0" borderId="8" xfId="0" applyNumberFormat="1" applyFont="1" applyBorder="1" applyAlignment="1">
      <alignment horizontal="center"/>
    </xf>
    <xf numFmtId="2" fontId="14" fillId="0" borderId="9" xfId="0" applyNumberFormat="1" applyFont="1" applyBorder="1" applyAlignment="1">
      <alignment horizontal="center"/>
    </xf>
    <xf numFmtId="2" fontId="13" fillId="0" borderId="0" xfId="0" applyNumberFormat="1" applyFont="1"/>
    <xf numFmtId="0" fontId="14" fillId="0" borderId="0" xfId="0" applyFont="1" applyAlignment="1">
      <alignment horizontal="center"/>
    </xf>
    <xf numFmtId="0" fontId="13" fillId="0" borderId="0" xfId="0" applyFont="1" applyAlignment="1">
      <alignment horizontal="center"/>
    </xf>
    <xf numFmtId="0" fontId="14" fillId="2" borderId="34" xfId="0" applyFont="1" applyFill="1" applyBorder="1"/>
    <xf numFmtId="0" fontId="14" fillId="2" borderId="1" xfId="0" applyFont="1" applyFill="1" applyBorder="1"/>
    <xf numFmtId="0" fontId="14" fillId="2" borderId="35" xfId="0" applyFont="1" applyFill="1" applyBorder="1"/>
    <xf numFmtId="0" fontId="14" fillId="0" borderId="0" xfId="0" applyFont="1"/>
    <xf numFmtId="165" fontId="21" fillId="6" borderId="1" xfId="6" applyFont="1" applyFill="1" applyBorder="1" applyAlignment="1">
      <alignment horizontal="center" wrapText="1"/>
      <protection locked="0"/>
    </xf>
    <xf numFmtId="2" fontId="13" fillId="0" borderId="0" xfId="0" applyNumberFormat="1" applyFont="1" applyAlignment="1">
      <alignment horizontal="center"/>
    </xf>
    <xf numFmtId="0" fontId="14" fillId="2" borderId="10" xfId="0" applyFont="1" applyFill="1" applyBorder="1"/>
    <xf numFmtId="0" fontId="14" fillId="0" borderId="1" xfId="0" applyFont="1" applyBorder="1" applyAlignment="1">
      <alignment horizontal="center"/>
    </xf>
    <xf numFmtId="2" fontId="13" fillId="0" borderId="1" xfId="0" applyNumberFormat="1" applyFont="1" applyBorder="1" applyAlignment="1">
      <alignment horizontal="center" vertical="center"/>
    </xf>
    <xf numFmtId="2" fontId="14" fillId="0" borderId="1" xfId="0" applyNumberFormat="1" applyFont="1" applyBorder="1" applyAlignment="1">
      <alignment horizontal="center" vertical="center"/>
    </xf>
    <xf numFmtId="0" fontId="22" fillId="0" borderId="0" xfId="0" applyFont="1" applyAlignment="1">
      <alignment horizontal="center" vertical="center"/>
    </xf>
    <xf numFmtId="0" fontId="14" fillId="9" borderId="1" xfId="0" applyFont="1" applyFill="1" applyBorder="1" applyAlignment="1">
      <alignment horizontal="center"/>
    </xf>
    <xf numFmtId="0" fontId="13" fillId="9" borderId="1" xfId="0" applyFont="1" applyFill="1" applyBorder="1" applyAlignment="1">
      <alignment horizontal="center"/>
    </xf>
    <xf numFmtId="0" fontId="25" fillId="9" borderId="1" xfId="0" applyFont="1" applyFill="1" applyBorder="1" applyAlignment="1">
      <alignment horizontal="center"/>
    </xf>
    <xf numFmtId="9" fontId="13" fillId="9" borderId="1" xfId="0" applyNumberFormat="1" applyFont="1" applyFill="1" applyBorder="1" applyAlignment="1">
      <alignment horizontal="center"/>
    </xf>
    <xf numFmtId="0" fontId="14" fillId="5" borderId="1" xfId="0" applyFont="1" applyFill="1" applyBorder="1" applyAlignment="1">
      <alignment horizontal="center" vertical="center"/>
    </xf>
    <xf numFmtId="0" fontId="14" fillId="2" borderId="1" xfId="0" applyFont="1" applyFill="1" applyBorder="1" applyAlignment="1">
      <alignment horizontal="center"/>
    </xf>
    <xf numFmtId="0" fontId="14" fillId="13" borderId="1" xfId="0" applyFont="1" applyFill="1" applyBorder="1"/>
    <xf numFmtId="0" fontId="14" fillId="5" borderId="1" xfId="0" applyFont="1" applyFill="1" applyBorder="1" applyAlignment="1">
      <alignment horizontal="center" vertical="center" wrapText="1"/>
    </xf>
    <xf numFmtId="0" fontId="13" fillId="3" borderId="1" xfId="0" applyFont="1" applyFill="1" applyBorder="1" applyAlignment="1">
      <alignment horizontal="center"/>
    </xf>
    <xf numFmtId="1" fontId="13" fillId="0" borderId="1" xfId="0" applyNumberFormat="1" applyFont="1" applyBorder="1" applyAlignment="1">
      <alignment horizontal="center"/>
    </xf>
    <xf numFmtId="0" fontId="13" fillId="0" borderId="1" xfId="0" applyFont="1" applyBorder="1" applyAlignment="1">
      <alignment horizontal="center"/>
    </xf>
    <xf numFmtId="0" fontId="13" fillId="4" borderId="1" xfId="0" applyFont="1" applyFill="1" applyBorder="1" applyAlignment="1">
      <alignment horizontal="center"/>
    </xf>
    <xf numFmtId="2" fontId="13" fillId="3" borderId="1" xfId="0" applyNumberFormat="1" applyFont="1" applyFill="1" applyBorder="1" applyAlignment="1">
      <alignment horizontal="center"/>
    </xf>
    <xf numFmtId="2" fontId="16" fillId="3" borderId="1" xfId="1" applyNumberFormat="1" applyFont="1" applyFill="1" applyBorder="1" applyAlignment="1">
      <alignment horizontal="center"/>
    </xf>
    <xf numFmtId="2" fontId="13" fillId="3" borderId="12" xfId="0" applyNumberFormat="1" applyFont="1" applyFill="1" applyBorder="1" applyAlignment="1">
      <alignment horizontal="center"/>
    </xf>
    <xf numFmtId="2" fontId="16" fillId="10" borderId="12" xfId="1" applyNumberFormat="1" applyFont="1" applyFill="1" applyBorder="1" applyAlignment="1">
      <alignment horizontal="center"/>
    </xf>
    <xf numFmtId="2" fontId="13" fillId="6" borderId="12" xfId="0" applyNumberFormat="1" applyFont="1" applyFill="1" applyBorder="1" applyAlignment="1">
      <alignment horizontal="center"/>
    </xf>
    <xf numFmtId="0" fontId="13" fillId="2" borderId="1" xfId="0" applyFont="1" applyFill="1" applyBorder="1" applyAlignment="1">
      <alignment horizontal="center"/>
    </xf>
    <xf numFmtId="2" fontId="13" fillId="2" borderId="1" xfId="0" applyNumberFormat="1" applyFont="1" applyFill="1" applyBorder="1" applyAlignment="1">
      <alignment horizontal="center"/>
    </xf>
    <xf numFmtId="0" fontId="13" fillId="2" borderId="0" xfId="0" applyFont="1" applyFill="1" applyAlignment="1">
      <alignment horizontal="center"/>
    </xf>
    <xf numFmtId="0" fontId="13" fillId="2" borderId="0" xfId="0" applyFont="1" applyFill="1" applyAlignment="1">
      <alignment horizontal="center" vertical="center"/>
    </xf>
    <xf numFmtId="2" fontId="13" fillId="15" borderId="12" xfId="0" applyNumberFormat="1" applyFont="1" applyFill="1" applyBorder="1" applyAlignment="1">
      <alignment horizontal="center"/>
    </xf>
    <xf numFmtId="2" fontId="13" fillId="6" borderId="1" xfId="0" applyNumberFormat="1" applyFont="1" applyFill="1" applyBorder="1" applyAlignment="1">
      <alignment horizontal="center"/>
    </xf>
    <xf numFmtId="0" fontId="14" fillId="2" borderId="1" xfId="0" applyFont="1" applyFill="1" applyBorder="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4" fillId="0" borderId="0" xfId="0" applyFont="1" applyAlignment="1">
      <alignment vertical="center" wrapText="1"/>
    </xf>
    <xf numFmtId="0" fontId="13" fillId="15" borderId="1" xfId="0" applyFont="1" applyFill="1" applyBorder="1" applyAlignment="1">
      <alignment horizontal="center"/>
    </xf>
    <xf numFmtId="2" fontId="13" fillId="15" borderId="1" xfId="0" applyNumberFormat="1" applyFont="1" applyFill="1" applyBorder="1" applyAlignment="1">
      <alignment horizontal="center"/>
    </xf>
    <xf numFmtId="0" fontId="28" fillId="2" borderId="31" xfId="2" applyFont="1" applyFill="1" applyBorder="1" applyAlignment="1">
      <alignment horizontal="center" vertical="top"/>
    </xf>
    <xf numFmtId="0" fontId="28" fillId="2" borderId="28" xfId="2" applyFont="1" applyFill="1" applyBorder="1" applyAlignment="1">
      <alignment horizontal="center" vertical="top"/>
    </xf>
    <xf numFmtId="0" fontId="28" fillId="2" borderId="32" xfId="2" applyFont="1" applyFill="1" applyBorder="1" applyAlignment="1">
      <alignment horizontal="center" vertical="top"/>
    </xf>
    <xf numFmtId="0" fontId="14" fillId="14" borderId="18" xfId="0" applyFont="1" applyFill="1" applyBorder="1" applyAlignment="1">
      <alignment horizontal="center"/>
    </xf>
    <xf numFmtId="0" fontId="14" fillId="14" borderId="33" xfId="0" applyFont="1" applyFill="1" applyBorder="1" applyAlignment="1">
      <alignment horizontal="center"/>
    </xf>
    <xf numFmtId="0" fontId="28" fillId="0" borderId="37" xfId="2" applyFont="1" applyBorder="1" applyAlignment="1">
      <alignment horizontal="left" vertical="center"/>
    </xf>
    <xf numFmtId="0" fontId="21" fillId="0" borderId="12" xfId="2" applyFont="1" applyBorder="1" applyAlignment="1">
      <alignment horizontal="center" vertical="center"/>
    </xf>
    <xf numFmtId="0" fontId="28" fillId="0" borderId="12" xfId="2" applyFont="1" applyBorder="1" applyAlignment="1">
      <alignment horizontal="center" vertical="center"/>
    </xf>
    <xf numFmtId="0" fontId="21" fillId="0" borderId="12" xfId="1" applyFont="1" applyFill="1" applyBorder="1" applyAlignment="1">
      <alignment horizontal="center" vertical="center"/>
    </xf>
    <xf numFmtId="0" fontId="21" fillId="0" borderId="38" xfId="2" applyFont="1" applyBorder="1" applyAlignment="1">
      <alignment horizontal="center" vertical="center"/>
    </xf>
    <xf numFmtId="0" fontId="28" fillId="0" borderId="36" xfId="2" applyFont="1" applyBorder="1" applyAlignment="1">
      <alignment horizontal="left" vertical="top"/>
    </xf>
    <xf numFmtId="0" fontId="21" fillId="0" borderId="1" xfId="2" applyFont="1" applyBorder="1" applyAlignment="1">
      <alignment horizontal="center" vertical="top"/>
    </xf>
    <xf numFmtId="2" fontId="28" fillId="0" borderId="1" xfId="2" applyNumberFormat="1" applyFont="1" applyBorder="1" applyAlignment="1">
      <alignment horizontal="center" vertical="top"/>
    </xf>
    <xf numFmtId="0" fontId="13" fillId="0" borderId="1" xfId="0" applyFont="1" applyBorder="1" applyAlignment="1" applyProtection="1">
      <alignment horizontal="center" vertical="top"/>
      <protection locked="0"/>
    </xf>
    <xf numFmtId="0" fontId="28" fillId="0" borderId="1" xfId="2" applyFont="1" applyBorder="1" applyAlignment="1">
      <alignment horizontal="center" vertical="top"/>
    </xf>
    <xf numFmtId="4" fontId="28" fillId="0" borderId="35" xfId="2" applyNumberFormat="1" applyFont="1" applyBorder="1" applyAlignment="1">
      <alignment horizontal="center" vertical="top"/>
    </xf>
    <xf numFmtId="0" fontId="28" fillId="0" borderId="36" xfId="2" applyFont="1" applyBorder="1" applyAlignment="1">
      <alignment horizontal="left" vertical="center"/>
    </xf>
    <xf numFmtId="0" fontId="21" fillId="0" borderId="1" xfId="2" applyFont="1" applyBorder="1" applyAlignment="1">
      <alignment horizontal="center" vertical="center"/>
    </xf>
    <xf numFmtId="4" fontId="28" fillId="0" borderId="1" xfId="2" applyNumberFormat="1" applyFont="1" applyBorder="1" applyAlignment="1">
      <alignment horizontal="center" vertical="center"/>
    </xf>
    <xf numFmtId="0" fontId="21" fillId="0" borderId="1" xfId="0" applyFont="1" applyBorder="1" applyAlignment="1" applyProtection="1">
      <alignment horizontal="center" vertical="center"/>
      <protection locked="0"/>
    </xf>
    <xf numFmtId="0" fontId="28" fillId="0" borderId="1" xfId="2" applyFont="1" applyBorder="1" applyAlignment="1">
      <alignment horizontal="center" vertical="center"/>
    </xf>
    <xf numFmtId="0" fontId="28" fillId="0" borderId="35" xfId="2" applyFont="1" applyBorder="1" applyAlignment="1">
      <alignment horizontal="center" vertical="center"/>
    </xf>
    <xf numFmtId="2" fontId="28" fillId="0" borderId="1" xfId="2" applyNumberFormat="1" applyFont="1" applyBorder="1" applyAlignment="1">
      <alignment horizontal="center" vertical="center"/>
    </xf>
    <xf numFmtId="0" fontId="13" fillId="0" borderId="1" xfId="0" applyFont="1" applyBorder="1" applyAlignment="1" applyProtection="1">
      <alignment horizontal="center" vertical="center"/>
      <protection locked="0"/>
    </xf>
    <xf numFmtId="2" fontId="28" fillId="6" borderId="35" xfId="2" applyNumberFormat="1" applyFont="1" applyFill="1" applyBorder="1" applyAlignment="1">
      <alignment horizontal="center" vertical="center"/>
    </xf>
    <xf numFmtId="0" fontId="21" fillId="0" borderId="17" xfId="2" applyFont="1" applyBorder="1" applyAlignment="1">
      <alignment horizontal="center" vertical="center"/>
    </xf>
    <xf numFmtId="0" fontId="21" fillId="0" borderId="8" xfId="2" applyFont="1" applyBorder="1" applyAlignment="1">
      <alignment horizontal="center" vertical="center"/>
    </xf>
    <xf numFmtId="0" fontId="13" fillId="0" borderId="8" xfId="0" applyFont="1" applyBorder="1" applyAlignment="1">
      <alignment horizontal="center"/>
    </xf>
    <xf numFmtId="0" fontId="13" fillId="0" borderId="9" xfId="0" applyFont="1" applyBorder="1" applyAlignment="1">
      <alignment horizontal="center"/>
    </xf>
    <xf numFmtId="0" fontId="13" fillId="0" borderId="40" xfId="0" applyFont="1" applyBorder="1" applyAlignment="1">
      <alignment horizontal="center"/>
    </xf>
    <xf numFmtId="0" fontId="13" fillId="0" borderId="41" xfId="0" applyFont="1" applyBorder="1" applyAlignment="1">
      <alignment horizontal="center"/>
    </xf>
    <xf numFmtId="0" fontId="13" fillId="3" borderId="25" xfId="0" applyFont="1" applyFill="1" applyBorder="1" applyAlignment="1">
      <alignment horizontal="center"/>
    </xf>
    <xf numFmtId="0" fontId="13" fillId="3" borderId="4" xfId="0" applyFont="1" applyFill="1" applyBorder="1" applyAlignment="1">
      <alignment horizontal="center"/>
    </xf>
    <xf numFmtId="0" fontId="13" fillId="3" borderId="5" xfId="0" applyFont="1" applyFill="1" applyBorder="1" applyAlignment="1">
      <alignment horizontal="center" wrapText="1"/>
    </xf>
    <xf numFmtId="0" fontId="13" fillId="3" borderId="31" xfId="0" applyFont="1" applyFill="1" applyBorder="1" applyAlignment="1">
      <alignment horizontal="center"/>
    </xf>
    <xf numFmtId="0" fontId="13" fillId="3" borderId="28" xfId="0" applyFont="1" applyFill="1" applyBorder="1" applyAlignment="1">
      <alignment horizontal="center"/>
    </xf>
    <xf numFmtId="0" fontId="13" fillId="3" borderId="28" xfId="0" applyFont="1" applyFill="1" applyBorder="1" applyAlignment="1">
      <alignment horizontal="center" wrapText="1"/>
    </xf>
    <xf numFmtId="0" fontId="13" fillId="3" borderId="32" xfId="0" applyFont="1" applyFill="1" applyBorder="1" applyAlignment="1">
      <alignment horizontal="center" wrapText="1"/>
    </xf>
    <xf numFmtId="0" fontId="14" fillId="0" borderId="18" xfId="0" applyFont="1" applyBorder="1" applyAlignment="1">
      <alignment horizontal="center" vertical="center"/>
    </xf>
    <xf numFmtId="0" fontId="14" fillId="0" borderId="5" xfId="0" applyFont="1" applyBorder="1" applyAlignment="1">
      <alignment horizontal="center" vertical="center" wrapText="1"/>
    </xf>
    <xf numFmtId="0" fontId="13" fillId="0" borderId="37" xfId="0" applyFont="1" applyBorder="1" applyAlignment="1">
      <alignment horizontal="center"/>
    </xf>
    <xf numFmtId="0" fontId="13" fillId="0" borderId="12" xfId="0" applyFont="1" applyBorder="1" applyAlignment="1">
      <alignment horizontal="center"/>
    </xf>
    <xf numFmtId="2" fontId="13" fillId="0" borderId="38" xfId="0" applyNumberFormat="1" applyFont="1" applyBorder="1" applyAlignment="1">
      <alignment horizontal="center"/>
    </xf>
    <xf numFmtId="2" fontId="13" fillId="0" borderId="35" xfId="0" applyNumberFormat="1" applyFont="1" applyBorder="1" applyAlignment="1">
      <alignment horizontal="center"/>
    </xf>
    <xf numFmtId="0" fontId="13" fillId="0" borderId="44" xfId="0" applyFont="1" applyBorder="1" applyAlignment="1">
      <alignment horizontal="center"/>
    </xf>
    <xf numFmtId="0" fontId="13" fillId="0" borderId="11" xfId="0" applyFont="1" applyBorder="1" applyAlignment="1">
      <alignment horizontal="center"/>
    </xf>
    <xf numFmtId="2" fontId="13" fillId="0" borderId="11" xfId="0" applyNumberFormat="1" applyFont="1" applyBorder="1" applyAlignment="1">
      <alignment horizontal="center"/>
    </xf>
    <xf numFmtId="2" fontId="13" fillId="0" borderId="45" xfId="0" applyNumberFormat="1" applyFont="1" applyBorder="1" applyAlignment="1">
      <alignment horizontal="center"/>
    </xf>
    <xf numFmtId="0" fontId="14" fillId="0" borderId="31" xfId="0" applyFont="1" applyBorder="1" applyAlignment="1">
      <alignment horizontal="center"/>
    </xf>
    <xf numFmtId="0" fontId="14" fillId="0" borderId="28" xfId="0" applyFont="1" applyBorder="1" applyAlignment="1">
      <alignment horizontal="center"/>
    </xf>
    <xf numFmtId="0" fontId="14" fillId="0" borderId="32" xfId="0" applyFont="1" applyBorder="1" applyAlignment="1">
      <alignment horizontal="center"/>
    </xf>
    <xf numFmtId="1" fontId="13" fillId="0" borderId="12" xfId="0" applyNumberFormat="1" applyFont="1" applyBorder="1" applyAlignment="1">
      <alignment horizontal="center"/>
    </xf>
    <xf numFmtId="1" fontId="13" fillId="0" borderId="38" xfId="0" applyNumberFormat="1" applyFont="1" applyBorder="1" applyAlignment="1">
      <alignment horizontal="center"/>
    </xf>
    <xf numFmtId="0" fontId="29" fillId="16" borderId="25" xfId="0" applyFont="1" applyFill="1" applyBorder="1" applyAlignment="1">
      <alignment horizontal="center" vertical="center" wrapText="1"/>
    </xf>
    <xf numFmtId="0" fontId="29" fillId="16" borderId="4" xfId="0" applyFont="1" applyFill="1" applyBorder="1" applyAlignment="1">
      <alignment horizontal="center" vertical="center" wrapText="1"/>
    </xf>
    <xf numFmtId="0" fontId="28" fillId="16" borderId="25" xfId="0" applyFont="1" applyFill="1" applyBorder="1" applyAlignment="1">
      <alignment horizontal="center" vertical="center" wrapText="1"/>
    </xf>
    <xf numFmtId="0" fontId="28" fillId="16" borderId="4" xfId="0" applyFont="1" applyFill="1" applyBorder="1" applyAlignment="1">
      <alignment horizontal="center" vertical="center" wrapText="1"/>
    </xf>
    <xf numFmtId="0" fontId="22" fillId="0" borderId="1" xfId="0" applyFont="1" applyBorder="1" applyAlignment="1">
      <alignment horizontal="center" vertical="center"/>
    </xf>
    <xf numFmtId="1" fontId="22" fillId="0" borderId="1" xfId="0" applyNumberFormat="1" applyFont="1" applyBorder="1" applyAlignment="1">
      <alignment horizontal="center" vertical="center"/>
    </xf>
    <xf numFmtId="1" fontId="22" fillId="0" borderId="0" xfId="0" applyNumberFormat="1" applyFont="1" applyAlignment="1">
      <alignment horizontal="center" vertical="center"/>
    </xf>
    <xf numFmtId="0" fontId="12" fillId="0" borderId="30" xfId="0" applyFont="1" applyBorder="1"/>
    <xf numFmtId="2" fontId="12" fillId="0" borderId="39" xfId="0" applyNumberFormat="1" applyFont="1" applyBorder="1"/>
    <xf numFmtId="0" fontId="12" fillId="0" borderId="39" xfId="0" applyFont="1" applyBorder="1"/>
    <xf numFmtId="0" fontId="12" fillId="0" borderId="26" xfId="0" applyFont="1" applyBorder="1"/>
    <xf numFmtId="0" fontId="22" fillId="0" borderId="1" xfId="0" applyFont="1" applyBorder="1" applyAlignment="1">
      <alignment horizontal="center" vertical="center" wrapText="1"/>
    </xf>
    <xf numFmtId="0" fontId="12" fillId="0" borderId="36" xfId="0" applyFont="1" applyBorder="1"/>
    <xf numFmtId="0" fontId="12" fillId="0" borderId="1" xfId="0" applyFont="1" applyBorder="1"/>
    <xf numFmtId="0" fontId="12" fillId="0" borderId="35" xfId="0" applyFont="1" applyBorder="1"/>
    <xf numFmtId="3" fontId="12" fillId="0" borderId="1" xfId="0" applyNumberFormat="1" applyFont="1" applyBorder="1"/>
    <xf numFmtId="0" fontId="30" fillId="0" borderId="36" xfId="0" applyFont="1" applyBorder="1"/>
    <xf numFmtId="0" fontId="12" fillId="0" borderId="17" xfId="0" applyFont="1" applyBorder="1"/>
    <xf numFmtId="0" fontId="12" fillId="0" borderId="8" xfId="0" applyFont="1" applyBorder="1"/>
    <xf numFmtId="2" fontId="12" fillId="0" borderId="9" xfId="0" applyNumberFormat="1" applyFont="1" applyBorder="1"/>
    <xf numFmtId="0" fontId="22" fillId="0" borderId="0" xfId="0" applyFont="1" applyAlignment="1">
      <alignment horizontal="left" vertical="top"/>
    </xf>
    <xf numFmtId="3" fontId="12" fillId="0" borderId="0" xfId="0" applyNumberFormat="1" applyFont="1"/>
    <xf numFmtId="0" fontId="28" fillId="3" borderId="25"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28" fillId="0" borderId="1" xfId="0" applyFont="1" applyBorder="1" applyAlignment="1">
      <alignment horizontal="center"/>
    </xf>
    <xf numFmtId="9" fontId="28" fillId="0" borderId="1" xfId="0" applyNumberFormat="1" applyFont="1" applyBorder="1" applyAlignment="1">
      <alignment horizontal="center"/>
    </xf>
    <xf numFmtId="0" fontId="13" fillId="0" borderId="1" xfId="0" applyFont="1" applyBorder="1" applyAlignment="1">
      <alignment horizontal="center" vertical="center"/>
    </xf>
    <xf numFmtId="1" fontId="13" fillId="0" borderId="1" xfId="0" applyNumberFormat="1" applyFont="1" applyBorder="1" applyAlignment="1">
      <alignment horizontal="center" vertical="center"/>
    </xf>
    <xf numFmtId="9" fontId="13" fillId="0" borderId="0" xfId="0" applyNumberFormat="1" applyFont="1" applyAlignment="1">
      <alignment horizontal="center" vertical="center"/>
    </xf>
    <xf numFmtId="0" fontId="13" fillId="0" borderId="0" xfId="0" applyFont="1" applyAlignment="1">
      <alignment vertical="top"/>
    </xf>
    <xf numFmtId="0" fontId="6" fillId="7" borderId="14" xfId="0" applyFont="1" applyFill="1" applyBorder="1" applyAlignment="1">
      <alignment horizontal="left" vertical="top" wrapText="1"/>
    </xf>
    <xf numFmtId="0" fontId="6" fillId="7" borderId="3" xfId="0" applyFont="1" applyFill="1" applyBorder="1" applyAlignment="1">
      <alignment vertical="top" wrapText="1"/>
    </xf>
    <xf numFmtId="0" fontId="6" fillId="7" borderId="3" xfId="0" applyFont="1" applyFill="1" applyBorder="1" applyAlignment="1">
      <alignment horizontal="left" vertical="top" wrapText="1"/>
    </xf>
    <xf numFmtId="0" fontId="6" fillId="7" borderId="4" xfId="0" applyFont="1" applyFill="1" applyBorder="1" applyAlignment="1">
      <alignment vertical="top" wrapText="1"/>
    </xf>
    <xf numFmtId="0" fontId="6" fillId="7" borderId="6" xfId="0" applyFont="1" applyFill="1" applyBorder="1" applyAlignment="1">
      <alignment vertical="top" wrapText="1"/>
    </xf>
    <xf numFmtId="2" fontId="13" fillId="0" borderId="21" xfId="0" applyNumberFormat="1" applyFont="1" applyBorder="1" applyAlignment="1">
      <alignment horizontal="left"/>
    </xf>
    <xf numFmtId="2" fontId="13" fillId="0" borderId="23" xfId="0" applyNumberFormat="1" applyFont="1" applyBorder="1" applyAlignment="1">
      <alignment horizontal="left"/>
    </xf>
    <xf numFmtId="2" fontId="13" fillId="0" borderId="24" xfId="0" applyNumberFormat="1" applyFont="1" applyBorder="1" applyAlignment="1">
      <alignment horizontal="left"/>
    </xf>
    <xf numFmtId="2" fontId="14" fillId="12" borderId="1" xfId="0" applyNumberFormat="1" applyFont="1" applyFill="1" applyBorder="1"/>
    <xf numFmtId="1" fontId="14" fillId="12" borderId="1" xfId="0" applyNumberFormat="1" applyFont="1" applyFill="1" applyBorder="1" applyAlignment="1">
      <alignment horizontal="center"/>
    </xf>
    <xf numFmtId="1" fontId="14" fillId="12" borderId="10" xfId="0" applyNumberFormat="1" applyFont="1" applyFill="1" applyBorder="1" applyAlignment="1">
      <alignment horizontal="center"/>
    </xf>
    <xf numFmtId="1" fontId="14" fillId="0" borderId="0" xfId="0" applyNumberFormat="1" applyFont="1" applyAlignment="1">
      <alignment horizontal="center"/>
    </xf>
    <xf numFmtId="0" fontId="14" fillId="12" borderId="16" xfId="0" applyFont="1" applyFill="1" applyBorder="1"/>
    <xf numFmtId="14" fontId="13" fillId="0" borderId="0" xfId="0" applyNumberFormat="1" applyFont="1"/>
    <xf numFmtId="0" fontId="6" fillId="0" borderId="0" xfId="0" applyFont="1" applyAlignment="1">
      <alignment vertical="center" wrapText="1"/>
    </xf>
    <xf numFmtId="0" fontId="14" fillId="0" borderId="0" xfId="0" applyFont="1" applyAlignment="1">
      <alignment horizontal="center" vertical="center" wrapText="1"/>
    </xf>
    <xf numFmtId="0" fontId="28" fillId="0" borderId="0" xfId="5" applyFont="1" applyAlignment="1">
      <alignment horizontal="center" vertical="center" wrapText="1"/>
    </xf>
    <xf numFmtId="2" fontId="13" fillId="0" borderId="0" xfId="0" applyNumberFormat="1" applyFont="1" applyAlignment="1">
      <alignment horizontal="center" vertical="center"/>
    </xf>
    <xf numFmtId="0" fontId="14" fillId="3" borderId="1" xfId="0" applyFont="1" applyFill="1" applyBorder="1"/>
    <xf numFmtId="0" fontId="14" fillId="3" borderId="1" xfId="0" applyFont="1" applyFill="1" applyBorder="1" applyAlignment="1">
      <alignment horizontal="center" vertical="center"/>
    </xf>
    <xf numFmtId="1" fontId="14" fillId="3" borderId="1" xfId="0" applyNumberFormat="1" applyFont="1" applyFill="1" applyBorder="1" applyAlignment="1">
      <alignment horizontal="center" vertical="center"/>
    </xf>
    <xf numFmtId="2" fontId="14" fillId="3" borderId="1" xfId="0" applyNumberFormat="1" applyFont="1" applyFill="1" applyBorder="1" applyAlignment="1">
      <alignment horizontal="center" vertical="center"/>
    </xf>
    <xf numFmtId="0" fontId="14" fillId="0" borderId="0" xfId="0" applyFont="1" applyAlignment="1">
      <alignment horizontal="center" vertical="center"/>
    </xf>
    <xf numFmtId="0" fontId="6" fillId="7" borderId="1" xfId="3" applyNumberFormat="1" applyFont="1" applyFill="1" applyBorder="1" applyAlignment="1">
      <alignment horizontal="center" vertical="top" wrapText="1"/>
    </xf>
    <xf numFmtId="2" fontId="22" fillId="0" borderId="1" xfId="0" applyNumberFormat="1" applyFont="1" applyBorder="1" applyAlignment="1">
      <alignment horizontal="center" vertical="center"/>
    </xf>
    <xf numFmtId="165" fontId="36" fillId="3" borderId="18" xfId="6" applyFont="1" applyFill="1" applyBorder="1" applyAlignment="1">
      <alignment horizontal="left"/>
      <protection locked="0"/>
    </xf>
    <xf numFmtId="0" fontId="37" fillId="3" borderId="14" xfId="0" applyFont="1" applyFill="1" applyBorder="1" applyAlignment="1">
      <alignment horizontal="left"/>
    </xf>
    <xf numFmtId="0" fontId="7" fillId="0" borderId="47" xfId="0" applyFont="1" applyBorder="1" applyAlignment="1">
      <alignment horizontal="left"/>
    </xf>
    <xf numFmtId="0" fontId="38" fillId="0" borderId="15" xfId="0" applyFont="1" applyBorder="1" applyAlignment="1">
      <alignment horizontal="left" vertical="center" wrapText="1"/>
    </xf>
    <xf numFmtId="0" fontId="39" fillId="0" borderId="48" xfId="0" applyFont="1" applyBorder="1" applyAlignment="1">
      <alignment horizontal="left"/>
    </xf>
    <xf numFmtId="0" fontId="7" fillId="0" borderId="49" xfId="0" applyFont="1" applyBorder="1" applyAlignment="1">
      <alignment horizontal="left"/>
    </xf>
    <xf numFmtId="0" fontId="38" fillId="0" borderId="19" xfId="0" applyFont="1" applyBorder="1" applyAlignment="1">
      <alignment horizontal="left" vertical="center" wrapText="1"/>
    </xf>
    <xf numFmtId="0" fontId="39" fillId="0" borderId="49" xfId="0" applyFont="1" applyBorder="1" applyAlignment="1">
      <alignment horizontal="left"/>
    </xf>
    <xf numFmtId="0" fontId="7" fillId="0" borderId="50" xfId="0" applyFont="1" applyBorder="1" applyAlignment="1">
      <alignment horizontal="left"/>
    </xf>
    <xf numFmtId="0" fontId="40" fillId="0" borderId="51" xfId="0" applyFont="1" applyBorder="1" applyAlignment="1">
      <alignment horizontal="left" wrapText="1"/>
    </xf>
    <xf numFmtId="0" fontId="39" fillId="0" borderId="50" xfId="0" applyFont="1" applyBorder="1" applyAlignment="1">
      <alignment horizontal="left"/>
    </xf>
    <xf numFmtId="0" fontId="13" fillId="4" borderId="0" xfId="0" applyFont="1" applyFill="1" applyAlignment="1">
      <alignment horizontal="center"/>
    </xf>
    <xf numFmtId="0" fontId="14" fillId="3" borderId="18" xfId="0" applyFont="1" applyFill="1" applyBorder="1" applyAlignment="1">
      <alignment horizontal="center"/>
    </xf>
    <xf numFmtId="0" fontId="14" fillId="3" borderId="33" xfId="0" applyFont="1" applyFill="1" applyBorder="1" applyAlignment="1">
      <alignment horizontal="center"/>
    </xf>
    <xf numFmtId="0" fontId="14" fillId="3" borderId="6" xfId="0" applyFont="1" applyFill="1" applyBorder="1" applyAlignment="1">
      <alignment horizontal="center"/>
    </xf>
    <xf numFmtId="0" fontId="14" fillId="3" borderId="30" xfId="0" applyFont="1" applyFill="1" applyBorder="1" applyAlignment="1">
      <alignment horizontal="center"/>
    </xf>
    <xf numFmtId="0" fontId="14" fillId="3" borderId="39" xfId="0" applyFont="1" applyFill="1" applyBorder="1" applyAlignment="1">
      <alignment horizontal="center"/>
    </xf>
    <xf numFmtId="0" fontId="14" fillId="3" borderId="26" xfId="0" applyFont="1" applyFill="1" applyBorder="1" applyAlignment="1">
      <alignment horizontal="center"/>
    </xf>
    <xf numFmtId="0" fontId="14" fillId="3" borderId="16" xfId="0" applyFont="1" applyFill="1" applyBorder="1" applyAlignment="1">
      <alignment horizontal="center"/>
    </xf>
    <xf numFmtId="0" fontId="14" fillId="3" borderId="19" xfId="0" applyFont="1" applyFill="1" applyBorder="1" applyAlignment="1">
      <alignment horizontal="center"/>
    </xf>
    <xf numFmtId="1" fontId="14" fillId="4" borderId="1" xfId="0" applyNumberFormat="1" applyFont="1" applyFill="1" applyBorder="1" applyAlignment="1">
      <alignment horizontal="center" vertical="center"/>
    </xf>
    <xf numFmtId="0" fontId="14" fillId="5" borderId="1" xfId="0" applyFont="1" applyFill="1" applyBorder="1" applyAlignment="1">
      <alignment horizontal="center"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8" borderId="13" xfId="0" applyFont="1" applyFill="1" applyBorder="1" applyAlignment="1">
      <alignment horizontal="center"/>
    </xf>
    <xf numFmtId="0" fontId="14" fillId="8" borderId="15" xfId="0" applyFont="1" applyFill="1" applyBorder="1" applyAlignment="1">
      <alignment horizontal="center"/>
    </xf>
    <xf numFmtId="0" fontId="14" fillId="5" borderId="1" xfId="0" applyFont="1" applyFill="1" applyBorder="1" applyAlignment="1">
      <alignment horizontal="center" vertical="center"/>
    </xf>
    <xf numFmtId="0" fontId="14" fillId="4" borderId="16"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43" xfId="0" applyFont="1" applyFill="1" applyBorder="1" applyAlignment="1">
      <alignment horizontal="center" vertical="center" wrapText="1"/>
    </xf>
    <xf numFmtId="0" fontId="14" fillId="2" borderId="1" xfId="0" applyFont="1" applyFill="1" applyBorder="1" applyAlignment="1">
      <alignment horizontal="center"/>
    </xf>
    <xf numFmtId="0" fontId="14" fillId="2" borderId="1" xfId="0" applyFont="1" applyFill="1" applyBorder="1" applyAlignment="1">
      <alignment horizontal="center" wrapText="1"/>
    </xf>
    <xf numFmtId="1" fontId="14" fillId="4" borderId="1" xfId="0" applyNumberFormat="1" applyFont="1" applyFill="1" applyBorder="1" applyAlignment="1">
      <alignment horizontal="center" vertical="center" wrapText="1"/>
    </xf>
    <xf numFmtId="0" fontId="16" fillId="0" borderId="10" xfId="1" applyFont="1" applyBorder="1" applyAlignment="1">
      <alignment horizontal="left" vertical="top" wrapText="1"/>
    </xf>
    <xf numFmtId="0" fontId="13" fillId="0" borderId="11" xfId="0" applyFont="1" applyBorder="1" applyAlignment="1">
      <alignment horizontal="left" vertical="top" wrapText="1"/>
    </xf>
    <xf numFmtId="0" fontId="13" fillId="0" borderId="12" xfId="0" applyFont="1" applyBorder="1" applyAlignment="1">
      <alignment horizontal="left" vertical="top" wrapText="1"/>
    </xf>
    <xf numFmtId="1" fontId="14" fillId="0" borderId="0" xfId="0" applyNumberFormat="1" applyFont="1" applyAlignment="1">
      <alignment horizontal="center" vertical="center"/>
    </xf>
    <xf numFmtId="0" fontId="14" fillId="3" borderId="27" xfId="0" applyFont="1" applyFill="1" applyBorder="1" applyAlignment="1">
      <alignment horizontal="center"/>
    </xf>
    <xf numFmtId="0" fontId="14" fillId="3" borderId="42" xfId="0" applyFont="1" applyFill="1" applyBorder="1" applyAlignment="1">
      <alignment horizontal="center"/>
    </xf>
    <xf numFmtId="0" fontId="14" fillId="3" borderId="29" xfId="0" applyFont="1" applyFill="1" applyBorder="1" applyAlignment="1">
      <alignment horizontal="center"/>
    </xf>
    <xf numFmtId="0" fontId="14" fillId="3" borderId="7" xfId="0" applyFont="1" applyFill="1" applyBorder="1" applyAlignment="1">
      <alignment horizontal="center" vertical="center"/>
    </xf>
    <xf numFmtId="0" fontId="14" fillId="3" borderId="40" xfId="0" applyFont="1" applyFill="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top" wrapText="1"/>
    </xf>
    <xf numFmtId="0" fontId="1" fillId="0" borderId="46" xfId="1" applyBorder="1" applyAlignment="1">
      <alignment horizontal="center" vertical="center"/>
    </xf>
    <xf numFmtId="0" fontId="22" fillId="0" borderId="46" xfId="0" applyFont="1" applyBorder="1" applyAlignment="1">
      <alignment horizontal="center" vertical="center"/>
    </xf>
    <xf numFmtId="0" fontId="6" fillId="0" borderId="0" xfId="0" applyFont="1" applyAlignment="1">
      <alignment horizontal="center" vertical="center" wrapText="1"/>
    </xf>
    <xf numFmtId="0" fontId="6" fillId="7" borderId="10" xfId="3" applyNumberFormat="1" applyFont="1" applyFill="1" applyBorder="1" applyAlignment="1">
      <alignment horizontal="center" vertical="center" wrapText="1"/>
    </xf>
    <xf numFmtId="0" fontId="6" fillId="7" borderId="11" xfId="3" applyNumberFormat="1" applyFont="1" applyFill="1" applyBorder="1" applyAlignment="1">
      <alignment horizontal="center" vertical="center" wrapText="1"/>
    </xf>
    <xf numFmtId="0" fontId="6" fillId="7" borderId="12" xfId="3" applyNumberFormat="1" applyFont="1" applyFill="1" applyBorder="1" applyAlignment="1">
      <alignment horizontal="center" vertical="center" wrapText="1"/>
    </xf>
  </cellXfs>
  <cellStyles count="7">
    <cellStyle name="Comma" xfId="3" builtinId="3"/>
    <cellStyle name="dar Data Entry non-negative" xfId="6" xr:uid="{DC00E8C1-0165-48CB-A512-19CF356A0064}"/>
    <cellStyle name="Excel Built-in Normal 1" xfId="2" xr:uid="{2CF1FD59-6C23-4C55-9776-684456B371B4}"/>
    <cellStyle name="Hyperlink" xfId="1" builtinId="8"/>
    <cellStyle name="Normal" xfId="0" builtinId="0"/>
    <cellStyle name="Normal 2" xfId="5" xr:uid="{6F38C300-B660-4548-9B8A-2A0D4C67F0CC}"/>
    <cellStyle name="Normal 214" xfId="4" xr:uid="{ADD3EAFE-451B-44C4-B264-3526DC7604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xdr:colOff>
      <xdr:row>1</xdr:row>
      <xdr:rowOff>0</xdr:rowOff>
    </xdr:from>
    <xdr:to>
      <xdr:col>17</xdr:col>
      <xdr:colOff>85726</xdr:colOff>
      <xdr:row>9</xdr:row>
      <xdr:rowOff>137370</xdr:rowOff>
    </xdr:to>
    <xdr:pic>
      <xdr:nvPicPr>
        <xdr:cNvPr id="2" name="Picture 1">
          <a:extLst>
            <a:ext uri="{FF2B5EF4-FFF2-40B4-BE49-F238E27FC236}">
              <a16:creationId xmlns:a16="http://schemas.microsoft.com/office/drawing/2014/main" id="{B0AA01DA-0B95-4915-A815-807B93E1ECBB}"/>
            </a:ext>
          </a:extLst>
        </xdr:cNvPr>
        <xdr:cNvPicPr>
          <a:picLocks noChangeAspect="1"/>
        </xdr:cNvPicPr>
      </xdr:nvPicPr>
      <xdr:blipFill>
        <a:blip xmlns:r="http://schemas.openxmlformats.org/officeDocument/2006/relationships" r:embed="rId1"/>
        <a:stretch>
          <a:fillRect/>
        </a:stretch>
      </xdr:blipFill>
      <xdr:spPr>
        <a:xfrm>
          <a:off x="6696076" y="171450"/>
          <a:ext cx="4876800" cy="1928070"/>
        </a:xfrm>
        <a:prstGeom prst="rect">
          <a:avLst/>
        </a:prstGeom>
      </xdr:spPr>
    </xdr:pic>
    <xdr:clientData/>
  </xdr:twoCellAnchor>
  <xdr:twoCellAnchor>
    <xdr:from>
      <xdr:col>17</xdr:col>
      <xdr:colOff>62802</xdr:colOff>
      <xdr:row>12</xdr:row>
      <xdr:rowOff>81642</xdr:rowOff>
    </xdr:from>
    <xdr:to>
      <xdr:col>17</xdr:col>
      <xdr:colOff>312965</xdr:colOff>
      <xdr:row>17</xdr:row>
      <xdr:rowOff>136070</xdr:rowOff>
    </xdr:to>
    <xdr:sp macro="" textlink="">
      <xdr:nvSpPr>
        <xdr:cNvPr id="3" name="Right Brace 2">
          <a:extLst>
            <a:ext uri="{FF2B5EF4-FFF2-40B4-BE49-F238E27FC236}">
              <a16:creationId xmlns:a16="http://schemas.microsoft.com/office/drawing/2014/main" id="{96055082-702E-6BD5-60D5-19382BF583B2}"/>
            </a:ext>
          </a:extLst>
        </xdr:cNvPr>
        <xdr:cNvSpPr/>
      </xdr:nvSpPr>
      <xdr:spPr>
        <a:xfrm>
          <a:off x="12227588" y="2653392"/>
          <a:ext cx="250163" cy="106135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kern="1200"/>
        </a:p>
      </xdr:txBody>
    </xdr:sp>
    <xdr:clientData/>
  </xdr:twoCellAnchor>
  <xdr:twoCellAnchor>
    <xdr:from>
      <xdr:col>17</xdr:col>
      <xdr:colOff>24848</xdr:colOff>
      <xdr:row>18</xdr:row>
      <xdr:rowOff>95250</xdr:rowOff>
    </xdr:from>
    <xdr:to>
      <xdr:col>17</xdr:col>
      <xdr:colOff>312964</xdr:colOff>
      <xdr:row>22</xdr:row>
      <xdr:rowOff>130929</xdr:rowOff>
    </xdr:to>
    <xdr:sp macro="" textlink="">
      <xdr:nvSpPr>
        <xdr:cNvPr id="4" name="Right Brace 3">
          <a:extLst>
            <a:ext uri="{FF2B5EF4-FFF2-40B4-BE49-F238E27FC236}">
              <a16:creationId xmlns:a16="http://schemas.microsoft.com/office/drawing/2014/main" id="{C6B3D7A9-62D1-4A61-8E13-0C8F1343E10E}"/>
            </a:ext>
          </a:extLst>
        </xdr:cNvPr>
        <xdr:cNvSpPr/>
      </xdr:nvSpPr>
      <xdr:spPr>
        <a:xfrm>
          <a:off x="12189634" y="3864429"/>
          <a:ext cx="288116" cy="770464"/>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IN" sz="1100" kern="12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Operations%20-%20NBS\Pankaj%20Tomar\Pankaj\1.%20Verra,%20CDM,%20CCB,%20Plan%20VIVO,%20GS\CDM\Methodologies\ARWG30_SOC_Tool_Multizones%20(3).xls" TargetMode="External"/><Relationship Id="rId1" Type="http://schemas.openxmlformats.org/officeDocument/2006/relationships/externalLinkPath" Target="file:///Y:\Operations%20-%20NBS\Pankaj%20Tomar\Pankaj\1.%20Verra,%20CDM,%20CCB,%20Plan%20VIVO,%20GS\CDM\Methodologies\ARWG30_SOC_Tool_Multizones%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nfi%20IT%20Admin\Downloads\ARWG30_SOC_Tool_Multizon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Sheet"/>
      <sheetName val="Calculator"/>
      <sheetName val="IPCC Major Climate Zones"/>
      <sheetName val="IPCC Tables"/>
      <sheetName val="Notes"/>
    </sheetNames>
    <sheetDataSet>
      <sheetData sheetId="0"/>
      <sheetData sheetId="1"/>
      <sheetData sheetId="2"/>
      <sheetData sheetId="3"/>
      <sheetData sheetId="4">
        <row r="2">
          <cell r="K2" t="str">
            <v>1. Long-term cultivated cropland</v>
          </cell>
          <cell r="L2" t="str">
            <v>2. Short-term or set aside cropland</v>
          </cell>
          <cell r="M2" t="str">
            <v>3. Grassland</v>
          </cell>
        </row>
        <row r="15">
          <cell r="C15" t="str">
            <v>1. Low</v>
          </cell>
          <cell r="D15" t="str">
            <v>2. Medium</v>
          </cell>
          <cell r="E15" t="str">
            <v>3. High without manure</v>
          </cell>
          <cell r="F15" t="str">
            <v>4. High with manure</v>
          </cell>
          <cell r="K15" t="str">
            <v>1. Low</v>
          </cell>
          <cell r="L15" t="str">
            <v>2. Medium</v>
          </cell>
          <cell r="M15" t="str">
            <v>3. High</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 Sheet"/>
      <sheetName val="Calculator"/>
      <sheetName val="IPCC Major Climate Zones"/>
      <sheetName val="IPCC Tables"/>
      <sheetName val="Notes"/>
    </sheetNames>
    <sheetDataSet>
      <sheetData sheetId="0"/>
      <sheetData sheetId="1"/>
      <sheetData sheetId="2"/>
      <sheetData sheetId="3"/>
      <sheetData sheetId="4">
        <row r="2">
          <cell r="Q2" t="str">
            <v>1. Full tillage</v>
          </cell>
          <cell r="R2" t="str">
            <v>2. Reduced tillage</v>
          </cell>
          <cell r="S2" t="str">
            <v>3. No-till</v>
          </cell>
          <cell r="W2" t="str">
            <v>1. Improved</v>
          </cell>
          <cell r="X2" t="str">
            <v>2. Nominal</v>
          </cell>
          <cell r="Y2" t="str">
            <v>3. Moderately degraded</v>
          </cell>
          <cell r="Z2" t="str">
            <v>4. Severely degraded</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currentscience.ac.in/Volumes/120/10/1627.pdf" TargetMode="External"/><Relationship Id="rId1" Type="http://schemas.openxmlformats.org/officeDocument/2006/relationships/hyperlink" Target="https://www.researchgate.net/profile/A-Raizada/publication/365489423_Biomass_carbon_stocks_estimation_and_predictive_modeling_in_mango_based_land_uses_on_degraded_lands_in_Indian_Sub-_Himalayas/links/63774b081766b34c54363701/Biomass-carbon-stocks-estimation-and-predictive-modeling-in-mango-based-land-uses-on-degraded-lands-in-Indian-Sub-Himalayas.pdf"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krishikosh.egranth.ac.in/assets/pdfjs/web/viewer.html?file=https%3A%2F%2Fkrishikosh.egranth.ac.in%2Fserver%2Fapi%2Fcore%2Fbitstreams%2F3471dde7-11cf-482c-801f-9cb015a8aa0e%2Fcont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urrentscience.ac.in/Volumes/120/10/1627.pdf" TargetMode="External"/><Relationship Id="rId7" Type="http://schemas.openxmlformats.org/officeDocument/2006/relationships/comments" Target="../comments3.xml"/><Relationship Id="rId2" Type="http://schemas.openxmlformats.org/officeDocument/2006/relationships/hyperlink" Target="https://www.currentscience.ac.in/Volumes/120/10/1627.pdf" TargetMode="External"/><Relationship Id="rId1" Type="http://schemas.openxmlformats.org/officeDocument/2006/relationships/hyperlink" Target="https://www.currentscience.ac.in/Volumes/120/10/1627.pdf" TargetMode="External"/><Relationship Id="rId6" Type="http://schemas.openxmlformats.org/officeDocument/2006/relationships/vmlDrawing" Target="../drawings/vmlDrawing3.vml"/><Relationship Id="rId5" Type="http://schemas.openxmlformats.org/officeDocument/2006/relationships/hyperlink" Target="https://www.currentscience.ac.in/Volumes/120/10/1627.pdf" TargetMode="External"/><Relationship Id="rId4" Type="http://schemas.openxmlformats.org/officeDocument/2006/relationships/hyperlink" Target="https://www.currentscience.ac.in/Volumes/120/10/1627.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krishikosh.egranth.ac.in/assets/pdfjs/web/viewer.html?file=https%3A%2F%2Fkrishikosh.egranth.ac.in%2Fserver%2Fapi%2Fcore%2Fbitstreams%2Fad5f5982-8fc8-445d-b889-59fecc51074b%2Fcontent"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hyperlink" Target="http://103.7.193.12:8080/xmlui/bitstream/handle/123456789/1614/PERFORMANCE%20OF%20MANGO%20BASED%20AGROFORESTRY%20SYSTEM%20WITH%20DIFFERENT%20SUMMER%20VEGETABLES%20COMBINATIONS%20by%20MST.%20SHUBA.pdf?sequence=1&amp;isAllowed=" TargetMode="External"/><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63"/>
  <sheetViews>
    <sheetView topLeftCell="A44" zoomScale="74" workbookViewId="0">
      <selection activeCell="G63" sqref="G63"/>
    </sheetView>
  </sheetViews>
  <sheetFormatPr defaultColWidth="9.140625" defaultRowHeight="14.25" x14ac:dyDescent="0.25"/>
  <cols>
    <col min="1" max="1" width="9.140625" style="3"/>
    <col min="2" max="2" width="9.85546875" style="3" customWidth="1"/>
    <col min="3" max="3" width="13.42578125" style="3" bestFit="1" customWidth="1"/>
    <col min="4" max="4" width="24.140625" style="3" bestFit="1" customWidth="1"/>
    <col min="5" max="5" width="58.85546875" style="3" customWidth="1"/>
    <col min="6" max="6" width="15.5703125" style="3" customWidth="1"/>
    <col min="7" max="7" width="21.7109375" style="3" customWidth="1"/>
    <col min="8" max="8" width="17.7109375" style="3" customWidth="1"/>
    <col min="9" max="9" width="15" style="3" customWidth="1"/>
    <col min="10" max="10" width="15.5703125" style="3" customWidth="1"/>
    <col min="11" max="11" width="16.5703125" style="3" customWidth="1"/>
    <col min="12" max="12" width="19.42578125" style="3" bestFit="1" customWidth="1"/>
    <col min="13" max="13" width="17.28515625" style="3" bestFit="1" customWidth="1"/>
    <col min="14" max="14" width="15" style="3" bestFit="1" customWidth="1"/>
    <col min="15" max="16" width="17.28515625" style="3" bestFit="1" customWidth="1"/>
    <col min="17" max="20" width="15" style="3" bestFit="1" customWidth="1"/>
    <col min="21" max="21" width="14.28515625" style="3" bestFit="1" customWidth="1"/>
    <col min="22" max="27" width="9.140625" style="3" bestFit="1" customWidth="1"/>
    <col min="28" max="16384" width="9.140625" style="3"/>
  </cols>
  <sheetData>
    <row r="1" spans="2:21" ht="15" thickBot="1" x14ac:dyDescent="0.3"/>
    <row r="2" spans="2:21" ht="16.5" thickBot="1" x14ac:dyDescent="0.3">
      <c r="B2" s="4" t="s">
        <v>0</v>
      </c>
      <c r="C2" s="5" t="s">
        <v>1</v>
      </c>
      <c r="D2" s="6" t="s">
        <v>2</v>
      </c>
      <c r="E2" s="6" t="s">
        <v>3</v>
      </c>
      <c r="F2" s="6" t="s">
        <v>4</v>
      </c>
      <c r="G2" s="6" t="s">
        <v>5</v>
      </c>
      <c r="H2" s="6" t="s">
        <v>6</v>
      </c>
      <c r="I2" s="6" t="s">
        <v>7</v>
      </c>
      <c r="J2" s="6" t="s">
        <v>8</v>
      </c>
      <c r="K2" s="7" t="s">
        <v>9</v>
      </c>
      <c r="L2" s="8" t="s">
        <v>10</v>
      </c>
    </row>
    <row r="3" spans="2:21" ht="16.5" customHeight="1" thickBot="1" x14ac:dyDescent="0.3">
      <c r="B3" s="9">
        <v>1</v>
      </c>
      <c r="C3" s="9" t="s">
        <v>11</v>
      </c>
      <c r="D3" s="9" t="s">
        <v>12</v>
      </c>
      <c r="E3" s="9" t="s">
        <v>13</v>
      </c>
      <c r="F3" s="10" t="s">
        <v>14</v>
      </c>
      <c r="G3" s="9">
        <v>0.25</v>
      </c>
      <c r="H3" s="9">
        <v>0.47</v>
      </c>
      <c r="I3" s="11">
        <v>0.01</v>
      </c>
      <c r="J3" s="9">
        <v>0.37</v>
      </c>
      <c r="K3" s="11">
        <v>0.01</v>
      </c>
      <c r="L3" s="12">
        <v>3.67</v>
      </c>
    </row>
    <row r="4" spans="2:21" ht="15" customHeight="1" thickBot="1" x14ac:dyDescent="0.3">
      <c r="B4" s="13">
        <v>2</v>
      </c>
      <c r="C4" s="13" t="s">
        <v>15</v>
      </c>
      <c r="D4" s="13" t="s">
        <v>16</v>
      </c>
      <c r="E4" s="14" t="s">
        <v>17</v>
      </c>
      <c r="F4" s="15" t="s">
        <v>18</v>
      </c>
      <c r="G4" s="13">
        <v>0.25</v>
      </c>
      <c r="H4" s="13">
        <v>0.47</v>
      </c>
      <c r="I4" s="16">
        <v>0.01</v>
      </c>
      <c r="J4" s="13">
        <v>0.37</v>
      </c>
      <c r="K4" s="17">
        <v>0.01</v>
      </c>
      <c r="L4" s="18">
        <v>3.67</v>
      </c>
    </row>
    <row r="5" spans="2:21" ht="15.75" customHeight="1" x14ac:dyDescent="0.25">
      <c r="B5" s="19"/>
      <c r="C5" s="19"/>
      <c r="D5" s="19"/>
      <c r="E5" s="19"/>
      <c r="F5" s="19"/>
      <c r="G5" s="19"/>
      <c r="H5" s="19"/>
      <c r="I5" s="19"/>
      <c r="J5" s="19"/>
      <c r="K5" s="19"/>
    </row>
    <row r="8" spans="2:21" ht="15" thickBot="1" x14ac:dyDescent="0.3"/>
    <row r="9" spans="2:21" ht="16.5" thickBot="1" x14ac:dyDescent="0.3">
      <c r="B9" s="20" t="s">
        <v>0</v>
      </c>
      <c r="C9" s="5" t="s">
        <v>1</v>
      </c>
      <c r="D9" s="6" t="s">
        <v>2</v>
      </c>
      <c r="E9" s="5" t="s">
        <v>19</v>
      </c>
      <c r="F9" s="6" t="s">
        <v>4</v>
      </c>
      <c r="G9" s="5" t="s">
        <v>20</v>
      </c>
      <c r="H9" s="6" t="s">
        <v>4</v>
      </c>
      <c r="I9" s="5" t="s">
        <v>21</v>
      </c>
      <c r="J9" s="5" t="s">
        <v>22</v>
      </c>
      <c r="K9" s="6" t="s">
        <v>4</v>
      </c>
      <c r="L9" s="5" t="s">
        <v>5</v>
      </c>
      <c r="M9" s="5" t="s">
        <v>7</v>
      </c>
      <c r="N9" s="5" t="s">
        <v>8</v>
      </c>
      <c r="O9" s="5" t="s">
        <v>9</v>
      </c>
      <c r="P9" s="21" t="s">
        <v>10</v>
      </c>
    </row>
    <row r="10" spans="2:21" ht="19.5" customHeight="1" thickBot="1" x14ac:dyDescent="0.3">
      <c r="B10" s="22">
        <v>1</v>
      </c>
      <c r="C10" s="23" t="s">
        <v>23</v>
      </c>
      <c r="D10" s="24" t="s">
        <v>24</v>
      </c>
      <c r="E10" s="23" t="s">
        <v>25</v>
      </c>
      <c r="F10" s="23" t="s">
        <v>26</v>
      </c>
      <c r="G10" s="23">
        <v>1.59</v>
      </c>
      <c r="H10" s="25" t="s">
        <v>27</v>
      </c>
      <c r="I10" s="23">
        <v>0.47</v>
      </c>
      <c r="J10" s="23">
        <v>0.44</v>
      </c>
      <c r="K10" s="23" t="s">
        <v>28</v>
      </c>
      <c r="L10" s="23">
        <v>0.25</v>
      </c>
      <c r="M10" s="26">
        <f>I3</f>
        <v>0.01</v>
      </c>
      <c r="N10" s="23">
        <f>J3</f>
        <v>0.37</v>
      </c>
      <c r="O10" s="27">
        <f>K3</f>
        <v>0.01</v>
      </c>
      <c r="P10" s="28">
        <f>L3</f>
        <v>3.67</v>
      </c>
    </row>
    <row r="13" spans="2:21" ht="15" thickBot="1" x14ac:dyDescent="0.3"/>
    <row r="14" spans="2:21" ht="15" thickBot="1" x14ac:dyDescent="0.3">
      <c r="B14" s="206" t="s">
        <v>29</v>
      </c>
      <c r="C14" s="207"/>
      <c r="D14" s="207"/>
      <c r="E14" s="207"/>
      <c r="F14" s="207"/>
      <c r="G14" s="207"/>
      <c r="H14" s="207"/>
      <c r="I14" s="207"/>
      <c r="J14" s="207"/>
      <c r="K14" s="207"/>
      <c r="L14" s="207"/>
      <c r="M14" s="207"/>
      <c r="N14" s="207"/>
      <c r="O14" s="207"/>
      <c r="P14" s="207"/>
      <c r="Q14" s="207"/>
      <c r="R14" s="207"/>
      <c r="S14" s="207"/>
      <c r="T14" s="207"/>
      <c r="U14" s="208"/>
    </row>
    <row r="15" spans="2:21" ht="15" thickBot="1" x14ac:dyDescent="0.3">
      <c r="B15" s="29" t="s">
        <v>30</v>
      </c>
      <c r="C15" s="30" t="s">
        <v>31</v>
      </c>
      <c r="D15" s="30" t="s">
        <v>32</v>
      </c>
      <c r="E15" s="30" t="s">
        <v>33</v>
      </c>
      <c r="F15" s="30" t="s">
        <v>34</v>
      </c>
      <c r="G15" s="30" t="s">
        <v>35</v>
      </c>
      <c r="H15" s="30" t="s">
        <v>36</v>
      </c>
      <c r="I15" s="30" t="s">
        <v>37</v>
      </c>
      <c r="J15" s="30" t="s">
        <v>38</v>
      </c>
      <c r="K15" s="30" t="s">
        <v>39</v>
      </c>
      <c r="L15" s="30" t="s">
        <v>40</v>
      </c>
      <c r="M15" s="30" t="s">
        <v>41</v>
      </c>
      <c r="N15" s="30" t="s">
        <v>42</v>
      </c>
      <c r="O15" s="30" t="s">
        <v>43</v>
      </c>
      <c r="P15" s="30" t="s">
        <v>44</v>
      </c>
      <c r="Q15" s="30" t="s">
        <v>45</v>
      </c>
      <c r="R15" s="30" t="s">
        <v>46</v>
      </c>
      <c r="S15" s="30" t="s">
        <v>47</v>
      </c>
      <c r="T15" s="30" t="s">
        <v>48</v>
      </c>
      <c r="U15" s="31" t="s">
        <v>49</v>
      </c>
    </row>
    <row r="16" spans="2:21" x14ac:dyDescent="0.25">
      <c r="B16" s="32">
        <v>2018</v>
      </c>
      <c r="C16" s="33">
        <v>4.492</v>
      </c>
      <c r="D16" s="33">
        <v>0.35199999999999998</v>
      </c>
      <c r="E16" s="33">
        <v>19.124000000000006</v>
      </c>
      <c r="F16" s="33">
        <v>14.596000000000004</v>
      </c>
      <c r="G16" s="33">
        <v>0.4</v>
      </c>
      <c r="H16" s="33">
        <v>8.9160000000000004</v>
      </c>
      <c r="I16" s="33">
        <v>0</v>
      </c>
      <c r="J16" s="33">
        <v>21.452000000000002</v>
      </c>
      <c r="K16" s="33">
        <v>0.08</v>
      </c>
      <c r="L16" s="33">
        <v>21.632000000000001</v>
      </c>
      <c r="M16" s="33">
        <v>1.492</v>
      </c>
      <c r="N16" s="33">
        <v>115.26</v>
      </c>
      <c r="O16" s="33">
        <v>0.96799999999999997</v>
      </c>
      <c r="P16" s="33">
        <v>0</v>
      </c>
      <c r="Q16" s="33">
        <v>11.124000000000001</v>
      </c>
      <c r="R16" s="33">
        <v>29.096000000000014</v>
      </c>
      <c r="S16" s="33">
        <v>9.0359999999999978</v>
      </c>
      <c r="T16" s="33">
        <v>0</v>
      </c>
      <c r="U16" s="34">
        <f t="shared" ref="U16:U26" si="0">SUM(C16:T16)</f>
        <v>258.02</v>
      </c>
    </row>
    <row r="17" spans="2:22" x14ac:dyDescent="0.25">
      <c r="B17" s="35">
        <v>2019</v>
      </c>
      <c r="C17" s="36">
        <v>1.1240000000000001</v>
      </c>
      <c r="D17" s="36">
        <v>0</v>
      </c>
      <c r="E17" s="36">
        <v>8.6440000000000001</v>
      </c>
      <c r="F17" s="36">
        <v>7.0119999999999987</v>
      </c>
      <c r="G17" s="36">
        <v>0</v>
      </c>
      <c r="H17" s="36">
        <v>5.2440000000000007</v>
      </c>
      <c r="I17" s="36">
        <v>0</v>
      </c>
      <c r="J17" s="36">
        <v>8.6720000000000006</v>
      </c>
      <c r="K17" s="36">
        <v>0</v>
      </c>
      <c r="L17" s="36">
        <v>7.8760000000000012</v>
      </c>
      <c r="M17" s="36">
        <v>0</v>
      </c>
      <c r="N17" s="36">
        <v>53.08</v>
      </c>
      <c r="O17" s="36">
        <v>0</v>
      </c>
      <c r="P17" s="36">
        <v>0</v>
      </c>
      <c r="Q17" s="36">
        <v>6.4759999999999991</v>
      </c>
      <c r="R17" s="36">
        <v>14.891999999999999</v>
      </c>
      <c r="S17" s="36">
        <v>2.2999999999999998</v>
      </c>
      <c r="T17" s="36">
        <v>0</v>
      </c>
      <c r="U17" s="37">
        <f t="shared" si="0"/>
        <v>115.32</v>
      </c>
    </row>
    <row r="18" spans="2:22" x14ac:dyDescent="0.25">
      <c r="B18" s="35">
        <v>2020</v>
      </c>
      <c r="C18" s="36">
        <v>0.45200000000000001</v>
      </c>
      <c r="D18" s="36">
        <v>0</v>
      </c>
      <c r="E18" s="36">
        <v>5.3079999999999998</v>
      </c>
      <c r="F18" s="36">
        <v>6.3199999999999994</v>
      </c>
      <c r="G18" s="36">
        <v>0</v>
      </c>
      <c r="H18" s="36">
        <v>3.76</v>
      </c>
      <c r="I18" s="36">
        <v>0.38400000000000001</v>
      </c>
      <c r="J18" s="36">
        <v>6.3959999999999999</v>
      </c>
      <c r="K18" s="36">
        <v>0</v>
      </c>
      <c r="L18" s="36">
        <v>8.9160000000000004</v>
      </c>
      <c r="M18" s="36">
        <v>0</v>
      </c>
      <c r="N18" s="36">
        <v>28.012</v>
      </c>
      <c r="O18" s="36">
        <v>0</v>
      </c>
      <c r="P18" s="36">
        <v>0.66800000000000004</v>
      </c>
      <c r="Q18" s="36">
        <v>2.6520000000000006</v>
      </c>
      <c r="R18" s="36">
        <v>11.952</v>
      </c>
      <c r="S18" s="36">
        <v>2.14</v>
      </c>
      <c r="T18" s="36">
        <v>0</v>
      </c>
      <c r="U18" s="37">
        <f t="shared" si="0"/>
        <v>76.960000000000008</v>
      </c>
    </row>
    <row r="19" spans="2:22" x14ac:dyDescent="0.25">
      <c r="B19" s="35">
        <v>2021</v>
      </c>
      <c r="C19" s="36">
        <v>1.2000000000000002</v>
      </c>
      <c r="D19" s="36">
        <v>0</v>
      </c>
      <c r="E19" s="36">
        <v>6.8159999999999998</v>
      </c>
      <c r="F19" s="36">
        <v>4.7639999999999993</v>
      </c>
      <c r="G19" s="36">
        <v>0</v>
      </c>
      <c r="H19" s="36">
        <v>4.3080000000000007</v>
      </c>
      <c r="I19" s="36">
        <v>0</v>
      </c>
      <c r="J19" s="36">
        <v>6.7959999999999994</v>
      </c>
      <c r="K19" s="36">
        <v>0</v>
      </c>
      <c r="L19" s="36">
        <v>5.4200000000000008</v>
      </c>
      <c r="M19" s="36">
        <v>0</v>
      </c>
      <c r="N19" s="36">
        <v>38.22399999999999</v>
      </c>
      <c r="O19" s="36">
        <v>0</v>
      </c>
      <c r="P19" s="36">
        <v>0</v>
      </c>
      <c r="Q19" s="36">
        <v>2.2199999999999998</v>
      </c>
      <c r="R19" s="36">
        <v>19.588000000000001</v>
      </c>
      <c r="S19" s="36">
        <v>4.2699999999999996</v>
      </c>
      <c r="T19" s="36">
        <v>0</v>
      </c>
      <c r="U19" s="37">
        <f t="shared" si="0"/>
        <v>93.60599999999998</v>
      </c>
    </row>
    <row r="20" spans="2:22" x14ac:dyDescent="0.25">
      <c r="B20" s="35">
        <v>2022</v>
      </c>
      <c r="C20" s="36">
        <v>0</v>
      </c>
      <c r="D20" s="36">
        <v>0</v>
      </c>
      <c r="E20" s="36">
        <v>6.3640000000000008</v>
      </c>
      <c r="F20" s="36">
        <v>4.16</v>
      </c>
      <c r="G20" s="36">
        <v>0</v>
      </c>
      <c r="H20" s="36">
        <v>10.464</v>
      </c>
      <c r="I20" s="36">
        <v>0</v>
      </c>
      <c r="J20" s="36">
        <v>5.0760000000000005</v>
      </c>
      <c r="K20" s="36">
        <v>0</v>
      </c>
      <c r="L20" s="36">
        <v>5.331999999999999</v>
      </c>
      <c r="M20" s="36">
        <v>0</v>
      </c>
      <c r="N20" s="36">
        <v>27.252000000000002</v>
      </c>
      <c r="O20" s="36">
        <v>0</v>
      </c>
      <c r="P20" s="36">
        <v>0</v>
      </c>
      <c r="Q20" s="36">
        <v>1.5760000000000003</v>
      </c>
      <c r="R20" s="36">
        <v>11.56</v>
      </c>
      <c r="S20" s="36">
        <v>3.0760000000000001</v>
      </c>
      <c r="T20" s="36">
        <v>0</v>
      </c>
      <c r="U20" s="37">
        <f t="shared" si="0"/>
        <v>74.86</v>
      </c>
    </row>
    <row r="21" spans="2:22" x14ac:dyDescent="0.25">
      <c r="B21" s="35">
        <v>2023</v>
      </c>
      <c r="C21" s="36">
        <v>0.16</v>
      </c>
      <c r="D21" s="36">
        <v>0</v>
      </c>
      <c r="E21" s="36">
        <v>5.88</v>
      </c>
      <c r="F21" s="36">
        <v>3.26</v>
      </c>
      <c r="G21" s="36">
        <v>0</v>
      </c>
      <c r="H21" s="36">
        <v>4.0760000000000005</v>
      </c>
      <c r="I21" s="36">
        <v>1.52</v>
      </c>
      <c r="J21" s="36">
        <v>6.080000000000001</v>
      </c>
      <c r="K21" s="36">
        <v>0</v>
      </c>
      <c r="L21" s="36">
        <v>5.5080000000000009</v>
      </c>
      <c r="M21" s="36">
        <v>0</v>
      </c>
      <c r="N21" s="36">
        <v>22.415999999999997</v>
      </c>
      <c r="O21" s="36">
        <v>0</v>
      </c>
      <c r="P21" s="36">
        <v>0</v>
      </c>
      <c r="Q21" s="36">
        <v>1.8840000000000001</v>
      </c>
      <c r="R21" s="36">
        <v>15.288</v>
      </c>
      <c r="S21" s="36">
        <v>1.6679999999999999</v>
      </c>
      <c r="T21" s="36">
        <v>0.76</v>
      </c>
      <c r="U21" s="37">
        <f t="shared" si="0"/>
        <v>68.500000000000014</v>
      </c>
    </row>
    <row r="22" spans="2:22" x14ac:dyDescent="0.25">
      <c r="B22" s="38">
        <v>2024</v>
      </c>
      <c r="C22" s="39">
        <v>0</v>
      </c>
      <c r="D22" s="39">
        <v>0</v>
      </c>
      <c r="E22" s="39">
        <v>505.94</v>
      </c>
      <c r="F22" s="39">
        <v>0</v>
      </c>
      <c r="G22" s="39">
        <v>0</v>
      </c>
      <c r="H22" s="39">
        <v>0</v>
      </c>
      <c r="I22" s="39">
        <v>0</v>
      </c>
      <c r="J22" s="39">
        <v>0</v>
      </c>
      <c r="K22" s="39">
        <v>0</v>
      </c>
      <c r="L22" s="39">
        <v>0</v>
      </c>
      <c r="M22" s="39">
        <v>0</v>
      </c>
      <c r="N22" s="39">
        <v>0</v>
      </c>
      <c r="O22" s="39">
        <v>0</v>
      </c>
      <c r="P22" s="39">
        <v>0</v>
      </c>
      <c r="Q22" s="39">
        <v>0</v>
      </c>
      <c r="R22" s="39">
        <v>0</v>
      </c>
      <c r="S22" s="39">
        <v>0</v>
      </c>
      <c r="T22" s="39">
        <v>0</v>
      </c>
      <c r="U22" s="37">
        <f t="shared" si="0"/>
        <v>505.94</v>
      </c>
    </row>
    <row r="23" spans="2:22" x14ac:dyDescent="0.25">
      <c r="B23" s="38">
        <v>2025</v>
      </c>
      <c r="C23" s="39">
        <v>0</v>
      </c>
      <c r="D23" s="39">
        <v>0</v>
      </c>
      <c r="E23" s="39">
        <v>650</v>
      </c>
      <c r="F23" s="39">
        <v>0</v>
      </c>
      <c r="G23" s="39">
        <v>0</v>
      </c>
      <c r="H23" s="39">
        <v>0</v>
      </c>
      <c r="I23" s="39">
        <v>0</v>
      </c>
      <c r="J23" s="39">
        <v>0</v>
      </c>
      <c r="K23" s="39">
        <v>0</v>
      </c>
      <c r="L23" s="39">
        <v>0</v>
      </c>
      <c r="M23" s="39">
        <v>0</v>
      </c>
      <c r="N23" s="39">
        <v>0</v>
      </c>
      <c r="O23" s="39">
        <v>0</v>
      </c>
      <c r="P23" s="39">
        <v>0</v>
      </c>
      <c r="Q23" s="39">
        <v>0</v>
      </c>
      <c r="R23" s="39">
        <v>0</v>
      </c>
      <c r="S23" s="39">
        <v>0</v>
      </c>
      <c r="T23" s="39">
        <v>0</v>
      </c>
      <c r="U23" s="37">
        <f>SUM(C23:T23)</f>
        <v>650</v>
      </c>
    </row>
    <row r="24" spans="2:22" x14ac:dyDescent="0.25">
      <c r="B24" s="38">
        <v>2026</v>
      </c>
      <c r="C24" s="39">
        <v>0</v>
      </c>
      <c r="D24" s="39">
        <v>0</v>
      </c>
      <c r="E24" s="39">
        <v>650</v>
      </c>
      <c r="F24" s="39">
        <v>0</v>
      </c>
      <c r="G24" s="39">
        <v>0</v>
      </c>
      <c r="H24" s="39">
        <v>0</v>
      </c>
      <c r="I24" s="39">
        <v>0</v>
      </c>
      <c r="J24" s="39">
        <v>0</v>
      </c>
      <c r="K24" s="39">
        <v>0</v>
      </c>
      <c r="L24" s="39">
        <v>0</v>
      </c>
      <c r="M24" s="39">
        <v>0</v>
      </c>
      <c r="N24" s="39">
        <v>0</v>
      </c>
      <c r="O24" s="39">
        <v>0</v>
      </c>
      <c r="P24" s="39">
        <v>0</v>
      </c>
      <c r="Q24" s="39">
        <v>0</v>
      </c>
      <c r="R24" s="39">
        <v>0</v>
      </c>
      <c r="S24" s="39">
        <v>0</v>
      </c>
      <c r="T24" s="39">
        <v>0</v>
      </c>
      <c r="U24" s="37">
        <f t="shared" si="0"/>
        <v>650</v>
      </c>
    </row>
    <row r="25" spans="2:22" x14ac:dyDescent="0.25">
      <c r="B25" s="38">
        <v>2027</v>
      </c>
      <c r="C25" s="39">
        <v>0</v>
      </c>
      <c r="D25" s="39">
        <v>0</v>
      </c>
      <c r="E25" s="39">
        <v>650</v>
      </c>
      <c r="F25" s="39">
        <v>0</v>
      </c>
      <c r="G25" s="39">
        <v>0</v>
      </c>
      <c r="H25" s="39">
        <v>0</v>
      </c>
      <c r="I25" s="39">
        <v>0</v>
      </c>
      <c r="J25" s="39">
        <v>0</v>
      </c>
      <c r="K25" s="39">
        <v>0</v>
      </c>
      <c r="L25" s="39">
        <v>0</v>
      </c>
      <c r="M25" s="39">
        <v>0</v>
      </c>
      <c r="N25" s="39">
        <v>0</v>
      </c>
      <c r="O25" s="39">
        <v>0</v>
      </c>
      <c r="P25" s="39">
        <v>0</v>
      </c>
      <c r="Q25" s="39">
        <v>0</v>
      </c>
      <c r="R25" s="39">
        <v>0</v>
      </c>
      <c r="S25" s="39">
        <v>0</v>
      </c>
      <c r="T25" s="39">
        <v>0</v>
      </c>
      <c r="U25" s="37">
        <f t="shared" si="0"/>
        <v>650</v>
      </c>
    </row>
    <row r="26" spans="2:22" x14ac:dyDescent="0.25">
      <c r="B26" s="38">
        <v>2028</v>
      </c>
      <c r="C26" s="39">
        <v>0</v>
      </c>
      <c r="D26" s="39">
        <v>0</v>
      </c>
      <c r="E26" s="39">
        <v>650</v>
      </c>
      <c r="F26" s="39">
        <v>0</v>
      </c>
      <c r="G26" s="39">
        <v>0</v>
      </c>
      <c r="H26" s="39">
        <v>0</v>
      </c>
      <c r="I26" s="39">
        <v>0</v>
      </c>
      <c r="J26" s="39">
        <v>0</v>
      </c>
      <c r="K26" s="39">
        <v>0</v>
      </c>
      <c r="L26" s="39">
        <v>0</v>
      </c>
      <c r="M26" s="39">
        <v>0</v>
      </c>
      <c r="N26" s="39">
        <v>0</v>
      </c>
      <c r="O26" s="39">
        <v>0</v>
      </c>
      <c r="P26" s="39">
        <v>0</v>
      </c>
      <c r="Q26" s="39">
        <v>0</v>
      </c>
      <c r="R26" s="39">
        <v>0</v>
      </c>
      <c r="S26" s="39">
        <v>0</v>
      </c>
      <c r="T26" s="39">
        <v>0</v>
      </c>
      <c r="U26" s="37">
        <f t="shared" si="0"/>
        <v>650</v>
      </c>
    </row>
    <row r="27" spans="2:22" ht="15" thickBot="1" x14ac:dyDescent="0.3">
      <c r="B27" s="40" t="s">
        <v>50</v>
      </c>
      <c r="C27" s="41">
        <f>SUM(C16:C26)</f>
        <v>7.4279999999999999</v>
      </c>
      <c r="D27" s="41">
        <f t="shared" ref="D27:T27" si="1">SUM(D16:D26)</f>
        <v>0.35199999999999998</v>
      </c>
      <c r="E27" s="41">
        <f t="shared" si="1"/>
        <v>3158.076</v>
      </c>
      <c r="F27" s="41">
        <f t="shared" si="1"/>
        <v>40.112000000000002</v>
      </c>
      <c r="G27" s="41">
        <f t="shared" si="1"/>
        <v>0.4</v>
      </c>
      <c r="H27" s="41">
        <f t="shared" si="1"/>
        <v>36.768000000000001</v>
      </c>
      <c r="I27" s="41">
        <f t="shared" si="1"/>
        <v>1.9039999999999999</v>
      </c>
      <c r="J27" s="41">
        <f t="shared" si="1"/>
        <v>54.472000000000001</v>
      </c>
      <c r="K27" s="41">
        <f t="shared" si="1"/>
        <v>0.08</v>
      </c>
      <c r="L27" s="41">
        <f t="shared" si="1"/>
        <v>54.684000000000012</v>
      </c>
      <c r="M27" s="41">
        <f t="shared" si="1"/>
        <v>1.492</v>
      </c>
      <c r="N27" s="41">
        <f t="shared" si="1"/>
        <v>284.24399999999997</v>
      </c>
      <c r="O27" s="41">
        <f t="shared" si="1"/>
        <v>0.96799999999999997</v>
      </c>
      <c r="P27" s="41">
        <f t="shared" si="1"/>
        <v>0.66800000000000004</v>
      </c>
      <c r="Q27" s="41">
        <f t="shared" si="1"/>
        <v>25.932000000000002</v>
      </c>
      <c r="R27" s="41">
        <f t="shared" si="1"/>
        <v>102.37600000000002</v>
      </c>
      <c r="S27" s="41">
        <f t="shared" si="1"/>
        <v>22.49</v>
      </c>
      <c r="T27" s="41">
        <f t="shared" si="1"/>
        <v>0.76</v>
      </c>
      <c r="U27" s="42">
        <f>SUM(C27:T27)</f>
        <v>3793.206000000001</v>
      </c>
      <c r="V27" s="43"/>
    </row>
    <row r="28" spans="2:22" ht="15" thickBot="1" x14ac:dyDescent="0.3">
      <c r="B28" s="44"/>
      <c r="C28" s="45"/>
      <c r="D28" s="45"/>
      <c r="E28" s="45"/>
      <c r="F28" s="45"/>
      <c r="G28" s="45"/>
      <c r="H28" s="45"/>
      <c r="I28" s="44"/>
    </row>
    <row r="29" spans="2:22" x14ac:dyDescent="0.25">
      <c r="B29" s="209" t="s">
        <v>51</v>
      </c>
      <c r="C29" s="210"/>
      <c r="D29" s="210"/>
      <c r="E29" s="211"/>
      <c r="H29" s="45"/>
      <c r="I29" s="44"/>
    </row>
    <row r="30" spans="2:22" x14ac:dyDescent="0.25">
      <c r="B30" s="46" t="s">
        <v>30</v>
      </c>
      <c r="C30" s="47" t="s">
        <v>52</v>
      </c>
      <c r="D30" s="47" t="s">
        <v>53</v>
      </c>
      <c r="E30" s="48" t="s">
        <v>50</v>
      </c>
      <c r="G30" s="49"/>
      <c r="H30" s="44"/>
      <c r="I30" s="49"/>
    </row>
    <row r="31" spans="2:22" x14ac:dyDescent="0.25">
      <c r="B31" s="35">
        <v>2018</v>
      </c>
      <c r="C31" s="50">
        <v>15.79</v>
      </c>
      <c r="D31" s="36">
        <v>0</v>
      </c>
      <c r="E31" s="37">
        <f t="shared" ref="E31:E42" si="2">SUM(C31:D31)</f>
        <v>15.79</v>
      </c>
      <c r="H31" s="44"/>
    </row>
    <row r="32" spans="2:22" x14ac:dyDescent="0.25">
      <c r="B32" s="35">
        <v>2019</v>
      </c>
      <c r="C32" s="50">
        <v>20</v>
      </c>
      <c r="D32" s="36">
        <v>0</v>
      </c>
      <c r="E32" s="37">
        <f t="shared" si="2"/>
        <v>20</v>
      </c>
      <c r="H32" s="44"/>
      <c r="L32" s="3" t="s">
        <v>54</v>
      </c>
    </row>
    <row r="33" spans="2:16" ht="15.6" customHeight="1" x14ac:dyDescent="0.25">
      <c r="B33" s="35">
        <v>2020</v>
      </c>
      <c r="C33" s="50">
        <v>14.63</v>
      </c>
      <c r="D33" s="36">
        <v>0</v>
      </c>
      <c r="E33" s="37">
        <f t="shared" si="2"/>
        <v>14.63</v>
      </c>
      <c r="H33" s="44"/>
    </row>
    <row r="34" spans="2:16" x14ac:dyDescent="0.25">
      <c r="B34" s="35">
        <v>2021</v>
      </c>
      <c r="C34" s="50">
        <v>43.96</v>
      </c>
      <c r="D34" s="36">
        <v>0</v>
      </c>
      <c r="E34" s="37">
        <f t="shared" si="2"/>
        <v>43.96</v>
      </c>
      <c r="H34" s="44"/>
    </row>
    <row r="35" spans="2:16" x14ac:dyDescent="0.25">
      <c r="B35" s="35">
        <v>2022</v>
      </c>
      <c r="C35" s="50">
        <f>30.79+0.66</f>
        <v>31.45</v>
      </c>
      <c r="D35" s="36">
        <v>0</v>
      </c>
      <c r="E35" s="37">
        <f t="shared" si="2"/>
        <v>31.45</v>
      </c>
      <c r="H35" s="44"/>
    </row>
    <row r="36" spans="2:16" x14ac:dyDescent="0.25">
      <c r="B36" s="35">
        <v>2023</v>
      </c>
      <c r="C36" s="36">
        <v>0</v>
      </c>
      <c r="D36" s="36">
        <v>0</v>
      </c>
      <c r="E36" s="37">
        <f>SUM(C36:D36)</f>
        <v>0</v>
      </c>
      <c r="F36" s="45"/>
      <c r="G36" s="51"/>
      <c r="H36" s="44"/>
    </row>
    <row r="37" spans="2:16" x14ac:dyDescent="0.25">
      <c r="B37" s="38">
        <v>2024</v>
      </c>
      <c r="C37" s="36">
        <v>0</v>
      </c>
      <c r="D37" s="36">
        <v>0</v>
      </c>
      <c r="E37" s="37">
        <f t="shared" si="2"/>
        <v>0</v>
      </c>
      <c r="F37" s="45"/>
      <c r="G37" s="51"/>
      <c r="H37" s="44"/>
    </row>
    <row r="38" spans="2:16" x14ac:dyDescent="0.25">
      <c r="B38" s="38">
        <v>2025</v>
      </c>
      <c r="C38" s="36">
        <v>0</v>
      </c>
      <c r="D38" s="36">
        <v>0</v>
      </c>
      <c r="E38" s="37">
        <f t="shared" si="2"/>
        <v>0</v>
      </c>
      <c r="F38" s="45"/>
      <c r="G38" s="51"/>
      <c r="H38" s="44"/>
    </row>
    <row r="39" spans="2:16" x14ac:dyDescent="0.25">
      <c r="B39" s="38">
        <v>2026</v>
      </c>
      <c r="C39" s="36">
        <v>0</v>
      </c>
      <c r="D39" s="36">
        <v>0</v>
      </c>
      <c r="E39" s="37">
        <f t="shared" si="2"/>
        <v>0</v>
      </c>
      <c r="F39" s="45"/>
      <c r="G39" s="51"/>
      <c r="H39" s="44"/>
    </row>
    <row r="40" spans="2:16" x14ac:dyDescent="0.25">
      <c r="B40" s="38">
        <v>2027</v>
      </c>
      <c r="C40" s="36">
        <v>0</v>
      </c>
      <c r="D40" s="36">
        <v>0</v>
      </c>
      <c r="E40" s="37">
        <f t="shared" si="2"/>
        <v>0</v>
      </c>
      <c r="F40" s="45"/>
      <c r="G40" s="51"/>
      <c r="H40" s="44"/>
    </row>
    <row r="41" spans="2:16" x14ac:dyDescent="0.25">
      <c r="B41" s="38">
        <v>2028</v>
      </c>
      <c r="C41" s="39">
        <v>0</v>
      </c>
      <c r="D41" s="39">
        <v>0</v>
      </c>
      <c r="E41" s="37">
        <f t="shared" si="2"/>
        <v>0</v>
      </c>
      <c r="F41" s="45"/>
      <c r="G41" s="51"/>
      <c r="H41" s="44"/>
    </row>
    <row r="42" spans="2:16" ht="15" thickBot="1" x14ac:dyDescent="0.3">
      <c r="B42" s="40" t="s">
        <v>50</v>
      </c>
      <c r="C42" s="41">
        <f>SUM(C31:C41)</f>
        <v>125.83</v>
      </c>
      <c r="D42" s="41">
        <f>SUM(D31:D41)</f>
        <v>0</v>
      </c>
      <c r="E42" s="42">
        <f t="shared" si="2"/>
        <v>125.83</v>
      </c>
      <c r="F42" s="45"/>
      <c r="G42" s="45"/>
      <c r="H42" s="44"/>
      <c r="P42" s="43"/>
    </row>
    <row r="43" spans="2:16" x14ac:dyDescent="0.25">
      <c r="G43" s="45"/>
      <c r="H43" s="45"/>
      <c r="I43" s="44"/>
    </row>
    <row r="44" spans="2:16" x14ac:dyDescent="0.25">
      <c r="B44" s="212" t="s">
        <v>55</v>
      </c>
      <c r="C44" s="213"/>
      <c r="D44" s="213"/>
      <c r="E44" s="213"/>
      <c r="G44" s="49"/>
      <c r="H44" s="49"/>
      <c r="I44" s="49"/>
    </row>
    <row r="45" spans="2:16" x14ac:dyDescent="0.25">
      <c r="B45" s="52" t="s">
        <v>30</v>
      </c>
      <c r="C45" s="47" t="s">
        <v>53</v>
      </c>
      <c r="D45" s="47" t="s">
        <v>56</v>
      </c>
      <c r="E45" s="47" t="s">
        <v>50</v>
      </c>
    </row>
    <row r="46" spans="2:16" x14ac:dyDescent="0.25">
      <c r="B46" s="53">
        <v>2018</v>
      </c>
      <c r="C46" s="54">
        <v>0</v>
      </c>
      <c r="D46" s="54">
        <v>0</v>
      </c>
      <c r="E46" s="55">
        <f>SUM(C46:D46)</f>
        <v>0</v>
      </c>
    </row>
    <row r="47" spans="2:16" x14ac:dyDescent="0.25">
      <c r="B47" s="53">
        <v>2019</v>
      </c>
      <c r="C47" s="54">
        <v>16.75</v>
      </c>
      <c r="D47" s="54">
        <v>5.34</v>
      </c>
      <c r="E47" s="55">
        <f t="shared" ref="E47:E56" si="3">SUM(C47:D47)</f>
        <v>22.09</v>
      </c>
    </row>
    <row r="48" spans="2:16" x14ac:dyDescent="0.25">
      <c r="B48" s="53">
        <v>2020</v>
      </c>
      <c r="C48" s="54">
        <v>19</v>
      </c>
      <c r="D48" s="54">
        <v>0</v>
      </c>
      <c r="E48" s="55">
        <f t="shared" si="3"/>
        <v>19</v>
      </c>
    </row>
    <row r="49" spans="2:5" x14ac:dyDescent="0.25">
      <c r="B49" s="53">
        <v>2021</v>
      </c>
      <c r="C49" s="54">
        <v>12.1</v>
      </c>
      <c r="D49" s="54">
        <v>0</v>
      </c>
      <c r="E49" s="55">
        <f t="shared" si="3"/>
        <v>12.1</v>
      </c>
    </row>
    <row r="50" spans="2:5" x14ac:dyDescent="0.25">
      <c r="B50" s="53">
        <v>2022</v>
      </c>
      <c r="C50" s="54">
        <v>27.77</v>
      </c>
      <c r="D50" s="54">
        <v>0</v>
      </c>
      <c r="E50" s="55">
        <f t="shared" si="3"/>
        <v>27.77</v>
      </c>
    </row>
    <row r="51" spans="2:5" x14ac:dyDescent="0.25">
      <c r="B51" s="53">
        <v>2023</v>
      </c>
      <c r="C51" s="54">
        <v>0</v>
      </c>
      <c r="D51" s="54">
        <v>0</v>
      </c>
      <c r="E51" s="55">
        <f t="shared" si="3"/>
        <v>0</v>
      </c>
    </row>
    <row r="52" spans="2:5" x14ac:dyDescent="0.25">
      <c r="B52" s="53">
        <v>2024</v>
      </c>
      <c r="C52" s="54">
        <v>0</v>
      </c>
      <c r="D52" s="54">
        <v>0</v>
      </c>
      <c r="E52" s="55">
        <f t="shared" si="3"/>
        <v>0</v>
      </c>
    </row>
    <row r="53" spans="2:5" x14ac:dyDescent="0.25">
      <c r="B53" s="53">
        <v>2025</v>
      </c>
      <c r="C53" s="54">
        <v>0</v>
      </c>
      <c r="D53" s="54">
        <v>0</v>
      </c>
      <c r="E53" s="55">
        <f t="shared" si="3"/>
        <v>0</v>
      </c>
    </row>
    <row r="54" spans="2:5" x14ac:dyDescent="0.25">
      <c r="B54" s="53">
        <v>2026</v>
      </c>
      <c r="C54" s="54">
        <v>0</v>
      </c>
      <c r="D54" s="54">
        <v>0</v>
      </c>
      <c r="E54" s="55">
        <f t="shared" si="3"/>
        <v>0</v>
      </c>
    </row>
    <row r="55" spans="2:5" x14ac:dyDescent="0.25">
      <c r="B55" s="53">
        <v>2027</v>
      </c>
      <c r="C55" s="54">
        <v>0</v>
      </c>
      <c r="D55" s="54">
        <v>0</v>
      </c>
      <c r="E55" s="55">
        <f t="shared" si="3"/>
        <v>0</v>
      </c>
    </row>
    <row r="56" spans="2:5" x14ac:dyDescent="0.25">
      <c r="B56" s="53">
        <v>2028</v>
      </c>
      <c r="C56" s="54">
        <v>0</v>
      </c>
      <c r="D56" s="54">
        <v>0</v>
      </c>
      <c r="E56" s="55">
        <f t="shared" si="3"/>
        <v>0</v>
      </c>
    </row>
    <row r="57" spans="2:5" x14ac:dyDescent="0.25">
      <c r="B57" s="53" t="s">
        <v>50</v>
      </c>
      <c r="C57" s="55">
        <f>SUM(C46:C56)</f>
        <v>75.62</v>
      </c>
      <c r="D57" s="55">
        <f>SUM(D46:D56)</f>
        <v>5.34</v>
      </c>
      <c r="E57" s="55">
        <f>SUM(C57:D57)</f>
        <v>80.960000000000008</v>
      </c>
    </row>
    <row r="58" spans="2:5" ht="15" thickBot="1" x14ac:dyDescent="0.3"/>
    <row r="59" spans="2:5" ht="15.75" thickBot="1" x14ac:dyDescent="0.3">
      <c r="C59" s="194" t="s">
        <v>57</v>
      </c>
      <c r="D59" s="195" t="s">
        <v>1</v>
      </c>
      <c r="E59" s="195" t="s">
        <v>58</v>
      </c>
    </row>
    <row r="60" spans="2:5" ht="15" x14ac:dyDescent="0.25">
      <c r="B60" s="49"/>
      <c r="C60" s="196">
        <v>1</v>
      </c>
      <c r="D60" s="197" t="s">
        <v>12</v>
      </c>
      <c r="E60" s="198" t="s">
        <v>59</v>
      </c>
    </row>
    <row r="61" spans="2:5" ht="15" x14ac:dyDescent="0.25">
      <c r="B61" s="49"/>
      <c r="C61" s="199">
        <v>2</v>
      </c>
      <c r="D61" s="200" t="s">
        <v>16</v>
      </c>
      <c r="E61" s="201" t="s">
        <v>60</v>
      </c>
    </row>
    <row r="62" spans="2:5" ht="15.75" thickBot="1" x14ac:dyDescent="0.3">
      <c r="B62" s="49"/>
      <c r="C62" s="202">
        <v>3</v>
      </c>
      <c r="D62" s="203" t="s">
        <v>24</v>
      </c>
      <c r="E62" s="204" t="s">
        <v>60</v>
      </c>
    </row>
    <row r="63" spans="2:5" x14ac:dyDescent="0.25">
      <c r="B63" s="49"/>
    </row>
  </sheetData>
  <mergeCells count="3">
    <mergeCell ref="B14:U14"/>
    <mergeCell ref="B29:E29"/>
    <mergeCell ref="B44:E44"/>
  </mergeCells>
  <hyperlinks>
    <hyperlink ref="F3" r:id="rId1" display="https://www.researchgate.net/profile/A-Raizada/publication/365489423_Biomass_carbon_stocks_estimation_and_predictive_modeling_in_mango_based_land_uses_on_degraded_lands_in_Indian_Sub-_Himalayas/links/63774b081766b34c54363701/Biomass-carbon-stocks-estimation-and-predictive-modeling-in-mango-based-land-uses-on-degraded-lands-in-Indian-Sub-Himalayas.pdf" xr:uid="{09E86688-6018-40B7-846F-EC490092AFD6}"/>
    <hyperlink ref="F4" r:id="rId2" xr:uid="{4C0C8C1D-33D8-45CA-B160-7AA93204045C}"/>
  </hyperlinks>
  <pageMargins left="0.7" right="0.7" top="0.75" bottom="0.75" header="0.3" footer="0.3"/>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FFFE0-1534-4FF4-B61D-777E1218BA2B}">
  <dimension ref="B1:J40"/>
  <sheetViews>
    <sheetView topLeftCell="B20" zoomScale="89" zoomScaleNormal="89" workbookViewId="0">
      <selection activeCell="E33" sqref="E33"/>
    </sheetView>
  </sheetViews>
  <sheetFormatPr defaultColWidth="9.140625" defaultRowHeight="14.25" x14ac:dyDescent="0.25"/>
  <cols>
    <col min="1" max="2" width="9.140625" style="3"/>
    <col min="3" max="3" width="35.85546875" style="3" bestFit="1" customWidth="1"/>
    <col min="4" max="4" width="17.85546875" style="3" bestFit="1" customWidth="1"/>
    <col min="5" max="5" width="18.140625" style="3" customWidth="1"/>
    <col min="6" max="6" width="10.7109375" style="3" bestFit="1" customWidth="1"/>
    <col min="7" max="7" width="11.140625" style="3" customWidth="1"/>
    <col min="8" max="8" width="13.5703125" style="3" customWidth="1"/>
    <col min="9" max="9" width="13.42578125" style="3" customWidth="1"/>
    <col min="10" max="10" width="11" style="3" bestFit="1" customWidth="1"/>
    <col min="11" max="20" width="9.140625" style="3"/>
    <col min="21" max="21" width="11.5703125" style="3" bestFit="1" customWidth="1"/>
    <col min="22" max="16384" width="9.140625" style="3"/>
  </cols>
  <sheetData>
    <row r="1" spans="2:10" ht="15" thickBot="1" x14ac:dyDescent="0.3"/>
    <row r="2" spans="2:10" ht="60.75" customHeight="1" thickBot="1" x14ac:dyDescent="0.3">
      <c r="B2" s="168"/>
      <c r="C2" s="169" t="s">
        <v>202</v>
      </c>
      <c r="D2" s="170" t="s">
        <v>203</v>
      </c>
      <c r="E2" s="171" t="s">
        <v>204</v>
      </c>
      <c r="F2" s="172" t="s">
        <v>205</v>
      </c>
      <c r="G2" s="172" t="s">
        <v>206</v>
      </c>
      <c r="H2" s="172" t="s">
        <v>207</v>
      </c>
      <c r="I2" s="172" t="s">
        <v>208</v>
      </c>
      <c r="J2" s="173" t="s">
        <v>209</v>
      </c>
    </row>
    <row r="3" spans="2:10" x14ac:dyDescent="0.25">
      <c r="C3" s="174" t="s">
        <v>210</v>
      </c>
      <c r="D3" s="66">
        <f>(Baseline!E3/365*306)</f>
        <v>0</v>
      </c>
      <c r="E3" s="66">
        <f>('Total ER'!C3/365*306)</f>
        <v>1283.8696106360112</v>
      </c>
      <c r="F3" s="66">
        <f>(Leakage!F3/365*306)</f>
        <v>43.507978850468284</v>
      </c>
      <c r="G3" s="66">
        <f>E3*NPR!$L$2</f>
        <v>256.77392212720224</v>
      </c>
      <c r="H3" s="66">
        <v>0</v>
      </c>
      <c r="I3" s="66">
        <f>E3-D3-F3</f>
        <v>1240.3616317855428</v>
      </c>
      <c r="J3" s="66">
        <f>I3-G3</f>
        <v>983.5877096583406</v>
      </c>
    </row>
    <row r="4" spans="2:10" x14ac:dyDescent="0.25">
      <c r="C4" s="175" t="s">
        <v>211</v>
      </c>
      <c r="D4" s="66">
        <f>(Baseline!E3/365*59)+(Baseline!E4/365*306)</f>
        <v>0</v>
      </c>
      <c r="E4" s="66">
        <f>('Total ER'!C3/365*59)+('Total ER'!C4/365*306)</f>
        <v>3752.4799987881088</v>
      </c>
      <c r="F4" s="66">
        <f>(Leakage!F3/365*59)+(Leakage!F4/365*306)</f>
        <v>138.06519120920709</v>
      </c>
      <c r="G4" s="66">
        <f>E4*NPR!$L$2</f>
        <v>750.4959997576218</v>
      </c>
      <c r="H4" s="66">
        <v>0</v>
      </c>
      <c r="I4" s="66">
        <f t="shared" ref="I4:I33" si="0">E4-D4-F4</f>
        <v>3614.4148075789017</v>
      </c>
      <c r="J4" s="66">
        <f t="shared" ref="J4:J33" si="1">I4-G4</f>
        <v>2863.9188078212801</v>
      </c>
    </row>
    <row r="5" spans="2:10" x14ac:dyDescent="0.25">
      <c r="C5" s="175" t="s">
        <v>212</v>
      </c>
      <c r="D5" s="66">
        <f>(Baseline!E4/365*59)+(Baseline!E5/365*306)</f>
        <v>0</v>
      </c>
      <c r="E5" s="66">
        <f>('Total ER'!C4/365*59)+('Total ER'!C5/365*306)</f>
        <v>6393.1014416104126</v>
      </c>
      <c r="F5" s="66">
        <f>(Leakage!F4/365*59)+(Leakage!F5/365*306)</f>
        <v>273.51727818627342</v>
      </c>
      <c r="G5" s="66">
        <f>E5*NPR!$L$2</f>
        <v>1278.6202883220826</v>
      </c>
      <c r="H5" s="66">
        <v>0</v>
      </c>
      <c r="I5" s="66">
        <f t="shared" si="0"/>
        <v>6119.5841634241388</v>
      </c>
      <c r="J5" s="66">
        <f t="shared" si="1"/>
        <v>4840.9638751020557</v>
      </c>
    </row>
    <row r="6" spans="2:10" x14ac:dyDescent="0.25">
      <c r="C6" s="175" t="s">
        <v>213</v>
      </c>
      <c r="D6" s="66">
        <f>(Baseline!E5/365*59)+(Baseline!E6/365*306)</f>
        <v>0</v>
      </c>
      <c r="E6" s="66">
        <f>('Total ER'!C5/365*59)+('Total ER'!C6/365*306)</f>
        <v>10116.780632493701</v>
      </c>
      <c r="F6" s="66">
        <f>(Leakage!F5/365*59)+(Leakage!F6/365*306)</f>
        <v>471.0288715851762</v>
      </c>
      <c r="G6" s="66">
        <f>E6*NPR!$L$2</f>
        <v>2023.3561264987402</v>
      </c>
      <c r="H6" s="66">
        <v>0</v>
      </c>
      <c r="I6" s="66">
        <f t="shared" si="0"/>
        <v>9645.7517609085244</v>
      </c>
      <c r="J6" s="66">
        <f t="shared" si="1"/>
        <v>7622.3956344097842</v>
      </c>
    </row>
    <row r="7" spans="2:10" x14ac:dyDescent="0.25">
      <c r="C7" s="175" t="s">
        <v>214</v>
      </c>
      <c r="D7" s="66">
        <f>(Baseline!E6/365*59)+(Baseline!E7/365*306)</f>
        <v>0</v>
      </c>
      <c r="E7" s="66">
        <f>('Total ER'!C6/365*59)+('Total ER'!C7/365*306)</f>
        <v>13115.406391276716</v>
      </c>
      <c r="F7" s="66">
        <f>(Leakage!F6/365*59)+(Leakage!F7/365*306)</f>
        <v>731.68405072676182</v>
      </c>
      <c r="G7" s="66">
        <f>E7*NPR!$L$2</f>
        <v>2623.0812782553435</v>
      </c>
      <c r="H7" s="66">
        <v>0</v>
      </c>
      <c r="I7" s="66">
        <f t="shared" si="0"/>
        <v>12383.722340549954</v>
      </c>
      <c r="J7" s="66">
        <f t="shared" si="1"/>
        <v>9760.6410622946096</v>
      </c>
    </row>
    <row r="8" spans="2:10" x14ac:dyDescent="0.25">
      <c r="C8" s="175" t="s">
        <v>215</v>
      </c>
      <c r="D8" s="66">
        <f>(Baseline!E7/365*59)+(Baseline!E8/365*306)</f>
        <v>0</v>
      </c>
      <c r="E8" s="66">
        <f>('Total ER'!C7/365*59)+('Total ER'!C8/365*306)</f>
        <v>14627.487564066632</v>
      </c>
      <c r="F8" s="66">
        <f>(Leakage!F7/365*59)+(Leakage!F8/365*306)</f>
        <v>1010.3074609830136</v>
      </c>
      <c r="G8" s="66">
        <f>E8*NPR!$L$2</f>
        <v>2925.4975128133265</v>
      </c>
      <c r="H8" s="66">
        <v>0</v>
      </c>
      <c r="I8" s="66">
        <f t="shared" si="0"/>
        <v>13617.18010308362</v>
      </c>
      <c r="J8" s="66">
        <f t="shared" si="1"/>
        <v>10691.682590270293</v>
      </c>
    </row>
    <row r="9" spans="2:10" x14ac:dyDescent="0.25">
      <c r="C9" s="175" t="s">
        <v>216</v>
      </c>
      <c r="D9" s="66">
        <f>(Baseline!E8/365*59)+(Baseline!E9/365*306)</f>
        <v>0</v>
      </c>
      <c r="E9" s="66">
        <f>('Total ER'!C8/365*59)+('Total ER'!C9/365*306)</f>
        <v>15656.698515011889</v>
      </c>
      <c r="F9" s="66">
        <f>(Leakage!F8/365*59)+(Leakage!F9/365*306)</f>
        <v>1396.0389201067915</v>
      </c>
      <c r="G9" s="66">
        <f>E9*NPR!$L$2</f>
        <v>3131.339703002378</v>
      </c>
      <c r="H9" s="66">
        <v>0</v>
      </c>
      <c r="I9" s="66">
        <f t="shared" si="0"/>
        <v>14260.659594905097</v>
      </c>
      <c r="J9" s="66">
        <f t="shared" si="1"/>
        <v>11129.31989190272</v>
      </c>
    </row>
    <row r="10" spans="2:10" x14ac:dyDescent="0.25">
      <c r="C10" s="175" t="s">
        <v>217</v>
      </c>
      <c r="D10" s="66">
        <f>(Baseline!E9/365*59)+(Baseline!E10/365*306)</f>
        <v>0</v>
      </c>
      <c r="E10" s="66">
        <f>('Total ER'!C9/365*59)+('Total ER'!C10/365*306)</f>
        <v>19902.19319968389</v>
      </c>
      <c r="F10" s="66">
        <f>(Leakage!F9/365*59)+(Leakage!F10/365*306)</f>
        <v>1937.7865972424695</v>
      </c>
      <c r="G10" s="66">
        <f>E10*NPR!$L$2</f>
        <v>3980.4386399367781</v>
      </c>
      <c r="H10" s="66">
        <v>0</v>
      </c>
      <c r="I10" s="66">
        <f t="shared" si="0"/>
        <v>17964.406602441421</v>
      </c>
      <c r="J10" s="66">
        <f t="shared" si="1"/>
        <v>13983.967962504643</v>
      </c>
    </row>
    <row r="11" spans="2:10" x14ac:dyDescent="0.25">
      <c r="C11" s="175" t="s">
        <v>218</v>
      </c>
      <c r="D11" s="66">
        <f>(Baseline!E10/365*59)+(Baseline!E11/365*306)</f>
        <v>0</v>
      </c>
      <c r="E11" s="66">
        <f>('Total ER'!C10/365*59)+('Total ER'!C11/365*306)</f>
        <v>28360.094562756964</v>
      </c>
      <c r="F11" s="66">
        <f>(Leakage!F10/365*59)+(Leakage!F11/365*306)</f>
        <v>2641.3474909431475</v>
      </c>
      <c r="G11" s="66">
        <f>E11*NPR!$L$2</f>
        <v>5672.0189125513934</v>
      </c>
      <c r="H11" s="66">
        <v>0</v>
      </c>
      <c r="I11" s="66">
        <f t="shared" si="0"/>
        <v>25718.747071813817</v>
      </c>
      <c r="J11" s="66">
        <f t="shared" si="1"/>
        <v>20046.728159262424</v>
      </c>
    </row>
    <row r="12" spans="2:10" x14ac:dyDescent="0.25">
      <c r="C12" s="175" t="s">
        <v>219</v>
      </c>
      <c r="D12" s="66">
        <f>(Baseline!E11/365*59)+(Baseline!E12/365*306)</f>
        <v>0</v>
      </c>
      <c r="E12" s="66">
        <f>('Total ER'!C11/365*59)+('Total ER'!C12/365*306)</f>
        <v>39202.774997890992</v>
      </c>
      <c r="F12" s="66">
        <f>(Leakage!F11/365*59)+(Leakage!F12/365*306)</f>
        <v>3506.7216012088256</v>
      </c>
      <c r="G12" s="66">
        <f>E12*NPR!$L$2</f>
        <v>7840.5549995781985</v>
      </c>
      <c r="H12" s="66">
        <v>0</v>
      </c>
      <c r="I12" s="66">
        <f t="shared" si="0"/>
        <v>35696.053396682168</v>
      </c>
      <c r="J12" s="66">
        <f t="shared" si="1"/>
        <v>27855.498397103969</v>
      </c>
    </row>
    <row r="13" spans="2:10" x14ac:dyDescent="0.25">
      <c r="C13" s="175" t="s">
        <v>220</v>
      </c>
      <c r="D13" s="66">
        <f>(Baseline!E12/365*59)+(Baseline!E13/365*306)</f>
        <v>0</v>
      </c>
      <c r="E13" s="66">
        <f>('Total ER'!C12/365*59)+('Total ER'!C13/365*306)</f>
        <v>52400.368608840923</v>
      </c>
      <c r="F13" s="66">
        <f>(Leakage!F12/365*59)+(Leakage!F13/365*306)</f>
        <v>4533.9089280395037</v>
      </c>
      <c r="G13" s="66">
        <f>E13*NPR!$L$2</f>
        <v>10480.073721768185</v>
      </c>
      <c r="H13" s="66">
        <v>0</v>
      </c>
      <c r="I13" s="66">
        <f t="shared" si="0"/>
        <v>47866.459680801418</v>
      </c>
      <c r="J13" s="66">
        <f t="shared" si="1"/>
        <v>37386.385959033229</v>
      </c>
    </row>
    <row r="14" spans="2:10" x14ac:dyDescent="0.25">
      <c r="C14" s="175" t="s">
        <v>221</v>
      </c>
      <c r="D14" s="66">
        <f>(Baseline!E13/365*59)+(Baseline!E14/365*306)</f>
        <v>0</v>
      </c>
      <c r="E14" s="66">
        <f>('Total ER'!C13/365*59)+('Total ER'!C14/365*306)</f>
        <v>64841.237572707862</v>
      </c>
      <c r="F14" s="66">
        <f>(Leakage!F13/365*59)+(Leakage!F14/365*306)</f>
        <v>5587.2523638491821</v>
      </c>
      <c r="G14" s="66">
        <f>E14*NPR!$L$2</f>
        <v>12968.247514541574</v>
      </c>
      <c r="H14" s="66">
        <v>0</v>
      </c>
      <c r="I14" s="66">
        <f t="shared" si="0"/>
        <v>59253.985208858678</v>
      </c>
      <c r="J14" s="66">
        <f t="shared" si="1"/>
        <v>46285.737694317104</v>
      </c>
    </row>
    <row r="15" spans="2:10" x14ac:dyDescent="0.25">
      <c r="C15" s="175" t="s">
        <v>222</v>
      </c>
      <c r="D15" s="66">
        <f>(Baseline!E14/365*59)+(Baseline!E15/365*306)</f>
        <v>0</v>
      </c>
      <c r="E15" s="66">
        <f>('Total ER'!C14/365*59)+('Total ER'!C15/365*306)</f>
        <v>70439.333034700045</v>
      </c>
      <c r="F15" s="66">
        <f>(Leakage!F14/365*59)+(Leakage!F15/365*306)</f>
        <v>6640.5957996588604</v>
      </c>
      <c r="G15" s="66">
        <f>E15*NPR!$L$2</f>
        <v>14087.86660694001</v>
      </c>
      <c r="H15" s="66">
        <v>0</v>
      </c>
      <c r="I15" s="66">
        <f t="shared" si="0"/>
        <v>63798.737235041182</v>
      </c>
      <c r="J15" s="66">
        <f t="shared" si="1"/>
        <v>49710.870628101169</v>
      </c>
    </row>
    <row r="16" spans="2:10" x14ac:dyDescent="0.25">
      <c r="C16" s="175" t="s">
        <v>223</v>
      </c>
      <c r="D16" s="66">
        <f>(Baseline!E15/365*59)+(Baseline!E16/365*306)</f>
        <v>0</v>
      </c>
      <c r="E16" s="66">
        <f>('Total ER'!C15/365*59)+('Total ER'!C16/365*306)</f>
        <v>71428.751149631134</v>
      </c>
      <c r="F16" s="66">
        <f>(Leakage!F15/365*59)+(Leakage!F16/365*306)</f>
        <v>7693.9392354685388</v>
      </c>
      <c r="G16" s="66">
        <f>E16*NPR!$L$2</f>
        <v>14285.750229926227</v>
      </c>
      <c r="H16" s="66">
        <v>0</v>
      </c>
      <c r="I16" s="66">
        <f t="shared" si="0"/>
        <v>63734.811914162594</v>
      </c>
      <c r="J16" s="66">
        <f t="shared" si="1"/>
        <v>49449.061684236367</v>
      </c>
    </row>
    <row r="17" spans="3:10" x14ac:dyDescent="0.25">
      <c r="C17" s="175" t="s">
        <v>224</v>
      </c>
      <c r="D17" s="66">
        <f>(Baseline!E16/365*59)+(Baseline!E17/365*306)</f>
        <v>0</v>
      </c>
      <c r="E17" s="66">
        <f>('Total ER'!C16/365*59)+('Total ER'!C17/365*306)</f>
        <v>70181.900148735076</v>
      </c>
      <c r="F17" s="66">
        <f>(Leakage!F16/365*59)+(Leakage!F17/365*306)</f>
        <v>8747.2826712782171</v>
      </c>
      <c r="G17" s="66">
        <f>E17*NPR!$L$2</f>
        <v>14036.380029747015</v>
      </c>
      <c r="H17" s="66">
        <v>0</v>
      </c>
      <c r="I17" s="66">
        <f t="shared" si="0"/>
        <v>61434.617477456857</v>
      </c>
      <c r="J17" s="66">
        <f t="shared" si="1"/>
        <v>47398.237447709842</v>
      </c>
    </row>
    <row r="18" spans="3:10" x14ac:dyDescent="0.25">
      <c r="C18" s="175" t="s">
        <v>225</v>
      </c>
      <c r="D18" s="66">
        <f>(Baseline!E17/365*59)+(Baseline!E18/365*306)</f>
        <v>0</v>
      </c>
      <c r="E18" s="66">
        <f>('Total ER'!C17/365*59)+('Total ER'!C18/365*306)</f>
        <v>63962.161632327829</v>
      </c>
      <c r="F18" s="66">
        <f>(Leakage!F17/365*59)+(Leakage!F18/365*306)</f>
        <v>9800.6261070878936</v>
      </c>
      <c r="G18" s="66">
        <f>E18*NPR!$L$2</f>
        <v>12792.432326465567</v>
      </c>
      <c r="H18" s="66">
        <v>0</v>
      </c>
      <c r="I18" s="66">
        <f t="shared" si="0"/>
        <v>54161.535525239931</v>
      </c>
      <c r="J18" s="66">
        <f t="shared" si="1"/>
        <v>41369.103198774363</v>
      </c>
    </row>
    <row r="19" spans="3:10" x14ac:dyDescent="0.25">
      <c r="C19" s="175" t="s">
        <v>226</v>
      </c>
      <c r="D19" s="66">
        <f>(Baseline!E18/365*59)+(Baseline!E19/365*306)</f>
        <v>0</v>
      </c>
      <c r="E19" s="66">
        <f>('Total ER'!C18/365*59)+('Total ER'!C19/365*306)</f>
        <v>49565.239887988748</v>
      </c>
      <c r="F19" s="66">
        <f>(Leakage!F18/365*59)+(Leakage!F19/365*306)</f>
        <v>10853.969542897574</v>
      </c>
      <c r="G19" s="66">
        <f>E19*NPR!$L$2</f>
        <v>9913.047977597751</v>
      </c>
      <c r="H19" s="66">
        <v>0</v>
      </c>
      <c r="I19" s="66">
        <f t="shared" si="0"/>
        <v>38711.270345091172</v>
      </c>
      <c r="J19" s="66">
        <f t="shared" si="1"/>
        <v>28798.222367493421</v>
      </c>
    </row>
    <row r="20" spans="3:10" x14ac:dyDescent="0.25">
      <c r="C20" s="175" t="s">
        <v>227</v>
      </c>
      <c r="D20" s="66">
        <f>(Baseline!E19/365*59)+(Baseline!E20/365*306)</f>
        <v>0</v>
      </c>
      <c r="E20" s="66">
        <f>('Total ER'!C19/365*59)+('Total ER'!C20/365*306)</f>
        <v>53232.747220276615</v>
      </c>
      <c r="F20" s="66">
        <f>(Leakage!F19/365*59)+(Leakage!F20/365*306)</f>
        <v>11907.31297870725</v>
      </c>
      <c r="G20" s="66">
        <f>E20*NPR!$L$2</f>
        <v>10646.549444055323</v>
      </c>
      <c r="H20" s="66">
        <v>0</v>
      </c>
      <c r="I20" s="66">
        <f t="shared" si="0"/>
        <v>41325.434241569368</v>
      </c>
      <c r="J20" s="66">
        <f t="shared" si="1"/>
        <v>30678.884797514045</v>
      </c>
    </row>
    <row r="21" spans="3:10" x14ac:dyDescent="0.25">
      <c r="C21" s="175" t="s">
        <v>228</v>
      </c>
      <c r="D21" s="66">
        <f>(Baseline!E20/365*59)+(Baseline!E21/365*306)</f>
        <v>0</v>
      </c>
      <c r="E21" s="66">
        <f>('Total ER'!C20/365*59)+('Total ER'!C21/365*306)</f>
        <v>47680.456892639195</v>
      </c>
      <c r="F21" s="66">
        <f>(Leakage!F20/365*59)+(Leakage!F21/365*306)</f>
        <v>12960.656414516929</v>
      </c>
      <c r="G21" s="66">
        <f>E21*NPR!$L$2</f>
        <v>9536.091378527839</v>
      </c>
      <c r="H21" s="66">
        <v>0</v>
      </c>
      <c r="I21" s="66">
        <f t="shared" si="0"/>
        <v>34719.80047812227</v>
      </c>
      <c r="J21" s="66">
        <f t="shared" si="1"/>
        <v>25183.709099594431</v>
      </c>
    </row>
    <row r="22" spans="3:10" x14ac:dyDescent="0.25">
      <c r="C22" s="175" t="s">
        <v>229</v>
      </c>
      <c r="D22" s="66">
        <f>(Baseline!E21/365*59)+(Baseline!E22/365*306)</f>
        <v>0</v>
      </c>
      <c r="E22" s="66">
        <f>('Total ER'!C21/365*59)+('Total ER'!C22/365*306)</f>
        <v>49424.835611362098</v>
      </c>
      <c r="F22" s="66">
        <f>(Leakage!F21/365*59)+(Leakage!F22/365*306)</f>
        <v>14013.999850326609</v>
      </c>
      <c r="G22" s="66">
        <f>E22*NPR!$L$2</f>
        <v>9884.967122272421</v>
      </c>
      <c r="H22" s="66">
        <v>0</v>
      </c>
      <c r="I22" s="66">
        <f t="shared" si="0"/>
        <v>35410.835761035487</v>
      </c>
      <c r="J22" s="66">
        <f t="shared" si="1"/>
        <v>25525.868638763066</v>
      </c>
    </row>
    <row r="23" spans="3:10" x14ac:dyDescent="0.25">
      <c r="C23" s="175" t="s">
        <v>230</v>
      </c>
      <c r="D23" s="66">
        <f>(Baseline!E22/365*59)+(Baseline!E23/365*306)</f>
        <v>0</v>
      </c>
      <c r="E23" s="66">
        <f>('Total ER'!C22/365*59)+('Total ER'!C23/365*306)</f>
        <v>67401.826647913927</v>
      </c>
      <c r="F23" s="66">
        <f>(Leakage!F22/365*59)+(Leakage!F23/365*306)</f>
        <v>15067.343286136285</v>
      </c>
      <c r="G23" s="66">
        <f>E23*NPR!$L$2</f>
        <v>13480.365329582786</v>
      </c>
      <c r="H23" s="66">
        <v>0</v>
      </c>
      <c r="I23" s="66">
        <f t="shared" si="0"/>
        <v>52334.483361777646</v>
      </c>
      <c r="J23" s="66">
        <f t="shared" si="1"/>
        <v>38854.118032194863</v>
      </c>
    </row>
    <row r="24" spans="3:10" x14ac:dyDescent="0.25">
      <c r="C24" s="175" t="s">
        <v>231</v>
      </c>
      <c r="D24" s="66">
        <f>(Baseline!E23/365*59)+(Baseline!E24/365*306)</f>
        <v>0</v>
      </c>
      <c r="E24" s="66">
        <f>('Total ER'!C23/365*59)+('Total ER'!C24/365*306)</f>
        <v>71179.067881105337</v>
      </c>
      <c r="F24" s="66">
        <f>(Leakage!F23/365*59)+(Leakage!F24/365*306)</f>
        <v>16120.686721945967</v>
      </c>
      <c r="G24" s="66">
        <f>E24*NPR!$L$2</f>
        <v>14235.813576221068</v>
      </c>
      <c r="H24" s="66">
        <v>0</v>
      </c>
      <c r="I24" s="66">
        <f t="shared" si="0"/>
        <v>55058.381159159369</v>
      </c>
      <c r="J24" s="66">
        <f t="shared" si="1"/>
        <v>40822.567582938304</v>
      </c>
    </row>
    <row r="25" spans="3:10" x14ac:dyDescent="0.25">
      <c r="C25" s="175" t="s">
        <v>232</v>
      </c>
      <c r="D25" s="66">
        <f>(Baseline!E24/365*59)+(Baseline!E25/365*306)</f>
        <v>0</v>
      </c>
      <c r="E25" s="66">
        <f>('Total ER'!C24/365*59)+('Total ER'!C25/365*306)</f>
        <v>71771.359848443433</v>
      </c>
      <c r="F25" s="66">
        <f>(Leakage!F24/365*59)+(Leakage!F25/365*306)</f>
        <v>17174.030157755646</v>
      </c>
      <c r="G25" s="66">
        <f>E25*NPR!$L$2</f>
        <v>14354.271969688687</v>
      </c>
      <c r="H25" s="66">
        <v>0</v>
      </c>
      <c r="I25" s="66">
        <f t="shared" si="0"/>
        <v>54597.329690687788</v>
      </c>
      <c r="J25" s="66">
        <f t="shared" si="1"/>
        <v>40243.057720999102</v>
      </c>
    </row>
    <row r="26" spans="3:10" x14ac:dyDescent="0.25">
      <c r="C26" s="175" t="s">
        <v>233</v>
      </c>
      <c r="D26" s="66">
        <f>(Baseline!E25/365*59)+(Baseline!E26/365*306)</f>
        <v>0</v>
      </c>
      <c r="E26" s="66">
        <f>('Total ER'!C25/365*59)+('Total ER'!C26/365*306)</f>
        <v>73472.632793582277</v>
      </c>
      <c r="F26" s="66">
        <f>(Leakage!F25/365*59)+(Leakage!F26/365*306)</f>
        <v>18227.37359356532</v>
      </c>
      <c r="G26" s="66">
        <f>E26*NPR!$L$2</f>
        <v>14694.526558716456</v>
      </c>
      <c r="H26" s="66">
        <v>0</v>
      </c>
      <c r="I26" s="66">
        <f t="shared" si="0"/>
        <v>55245.259200016953</v>
      </c>
      <c r="J26" s="66">
        <f t="shared" si="1"/>
        <v>40550.732641300499</v>
      </c>
    </row>
    <row r="27" spans="3:10" x14ac:dyDescent="0.25">
      <c r="C27" s="175" t="s">
        <v>234</v>
      </c>
      <c r="D27" s="66">
        <f>(Baseline!E26/365*59)+(Baseline!E27/365*306)</f>
        <v>0</v>
      </c>
      <c r="E27" s="66">
        <f>('Total ER'!C26/365*59)+('Total ER'!C27/365*306)</f>
        <v>75192.459648539458</v>
      </c>
      <c r="F27" s="66">
        <f>(Leakage!F26/365*59)+(Leakage!F27/365*306)</f>
        <v>19280.717029375002</v>
      </c>
      <c r="G27" s="66">
        <f>E27*NPR!$L$2</f>
        <v>15038.491929707892</v>
      </c>
      <c r="H27" s="66">
        <v>0</v>
      </c>
      <c r="I27" s="66">
        <f t="shared" si="0"/>
        <v>55911.742619164455</v>
      </c>
      <c r="J27" s="66">
        <f t="shared" si="1"/>
        <v>40873.250689456559</v>
      </c>
    </row>
    <row r="28" spans="3:10" x14ac:dyDescent="0.25">
      <c r="C28" s="175" t="s">
        <v>235</v>
      </c>
      <c r="D28" s="66">
        <f>(Baseline!E27/365*59)+(Baseline!E28/365*306)</f>
        <v>0</v>
      </c>
      <c r="E28" s="66">
        <f>('Total ER'!C27/365*59)+('Total ER'!C28/365*306)</f>
        <v>77062.060913694804</v>
      </c>
      <c r="F28" s="66">
        <f>(Leakage!F27/365*59)+(Leakage!F28/365*306)</f>
        <v>20334.060465184677</v>
      </c>
      <c r="G28" s="66">
        <f>E28*NPR!$L$2</f>
        <v>15412.412182738961</v>
      </c>
      <c r="H28" s="66">
        <v>0</v>
      </c>
      <c r="I28" s="66">
        <f t="shared" si="0"/>
        <v>56728.000448510124</v>
      </c>
      <c r="J28" s="66">
        <f t="shared" si="1"/>
        <v>41315.588265771163</v>
      </c>
    </row>
    <row r="29" spans="3:10" x14ac:dyDescent="0.25">
      <c r="C29" s="175" t="s">
        <v>236</v>
      </c>
      <c r="D29" s="66">
        <f>(Baseline!E28/365*59)+(Baseline!E29/365*306)</f>
        <v>0</v>
      </c>
      <c r="E29" s="66">
        <f>('Total ER'!C28/365*59)+('Total ER'!C29/365*306)</f>
        <v>77987.148549310703</v>
      </c>
      <c r="F29" s="66">
        <f>(Leakage!F28/365*59)+(Leakage!F29/365*306)</f>
        <v>21387.403900994355</v>
      </c>
      <c r="G29" s="66">
        <f>E29*NPR!$L$2</f>
        <v>15597.429709862141</v>
      </c>
      <c r="H29" s="66">
        <v>0</v>
      </c>
      <c r="I29" s="66">
        <f t="shared" si="0"/>
        <v>56599.744648316351</v>
      </c>
      <c r="J29" s="66">
        <f t="shared" si="1"/>
        <v>41002.314938454212</v>
      </c>
    </row>
    <row r="30" spans="3:10" x14ac:dyDescent="0.25">
      <c r="C30" s="175" t="s">
        <v>237</v>
      </c>
      <c r="D30" s="66">
        <f>(Baseline!E29/365*59)+(Baseline!E30/365*306)</f>
        <v>0</v>
      </c>
      <c r="E30" s="66">
        <f>('Total ER'!C29/365*59)+('Total ER'!C30/365*306)</f>
        <v>78330.700826024462</v>
      </c>
      <c r="F30" s="66">
        <f>(Leakage!F29/365*59)+(Leakage!F30/365*306)</f>
        <v>22440.747336804034</v>
      </c>
      <c r="G30" s="66">
        <f>E30*NPR!$L$2</f>
        <v>15666.140165204893</v>
      </c>
      <c r="H30" s="66">
        <v>0</v>
      </c>
      <c r="I30" s="66">
        <f t="shared" si="0"/>
        <v>55889.953489220425</v>
      </c>
      <c r="J30" s="66">
        <f t="shared" si="1"/>
        <v>40223.813324015529</v>
      </c>
    </row>
    <row r="31" spans="3:10" x14ac:dyDescent="0.25">
      <c r="C31" s="175" t="s">
        <v>238</v>
      </c>
      <c r="D31" s="66">
        <f>(Baseline!E30/365*59)+(Baseline!E31/365*306)</f>
        <v>0</v>
      </c>
      <c r="E31" s="66">
        <f>('Total ER'!C30/365*59)+('Total ER'!C31/365*306)</f>
        <v>78597.410514633957</v>
      </c>
      <c r="F31" s="66">
        <f>(Leakage!F30/365*59)+(Leakage!F31/365*306)</f>
        <v>23494.090772613712</v>
      </c>
      <c r="G31" s="66">
        <f>E31*NPR!$L$2</f>
        <v>15719.482102926791</v>
      </c>
      <c r="H31" s="66">
        <v>0</v>
      </c>
      <c r="I31" s="66">
        <f t="shared" si="0"/>
        <v>55103.319742020249</v>
      </c>
      <c r="J31" s="66">
        <f t="shared" si="1"/>
        <v>39383.837639093457</v>
      </c>
    </row>
    <row r="32" spans="3:10" x14ac:dyDescent="0.25">
      <c r="C32" s="175" t="s">
        <v>239</v>
      </c>
      <c r="D32" s="66">
        <f>(Baseline!E31/365*59)+(Baseline!E32/365*306)</f>
        <v>0</v>
      </c>
      <c r="E32" s="66">
        <f>('Total ER'!C31/365*59)+('Total ER'!C32/365*306)</f>
        <v>78994.325925580022</v>
      </c>
      <c r="F32" s="66">
        <f>(Leakage!F31/365*59)+(Leakage!F32/365*306)</f>
        <v>24547.43420842339</v>
      </c>
      <c r="G32" s="66">
        <f>E32*NPR!$L$2</f>
        <v>15798.865185116005</v>
      </c>
      <c r="H32" s="66">
        <v>0</v>
      </c>
      <c r="I32" s="66">
        <f t="shared" si="0"/>
        <v>54446.891717156628</v>
      </c>
      <c r="J32" s="66">
        <f t="shared" si="1"/>
        <v>38648.026532040625</v>
      </c>
    </row>
    <row r="33" spans="3:10" x14ac:dyDescent="0.25">
      <c r="C33" s="176" t="s">
        <v>240</v>
      </c>
      <c r="D33" s="66">
        <f>(Baseline!E32/365*59)</f>
        <v>0</v>
      </c>
      <c r="E33" s="66">
        <f>('Total ER'!C32/366*60)</f>
        <v>12961.073762306743</v>
      </c>
      <c r="F33" s="66">
        <f>(Leakage!F32/366*60)</f>
        <v>4052.0820789523054</v>
      </c>
      <c r="G33" s="66">
        <f>E33*NPR!$L$2</f>
        <v>2592.2147524613488</v>
      </c>
      <c r="H33" s="66">
        <v>0</v>
      </c>
      <c r="I33" s="66">
        <f t="shared" si="0"/>
        <v>8908.9916833544376</v>
      </c>
      <c r="J33" s="66">
        <f t="shared" si="1"/>
        <v>6316.7769308930892</v>
      </c>
    </row>
    <row r="34" spans="3:10" x14ac:dyDescent="0.25">
      <c r="C34" s="177" t="s">
        <v>50</v>
      </c>
      <c r="D34" s="178">
        <f>SUM(D3:D33)</f>
        <v>0</v>
      </c>
      <c r="E34" s="178">
        <f t="shared" ref="E34:J34" si="2">SUM(E3:E33)</f>
        <v>1508517.9859845596</v>
      </c>
      <c r="F34" s="179">
        <f t="shared" si="2"/>
        <v>307015.51888462337</v>
      </c>
      <c r="G34" s="179">
        <f t="shared" si="2"/>
        <v>301703.59719691204</v>
      </c>
      <c r="H34" s="179">
        <f t="shared" si="2"/>
        <v>0</v>
      </c>
      <c r="I34" s="179">
        <f t="shared" si="2"/>
        <v>1201502.4670999364</v>
      </c>
      <c r="J34" s="179">
        <f t="shared" si="2"/>
        <v>899798.86990302475</v>
      </c>
    </row>
    <row r="35" spans="3:10" x14ac:dyDescent="0.25">
      <c r="C35" s="177" t="s">
        <v>241</v>
      </c>
      <c r="D35" s="178">
        <f t="shared" ref="D35" si="3">D34/30</f>
        <v>0</v>
      </c>
      <c r="E35" s="178">
        <f>E34/30</f>
        <v>50283.93286615199</v>
      </c>
      <c r="F35" s="180"/>
      <c r="G35" s="180"/>
      <c r="H35" s="180"/>
      <c r="I35" s="180"/>
      <c r="J35" s="180"/>
    </row>
    <row r="36" spans="3:10" x14ac:dyDescent="0.25">
      <c r="C36" s="181" t="s">
        <v>242</v>
      </c>
      <c r="D36" s="178">
        <f>D35/('General Information'!$E$42+'General Information'!$X$27+'General Information'!$E$57)</f>
        <v>0</v>
      </c>
      <c r="E36" s="178">
        <f>E35/('General Information'!U27+'General Information'!E42+'General Information'!E57)</f>
        <v>12.570995787533782</v>
      </c>
      <c r="F36" s="180"/>
      <c r="G36" s="180"/>
      <c r="H36" s="180"/>
      <c r="I36" s="180"/>
      <c r="J36" s="180"/>
    </row>
    <row r="40" spans="3:10" x14ac:dyDescent="0.25">
      <c r="E40" s="182"/>
      <c r="F40" s="18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B9F5-CA08-4FE5-8CF9-D81203752B8B}">
  <dimension ref="B1:S43"/>
  <sheetViews>
    <sheetView zoomScale="96" zoomScaleNormal="96" workbookViewId="0">
      <selection activeCell="B42" sqref="B42"/>
    </sheetView>
  </sheetViews>
  <sheetFormatPr defaultColWidth="9.140625" defaultRowHeight="14.25" x14ac:dyDescent="0.25"/>
  <cols>
    <col min="1" max="1" width="4.85546875" style="3" customWidth="1"/>
    <col min="2" max="2" width="34.85546875" style="3" bestFit="1" customWidth="1"/>
    <col min="3" max="4" width="26.28515625" style="19" bestFit="1" customWidth="1"/>
    <col min="5" max="5" width="19.28515625" style="19" customWidth="1"/>
    <col min="6" max="6" width="18.85546875" style="19" bestFit="1" customWidth="1"/>
    <col min="7" max="7" width="20.42578125" style="19" customWidth="1"/>
    <col min="8" max="8" width="15.85546875" style="19" customWidth="1"/>
    <col min="9" max="9" width="17.85546875" style="19" bestFit="1" customWidth="1"/>
    <col min="10" max="10" width="20.42578125" style="19" bestFit="1" customWidth="1"/>
    <col min="11" max="11" width="9.140625" style="3"/>
    <col min="12" max="12" width="10.140625" style="3" bestFit="1" customWidth="1"/>
    <col min="13" max="18" width="9.140625" style="3"/>
    <col min="19" max="19" width="11.42578125" style="3" bestFit="1" customWidth="1"/>
    <col min="20" max="16384" width="9.140625" style="3"/>
  </cols>
  <sheetData>
    <row r="1" spans="2:19" ht="16.5" customHeight="1" x14ac:dyDescent="0.25">
      <c r="F1" s="183"/>
      <c r="G1" s="183"/>
      <c r="H1" s="183"/>
      <c r="I1" s="183"/>
      <c r="J1" s="183"/>
      <c r="K1" s="240"/>
      <c r="L1" s="240"/>
    </row>
    <row r="2" spans="2:19" x14ac:dyDescent="0.25">
      <c r="C2" s="184"/>
      <c r="D2" s="184"/>
      <c r="E2" s="184"/>
      <c r="F2" s="183"/>
      <c r="G2" s="183"/>
      <c r="H2" s="183"/>
      <c r="I2" s="183"/>
      <c r="J2" s="183"/>
      <c r="K2" s="183"/>
      <c r="L2" s="183"/>
      <c r="M2" s="185"/>
    </row>
    <row r="3" spans="2:19" ht="60.75" customHeight="1" x14ac:dyDescent="0.25">
      <c r="B3" s="241" t="s">
        <v>30</v>
      </c>
      <c r="C3" s="1" t="s">
        <v>243</v>
      </c>
      <c r="D3" s="1" t="s">
        <v>244</v>
      </c>
      <c r="E3" s="192" t="s">
        <v>245</v>
      </c>
      <c r="F3" s="1" t="s">
        <v>246</v>
      </c>
      <c r="G3" s="1" t="s">
        <v>247</v>
      </c>
      <c r="H3" s="1" t="s">
        <v>248</v>
      </c>
      <c r="I3" s="1" t="s">
        <v>249</v>
      </c>
      <c r="J3" s="184"/>
      <c r="K3" s="186"/>
      <c r="L3" s="186"/>
      <c r="M3" s="43"/>
      <c r="S3" s="43"/>
    </row>
    <row r="4" spans="2:19" x14ac:dyDescent="0.25">
      <c r="B4" s="242"/>
      <c r="C4" s="1" t="s">
        <v>250</v>
      </c>
      <c r="D4" s="1" t="s">
        <v>250</v>
      </c>
      <c r="E4" s="1" t="s">
        <v>250</v>
      </c>
      <c r="F4" s="241" t="s">
        <v>250</v>
      </c>
      <c r="G4" s="241" t="s">
        <v>250</v>
      </c>
      <c r="H4" s="241" t="s">
        <v>250</v>
      </c>
      <c r="I4" s="241" t="s">
        <v>250</v>
      </c>
      <c r="J4" s="186"/>
      <c r="K4" s="186"/>
      <c r="L4" s="186"/>
      <c r="M4" s="43"/>
      <c r="S4" s="43"/>
    </row>
    <row r="5" spans="2:19" x14ac:dyDescent="0.25">
      <c r="B5" s="243"/>
      <c r="C5" s="1" t="s">
        <v>251</v>
      </c>
      <c r="D5" s="1" t="s">
        <v>252</v>
      </c>
      <c r="E5" s="1" t="s">
        <v>253</v>
      </c>
      <c r="F5" s="243"/>
      <c r="G5" s="243"/>
      <c r="H5" s="243"/>
      <c r="I5" s="243"/>
      <c r="J5" s="186"/>
      <c r="K5" s="186"/>
      <c r="L5" s="186"/>
      <c r="M5" s="43"/>
      <c r="S5" s="43"/>
    </row>
    <row r="6" spans="2:19" x14ac:dyDescent="0.25">
      <c r="B6" s="174" t="s">
        <v>210</v>
      </c>
      <c r="C6" s="54">
        <f>(Baseline!E3*306/365)</f>
        <v>0</v>
      </c>
      <c r="D6" s="166">
        <f>('Total ER'!D3*306/365)</f>
        <v>1283.869610636011</v>
      </c>
      <c r="E6" s="166">
        <f>D6</f>
        <v>1283.869610636011</v>
      </c>
      <c r="F6" s="166">
        <f>D6-C6</f>
        <v>1283.869610636011</v>
      </c>
      <c r="G6" s="166">
        <f>F6</f>
        <v>1283.869610636011</v>
      </c>
      <c r="H6" s="166">
        <f>G6*NPR!$L$2</f>
        <v>256.77392212720218</v>
      </c>
      <c r="I6" s="166">
        <f>G6-H6</f>
        <v>1027.0956885088087</v>
      </c>
      <c r="J6" s="186"/>
      <c r="K6" s="186"/>
      <c r="L6" s="186"/>
      <c r="M6" s="182"/>
      <c r="S6" s="43"/>
    </row>
    <row r="7" spans="2:19" x14ac:dyDescent="0.25">
      <c r="B7" s="175" t="s">
        <v>211</v>
      </c>
      <c r="C7" s="54">
        <f>(Baseline!E3/365*59)+(Baseline!E4/365*306)</f>
        <v>0</v>
      </c>
      <c r="D7" s="166">
        <f>('Total ER'!D3*59/365)+('Total ER'!D4*306/365)</f>
        <v>5036.34960942412</v>
      </c>
      <c r="E7" s="166">
        <f>D7-D6</f>
        <v>3752.4799987881088</v>
      </c>
      <c r="F7" s="166">
        <f t="shared" ref="F7:F41" si="0">D7-C7</f>
        <v>5036.34960942412</v>
      </c>
      <c r="G7" s="166">
        <f>F7-G6</f>
        <v>3752.4799987881088</v>
      </c>
      <c r="H7" s="166">
        <f>G7*NPR!$L$2</f>
        <v>750.4959997576218</v>
      </c>
      <c r="I7" s="166">
        <f t="shared" ref="I7:I41" si="1">G7-H7</f>
        <v>3001.9839990304872</v>
      </c>
      <c r="J7" s="186"/>
      <c r="K7" s="186"/>
      <c r="L7" s="19"/>
      <c r="M7" s="43"/>
      <c r="S7" s="43"/>
    </row>
    <row r="8" spans="2:19" x14ac:dyDescent="0.25">
      <c r="B8" s="175" t="s">
        <v>212</v>
      </c>
      <c r="C8" s="54">
        <f>(Baseline!E4/365*59)+(Baseline!E5/365*306)</f>
        <v>0</v>
      </c>
      <c r="D8" s="166">
        <f>('Total ER'!D4*59/365)+('Total ER'!D5*306/365)</f>
        <v>11429.451051034532</v>
      </c>
      <c r="E8" s="166">
        <f>D8-D7</f>
        <v>6393.1014416104117</v>
      </c>
      <c r="F8" s="166">
        <f t="shared" si="0"/>
        <v>11429.451051034532</v>
      </c>
      <c r="G8" s="166">
        <f t="shared" ref="G8:G17" si="2">F8-G7</f>
        <v>7676.9710522464229</v>
      </c>
      <c r="H8" s="166">
        <f>G8*NPR!$L$2</f>
        <v>1535.3942104492846</v>
      </c>
      <c r="I8" s="166">
        <f t="shared" si="1"/>
        <v>6141.5768417971385</v>
      </c>
      <c r="J8" s="186"/>
      <c r="K8" s="186"/>
      <c r="L8" s="186"/>
      <c r="M8" s="43"/>
      <c r="S8" s="43"/>
    </row>
    <row r="9" spans="2:19" x14ac:dyDescent="0.25">
      <c r="B9" s="175" t="s">
        <v>213</v>
      </c>
      <c r="C9" s="54">
        <f>(Baseline!E5/365*59)+(Baseline!E6/365*306)</f>
        <v>0</v>
      </c>
      <c r="D9" s="166">
        <f>('Total ER'!D5*59/365)+('Total ER'!D6*306/365)</f>
        <v>21546.231683528229</v>
      </c>
      <c r="E9" s="166">
        <f t="shared" ref="E9:E41" si="3">D9-D8</f>
        <v>10116.780632493697</v>
      </c>
      <c r="F9" s="166">
        <f t="shared" si="0"/>
        <v>21546.231683528229</v>
      </c>
      <c r="G9" s="166">
        <f>F9-G8</f>
        <v>13869.260631281806</v>
      </c>
      <c r="H9" s="166">
        <f>G9*NPR!$L$2</f>
        <v>2773.8521262563613</v>
      </c>
      <c r="I9" s="166">
        <f t="shared" si="1"/>
        <v>11095.408505025445</v>
      </c>
      <c r="J9" s="186"/>
      <c r="K9" s="186"/>
      <c r="L9" s="186"/>
      <c r="M9" s="43"/>
      <c r="S9" s="43"/>
    </row>
    <row r="10" spans="2:19" x14ac:dyDescent="0.25">
      <c r="B10" s="175" t="s">
        <v>214</v>
      </c>
      <c r="C10" s="54">
        <f>(Baseline!E6/365*59)+(Baseline!E7/365*306)</f>
        <v>0</v>
      </c>
      <c r="D10" s="166">
        <f>('Total ER'!D6*59/365)+('Total ER'!D7*306/365)</f>
        <v>34661.638074804949</v>
      </c>
      <c r="E10" s="166">
        <f t="shared" si="3"/>
        <v>13115.40639127672</v>
      </c>
      <c r="F10" s="166">
        <f t="shared" si="0"/>
        <v>34661.638074804949</v>
      </c>
      <c r="G10" s="166">
        <f t="shared" si="2"/>
        <v>20792.377443523143</v>
      </c>
      <c r="H10" s="166">
        <f>G10*NPR!$L$2</f>
        <v>4158.4754887046283</v>
      </c>
      <c r="I10" s="166">
        <f t="shared" si="1"/>
        <v>16633.901954818513</v>
      </c>
      <c r="J10" s="186"/>
      <c r="K10" s="186"/>
      <c r="L10" s="186"/>
      <c r="M10" s="43"/>
      <c r="S10" s="43"/>
    </row>
    <row r="11" spans="2:19" x14ac:dyDescent="0.25">
      <c r="B11" s="175" t="s">
        <v>215</v>
      </c>
      <c r="C11" s="54">
        <f>(Baseline!E7/365*59)+(Baseline!E8/365*306)</f>
        <v>0</v>
      </c>
      <c r="D11" s="166">
        <f>('Total ER'!D7*59/365)+('Total ER'!D8*306/365)</f>
        <v>49289.125638871577</v>
      </c>
      <c r="E11" s="166">
        <f t="shared" si="3"/>
        <v>14627.487564066629</v>
      </c>
      <c r="F11" s="166">
        <f t="shared" si="0"/>
        <v>49289.125638871577</v>
      </c>
      <c r="G11" s="166">
        <f t="shared" si="2"/>
        <v>28496.748195348435</v>
      </c>
      <c r="H11" s="166">
        <f>G11*NPR!$L$2</f>
        <v>5699.3496390696873</v>
      </c>
      <c r="I11" s="166">
        <f t="shared" si="1"/>
        <v>22797.398556278749</v>
      </c>
      <c r="J11" s="186"/>
      <c r="K11" s="186"/>
      <c r="L11" s="186"/>
      <c r="M11" s="43"/>
      <c r="S11" s="43"/>
    </row>
    <row r="12" spans="2:19" x14ac:dyDescent="0.25">
      <c r="B12" s="175" t="s">
        <v>216</v>
      </c>
      <c r="C12" s="54">
        <f>(Baseline!E8/365*59)+(Baseline!E9/365*306)</f>
        <v>0</v>
      </c>
      <c r="D12" s="166">
        <f>('Total ER'!D8*59/365)+('Total ER'!D9*306/365)</f>
        <v>64945.82415388347</v>
      </c>
      <c r="E12" s="166">
        <f t="shared" si="3"/>
        <v>15656.698515011893</v>
      </c>
      <c r="F12" s="166">
        <f t="shared" si="0"/>
        <v>64945.82415388347</v>
      </c>
      <c r="G12" s="166">
        <f t="shared" si="2"/>
        <v>36449.075958535032</v>
      </c>
      <c r="H12" s="166">
        <f>G12*NPR!$L$2</f>
        <v>7289.8151917070063</v>
      </c>
      <c r="I12" s="166">
        <f t="shared" si="1"/>
        <v>29159.260766828025</v>
      </c>
      <c r="J12" s="186"/>
      <c r="K12" s="186"/>
      <c r="L12" s="186"/>
      <c r="M12" s="43"/>
      <c r="S12" s="43"/>
    </row>
    <row r="13" spans="2:19" x14ac:dyDescent="0.25">
      <c r="B13" s="175" t="s">
        <v>217</v>
      </c>
      <c r="C13" s="54">
        <f>(Baseline!E9/365*59)+(Baseline!E10/365*306)</f>
        <v>0</v>
      </c>
      <c r="D13" s="166">
        <f>('Total ER'!D9*59/365)+('Total ER'!D10*306/365)</f>
        <v>84848.017353567353</v>
      </c>
      <c r="E13" s="166">
        <f t="shared" si="3"/>
        <v>19902.193199683883</v>
      </c>
      <c r="F13" s="166">
        <f t="shared" si="0"/>
        <v>84848.017353567353</v>
      </c>
      <c r="G13" s="166">
        <f t="shared" si="2"/>
        <v>48398.941395032321</v>
      </c>
      <c r="H13" s="166">
        <f>G13*NPR!$L$2</f>
        <v>9679.788279006465</v>
      </c>
      <c r="I13" s="166">
        <f t="shared" si="1"/>
        <v>38719.15311602586</v>
      </c>
      <c r="J13" s="186"/>
      <c r="K13" s="186"/>
      <c r="L13" s="186"/>
      <c r="M13" s="43"/>
      <c r="S13" s="43"/>
    </row>
    <row r="14" spans="2:19" x14ac:dyDescent="0.25">
      <c r="B14" s="175" t="s">
        <v>218</v>
      </c>
      <c r="C14" s="54">
        <f>(Baseline!E10/365*59)+(Baseline!E11/365*306)</f>
        <v>0</v>
      </c>
      <c r="D14" s="166">
        <f>('Total ER'!D10*59/365)+('Total ER'!D11*306/365)</f>
        <v>113208.11191632434</v>
      </c>
      <c r="E14" s="166">
        <f t="shared" si="3"/>
        <v>28360.094562756989</v>
      </c>
      <c r="F14" s="166">
        <f t="shared" si="0"/>
        <v>113208.11191632434</v>
      </c>
      <c r="G14" s="166">
        <f t="shared" si="2"/>
        <v>64809.170521292021</v>
      </c>
      <c r="H14" s="166">
        <f>G14*NPR!$L$2</f>
        <v>12961.834104258405</v>
      </c>
      <c r="I14" s="166">
        <f t="shared" si="1"/>
        <v>51847.336417033614</v>
      </c>
      <c r="J14" s="186"/>
      <c r="K14" s="186"/>
      <c r="L14" s="186"/>
      <c r="M14" s="43"/>
      <c r="S14" s="43"/>
    </row>
    <row r="15" spans="2:19" x14ac:dyDescent="0.25">
      <c r="B15" s="175" t="s">
        <v>219</v>
      </c>
      <c r="C15" s="54">
        <f>(Baseline!E11/365*59)+(Baseline!E12/365*306)</f>
        <v>0</v>
      </c>
      <c r="D15" s="166">
        <f>('Total ER'!D11*59/365)+('Total ER'!D12*306/365)</f>
        <v>152410.88691421534</v>
      </c>
      <c r="E15" s="166">
        <f t="shared" si="3"/>
        <v>39202.774997891</v>
      </c>
      <c r="F15" s="166">
        <f t="shared" si="0"/>
        <v>152410.88691421534</v>
      </c>
      <c r="G15" s="166">
        <f t="shared" si="2"/>
        <v>87601.716392923321</v>
      </c>
      <c r="H15" s="166">
        <f>G15*NPR!$L$2</f>
        <v>17520.343278584663</v>
      </c>
      <c r="I15" s="166">
        <f t="shared" si="1"/>
        <v>70081.373114338654</v>
      </c>
      <c r="J15" s="186"/>
      <c r="K15" s="186"/>
      <c r="L15" s="186"/>
      <c r="M15" s="43"/>
      <c r="S15" s="43"/>
    </row>
    <row r="16" spans="2:19" x14ac:dyDescent="0.25">
      <c r="B16" s="175" t="s">
        <v>220</v>
      </c>
      <c r="C16" s="54">
        <f>(Baseline!E12/365*59)+(Baseline!E13/365*306)</f>
        <v>0</v>
      </c>
      <c r="D16" s="166">
        <f>('Total ER'!D12*59/365)+('Total ER'!D13*306/365)</f>
        <v>204811.25552305626</v>
      </c>
      <c r="E16" s="166">
        <f t="shared" si="3"/>
        <v>52400.368608840916</v>
      </c>
      <c r="F16" s="166">
        <f t="shared" si="0"/>
        <v>204811.25552305626</v>
      </c>
      <c r="G16" s="166">
        <f t="shared" si="2"/>
        <v>117209.53913013294</v>
      </c>
      <c r="H16" s="166">
        <f>G16*NPR!$L$2</f>
        <v>23441.907826026589</v>
      </c>
      <c r="I16" s="166">
        <f t="shared" si="1"/>
        <v>93767.631304106355</v>
      </c>
      <c r="J16" s="186"/>
      <c r="K16" s="186"/>
      <c r="L16" s="186"/>
      <c r="M16" s="43"/>
      <c r="S16" s="43"/>
    </row>
    <row r="17" spans="2:19" x14ac:dyDescent="0.25">
      <c r="B17" s="175" t="s">
        <v>221</v>
      </c>
      <c r="C17" s="54">
        <f>(Baseline!E13/365*59)+(Baseline!E14/365*306)</f>
        <v>0</v>
      </c>
      <c r="D17" s="166">
        <f>('Total ER'!D13*59/365)+('Total ER'!D14*306/365)</f>
        <v>269652.49309576408</v>
      </c>
      <c r="E17" s="166">
        <f t="shared" si="3"/>
        <v>64841.237572707818</v>
      </c>
      <c r="F17" s="166">
        <f t="shared" si="0"/>
        <v>269652.49309576408</v>
      </c>
      <c r="G17" s="166">
        <f t="shared" si="2"/>
        <v>152442.95396563114</v>
      </c>
      <c r="H17" s="166">
        <f>G17*NPR!$L$2</f>
        <v>30488.59079312623</v>
      </c>
      <c r="I17" s="166">
        <f t="shared" si="1"/>
        <v>121954.36317250491</v>
      </c>
      <c r="J17" s="186"/>
      <c r="K17" s="186"/>
      <c r="L17" s="186"/>
      <c r="M17" s="43"/>
      <c r="S17" s="43"/>
    </row>
    <row r="18" spans="2:19" x14ac:dyDescent="0.25">
      <c r="B18" s="175" t="s">
        <v>222</v>
      </c>
      <c r="C18" s="54">
        <f>(Baseline!E14/365*59)+(Baseline!E15/365*306)</f>
        <v>0</v>
      </c>
      <c r="D18" s="166">
        <f>('Total ER'!D14*59/365)+('Total ER'!D15*306/365)</f>
        <v>340091.82613046415</v>
      </c>
      <c r="E18" s="166">
        <f t="shared" si="3"/>
        <v>70439.333034700074</v>
      </c>
      <c r="F18" s="166">
        <f t="shared" si="0"/>
        <v>340091.82613046415</v>
      </c>
      <c r="G18" s="166">
        <f>F18-G17</f>
        <v>187648.87216483301</v>
      </c>
      <c r="H18" s="166">
        <f>G18*NPR!$L$2</f>
        <v>37529.774432966602</v>
      </c>
      <c r="I18" s="166">
        <f t="shared" si="1"/>
        <v>150119.09773186641</v>
      </c>
      <c r="J18" s="186"/>
      <c r="K18" s="186"/>
      <c r="L18" s="186"/>
      <c r="M18" s="43"/>
      <c r="S18" s="43"/>
    </row>
    <row r="19" spans="2:19" x14ac:dyDescent="0.25">
      <c r="B19" s="175" t="s">
        <v>223</v>
      </c>
      <c r="C19" s="54">
        <f>(Baseline!E15/365*59)+(Baseline!E16/365*306)</f>
        <v>0</v>
      </c>
      <c r="D19" s="166">
        <f>('Total ER'!D15*59/365)+('Total ER'!D16*306/365)</f>
        <v>411520.5772800952</v>
      </c>
      <c r="E19" s="166">
        <f t="shared" si="3"/>
        <v>71428.751149631047</v>
      </c>
      <c r="F19" s="166">
        <f t="shared" si="0"/>
        <v>411520.5772800952</v>
      </c>
      <c r="G19" s="166">
        <f>F43-SUM(G6:G18)</f>
        <v>11819.026098378468</v>
      </c>
      <c r="H19" s="166">
        <f>G19*NPR!$L$2</f>
        <v>2363.8052196756939</v>
      </c>
      <c r="I19" s="166">
        <f t="shared" si="1"/>
        <v>9455.2208787027739</v>
      </c>
      <c r="J19" s="186"/>
      <c r="K19" s="186"/>
      <c r="L19" s="186"/>
      <c r="M19" s="43"/>
      <c r="S19" s="43"/>
    </row>
    <row r="20" spans="2:19" x14ac:dyDescent="0.25">
      <c r="B20" s="175" t="s">
        <v>224</v>
      </c>
      <c r="C20" s="54">
        <f>(Baseline!E16/365*59)+(Baseline!E17/365*306)</f>
        <v>0</v>
      </c>
      <c r="D20" s="166">
        <f>('Total ER'!D16*59/365)+('Total ER'!D17*306/365)</f>
        <v>481702.47742883035</v>
      </c>
      <c r="E20" s="166">
        <f t="shared" si="3"/>
        <v>70181.900148735149</v>
      </c>
      <c r="F20" s="166">
        <f t="shared" si="0"/>
        <v>481702.47742883035</v>
      </c>
      <c r="G20" s="166">
        <v>0</v>
      </c>
      <c r="H20" s="166">
        <f>G20*NPR!$L$2</f>
        <v>0</v>
      </c>
      <c r="I20" s="166">
        <f t="shared" si="1"/>
        <v>0</v>
      </c>
      <c r="J20" s="186"/>
      <c r="K20" s="186"/>
      <c r="L20" s="186"/>
      <c r="M20" s="43"/>
      <c r="S20" s="43"/>
    </row>
    <row r="21" spans="2:19" x14ac:dyDescent="0.25">
      <c r="B21" s="175" t="s">
        <v>225</v>
      </c>
      <c r="C21" s="54">
        <f>(Baseline!E17/365*59)+(Baseline!E18/365*306)</f>
        <v>0</v>
      </c>
      <c r="D21" s="166">
        <f>('Total ER'!D17*59/365)+('Total ER'!D18*306/365)</f>
        <v>545664.63906115817</v>
      </c>
      <c r="E21" s="166">
        <f t="shared" si="3"/>
        <v>63962.161632327829</v>
      </c>
      <c r="F21" s="166">
        <f t="shared" si="0"/>
        <v>545664.63906115817</v>
      </c>
      <c r="G21" s="166">
        <v>0</v>
      </c>
      <c r="H21" s="166">
        <f>G21*NPR!$L$2</f>
        <v>0</v>
      </c>
      <c r="I21" s="166">
        <f t="shared" si="1"/>
        <v>0</v>
      </c>
      <c r="J21" s="186"/>
      <c r="K21" s="186"/>
      <c r="L21" s="186"/>
      <c r="M21" s="43"/>
      <c r="S21" s="43"/>
    </row>
    <row r="22" spans="2:19" x14ac:dyDescent="0.25">
      <c r="B22" s="175" t="s">
        <v>226</v>
      </c>
      <c r="C22" s="54">
        <f>(Baseline!E18/365*59)+(Baseline!E19/365*306)</f>
        <v>0</v>
      </c>
      <c r="D22" s="166">
        <f>('Total ER'!D18*59/365)+('Total ER'!D19*306/365)</f>
        <v>595229.87894914695</v>
      </c>
      <c r="E22" s="166">
        <f t="shared" si="3"/>
        <v>49565.239887988777</v>
      </c>
      <c r="F22" s="166">
        <f t="shared" si="0"/>
        <v>595229.87894914695</v>
      </c>
      <c r="G22" s="166">
        <v>0</v>
      </c>
      <c r="H22" s="166">
        <f>G22*NPR!$L$2</f>
        <v>0</v>
      </c>
      <c r="I22" s="166">
        <f t="shared" si="1"/>
        <v>0</v>
      </c>
      <c r="J22" s="186"/>
      <c r="K22" s="186"/>
      <c r="L22" s="186"/>
      <c r="M22" s="43"/>
      <c r="S22" s="43"/>
    </row>
    <row r="23" spans="2:19" x14ac:dyDescent="0.25">
      <c r="B23" s="175" t="s">
        <v>227</v>
      </c>
      <c r="C23" s="54">
        <f>(Baseline!E19/365*59)+(Baseline!E20/365*306)</f>
        <v>0</v>
      </c>
      <c r="D23" s="166">
        <f>('Total ER'!D19*59/365)+('Total ER'!D20*306/365)</f>
        <v>648462.62616942346</v>
      </c>
      <c r="E23" s="166">
        <f t="shared" si="3"/>
        <v>53232.747220276506</v>
      </c>
      <c r="F23" s="166">
        <f t="shared" si="0"/>
        <v>648462.62616942346</v>
      </c>
      <c r="G23" s="166">
        <v>0</v>
      </c>
      <c r="H23" s="166">
        <f>G23*NPR!$L$2</f>
        <v>0</v>
      </c>
      <c r="I23" s="166">
        <f t="shared" si="1"/>
        <v>0</v>
      </c>
      <c r="J23" s="186"/>
      <c r="K23" s="186"/>
      <c r="L23" s="186"/>
      <c r="M23" s="43"/>
      <c r="S23" s="43"/>
    </row>
    <row r="24" spans="2:19" x14ac:dyDescent="0.25">
      <c r="B24" s="175" t="s">
        <v>228</v>
      </c>
      <c r="C24" s="54">
        <f>(Baseline!E20/365*59)+(Baseline!E21/365*306)</f>
        <v>0</v>
      </c>
      <c r="D24" s="166">
        <f>('Total ER'!D20*59/365)+('Total ER'!D21*306/365)</f>
        <v>696143.08306206274</v>
      </c>
      <c r="E24" s="166">
        <f t="shared" si="3"/>
        <v>47680.456892639282</v>
      </c>
      <c r="F24" s="166">
        <f t="shared" si="0"/>
        <v>696143.08306206274</v>
      </c>
      <c r="G24" s="166">
        <v>0</v>
      </c>
      <c r="H24" s="166">
        <f>G24*NPR!$L$2</f>
        <v>0</v>
      </c>
      <c r="I24" s="166">
        <f t="shared" si="1"/>
        <v>0</v>
      </c>
      <c r="J24" s="186"/>
      <c r="K24" s="186"/>
      <c r="L24" s="186"/>
      <c r="M24" s="43"/>
      <c r="S24" s="43"/>
    </row>
    <row r="25" spans="2:19" x14ac:dyDescent="0.25">
      <c r="B25" s="175" t="s">
        <v>229</v>
      </c>
      <c r="C25" s="54">
        <f>(Baseline!E21/365*59)+(Baseline!E22/365*306)</f>
        <v>0</v>
      </c>
      <c r="D25" s="166">
        <f>('Total ER'!D21*59/365)+('Total ER'!D22*306/365)</f>
        <v>745567.91867342487</v>
      </c>
      <c r="E25" s="166">
        <f t="shared" si="3"/>
        <v>49424.835611362127</v>
      </c>
      <c r="F25" s="166">
        <f t="shared" si="0"/>
        <v>745567.91867342487</v>
      </c>
      <c r="G25" s="166">
        <v>0</v>
      </c>
      <c r="H25" s="166">
        <f>G25*NPR!$L$2</f>
        <v>0</v>
      </c>
      <c r="I25" s="166">
        <f t="shared" si="1"/>
        <v>0</v>
      </c>
      <c r="J25" s="186"/>
      <c r="K25" s="186"/>
      <c r="L25" s="186"/>
      <c r="M25" s="43"/>
      <c r="S25" s="43"/>
    </row>
    <row r="26" spans="2:19" x14ac:dyDescent="0.25">
      <c r="B26" s="175" t="s">
        <v>230</v>
      </c>
      <c r="C26" s="54">
        <f>(Baseline!E22/365*59)+(Baseline!E23/365*306)</f>
        <v>0</v>
      </c>
      <c r="D26" s="166">
        <f>('Total ER'!D22*59/365)+('Total ER'!D23*306/365)</f>
        <v>812969.74532133888</v>
      </c>
      <c r="E26" s="166">
        <f t="shared" si="3"/>
        <v>67401.826647914015</v>
      </c>
      <c r="F26" s="166">
        <f t="shared" si="0"/>
        <v>812969.74532133888</v>
      </c>
      <c r="G26" s="166">
        <v>0</v>
      </c>
      <c r="H26" s="166">
        <f>G26*NPR!$L$2</f>
        <v>0</v>
      </c>
      <c r="I26" s="166">
        <f t="shared" si="1"/>
        <v>0</v>
      </c>
      <c r="J26" s="186"/>
      <c r="K26" s="186"/>
      <c r="L26" s="186"/>
      <c r="M26" s="43"/>
      <c r="S26" s="43"/>
    </row>
    <row r="27" spans="2:19" x14ac:dyDescent="0.25">
      <c r="B27" s="175" t="s">
        <v>231</v>
      </c>
      <c r="C27" s="54">
        <f>(Baseline!E23/365*59)+(Baseline!E24/365*306)</f>
        <v>0</v>
      </c>
      <c r="D27" s="166">
        <f>('Total ER'!D23*59/365)+('Total ER'!D24*306/365)</f>
        <v>884148.81320244411</v>
      </c>
      <c r="E27" s="166">
        <f t="shared" si="3"/>
        <v>71179.067881105235</v>
      </c>
      <c r="F27" s="166">
        <f t="shared" si="0"/>
        <v>884148.81320244411</v>
      </c>
      <c r="G27" s="166">
        <v>0</v>
      </c>
      <c r="H27" s="166">
        <f>G27*NPR!$L$2</f>
        <v>0</v>
      </c>
      <c r="I27" s="166">
        <f t="shared" si="1"/>
        <v>0</v>
      </c>
      <c r="J27" s="186"/>
      <c r="K27" s="186"/>
      <c r="L27" s="186"/>
      <c r="M27" s="43"/>
      <c r="S27" s="43"/>
    </row>
    <row r="28" spans="2:19" x14ac:dyDescent="0.25">
      <c r="B28" s="175" t="s">
        <v>232</v>
      </c>
      <c r="C28" s="54">
        <f>(Baseline!E24/365*59)+(Baseline!E25/365*306)</f>
        <v>0</v>
      </c>
      <c r="D28" s="166">
        <f>('Total ER'!D24*59/365)+('Total ER'!D25*306/365)</f>
        <v>955920.17305088753</v>
      </c>
      <c r="E28" s="166">
        <f t="shared" si="3"/>
        <v>71771.359848443419</v>
      </c>
      <c r="F28" s="166">
        <f t="shared" si="0"/>
        <v>955920.17305088753</v>
      </c>
      <c r="G28" s="166">
        <v>0</v>
      </c>
      <c r="H28" s="166">
        <f>G28*NPR!$L$2</f>
        <v>0</v>
      </c>
      <c r="I28" s="166">
        <f t="shared" si="1"/>
        <v>0</v>
      </c>
      <c r="J28" s="186"/>
      <c r="K28" s="186"/>
      <c r="L28" s="186"/>
      <c r="M28" s="43"/>
      <c r="S28" s="43"/>
    </row>
    <row r="29" spans="2:19" x14ac:dyDescent="0.25">
      <c r="B29" s="175" t="s">
        <v>233</v>
      </c>
      <c r="C29" s="54">
        <f>(Baseline!E25/365*59)+(Baseline!E26/365*306)</f>
        <v>0</v>
      </c>
      <c r="D29" s="166">
        <f>('Total ER'!D25*59/365)+('Total ER'!D26*306/365)</f>
        <v>1029392.8058444698</v>
      </c>
      <c r="E29" s="166">
        <f t="shared" si="3"/>
        <v>73472.632793582277</v>
      </c>
      <c r="F29" s="166">
        <f t="shared" si="0"/>
        <v>1029392.8058444698</v>
      </c>
      <c r="G29" s="166">
        <v>0</v>
      </c>
      <c r="H29" s="166">
        <f>G29*NPR!$L$2</f>
        <v>0</v>
      </c>
      <c r="I29" s="166">
        <f t="shared" si="1"/>
        <v>0</v>
      </c>
      <c r="J29" s="186"/>
      <c r="K29" s="186"/>
      <c r="L29" s="186"/>
      <c r="M29" s="43"/>
      <c r="S29" s="43"/>
    </row>
    <row r="30" spans="2:19" x14ac:dyDescent="0.25">
      <c r="B30" s="175" t="s">
        <v>234</v>
      </c>
      <c r="C30" s="54">
        <f>(Baseline!E26/365*59)+(Baseline!E27/365*306)</f>
        <v>0</v>
      </c>
      <c r="D30" s="166">
        <f>('Total ER'!D26*59/365)+('Total ER'!D27*306/365)</f>
        <v>1104585.2654930095</v>
      </c>
      <c r="E30" s="166">
        <f t="shared" si="3"/>
        <v>75192.459648539661</v>
      </c>
      <c r="F30" s="166">
        <f t="shared" si="0"/>
        <v>1104585.2654930095</v>
      </c>
      <c r="G30" s="166">
        <v>0</v>
      </c>
      <c r="H30" s="166">
        <f>G30*NPR!$L$2</f>
        <v>0</v>
      </c>
      <c r="I30" s="166">
        <f t="shared" si="1"/>
        <v>0</v>
      </c>
      <c r="J30" s="186"/>
      <c r="K30" s="186"/>
      <c r="L30" s="186"/>
      <c r="M30" s="43"/>
      <c r="S30" s="43"/>
    </row>
    <row r="31" spans="2:19" x14ac:dyDescent="0.25">
      <c r="B31" s="175" t="s">
        <v>235</v>
      </c>
      <c r="C31" s="54">
        <f>(Baseline!E27/365*59)+(Baseline!E28/365*306)</f>
        <v>0</v>
      </c>
      <c r="D31" s="166">
        <f>('Total ER'!D27*59/365)+('Total ER'!D28*306/365)</f>
        <v>1181647.3264067043</v>
      </c>
      <c r="E31" s="166">
        <f t="shared" si="3"/>
        <v>77062.06091369479</v>
      </c>
      <c r="F31" s="166">
        <f t="shared" si="0"/>
        <v>1181647.3264067043</v>
      </c>
      <c r="G31" s="166">
        <v>0</v>
      </c>
      <c r="H31" s="166">
        <f>G31*NPR!$L$2</f>
        <v>0</v>
      </c>
      <c r="I31" s="166">
        <f t="shared" si="1"/>
        <v>0</v>
      </c>
      <c r="J31" s="186"/>
      <c r="K31" s="186"/>
      <c r="L31" s="186"/>
      <c r="M31" s="43"/>
      <c r="S31" s="43"/>
    </row>
    <row r="32" spans="2:19" x14ac:dyDescent="0.25">
      <c r="B32" s="175" t="s">
        <v>236</v>
      </c>
      <c r="C32" s="54">
        <f>(Baseline!E28/365*59)+(Baseline!E29/365*306)</f>
        <v>0</v>
      </c>
      <c r="D32" s="166">
        <f>('Total ER'!D28*59/365)+('Total ER'!D29*306/365)</f>
        <v>1259634.4749560149</v>
      </c>
      <c r="E32" s="166">
        <f t="shared" si="3"/>
        <v>77987.14854931063</v>
      </c>
      <c r="F32" s="166">
        <f t="shared" si="0"/>
        <v>1259634.4749560149</v>
      </c>
      <c r="G32" s="166">
        <v>0</v>
      </c>
      <c r="H32" s="166">
        <f>G32*NPR!$L$2</f>
        <v>0</v>
      </c>
      <c r="I32" s="166">
        <f t="shared" si="1"/>
        <v>0</v>
      </c>
      <c r="J32" s="186"/>
      <c r="K32" s="186"/>
      <c r="L32" s="186"/>
      <c r="M32" s="43"/>
      <c r="S32" s="43"/>
    </row>
    <row r="33" spans="2:10" x14ac:dyDescent="0.25">
      <c r="B33" s="175" t="s">
        <v>237</v>
      </c>
      <c r="C33" s="54">
        <f>(Baseline!E29/365*59)+(Baseline!E30/365*306)</f>
        <v>0</v>
      </c>
      <c r="D33" s="166">
        <f>('Total ER'!D29*59/365)+('Total ER'!D30*306/365)</f>
        <v>1337965.1757820395</v>
      </c>
      <c r="E33" s="166">
        <f t="shared" si="3"/>
        <v>78330.700826024637</v>
      </c>
      <c r="F33" s="166">
        <f t="shared" si="0"/>
        <v>1337965.1757820395</v>
      </c>
      <c r="G33" s="166">
        <v>0</v>
      </c>
      <c r="H33" s="166">
        <f>G33*NPR!$L$2</f>
        <v>0</v>
      </c>
      <c r="I33" s="166">
        <f t="shared" si="1"/>
        <v>0</v>
      </c>
    </row>
    <row r="34" spans="2:10" x14ac:dyDescent="0.25">
      <c r="B34" s="175" t="s">
        <v>238</v>
      </c>
      <c r="C34" s="54">
        <f>(Baseline!E30/365*59)+(Baseline!E31/365*306)</f>
        <v>0</v>
      </c>
      <c r="D34" s="166">
        <f>('Total ER'!D30*59/365)+('Total ER'!D31*306/365)</f>
        <v>1416562.5862966734</v>
      </c>
      <c r="E34" s="166">
        <f t="shared" si="3"/>
        <v>78597.41051463387</v>
      </c>
      <c r="F34" s="166">
        <f t="shared" si="0"/>
        <v>1416562.5862966734</v>
      </c>
      <c r="G34" s="166">
        <v>0</v>
      </c>
      <c r="H34" s="166">
        <f>G34*NPR!$L$2</f>
        <v>0</v>
      </c>
      <c r="I34" s="166">
        <f t="shared" si="1"/>
        <v>0</v>
      </c>
    </row>
    <row r="35" spans="2:10" x14ac:dyDescent="0.25">
      <c r="B35" s="175" t="s">
        <v>239</v>
      </c>
      <c r="C35" s="54">
        <f>(Baseline!E31/365*59)+(Baseline!E32/365*306)</f>
        <v>0</v>
      </c>
      <c r="D35" s="166">
        <f>('Total ER'!D31*59/365)+('Total ER'!D32*306/365)</f>
        <v>1495556.9122222534</v>
      </c>
      <c r="E35" s="166">
        <f t="shared" si="3"/>
        <v>78994.325925579993</v>
      </c>
      <c r="F35" s="166">
        <f t="shared" si="0"/>
        <v>1495556.9122222534</v>
      </c>
      <c r="G35" s="166">
        <v>0</v>
      </c>
      <c r="H35" s="166">
        <f>G35*NPR!$L$2</f>
        <v>0</v>
      </c>
      <c r="I35" s="166">
        <f t="shared" si="1"/>
        <v>0</v>
      </c>
    </row>
    <row r="36" spans="2:10" x14ac:dyDescent="0.25">
      <c r="B36" s="175" t="s">
        <v>254</v>
      </c>
      <c r="C36" s="54">
        <f>(Baseline!E32/365*59)+(Baseline!E33/365*306)</f>
        <v>0</v>
      </c>
      <c r="D36" s="166">
        <f>('Total ER'!D32*59/365)+('Total ER'!D33*306/365)</f>
        <v>1571945.7904568915</v>
      </c>
      <c r="E36" s="166">
        <f t="shared" si="3"/>
        <v>76388.878234638134</v>
      </c>
      <c r="F36" s="166">
        <f t="shared" si="0"/>
        <v>1571945.7904568915</v>
      </c>
      <c r="G36" s="166">
        <v>0</v>
      </c>
      <c r="H36" s="166">
        <f>G36*NPR!$L$2</f>
        <v>0</v>
      </c>
      <c r="I36" s="166">
        <f t="shared" si="1"/>
        <v>0</v>
      </c>
    </row>
    <row r="37" spans="2:10" x14ac:dyDescent="0.25">
      <c r="B37" s="175" t="s">
        <v>255</v>
      </c>
      <c r="C37" s="54">
        <f>(Baseline!E33/365*59)+(Baseline!E34/365*306)</f>
        <v>0</v>
      </c>
      <c r="D37" s="166">
        <f>('Total ER'!D33*59/365)+('Total ER'!D34*306/365)</f>
        <v>1641042.7043240678</v>
      </c>
      <c r="E37" s="166">
        <f t="shared" si="3"/>
        <v>69096.913867176278</v>
      </c>
      <c r="F37" s="166">
        <f t="shared" si="0"/>
        <v>1641042.7043240678</v>
      </c>
      <c r="G37" s="166">
        <v>0</v>
      </c>
      <c r="H37" s="166">
        <f>G37*NPR!$L$2</f>
        <v>0</v>
      </c>
      <c r="I37" s="166">
        <f t="shared" si="1"/>
        <v>0</v>
      </c>
    </row>
    <row r="38" spans="2:10" x14ac:dyDescent="0.25">
      <c r="B38" s="175" t="s">
        <v>256</v>
      </c>
      <c r="C38" s="54">
        <f>(Baseline!E34/365*59)+(Baseline!E35/365*306)</f>
        <v>0</v>
      </c>
      <c r="D38" s="166">
        <f>('Total ER'!D34*59/365)+('Total ER'!D35*306/365)</f>
        <v>1714880.9900112287</v>
      </c>
      <c r="E38" s="166">
        <f t="shared" si="3"/>
        <v>73838.285687160911</v>
      </c>
      <c r="F38" s="166">
        <f t="shared" si="0"/>
        <v>1714880.9900112287</v>
      </c>
      <c r="G38" s="166">
        <v>0</v>
      </c>
      <c r="H38" s="166">
        <f>G38*NPR!$L$2</f>
        <v>0</v>
      </c>
      <c r="I38" s="166">
        <f t="shared" si="1"/>
        <v>0</v>
      </c>
    </row>
    <row r="39" spans="2:10" x14ac:dyDescent="0.25">
      <c r="B39" s="175" t="s">
        <v>257</v>
      </c>
      <c r="C39" s="54">
        <f>(Baseline!E35/365*59)+(Baseline!E36/365*306)</f>
        <v>0</v>
      </c>
      <c r="D39" s="166">
        <f>('Total ER'!D35*59/365)+('Total ER'!D36*306/365)</f>
        <v>1782968.4221364791</v>
      </c>
      <c r="E39" s="166">
        <f t="shared" si="3"/>
        <v>68087.432125250343</v>
      </c>
      <c r="F39" s="166">
        <f t="shared" si="0"/>
        <v>1782968.4221364791</v>
      </c>
      <c r="G39" s="166">
        <v>0</v>
      </c>
      <c r="H39" s="166">
        <f>G39*NPR!$L$2</f>
        <v>0</v>
      </c>
      <c r="I39" s="166">
        <f t="shared" si="1"/>
        <v>0</v>
      </c>
    </row>
    <row r="40" spans="2:10" x14ac:dyDescent="0.25">
      <c r="B40" s="175" t="s">
        <v>258</v>
      </c>
      <c r="C40" s="54">
        <f>(Baseline!E36/365*59)+(Baseline!E37/365*306)</f>
        <v>0</v>
      </c>
      <c r="D40" s="166">
        <f>('Total ER'!D36*59/365)+('Total ER'!D37*306/365)</f>
        <v>1850553.5010890046</v>
      </c>
      <c r="E40" s="166">
        <f t="shared" si="3"/>
        <v>67585.07895252551</v>
      </c>
      <c r="F40" s="166">
        <f t="shared" si="0"/>
        <v>1850553.5010890046</v>
      </c>
      <c r="G40" s="166">
        <v>0</v>
      </c>
      <c r="H40" s="166">
        <f>G40*NPR!$L$2</f>
        <v>0</v>
      </c>
      <c r="I40" s="166">
        <f t="shared" si="1"/>
        <v>0</v>
      </c>
    </row>
    <row r="41" spans="2:10" x14ac:dyDescent="0.25">
      <c r="B41" s="175" t="s">
        <v>259</v>
      </c>
      <c r="C41" s="54">
        <f>(Baseline!E37/365*59)</f>
        <v>0</v>
      </c>
      <c r="D41" s="166">
        <f>D40+('Total ER'!C37*59/365)</f>
        <v>1861504.1215771567</v>
      </c>
      <c r="E41" s="166">
        <f t="shared" si="3"/>
        <v>10950.620488152141</v>
      </c>
      <c r="F41" s="166">
        <f t="shared" si="0"/>
        <v>1861504.1215771567</v>
      </c>
      <c r="G41" s="166">
        <v>0</v>
      </c>
      <c r="H41" s="166">
        <f>G41*NPR!$L$2</f>
        <v>0</v>
      </c>
      <c r="I41" s="166">
        <f t="shared" si="1"/>
        <v>0</v>
      </c>
    </row>
    <row r="42" spans="2:10" s="49" customFormat="1" x14ac:dyDescent="0.25">
      <c r="B42" s="187"/>
      <c r="C42" s="188"/>
      <c r="D42" s="188"/>
      <c r="E42" s="188" t="s">
        <v>50</v>
      </c>
      <c r="F42" s="189">
        <f>SUM(F6:F41)</f>
        <v>27378785.089550376</v>
      </c>
      <c r="G42" s="190"/>
      <c r="H42" s="190"/>
      <c r="I42" s="190"/>
      <c r="J42" s="191"/>
    </row>
    <row r="43" spans="2:10" s="49" customFormat="1" x14ac:dyDescent="0.25">
      <c r="B43" s="187"/>
      <c r="C43" s="188"/>
      <c r="D43" s="188"/>
      <c r="E43" s="188" t="s">
        <v>260</v>
      </c>
      <c r="F43" s="189">
        <f>F42/35</f>
        <v>782251.00255858211</v>
      </c>
      <c r="G43" s="190"/>
      <c r="H43" s="190"/>
      <c r="I43" s="190"/>
      <c r="J43" s="191"/>
    </row>
  </sheetData>
  <mergeCells count="6">
    <mergeCell ref="K1:L1"/>
    <mergeCell ref="B3:B5"/>
    <mergeCell ref="F4:F5"/>
    <mergeCell ref="G4:G5"/>
    <mergeCell ref="H4:H5"/>
    <mergeCell ref="I4:I5"/>
  </mergeCells>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C879C-D18A-4C9A-A082-A79D612BDE05}">
  <dimension ref="B3:DF50"/>
  <sheetViews>
    <sheetView topLeftCell="A25" zoomScale="79" zoomScaleNormal="98" workbookViewId="0">
      <selection activeCell="BT34" sqref="BT34"/>
    </sheetView>
  </sheetViews>
  <sheetFormatPr defaultColWidth="9.140625" defaultRowHeight="14.25" x14ac:dyDescent="0.25"/>
  <cols>
    <col min="1" max="1" width="9.140625" style="45"/>
    <col min="2" max="2" width="9.28515625" style="45" bestFit="1" customWidth="1"/>
    <col min="3" max="3" width="13.5703125" style="45" bestFit="1" customWidth="1"/>
    <col min="4" max="4" width="15.85546875" style="45" bestFit="1" customWidth="1"/>
    <col min="5" max="6" width="12.42578125" style="45" bestFit="1" customWidth="1"/>
    <col min="7" max="7" width="14.28515625" style="45" bestFit="1" customWidth="1"/>
    <col min="8" max="10" width="12.42578125" style="45" bestFit="1" customWidth="1"/>
    <col min="11" max="11" width="14.28515625" style="45" bestFit="1" customWidth="1"/>
    <col min="12" max="12" width="12.42578125" style="45" bestFit="1" customWidth="1"/>
    <col min="13" max="13" width="14.28515625" style="45" bestFit="1" customWidth="1"/>
    <col min="14" max="14" width="12.42578125" style="45" bestFit="1" customWidth="1"/>
    <col min="15" max="16" width="14.28515625" style="45" bestFit="1" customWidth="1"/>
    <col min="17" max="20" width="12.42578125" style="45" bestFit="1" customWidth="1"/>
    <col min="21" max="23" width="9.28515625" style="45" bestFit="1" customWidth="1"/>
    <col min="24" max="24" width="9.140625" style="45"/>
    <col min="25" max="25" width="29.42578125" style="45" bestFit="1" customWidth="1"/>
    <col min="26" max="26" width="11.7109375" style="45" customWidth="1"/>
    <col min="27" max="27" width="18.42578125" style="45" bestFit="1" customWidth="1"/>
    <col min="28" max="28" width="15.7109375" style="45" customWidth="1"/>
    <col min="29" max="29" width="21.28515625" style="45" customWidth="1"/>
    <col min="30" max="30" width="30.5703125" style="45" customWidth="1"/>
    <col min="31" max="31" width="17.140625" style="45" customWidth="1"/>
    <col min="32" max="32" width="8.7109375" style="45" customWidth="1"/>
    <col min="33" max="33" width="14.140625" style="45" bestFit="1" customWidth="1"/>
    <col min="34" max="34" width="10" style="45" bestFit="1" customWidth="1"/>
    <col min="35" max="35" width="9.42578125" style="45" bestFit="1" customWidth="1"/>
    <col min="36" max="36" width="9.28515625" style="45" customWidth="1"/>
    <col min="37" max="39" width="9" style="45" bestFit="1" customWidth="1"/>
    <col min="40" max="44" width="8.85546875" style="45" customWidth="1"/>
    <col min="45" max="45" width="9.140625" style="45"/>
    <col min="46" max="56" width="9.28515625" style="45" bestFit="1" customWidth="1"/>
    <col min="57" max="57" width="9.140625" style="45"/>
    <col min="58" max="58" width="10.5703125" style="45" bestFit="1" customWidth="1"/>
    <col min="59" max="68" width="9.28515625" style="45" bestFit="1" customWidth="1"/>
    <col min="69" max="69" width="9.140625" style="45"/>
    <col min="70" max="70" width="10.5703125" style="45" bestFit="1" customWidth="1"/>
    <col min="71" max="71" width="10" style="45" bestFit="1" customWidth="1"/>
    <col min="72" max="75" width="9.28515625" style="45" bestFit="1" customWidth="1"/>
    <col min="76" max="80" width="9.42578125" style="45" bestFit="1" customWidth="1"/>
    <col min="81" max="81" width="16" style="45" customWidth="1"/>
    <col min="82" max="82" width="9.140625" style="45"/>
    <col min="83" max="93" width="9.28515625" style="45" bestFit="1" customWidth="1"/>
    <col min="94" max="94" width="10.5703125" style="45" customWidth="1"/>
    <col min="95" max="95" width="9.140625" style="45"/>
    <col min="96" max="106" width="9.28515625" style="45" bestFit="1" customWidth="1"/>
    <col min="107" max="107" width="12.42578125" style="45" customWidth="1"/>
    <col min="108" max="108" width="9.140625" style="45"/>
    <col min="109" max="109" width="19.85546875" style="45" bestFit="1" customWidth="1"/>
    <col min="110" max="110" width="21.5703125" style="45" customWidth="1"/>
    <col min="111" max="16384" width="9.140625" style="45"/>
  </cols>
  <sheetData>
    <row r="3" spans="2:110" ht="15" customHeight="1" x14ac:dyDescent="0.25">
      <c r="AC3" s="218" t="s">
        <v>61</v>
      </c>
      <c r="AD3" s="219"/>
      <c r="AE3" s="219"/>
      <c r="AF3" s="219"/>
      <c r="AG3" s="219"/>
      <c r="AH3" s="219"/>
    </row>
    <row r="4" spans="2:110" ht="15.75" x14ac:dyDescent="0.3">
      <c r="AC4" s="57" t="s">
        <v>62</v>
      </c>
      <c r="AD4" s="58" t="str">
        <f>'General Information'!$C$3</f>
        <v xml:space="preserve">Mango </v>
      </c>
      <c r="AE4" s="57" t="s">
        <v>63</v>
      </c>
      <c r="AF4" s="58">
        <f>'General Information'!$G$3</f>
        <v>0.25</v>
      </c>
      <c r="AG4" s="57" t="s">
        <v>64</v>
      </c>
      <c r="AH4" s="58">
        <v>3.67</v>
      </c>
    </row>
    <row r="5" spans="2:110" x14ac:dyDescent="0.25">
      <c r="AC5" s="57" t="s">
        <v>65</v>
      </c>
      <c r="AD5" s="59" t="str">
        <f>'General Information'!$D$3</f>
        <v>Mangifera indica</v>
      </c>
      <c r="AE5" s="57" t="s">
        <v>66</v>
      </c>
      <c r="AF5" s="60">
        <f>'General Information'!$I$3</f>
        <v>0.01</v>
      </c>
      <c r="AG5" s="57"/>
      <c r="AH5" s="57"/>
    </row>
    <row r="6" spans="2:110" x14ac:dyDescent="0.25">
      <c r="AC6" s="57" t="s">
        <v>67</v>
      </c>
      <c r="AD6" s="58" t="str">
        <f>'General Information'!$E$3</f>
        <v>Y=0.20*Collar Diameter^1.85</v>
      </c>
      <c r="AE6" s="57" t="s">
        <v>8</v>
      </c>
      <c r="AF6" s="58">
        <f>'General Information'!$J$3</f>
        <v>0.37</v>
      </c>
      <c r="AG6" s="57"/>
      <c r="AH6" s="57"/>
    </row>
    <row r="7" spans="2:110" x14ac:dyDescent="0.25">
      <c r="AC7" s="57" t="s">
        <v>21</v>
      </c>
      <c r="AD7" s="58">
        <f>'General Information'!$H$3</f>
        <v>0.47</v>
      </c>
      <c r="AE7" s="57" t="s">
        <v>68</v>
      </c>
      <c r="AF7" s="60">
        <f>'General Information'!$K$3</f>
        <v>0.01</v>
      </c>
      <c r="AG7" s="57"/>
      <c r="AH7" s="57"/>
    </row>
    <row r="10" spans="2:110" ht="15.75" customHeight="1" x14ac:dyDescent="0.25">
      <c r="Y10" s="220" t="s">
        <v>69</v>
      </c>
      <c r="Z10" s="220"/>
      <c r="AA10" s="220"/>
      <c r="AB10" s="220"/>
      <c r="AC10" s="220"/>
      <c r="AD10" s="220"/>
      <c r="AE10" s="19"/>
      <c r="AF10" s="19"/>
    </row>
    <row r="11" spans="2:110" ht="15.75" customHeight="1" x14ac:dyDescent="0.25">
      <c r="B11" s="224" t="s">
        <v>30</v>
      </c>
      <c r="C11" s="63" t="s">
        <v>31</v>
      </c>
      <c r="D11" s="63" t="s">
        <v>32</v>
      </c>
      <c r="E11" s="63" t="s">
        <v>33</v>
      </c>
      <c r="F11" s="63" t="s">
        <v>34</v>
      </c>
      <c r="G11" s="63" t="s">
        <v>35</v>
      </c>
      <c r="H11" s="63" t="s">
        <v>36</v>
      </c>
      <c r="I11" s="63" t="s">
        <v>37</v>
      </c>
      <c r="J11" s="63" t="s">
        <v>38</v>
      </c>
      <c r="K11" s="63" t="s">
        <v>39</v>
      </c>
      <c r="L11" s="63" t="s">
        <v>40</v>
      </c>
      <c r="M11" s="63" t="s">
        <v>41</v>
      </c>
      <c r="N11" s="63" t="s">
        <v>42</v>
      </c>
      <c r="O11" s="63" t="s">
        <v>43</v>
      </c>
      <c r="P11" s="63" t="s">
        <v>44</v>
      </c>
      <c r="Q11" s="63" t="s">
        <v>45</v>
      </c>
      <c r="R11" s="63" t="s">
        <v>46</v>
      </c>
      <c r="S11" s="63" t="s">
        <v>47</v>
      </c>
      <c r="T11" s="63" t="s">
        <v>48</v>
      </c>
      <c r="U11" s="224" t="s">
        <v>70</v>
      </c>
      <c r="V11" s="224" t="s">
        <v>71</v>
      </c>
      <c r="W11" s="224" t="s">
        <v>72</v>
      </c>
      <c r="Y11" s="220" t="s">
        <v>73</v>
      </c>
      <c r="Z11" s="220" t="s">
        <v>30</v>
      </c>
      <c r="AA11" s="220" t="s">
        <v>74</v>
      </c>
      <c r="AB11" s="220" t="s">
        <v>4</v>
      </c>
      <c r="AC11" s="215" t="s">
        <v>75</v>
      </c>
      <c r="AD11" s="215" t="s">
        <v>76</v>
      </c>
      <c r="AE11" s="19"/>
      <c r="AF11" s="220" t="s">
        <v>73</v>
      </c>
      <c r="AG11" s="220" t="s">
        <v>30</v>
      </c>
      <c r="AH11" s="217" t="s">
        <v>77</v>
      </c>
      <c r="AI11" s="217"/>
      <c r="AJ11" s="217"/>
      <c r="AK11" s="217"/>
      <c r="AL11" s="217"/>
      <c r="AM11" s="217"/>
      <c r="AN11" s="217"/>
      <c r="AO11" s="217"/>
      <c r="AP11" s="217"/>
      <c r="AQ11" s="217"/>
      <c r="AR11" s="217"/>
      <c r="AT11" s="217" t="s">
        <v>78</v>
      </c>
      <c r="AU11" s="217"/>
      <c r="AV11" s="217"/>
      <c r="AW11" s="217"/>
      <c r="AX11" s="217"/>
      <c r="AY11" s="217"/>
      <c r="AZ11" s="217"/>
      <c r="BA11" s="217"/>
      <c r="BB11" s="217"/>
      <c r="BC11" s="217"/>
      <c r="BD11" s="217"/>
      <c r="BF11" s="217" t="s">
        <v>79</v>
      </c>
      <c r="BG11" s="217"/>
      <c r="BH11" s="217"/>
      <c r="BI11" s="217"/>
      <c r="BJ11" s="217"/>
      <c r="BK11" s="217"/>
      <c r="BL11" s="217"/>
      <c r="BM11" s="217"/>
      <c r="BN11" s="217"/>
      <c r="BO11" s="217"/>
      <c r="BP11" s="217"/>
      <c r="BR11" s="221" t="s">
        <v>80</v>
      </c>
      <c r="BS11" s="222"/>
      <c r="BT11" s="222"/>
      <c r="BU11" s="222"/>
      <c r="BV11" s="222"/>
      <c r="BW11" s="222"/>
      <c r="BX11" s="222"/>
      <c r="BY11" s="222"/>
      <c r="BZ11" s="222"/>
      <c r="CA11" s="222"/>
      <c r="CB11" s="223"/>
      <c r="CC11" s="217" t="s">
        <v>81</v>
      </c>
      <c r="CE11" s="221" t="s">
        <v>82</v>
      </c>
      <c r="CF11" s="222"/>
      <c r="CG11" s="222"/>
      <c r="CH11" s="222"/>
      <c r="CI11" s="222"/>
      <c r="CJ11" s="222"/>
      <c r="CK11" s="222"/>
      <c r="CL11" s="222"/>
      <c r="CM11" s="222"/>
      <c r="CN11" s="222"/>
      <c r="CO11" s="223"/>
      <c r="CP11" s="217" t="s">
        <v>83</v>
      </c>
      <c r="CR11" s="221" t="s">
        <v>84</v>
      </c>
      <c r="CS11" s="222"/>
      <c r="CT11" s="222"/>
      <c r="CU11" s="222"/>
      <c r="CV11" s="222"/>
      <c r="CW11" s="222"/>
      <c r="CX11" s="222"/>
      <c r="CY11" s="222"/>
      <c r="CZ11" s="222"/>
      <c r="DA11" s="222"/>
      <c r="DB11" s="223"/>
      <c r="DC11" s="217" t="s">
        <v>85</v>
      </c>
      <c r="DE11" s="216" t="s">
        <v>86</v>
      </c>
      <c r="DF11" s="215" t="s">
        <v>87</v>
      </c>
    </row>
    <row r="12" spans="2:110" ht="15.75" customHeight="1" x14ac:dyDescent="0.25">
      <c r="B12" s="224"/>
      <c r="C12" s="62">
        <v>142</v>
      </c>
      <c r="D12" s="62">
        <v>493</v>
      </c>
      <c r="E12" s="62">
        <v>400</v>
      </c>
      <c r="F12" s="62">
        <v>285</v>
      </c>
      <c r="G12" s="62">
        <v>363</v>
      </c>
      <c r="H12" s="62">
        <v>277</v>
      </c>
      <c r="I12" s="62">
        <v>238</v>
      </c>
      <c r="J12" s="62">
        <v>208</v>
      </c>
      <c r="K12" s="62">
        <v>256</v>
      </c>
      <c r="L12" s="62">
        <v>238</v>
      </c>
      <c r="M12" s="62">
        <v>219</v>
      </c>
      <c r="N12" s="62">
        <v>204</v>
      </c>
      <c r="O12" s="62">
        <v>190</v>
      </c>
      <c r="P12" s="62">
        <v>166</v>
      </c>
      <c r="Q12" s="62">
        <v>178</v>
      </c>
      <c r="R12" s="62">
        <v>156</v>
      </c>
      <c r="S12" s="62">
        <v>185</v>
      </c>
      <c r="T12" s="62">
        <v>138</v>
      </c>
      <c r="U12" s="224"/>
      <c r="V12" s="224"/>
      <c r="W12" s="224"/>
      <c r="Y12" s="220"/>
      <c r="Z12" s="220"/>
      <c r="AA12" s="220"/>
      <c r="AB12" s="220"/>
      <c r="AC12" s="215"/>
      <c r="AD12" s="215"/>
      <c r="AE12" s="19"/>
      <c r="AF12" s="220"/>
      <c r="AG12" s="220"/>
      <c r="AH12" s="214">
        <v>2018</v>
      </c>
      <c r="AI12" s="214">
        <v>2019</v>
      </c>
      <c r="AJ12" s="214">
        <v>2020</v>
      </c>
      <c r="AK12" s="214">
        <v>2021</v>
      </c>
      <c r="AL12" s="214">
        <v>2022</v>
      </c>
      <c r="AM12" s="214">
        <v>2023</v>
      </c>
      <c r="AN12" s="214">
        <v>2024</v>
      </c>
      <c r="AO12" s="214">
        <v>2025</v>
      </c>
      <c r="AP12" s="214">
        <v>2026</v>
      </c>
      <c r="AQ12" s="214">
        <v>2027</v>
      </c>
      <c r="AR12" s="214">
        <v>2028</v>
      </c>
      <c r="AT12" s="214">
        <v>2018</v>
      </c>
      <c r="AU12" s="214">
        <v>2019</v>
      </c>
      <c r="AV12" s="214">
        <v>2020</v>
      </c>
      <c r="AW12" s="214">
        <v>2021</v>
      </c>
      <c r="AX12" s="214">
        <v>2022</v>
      </c>
      <c r="AY12" s="214">
        <v>2023</v>
      </c>
      <c r="AZ12" s="214">
        <v>2024</v>
      </c>
      <c r="BA12" s="214">
        <v>2025</v>
      </c>
      <c r="BB12" s="214">
        <v>2026</v>
      </c>
      <c r="BC12" s="214">
        <v>2027</v>
      </c>
      <c r="BD12" s="214">
        <v>2028</v>
      </c>
      <c r="BF12" s="214">
        <v>2018</v>
      </c>
      <c r="BG12" s="214">
        <v>2019</v>
      </c>
      <c r="BH12" s="214">
        <v>2020</v>
      </c>
      <c r="BI12" s="214">
        <v>2021</v>
      </c>
      <c r="BJ12" s="214">
        <v>2022</v>
      </c>
      <c r="BK12" s="214">
        <v>2023</v>
      </c>
      <c r="BL12" s="214">
        <v>2024</v>
      </c>
      <c r="BM12" s="214">
        <v>2025</v>
      </c>
      <c r="BN12" s="214">
        <v>2026</v>
      </c>
      <c r="BO12" s="214">
        <v>2027</v>
      </c>
      <c r="BP12" s="214">
        <v>2028</v>
      </c>
      <c r="BR12" s="214">
        <v>2018</v>
      </c>
      <c r="BS12" s="214">
        <v>2019</v>
      </c>
      <c r="BT12" s="214">
        <v>2020</v>
      </c>
      <c r="BU12" s="214">
        <v>2021</v>
      </c>
      <c r="BV12" s="214">
        <v>2022</v>
      </c>
      <c r="BW12" s="214">
        <v>2023</v>
      </c>
      <c r="BX12" s="214">
        <v>2024</v>
      </c>
      <c r="BY12" s="214">
        <v>2025</v>
      </c>
      <c r="BZ12" s="214">
        <v>2026</v>
      </c>
      <c r="CA12" s="214">
        <v>2027</v>
      </c>
      <c r="CB12" s="214">
        <v>2028</v>
      </c>
      <c r="CC12" s="217"/>
      <c r="CE12" s="214">
        <v>2018</v>
      </c>
      <c r="CF12" s="214">
        <v>2019</v>
      </c>
      <c r="CG12" s="214">
        <v>2020</v>
      </c>
      <c r="CH12" s="214">
        <v>2021</v>
      </c>
      <c r="CI12" s="214">
        <v>2022</v>
      </c>
      <c r="CJ12" s="214">
        <v>2023</v>
      </c>
      <c r="CK12" s="214">
        <v>2024</v>
      </c>
      <c r="CL12" s="214">
        <v>2025</v>
      </c>
      <c r="CM12" s="214">
        <v>2026</v>
      </c>
      <c r="CN12" s="214">
        <v>2027</v>
      </c>
      <c r="CO12" s="214">
        <v>2028</v>
      </c>
      <c r="CP12" s="217"/>
      <c r="CR12" s="214">
        <v>2018</v>
      </c>
      <c r="CS12" s="214">
        <v>2019</v>
      </c>
      <c r="CT12" s="214">
        <v>2020</v>
      </c>
      <c r="CU12" s="214">
        <v>2021</v>
      </c>
      <c r="CV12" s="214">
        <v>2022</v>
      </c>
      <c r="CW12" s="214">
        <v>2023</v>
      </c>
      <c r="CX12" s="214">
        <v>2024</v>
      </c>
      <c r="CY12" s="214">
        <v>2025</v>
      </c>
      <c r="CZ12" s="214">
        <v>2026</v>
      </c>
      <c r="DA12" s="214">
        <v>2027</v>
      </c>
      <c r="DB12" s="214">
        <v>2028</v>
      </c>
      <c r="DC12" s="217"/>
      <c r="DE12" s="216"/>
      <c r="DF12" s="215"/>
    </row>
    <row r="13" spans="2:110" ht="33" customHeight="1" x14ac:dyDescent="0.25">
      <c r="B13" s="224"/>
      <c r="C13" s="62" t="s">
        <v>88</v>
      </c>
      <c r="D13" s="62" t="s">
        <v>88</v>
      </c>
      <c r="E13" s="62" t="s">
        <v>88</v>
      </c>
      <c r="F13" s="62" t="s">
        <v>88</v>
      </c>
      <c r="G13" s="62" t="s">
        <v>88</v>
      </c>
      <c r="H13" s="62" t="s">
        <v>88</v>
      </c>
      <c r="I13" s="62"/>
      <c r="J13" s="62"/>
      <c r="K13" s="62"/>
      <c r="L13" s="62"/>
      <c r="M13" s="62"/>
      <c r="N13" s="62"/>
      <c r="O13" s="62"/>
      <c r="P13" s="62"/>
      <c r="Q13" s="62"/>
      <c r="R13" s="62"/>
      <c r="S13" s="62"/>
      <c r="T13" s="62"/>
      <c r="U13" s="224"/>
      <c r="V13" s="224"/>
      <c r="W13" s="224"/>
      <c r="Y13" s="220"/>
      <c r="Z13" s="220"/>
      <c r="AA13" s="220"/>
      <c r="AB13" s="220"/>
      <c r="AC13" s="215"/>
      <c r="AD13" s="215"/>
      <c r="AE13" s="19"/>
      <c r="AF13" s="220"/>
      <c r="AG13" s="220"/>
      <c r="AH13" s="214"/>
      <c r="AI13" s="214"/>
      <c r="AJ13" s="214"/>
      <c r="AK13" s="214"/>
      <c r="AL13" s="214"/>
      <c r="AM13" s="214"/>
      <c r="AN13" s="214"/>
      <c r="AO13" s="214"/>
      <c r="AP13" s="214"/>
      <c r="AQ13" s="214"/>
      <c r="AR13" s="214"/>
      <c r="AT13" s="214"/>
      <c r="AU13" s="214"/>
      <c r="AV13" s="214"/>
      <c r="AW13" s="214"/>
      <c r="AX13" s="214"/>
      <c r="AY13" s="214"/>
      <c r="AZ13" s="214"/>
      <c r="BA13" s="214"/>
      <c r="BB13" s="214"/>
      <c r="BC13" s="214"/>
      <c r="BD13" s="214"/>
      <c r="BF13" s="214"/>
      <c r="BG13" s="214"/>
      <c r="BH13" s="214"/>
      <c r="BI13" s="214"/>
      <c r="BJ13" s="214"/>
      <c r="BK13" s="214"/>
      <c r="BL13" s="214"/>
      <c r="BM13" s="214"/>
      <c r="BN13" s="214"/>
      <c r="BO13" s="214"/>
      <c r="BP13" s="214"/>
      <c r="BR13" s="214"/>
      <c r="BS13" s="214"/>
      <c r="BT13" s="214"/>
      <c r="BU13" s="214"/>
      <c r="BV13" s="214"/>
      <c r="BW13" s="214"/>
      <c r="BX13" s="214"/>
      <c r="BY13" s="214"/>
      <c r="BZ13" s="214"/>
      <c r="CA13" s="214"/>
      <c r="CB13" s="214"/>
      <c r="CC13" s="217"/>
      <c r="CE13" s="214"/>
      <c r="CF13" s="214"/>
      <c r="CG13" s="214"/>
      <c r="CH13" s="214"/>
      <c r="CI13" s="214"/>
      <c r="CJ13" s="214"/>
      <c r="CK13" s="214"/>
      <c r="CL13" s="214"/>
      <c r="CM13" s="214"/>
      <c r="CN13" s="214"/>
      <c r="CO13" s="214"/>
      <c r="CP13" s="217"/>
      <c r="CR13" s="214"/>
      <c r="CS13" s="214"/>
      <c r="CT13" s="214"/>
      <c r="CU13" s="214"/>
      <c r="CV13" s="214"/>
      <c r="CW13" s="214"/>
      <c r="CX13" s="214"/>
      <c r="CY13" s="214"/>
      <c r="CZ13" s="214"/>
      <c r="DA13" s="214"/>
      <c r="DB13" s="214"/>
      <c r="DC13" s="217"/>
      <c r="DE13" s="216"/>
      <c r="DF13" s="215"/>
    </row>
    <row r="14" spans="2:110" ht="15" customHeight="1" x14ac:dyDescent="0.25">
      <c r="B14" s="65">
        <v>2018</v>
      </c>
      <c r="C14" s="36">
        <f>'General Information'!C16</f>
        <v>4.492</v>
      </c>
      <c r="D14" s="36">
        <f>'General Information'!D16</f>
        <v>0.35199999999999998</v>
      </c>
      <c r="E14" s="36">
        <f>'General Information'!E16</f>
        <v>19.124000000000006</v>
      </c>
      <c r="F14" s="36">
        <f>'General Information'!F16</f>
        <v>14.596000000000004</v>
      </c>
      <c r="G14" s="36">
        <f>'General Information'!G16</f>
        <v>0.4</v>
      </c>
      <c r="H14" s="36">
        <f>'General Information'!H16</f>
        <v>8.9160000000000004</v>
      </c>
      <c r="I14" s="36">
        <f>'General Information'!I16</f>
        <v>0</v>
      </c>
      <c r="J14" s="36">
        <f>'General Information'!J16</f>
        <v>21.452000000000002</v>
      </c>
      <c r="K14" s="36">
        <f>'General Information'!K16</f>
        <v>0.08</v>
      </c>
      <c r="L14" s="36">
        <f>'General Information'!L16</f>
        <v>21.632000000000001</v>
      </c>
      <c r="M14" s="36">
        <f>'General Information'!M16</f>
        <v>1.492</v>
      </c>
      <c r="N14" s="36">
        <f>'General Information'!N16</f>
        <v>115.26</v>
      </c>
      <c r="O14" s="36">
        <f>'General Information'!O16</f>
        <v>0.96799999999999997</v>
      </c>
      <c r="P14" s="36">
        <f>'General Information'!P16</f>
        <v>0</v>
      </c>
      <c r="Q14" s="36">
        <f>'General Information'!Q16</f>
        <v>11.124000000000001</v>
      </c>
      <c r="R14" s="36">
        <f>'General Information'!R16</f>
        <v>29.096000000000014</v>
      </c>
      <c r="S14" s="36">
        <f>'General Information'!S16</f>
        <v>9.0359999999999978</v>
      </c>
      <c r="T14" s="36">
        <f>'General Information'!T16</f>
        <v>0</v>
      </c>
      <c r="U14" s="66">
        <f t="shared" ref="U14:U24" si="0">(C14*$C$12)+(D14*$D$12)+(E14*$E$12)+(F14*$F$12)+(G14*$G$12)+(H14*$H$12)+(I14*$I$12)+(J14*$J$12)+(K14*$K$12)+(L14*$L$12)+(M14*$M$12)+(N14*$N$12)+(O14*$O$12)+(P14*$P$12)+(Q14*$Q$12)+(R14*$R$12)+(S14*$S$12)+(T14*$T$12)</f>
        <v>57081.120000000003</v>
      </c>
      <c r="V14" s="66">
        <f>U14*10%</f>
        <v>5708.112000000001</v>
      </c>
      <c r="W14" s="66">
        <f>U14-V14</f>
        <v>51373.008000000002</v>
      </c>
      <c r="Y14" s="67">
        <v>1</v>
      </c>
      <c r="Z14" s="67" t="s">
        <v>89</v>
      </c>
      <c r="AA14" s="36">
        <v>4.793333333333333</v>
      </c>
      <c r="AB14" s="36"/>
      <c r="AC14" s="36">
        <f xml:space="preserve"> 0.2*AA14^1.85</f>
        <v>3.6325333785037239</v>
      </c>
      <c r="AD14" s="36">
        <f>AC14-0</f>
        <v>3.6325333785037239</v>
      </c>
      <c r="AE14" s="19"/>
      <c r="AF14" s="67">
        <v>1</v>
      </c>
      <c r="AG14" s="67" t="str">
        <f>Z14</f>
        <v>2018 -2019</v>
      </c>
      <c r="AH14" s="36">
        <f>('Mangifera indica'!AD14*$W$14)/1000</f>
        <v>186.61416631413886</v>
      </c>
      <c r="AI14" s="68">
        <v>0</v>
      </c>
      <c r="AJ14" s="68">
        <v>0</v>
      </c>
      <c r="AK14" s="68">
        <v>0</v>
      </c>
      <c r="AL14" s="68">
        <v>0</v>
      </c>
      <c r="AM14" s="68">
        <v>0</v>
      </c>
      <c r="AN14" s="68">
        <v>0</v>
      </c>
      <c r="AO14" s="68">
        <v>0</v>
      </c>
      <c r="AP14" s="68">
        <v>0</v>
      </c>
      <c r="AQ14" s="68">
        <v>0</v>
      </c>
      <c r="AR14" s="68">
        <v>0</v>
      </c>
      <c r="AT14" s="36">
        <f>AH14*$AF$4</f>
        <v>46.653541578534714</v>
      </c>
      <c r="AU14" s="68">
        <v>0</v>
      </c>
      <c r="AV14" s="68">
        <v>0</v>
      </c>
      <c r="AW14" s="68">
        <v>0</v>
      </c>
      <c r="AX14" s="68">
        <v>0</v>
      </c>
      <c r="AY14" s="68">
        <v>0</v>
      </c>
      <c r="AZ14" s="68">
        <v>0</v>
      </c>
      <c r="BA14" s="68">
        <v>0</v>
      </c>
      <c r="BB14" s="68">
        <v>0</v>
      </c>
      <c r="BC14" s="68">
        <v>0</v>
      </c>
      <c r="BD14" s="68">
        <v>0</v>
      </c>
      <c r="BF14" s="36">
        <f>AH14+AT14</f>
        <v>233.26770789267357</v>
      </c>
      <c r="BG14" s="68">
        <v>0</v>
      </c>
      <c r="BH14" s="68">
        <v>0</v>
      </c>
      <c r="BI14" s="68">
        <v>0</v>
      </c>
      <c r="BJ14" s="68">
        <v>0</v>
      </c>
      <c r="BK14" s="68">
        <v>0</v>
      </c>
      <c r="BL14" s="68">
        <v>0</v>
      </c>
      <c r="BM14" s="68">
        <v>0</v>
      </c>
      <c r="BN14" s="68">
        <v>0</v>
      </c>
      <c r="BO14" s="68">
        <v>0</v>
      </c>
      <c r="BP14" s="68">
        <v>0</v>
      </c>
      <c r="BR14" s="36">
        <f>'Mangifera indica'!BF14*$AD$7*$AH$4</f>
        <v>402.36346934407266</v>
      </c>
      <c r="BS14" s="68">
        <v>0</v>
      </c>
      <c r="BT14" s="68">
        <v>0</v>
      </c>
      <c r="BU14" s="68">
        <v>0</v>
      </c>
      <c r="BV14" s="68">
        <v>0</v>
      </c>
      <c r="BW14" s="68">
        <v>0</v>
      </c>
      <c r="BX14" s="68">
        <v>0</v>
      </c>
      <c r="BY14" s="68">
        <v>0</v>
      </c>
      <c r="BZ14" s="68">
        <v>0</v>
      </c>
      <c r="CA14" s="68">
        <v>0</v>
      </c>
      <c r="CB14" s="68">
        <v>0</v>
      </c>
      <c r="CC14" s="36">
        <f>SUM(BR14:CB14)</f>
        <v>402.36346934407266</v>
      </c>
      <c r="CE14" s="36">
        <f>BR14*$AF$5</f>
        <v>4.0236346934407266</v>
      </c>
      <c r="CF14" s="68">
        <v>0</v>
      </c>
      <c r="CG14" s="68">
        <v>0</v>
      </c>
      <c r="CH14" s="68">
        <v>0</v>
      </c>
      <c r="CI14" s="68">
        <v>0</v>
      </c>
      <c r="CJ14" s="68">
        <v>0</v>
      </c>
      <c r="CK14" s="68">
        <v>0</v>
      </c>
      <c r="CL14" s="68">
        <v>0</v>
      </c>
      <c r="CM14" s="68">
        <v>0</v>
      </c>
      <c r="CN14" s="68">
        <v>0</v>
      </c>
      <c r="CO14" s="68">
        <v>0</v>
      </c>
      <c r="CP14" s="36">
        <f>SUM(CE14:CO14)</f>
        <v>4.0236346934407266</v>
      </c>
      <c r="CR14" s="36">
        <f>BR14*$AF$7</f>
        <v>4.0236346934407266</v>
      </c>
      <c r="CS14" s="68">
        <v>0</v>
      </c>
      <c r="CT14" s="68">
        <v>0</v>
      </c>
      <c r="CU14" s="68">
        <v>0</v>
      </c>
      <c r="CV14" s="68">
        <v>0</v>
      </c>
      <c r="CW14" s="68">
        <v>0</v>
      </c>
      <c r="CX14" s="68">
        <v>0</v>
      </c>
      <c r="CY14" s="68">
        <v>0</v>
      </c>
      <c r="CZ14" s="68">
        <v>0</v>
      </c>
      <c r="DA14" s="68">
        <v>0</v>
      </c>
      <c r="DB14" s="68">
        <v>0</v>
      </c>
      <c r="DC14" s="36">
        <f>SUM(CR14:DB14)</f>
        <v>4.0236346934407266</v>
      </c>
      <c r="DE14" s="36">
        <f>CC14+CP14+DC14</f>
        <v>410.41073873095411</v>
      </c>
      <c r="DF14" s="36">
        <f>DE14</f>
        <v>410.41073873095411</v>
      </c>
    </row>
    <row r="15" spans="2:110" x14ac:dyDescent="0.25">
      <c r="B15" s="65">
        <v>2019</v>
      </c>
      <c r="C15" s="36">
        <f>'General Information'!C17</f>
        <v>1.1240000000000001</v>
      </c>
      <c r="D15" s="36">
        <f>'General Information'!D17</f>
        <v>0</v>
      </c>
      <c r="E15" s="36">
        <f>'General Information'!E17</f>
        <v>8.6440000000000001</v>
      </c>
      <c r="F15" s="36">
        <f>'General Information'!F17</f>
        <v>7.0119999999999987</v>
      </c>
      <c r="G15" s="36">
        <f>'General Information'!G17</f>
        <v>0</v>
      </c>
      <c r="H15" s="36">
        <f>'General Information'!H17</f>
        <v>5.2440000000000007</v>
      </c>
      <c r="I15" s="36">
        <f>'General Information'!I17</f>
        <v>0</v>
      </c>
      <c r="J15" s="36">
        <f>'General Information'!J17</f>
        <v>8.6720000000000006</v>
      </c>
      <c r="K15" s="36">
        <f>'General Information'!K17</f>
        <v>0</v>
      </c>
      <c r="L15" s="36">
        <f>'General Information'!L17</f>
        <v>7.8760000000000012</v>
      </c>
      <c r="M15" s="36">
        <f>'General Information'!M17</f>
        <v>0</v>
      </c>
      <c r="N15" s="36">
        <f>'General Information'!N17</f>
        <v>53.08</v>
      </c>
      <c r="O15" s="36">
        <f>'General Information'!O17</f>
        <v>0</v>
      </c>
      <c r="P15" s="36">
        <f>'General Information'!P17</f>
        <v>0</v>
      </c>
      <c r="Q15" s="36">
        <f>'General Information'!Q17</f>
        <v>6.4759999999999991</v>
      </c>
      <c r="R15" s="36">
        <f>'General Information'!R17</f>
        <v>14.891999999999999</v>
      </c>
      <c r="S15" s="36">
        <f>'General Information'!S17</f>
        <v>2.2999999999999998</v>
      </c>
      <c r="T15" s="36">
        <f>'General Information'!T17</f>
        <v>0</v>
      </c>
      <c r="U15" s="66">
        <f t="shared" si="0"/>
        <v>25476.18</v>
      </c>
      <c r="V15" s="66">
        <f>U15*10%</f>
        <v>2547.6180000000004</v>
      </c>
      <c r="W15" s="66">
        <f>U15-V15</f>
        <v>22928.561999999998</v>
      </c>
      <c r="Y15" s="67">
        <v>2</v>
      </c>
      <c r="Z15" s="67" t="s">
        <v>90</v>
      </c>
      <c r="AA15" s="36">
        <v>9.5866666666666678</v>
      </c>
      <c r="AB15" s="36"/>
      <c r="AC15" s="36">
        <f t="shared" ref="AC15:AC48" si="1" xml:space="preserve"> 0.2*AA15^1.85</f>
        <v>13.095289551303063</v>
      </c>
      <c r="AD15" s="36">
        <f>AC15-AC14</f>
        <v>9.4627561727993381</v>
      </c>
      <c r="AE15" s="19"/>
      <c r="AF15" s="67">
        <v>2</v>
      </c>
      <c r="AG15" s="67" t="str">
        <f t="shared" ref="AG15:AG47" si="2">Z15</f>
        <v>2019-2020</v>
      </c>
      <c r="AH15" s="36">
        <f>('Mangifera indica'!AD15*$W$14)/1000</f>
        <v>486.1302485672698</v>
      </c>
      <c r="AI15" s="36">
        <f>('Mangifera indica'!AD14*$W$15)/1000</f>
        <v>83.288766786092097</v>
      </c>
      <c r="AJ15" s="68">
        <v>0</v>
      </c>
      <c r="AK15" s="68">
        <v>0</v>
      </c>
      <c r="AL15" s="68">
        <v>0</v>
      </c>
      <c r="AM15" s="68">
        <v>0</v>
      </c>
      <c r="AN15" s="68">
        <v>0</v>
      </c>
      <c r="AO15" s="68">
        <v>0</v>
      </c>
      <c r="AP15" s="68">
        <v>0</v>
      </c>
      <c r="AQ15" s="68">
        <v>0</v>
      </c>
      <c r="AR15" s="68">
        <v>0</v>
      </c>
      <c r="AT15" s="36">
        <f t="shared" ref="AT15:AT48" si="3">AH15*$AF$4</f>
        <v>121.53256214181745</v>
      </c>
      <c r="AU15" s="36">
        <f>AI15*$AF$4</f>
        <v>20.822191696523024</v>
      </c>
      <c r="AV15" s="68">
        <v>0</v>
      </c>
      <c r="AW15" s="68">
        <v>0</v>
      </c>
      <c r="AX15" s="68">
        <v>0</v>
      </c>
      <c r="AY15" s="68">
        <v>0</v>
      </c>
      <c r="AZ15" s="68">
        <v>0</v>
      </c>
      <c r="BA15" s="68">
        <v>0</v>
      </c>
      <c r="BB15" s="68">
        <v>0</v>
      </c>
      <c r="BC15" s="68">
        <v>0</v>
      </c>
      <c r="BD15" s="68">
        <v>0</v>
      </c>
      <c r="BF15" s="36">
        <f>AH15+AT15</f>
        <v>607.66281070908724</v>
      </c>
      <c r="BG15" s="36">
        <f>AI15+AU15</f>
        <v>104.11095848261512</v>
      </c>
      <c r="BH15" s="68">
        <v>0</v>
      </c>
      <c r="BI15" s="68">
        <v>0</v>
      </c>
      <c r="BJ15" s="68">
        <v>0</v>
      </c>
      <c r="BK15" s="68">
        <v>0</v>
      </c>
      <c r="BL15" s="68">
        <v>0</v>
      </c>
      <c r="BM15" s="68">
        <v>0</v>
      </c>
      <c r="BN15" s="68">
        <v>0</v>
      </c>
      <c r="BO15" s="68">
        <v>0</v>
      </c>
      <c r="BP15" s="68">
        <v>0</v>
      </c>
      <c r="BR15" s="36">
        <f>'Mangifera indica'!BF15*$AD$7*$AH$4</f>
        <v>1048.1575821921047</v>
      </c>
      <c r="BS15" s="36">
        <f t="shared" ref="BS15:BS48" si="4">BG15*$AD$7*$AH$4</f>
        <v>179.58099228666279</v>
      </c>
      <c r="BT15" s="68">
        <v>0</v>
      </c>
      <c r="BU15" s="68">
        <v>0</v>
      </c>
      <c r="BV15" s="68">
        <v>0</v>
      </c>
      <c r="BW15" s="68">
        <v>0</v>
      </c>
      <c r="BX15" s="68">
        <v>0</v>
      </c>
      <c r="BY15" s="68">
        <v>0</v>
      </c>
      <c r="BZ15" s="68">
        <v>0</v>
      </c>
      <c r="CA15" s="68">
        <v>0</v>
      </c>
      <c r="CB15" s="68">
        <v>0</v>
      </c>
      <c r="CC15" s="36">
        <f t="shared" ref="CC15:CC48" si="5">SUM(BR15:CB15)</f>
        <v>1227.7385744787675</v>
      </c>
      <c r="CE15" s="36">
        <f t="shared" ref="CE15:CM48" si="6">BR15*$AF$5</f>
        <v>10.481575821921046</v>
      </c>
      <c r="CF15" s="36">
        <f t="shared" si="6"/>
        <v>1.795809922866628</v>
      </c>
      <c r="CG15" s="68">
        <v>0</v>
      </c>
      <c r="CH15" s="68">
        <v>0</v>
      </c>
      <c r="CI15" s="68">
        <v>0</v>
      </c>
      <c r="CJ15" s="68">
        <v>0</v>
      </c>
      <c r="CK15" s="68">
        <v>0</v>
      </c>
      <c r="CL15" s="68">
        <v>0</v>
      </c>
      <c r="CM15" s="68">
        <v>0</v>
      </c>
      <c r="CN15" s="68">
        <v>0</v>
      </c>
      <c r="CO15" s="68">
        <v>0</v>
      </c>
      <c r="CP15" s="36">
        <f t="shared" ref="CP15:CP48" si="7">SUM(CE15:CO15)</f>
        <v>12.277385744787674</v>
      </c>
      <c r="CR15" s="36">
        <f t="shared" ref="CR15:CZ48" si="8">BR15*$AF$7</f>
        <v>10.481575821921046</v>
      </c>
      <c r="CS15" s="36">
        <f t="shared" si="8"/>
        <v>1.795809922866628</v>
      </c>
      <c r="CT15" s="68">
        <v>0</v>
      </c>
      <c r="CU15" s="68">
        <v>0</v>
      </c>
      <c r="CV15" s="68">
        <v>0</v>
      </c>
      <c r="CW15" s="68">
        <v>0</v>
      </c>
      <c r="CX15" s="68">
        <v>0</v>
      </c>
      <c r="CY15" s="68">
        <v>0</v>
      </c>
      <c r="CZ15" s="68">
        <v>0</v>
      </c>
      <c r="DA15" s="68">
        <v>0</v>
      </c>
      <c r="DB15" s="68">
        <v>0</v>
      </c>
      <c r="DC15" s="36">
        <f t="shared" ref="DC15:DC48" si="9">SUM(CR15:DB15)</f>
        <v>12.277385744787674</v>
      </c>
      <c r="DE15" s="36">
        <f t="shared" ref="DE15:DE48" si="10">CC15+CP15+DC15</f>
        <v>1252.2933459683427</v>
      </c>
      <c r="DF15" s="36">
        <f>DE15+DF14</f>
        <v>1662.7040846992968</v>
      </c>
    </row>
    <row r="16" spans="2:110" x14ac:dyDescent="0.25">
      <c r="B16" s="65">
        <v>2020</v>
      </c>
      <c r="C16" s="36">
        <f>'General Information'!C18</f>
        <v>0.45200000000000001</v>
      </c>
      <c r="D16" s="36">
        <f>'General Information'!D18</f>
        <v>0</v>
      </c>
      <c r="E16" s="36">
        <f>'General Information'!E18</f>
        <v>5.3079999999999998</v>
      </c>
      <c r="F16" s="36">
        <f>'General Information'!F18</f>
        <v>6.3199999999999994</v>
      </c>
      <c r="G16" s="36">
        <f>'General Information'!G18</f>
        <v>0</v>
      </c>
      <c r="H16" s="36">
        <f>'General Information'!H18</f>
        <v>3.76</v>
      </c>
      <c r="I16" s="36">
        <f>'General Information'!I18</f>
        <v>0.38400000000000001</v>
      </c>
      <c r="J16" s="36">
        <f>'General Information'!J18</f>
        <v>6.3959999999999999</v>
      </c>
      <c r="K16" s="36">
        <f>'General Information'!K18</f>
        <v>0</v>
      </c>
      <c r="L16" s="36">
        <f>'General Information'!L18</f>
        <v>8.9160000000000004</v>
      </c>
      <c r="M16" s="36">
        <f>'General Information'!M18</f>
        <v>0</v>
      </c>
      <c r="N16" s="36">
        <f>'General Information'!N18</f>
        <v>28.012</v>
      </c>
      <c r="O16" s="36">
        <f>'General Information'!O18</f>
        <v>0</v>
      </c>
      <c r="P16" s="36">
        <f>'General Information'!P18</f>
        <v>0.66800000000000004</v>
      </c>
      <c r="Q16" s="36">
        <f>'General Information'!Q18</f>
        <v>2.6520000000000006</v>
      </c>
      <c r="R16" s="36">
        <f>'General Information'!R18</f>
        <v>11.952</v>
      </c>
      <c r="S16" s="36">
        <f>'General Information'!S18</f>
        <v>2.14</v>
      </c>
      <c r="T16" s="36">
        <f>'General Information'!T18</f>
        <v>0</v>
      </c>
      <c r="U16" s="66">
        <f t="shared" si="0"/>
        <v>17131.676000000003</v>
      </c>
      <c r="V16" s="66">
        <f t="shared" ref="V16:V43" si="11">U16*10%</f>
        <v>1713.1676000000004</v>
      </c>
      <c r="W16" s="66">
        <f t="shared" ref="W16:W43" si="12">U16-V16</f>
        <v>15418.508400000002</v>
      </c>
      <c r="Y16" s="67">
        <v>3</v>
      </c>
      <c r="Z16" s="67" t="s">
        <v>91</v>
      </c>
      <c r="AA16" s="36">
        <v>14.38</v>
      </c>
      <c r="AB16" s="36"/>
      <c r="AC16" s="36">
        <f t="shared" si="1"/>
        <v>27.725790342092495</v>
      </c>
      <c r="AD16" s="36">
        <f t="shared" ref="AD16:AD48" si="13">AC16-AC15</f>
        <v>14.630500790789432</v>
      </c>
      <c r="AE16" s="19"/>
      <c r="AF16" s="67">
        <v>3</v>
      </c>
      <c r="AG16" s="67" t="str">
        <f t="shared" si="2"/>
        <v>2020-2021</v>
      </c>
      <c r="AH16" s="36">
        <f>('Mangifera indica'!AD16*$W$14)/1000</f>
        <v>751.61283416923186</v>
      </c>
      <c r="AI16" s="36">
        <f>('Mangifera indica'!AD15*$W$15)/1000</f>
        <v>216.96739159891231</v>
      </c>
      <c r="AJ16" s="36">
        <f>('Mangifera indica'!AD14*$W$16)/1000</f>
        <v>56.00824640974006</v>
      </c>
      <c r="AK16" s="68">
        <v>0</v>
      </c>
      <c r="AL16" s="68">
        <v>0</v>
      </c>
      <c r="AM16" s="68">
        <v>0</v>
      </c>
      <c r="AN16" s="68">
        <v>0</v>
      </c>
      <c r="AO16" s="68">
        <v>0</v>
      </c>
      <c r="AP16" s="68">
        <v>0</v>
      </c>
      <c r="AQ16" s="68">
        <v>0</v>
      </c>
      <c r="AR16" s="68">
        <v>0</v>
      </c>
      <c r="AT16" s="36">
        <f t="shared" si="3"/>
        <v>187.90320854230796</v>
      </c>
      <c r="AU16" s="36">
        <f t="shared" ref="AU16:AU48" si="14">AI16*$AF$4</f>
        <v>54.241847899728079</v>
      </c>
      <c r="AV16" s="36">
        <f>AJ16*$AF$4</f>
        <v>14.002061602435015</v>
      </c>
      <c r="AW16" s="68">
        <v>0</v>
      </c>
      <c r="AX16" s="68">
        <v>0</v>
      </c>
      <c r="AY16" s="68">
        <v>0</v>
      </c>
      <c r="AZ16" s="68">
        <v>0</v>
      </c>
      <c r="BA16" s="68">
        <v>0</v>
      </c>
      <c r="BB16" s="68">
        <v>0</v>
      </c>
      <c r="BC16" s="68">
        <v>0</v>
      </c>
      <c r="BD16" s="68">
        <v>0</v>
      </c>
      <c r="BF16" s="36">
        <f t="shared" ref="BF16:BF48" si="15">AH16+AT16</f>
        <v>939.51604271153985</v>
      </c>
      <c r="BG16" s="36">
        <f t="shared" ref="BG16:BG48" si="16">AI16+AU16</f>
        <v>271.20923949864039</v>
      </c>
      <c r="BH16" s="36">
        <f t="shared" ref="BH16:BH48" si="17">AJ16+AV16</f>
        <v>70.010308012175074</v>
      </c>
      <c r="BI16" s="68">
        <v>0</v>
      </c>
      <c r="BJ16" s="68">
        <v>0</v>
      </c>
      <c r="BK16" s="68">
        <v>0</v>
      </c>
      <c r="BL16" s="68">
        <v>0</v>
      </c>
      <c r="BM16" s="68">
        <v>0</v>
      </c>
      <c r="BN16" s="68">
        <v>0</v>
      </c>
      <c r="BO16" s="68">
        <v>0</v>
      </c>
      <c r="BP16" s="68">
        <v>0</v>
      </c>
      <c r="BR16" s="36">
        <f>'Mangifera indica'!BF16*$AD$7*$AH$4</f>
        <v>1620.571222073135</v>
      </c>
      <c r="BS16" s="36">
        <f t="shared" si="4"/>
        <v>467.80881721120477</v>
      </c>
      <c r="BT16" s="36">
        <f t="shared" ref="BT16:BT48" si="18">BH16*$AD$7*$AH$4</f>
        <v>120.76078029020077</v>
      </c>
      <c r="BU16" s="68">
        <v>0</v>
      </c>
      <c r="BV16" s="68">
        <v>0</v>
      </c>
      <c r="BW16" s="68">
        <v>0</v>
      </c>
      <c r="BX16" s="68">
        <v>0</v>
      </c>
      <c r="BY16" s="68">
        <v>0</v>
      </c>
      <c r="BZ16" s="68">
        <v>0</v>
      </c>
      <c r="CA16" s="68">
        <v>0</v>
      </c>
      <c r="CB16" s="68">
        <v>0</v>
      </c>
      <c r="CC16" s="36">
        <f t="shared" si="5"/>
        <v>2209.1408195745403</v>
      </c>
      <c r="CE16" s="36">
        <f t="shared" si="6"/>
        <v>16.20571222073135</v>
      </c>
      <c r="CF16" s="36">
        <f t="shared" si="6"/>
        <v>4.678088172112048</v>
      </c>
      <c r="CG16" s="36">
        <f t="shared" si="6"/>
        <v>1.2076078029020076</v>
      </c>
      <c r="CH16" s="68">
        <v>0</v>
      </c>
      <c r="CI16" s="68">
        <v>0</v>
      </c>
      <c r="CJ16" s="68">
        <v>0</v>
      </c>
      <c r="CK16" s="68">
        <v>0</v>
      </c>
      <c r="CL16" s="68">
        <v>0</v>
      </c>
      <c r="CM16" s="68">
        <v>0</v>
      </c>
      <c r="CN16" s="68">
        <v>0</v>
      </c>
      <c r="CO16" s="68">
        <v>0</v>
      </c>
      <c r="CP16" s="36">
        <f t="shared" si="7"/>
        <v>22.091408195745405</v>
      </c>
      <c r="CR16" s="36">
        <f t="shared" si="8"/>
        <v>16.20571222073135</v>
      </c>
      <c r="CS16" s="36">
        <f t="shared" si="8"/>
        <v>4.678088172112048</v>
      </c>
      <c r="CT16" s="36">
        <f t="shared" si="8"/>
        <v>1.2076078029020076</v>
      </c>
      <c r="CU16" s="68">
        <v>0</v>
      </c>
      <c r="CV16" s="68">
        <v>0</v>
      </c>
      <c r="CW16" s="68">
        <v>0</v>
      </c>
      <c r="CX16" s="68">
        <v>0</v>
      </c>
      <c r="CY16" s="68">
        <v>0</v>
      </c>
      <c r="CZ16" s="68">
        <v>0</v>
      </c>
      <c r="DA16" s="68">
        <v>0</v>
      </c>
      <c r="DB16" s="68">
        <v>0</v>
      </c>
      <c r="DC16" s="36">
        <f t="shared" si="9"/>
        <v>22.091408195745405</v>
      </c>
      <c r="DE16" s="36">
        <f t="shared" si="10"/>
        <v>2253.3236359660309</v>
      </c>
      <c r="DF16" s="36">
        <f t="shared" ref="DF16:DF48" si="19">DE16+DF15</f>
        <v>3916.0277206653277</v>
      </c>
    </row>
    <row r="17" spans="2:110" x14ac:dyDescent="0.25">
      <c r="B17" s="65">
        <v>2021</v>
      </c>
      <c r="C17" s="36">
        <f>'General Information'!C19</f>
        <v>1.2000000000000002</v>
      </c>
      <c r="D17" s="36">
        <f>'General Information'!D19</f>
        <v>0</v>
      </c>
      <c r="E17" s="36">
        <f>'General Information'!E19</f>
        <v>6.8159999999999998</v>
      </c>
      <c r="F17" s="36">
        <f>'General Information'!F19</f>
        <v>4.7639999999999993</v>
      </c>
      <c r="G17" s="36">
        <f>'General Information'!G19</f>
        <v>0</v>
      </c>
      <c r="H17" s="36">
        <f>'General Information'!H19</f>
        <v>4.3080000000000007</v>
      </c>
      <c r="I17" s="36">
        <f>'General Information'!I19</f>
        <v>0</v>
      </c>
      <c r="J17" s="36">
        <f>'General Information'!J19</f>
        <v>6.7959999999999994</v>
      </c>
      <c r="K17" s="36">
        <f>'General Information'!K19</f>
        <v>0</v>
      </c>
      <c r="L17" s="36">
        <f>'General Information'!L19</f>
        <v>5.4200000000000008</v>
      </c>
      <c r="M17" s="36">
        <f>'General Information'!M19</f>
        <v>0</v>
      </c>
      <c r="N17" s="36">
        <f>'General Information'!N19</f>
        <v>38.22399999999999</v>
      </c>
      <c r="O17" s="36">
        <f>'General Information'!O19</f>
        <v>0</v>
      </c>
      <c r="P17" s="36">
        <f>'General Information'!P19</f>
        <v>0</v>
      </c>
      <c r="Q17" s="36">
        <f>'General Information'!Q19</f>
        <v>2.2199999999999998</v>
      </c>
      <c r="R17" s="36">
        <f>'General Information'!R19</f>
        <v>19.588000000000001</v>
      </c>
      <c r="S17" s="36">
        <f>'General Information'!S19</f>
        <v>4.2699999999999996</v>
      </c>
      <c r="T17" s="36">
        <f>'General Information'!T19</f>
        <v>0</v>
      </c>
      <c r="U17" s="66">
        <f t="shared" si="0"/>
        <v>20189.917999999998</v>
      </c>
      <c r="V17" s="66">
        <f t="shared" si="11"/>
        <v>2018.9917999999998</v>
      </c>
      <c r="W17" s="66">
        <f t="shared" si="12"/>
        <v>18170.926199999998</v>
      </c>
      <c r="Y17" s="67">
        <v>4</v>
      </c>
      <c r="Z17" s="67" t="s">
        <v>92</v>
      </c>
      <c r="AA17" s="36">
        <v>19.173333333333332</v>
      </c>
      <c r="AB17" s="36"/>
      <c r="AC17" s="36">
        <f t="shared" si="1"/>
        <v>47.208543064538617</v>
      </c>
      <c r="AD17" s="36">
        <f t="shared" si="13"/>
        <v>19.482752722446122</v>
      </c>
      <c r="AE17" s="19"/>
      <c r="AF17" s="67">
        <v>4</v>
      </c>
      <c r="AG17" s="67" t="str">
        <f t="shared" si="2"/>
        <v>2021-2022</v>
      </c>
      <c r="AH17" s="36">
        <f>('Mangifera indica'!AD17*$W$14)/1000</f>
        <v>1000.8876114722465</v>
      </c>
      <c r="AI17" s="36">
        <f>('Mangifera indica'!AD16*$W$15)/1000</f>
        <v>335.45634447266445</v>
      </c>
      <c r="AJ17" s="36">
        <f>('Mangifera indica'!AD15*$W$16)/1000</f>
        <v>145.90158553745849</v>
      </c>
      <c r="AK17" s="36">
        <f>('Mangifera indica'!AD14*$W$17)/1000</f>
        <v>66.006495939827829</v>
      </c>
      <c r="AL17" s="68">
        <v>0</v>
      </c>
      <c r="AM17" s="68">
        <v>0</v>
      </c>
      <c r="AN17" s="68">
        <v>0</v>
      </c>
      <c r="AO17" s="68">
        <v>0</v>
      </c>
      <c r="AP17" s="68">
        <v>0</v>
      </c>
      <c r="AQ17" s="68">
        <v>0</v>
      </c>
      <c r="AR17" s="68">
        <v>0</v>
      </c>
      <c r="AT17" s="36">
        <f t="shared" si="3"/>
        <v>250.22190286806162</v>
      </c>
      <c r="AU17" s="36">
        <f t="shared" si="14"/>
        <v>83.864086118166114</v>
      </c>
      <c r="AV17" s="36">
        <f t="shared" ref="AV17:AV48" si="20">AJ17*$AF$4</f>
        <v>36.475396384364622</v>
      </c>
      <c r="AW17" s="36">
        <f>AK17*$AF$4</f>
        <v>16.501623984956957</v>
      </c>
      <c r="AX17" s="68">
        <v>0</v>
      </c>
      <c r="AY17" s="68">
        <v>0</v>
      </c>
      <c r="AZ17" s="68">
        <v>0</v>
      </c>
      <c r="BA17" s="68">
        <v>0</v>
      </c>
      <c r="BB17" s="68">
        <v>0</v>
      </c>
      <c r="BC17" s="68">
        <v>0</v>
      </c>
      <c r="BD17" s="68">
        <v>0</v>
      </c>
      <c r="BF17" s="36">
        <f t="shared" si="15"/>
        <v>1251.1095143403081</v>
      </c>
      <c r="BG17" s="36">
        <f t="shared" si="16"/>
        <v>419.3204305908306</v>
      </c>
      <c r="BH17" s="36">
        <f t="shared" si="17"/>
        <v>182.3769819218231</v>
      </c>
      <c r="BI17" s="36">
        <f t="shared" ref="BI17:BI48" si="21">AK17+AW17</f>
        <v>82.508119924784779</v>
      </c>
      <c r="BJ17" s="68">
        <v>0</v>
      </c>
      <c r="BK17" s="68">
        <v>0</v>
      </c>
      <c r="BL17" s="68">
        <v>0</v>
      </c>
      <c r="BM17" s="68">
        <v>0</v>
      </c>
      <c r="BN17" s="68">
        <v>0</v>
      </c>
      <c r="BO17" s="68">
        <v>0</v>
      </c>
      <c r="BP17" s="68">
        <v>0</v>
      </c>
      <c r="BR17" s="36">
        <f>'Mangifera indica'!BF17*$AD$7*$AH$4</f>
        <v>2158.0388012855974</v>
      </c>
      <c r="BS17" s="36">
        <f t="shared" si="4"/>
        <v>723.28581072612371</v>
      </c>
      <c r="BT17" s="36">
        <f t="shared" si="18"/>
        <v>314.58205611695263</v>
      </c>
      <c r="BU17" s="36">
        <f t="shared" ref="BU17:BU48" si="22">BI17*$AD$7*$AH$4</f>
        <v>142.31825605826126</v>
      </c>
      <c r="BV17" s="68">
        <v>0</v>
      </c>
      <c r="BW17" s="68">
        <v>0</v>
      </c>
      <c r="BX17" s="68">
        <v>0</v>
      </c>
      <c r="BY17" s="68">
        <v>0</v>
      </c>
      <c r="BZ17" s="68">
        <v>0</v>
      </c>
      <c r="CA17" s="68">
        <v>0</v>
      </c>
      <c r="CB17" s="68">
        <v>0</v>
      </c>
      <c r="CC17" s="36">
        <f t="shared" si="5"/>
        <v>3338.2249241869349</v>
      </c>
      <c r="CE17" s="36">
        <f t="shared" si="6"/>
        <v>21.580388012855973</v>
      </c>
      <c r="CF17" s="36">
        <f t="shared" si="6"/>
        <v>7.2328581072612375</v>
      </c>
      <c r="CG17" s="36">
        <f t="shared" si="6"/>
        <v>3.1458205611695265</v>
      </c>
      <c r="CH17" s="36">
        <f t="shared" si="6"/>
        <v>1.4231825605826125</v>
      </c>
      <c r="CI17" s="68">
        <v>0</v>
      </c>
      <c r="CJ17" s="68">
        <v>0</v>
      </c>
      <c r="CK17" s="68">
        <v>0</v>
      </c>
      <c r="CL17" s="68">
        <v>0</v>
      </c>
      <c r="CM17" s="68">
        <v>0</v>
      </c>
      <c r="CN17" s="68">
        <v>0</v>
      </c>
      <c r="CO17" s="68">
        <v>0</v>
      </c>
      <c r="CP17" s="36">
        <f t="shared" si="7"/>
        <v>33.382249241869346</v>
      </c>
      <c r="CR17" s="36">
        <f t="shared" si="8"/>
        <v>21.580388012855973</v>
      </c>
      <c r="CS17" s="36">
        <f t="shared" si="8"/>
        <v>7.2328581072612375</v>
      </c>
      <c r="CT17" s="36">
        <f t="shared" si="8"/>
        <v>3.1458205611695265</v>
      </c>
      <c r="CU17" s="36">
        <f t="shared" si="8"/>
        <v>1.4231825605826125</v>
      </c>
      <c r="CV17" s="68">
        <v>0</v>
      </c>
      <c r="CW17" s="68">
        <v>0</v>
      </c>
      <c r="CX17" s="68">
        <v>0</v>
      </c>
      <c r="CY17" s="68">
        <v>0</v>
      </c>
      <c r="CZ17" s="68">
        <v>0</v>
      </c>
      <c r="DA17" s="68">
        <v>0</v>
      </c>
      <c r="DB17" s="68">
        <v>0</v>
      </c>
      <c r="DC17" s="36">
        <f t="shared" si="9"/>
        <v>33.382249241869346</v>
      </c>
      <c r="DE17" s="36">
        <f t="shared" si="10"/>
        <v>3404.9894226706738</v>
      </c>
      <c r="DF17" s="36">
        <f t="shared" si="19"/>
        <v>7321.017143336001</v>
      </c>
    </row>
    <row r="18" spans="2:110" x14ac:dyDescent="0.25">
      <c r="B18" s="65">
        <v>2022</v>
      </c>
      <c r="C18" s="36">
        <f>'General Information'!C20</f>
        <v>0</v>
      </c>
      <c r="D18" s="36">
        <f>'General Information'!D20</f>
        <v>0</v>
      </c>
      <c r="E18" s="36">
        <f>'General Information'!E20</f>
        <v>6.3640000000000008</v>
      </c>
      <c r="F18" s="36">
        <f>'General Information'!F20</f>
        <v>4.16</v>
      </c>
      <c r="G18" s="36">
        <f>'General Information'!G20</f>
        <v>0</v>
      </c>
      <c r="H18" s="36">
        <f>'General Information'!H20</f>
        <v>10.464</v>
      </c>
      <c r="I18" s="36">
        <f>'General Information'!I20</f>
        <v>0</v>
      </c>
      <c r="J18" s="36">
        <f>'General Information'!J20</f>
        <v>5.0760000000000005</v>
      </c>
      <c r="K18" s="36">
        <f>'General Information'!K20</f>
        <v>0</v>
      </c>
      <c r="L18" s="36">
        <f>'General Information'!L20</f>
        <v>5.331999999999999</v>
      </c>
      <c r="M18" s="36">
        <f>'General Information'!M20</f>
        <v>0</v>
      </c>
      <c r="N18" s="36">
        <f>'General Information'!N20</f>
        <v>27.252000000000002</v>
      </c>
      <c r="O18" s="36">
        <f>'General Information'!O20</f>
        <v>0</v>
      </c>
      <c r="P18" s="36">
        <f>'General Information'!P20</f>
        <v>0</v>
      </c>
      <c r="Q18" s="36">
        <f>'General Information'!Q20</f>
        <v>1.5760000000000003</v>
      </c>
      <c r="R18" s="36">
        <f>'General Information'!R20</f>
        <v>11.56</v>
      </c>
      <c r="S18" s="36">
        <f>'General Information'!S20</f>
        <v>3.0760000000000001</v>
      </c>
      <c r="T18" s="36">
        <f>'General Information'!T20</f>
        <v>0</v>
      </c>
      <c r="U18" s="66">
        <f t="shared" si="0"/>
        <v>17166.908000000003</v>
      </c>
      <c r="V18" s="66">
        <f t="shared" si="11"/>
        <v>1716.6908000000003</v>
      </c>
      <c r="W18" s="66">
        <f t="shared" si="12"/>
        <v>15450.217200000003</v>
      </c>
      <c r="Y18" s="67">
        <v>5</v>
      </c>
      <c r="Z18" s="67" t="s">
        <v>93</v>
      </c>
      <c r="AA18" s="36">
        <v>23.966666666666669</v>
      </c>
      <c r="AB18" s="36"/>
      <c r="AC18" s="36">
        <f t="shared" si="1"/>
        <v>71.335239165831169</v>
      </c>
      <c r="AD18" s="36">
        <f t="shared" si="13"/>
        <v>24.126696101292552</v>
      </c>
      <c r="AE18" s="19"/>
      <c r="AF18" s="67">
        <v>5</v>
      </c>
      <c r="AG18" s="67" t="str">
        <f t="shared" si="2"/>
        <v>2022-2023</v>
      </c>
      <c r="AH18" s="36">
        <f>('Mangifera indica'!AD18*$W$14)/1000</f>
        <v>1239.4609518252712</v>
      </c>
      <c r="AI18" s="36">
        <f>('Mangifera indica'!AD17*$W$15)/1000</f>
        <v>446.71150372727465</v>
      </c>
      <c r="AJ18" s="36">
        <f>('Mangifera indica'!AD16*$W$16)/1000</f>
        <v>225.58049933899355</v>
      </c>
      <c r="AK18" s="36">
        <f>('Mangifera indica'!AD15*$W$17)/1000</f>
        <v>171.94704406453118</v>
      </c>
      <c r="AL18" s="36">
        <f>('Mangifera indica'!AD14*$W$18)/1000</f>
        <v>56.123429684132361</v>
      </c>
      <c r="AM18" s="68">
        <v>0</v>
      </c>
      <c r="AN18" s="68">
        <v>0</v>
      </c>
      <c r="AO18" s="68">
        <v>0</v>
      </c>
      <c r="AP18" s="68">
        <v>0</v>
      </c>
      <c r="AQ18" s="68">
        <v>0</v>
      </c>
      <c r="AR18" s="68">
        <v>0</v>
      </c>
      <c r="AT18" s="36">
        <f t="shared" si="3"/>
        <v>309.8652379563178</v>
      </c>
      <c r="AU18" s="36">
        <f t="shared" si="14"/>
        <v>111.67787593181866</v>
      </c>
      <c r="AV18" s="36">
        <f t="shared" si="20"/>
        <v>56.395124834748387</v>
      </c>
      <c r="AW18" s="36">
        <f t="shared" ref="AW18:AW48" si="23">AK18*$AF$4</f>
        <v>42.986761016132796</v>
      </c>
      <c r="AX18" s="36">
        <f>AL18*$AF$4</f>
        <v>14.03085742103309</v>
      </c>
      <c r="AY18" s="68">
        <v>0</v>
      </c>
      <c r="AZ18" s="68">
        <v>0</v>
      </c>
      <c r="BA18" s="68">
        <v>0</v>
      </c>
      <c r="BB18" s="68">
        <v>0</v>
      </c>
      <c r="BC18" s="68">
        <v>0</v>
      </c>
      <c r="BD18" s="68">
        <v>0</v>
      </c>
      <c r="BF18" s="36">
        <f t="shared" si="15"/>
        <v>1549.3261897815889</v>
      </c>
      <c r="BG18" s="36">
        <f t="shared" si="16"/>
        <v>558.38937965909327</v>
      </c>
      <c r="BH18" s="36">
        <f t="shared" si="17"/>
        <v>281.97562417374195</v>
      </c>
      <c r="BI18" s="36">
        <f t="shared" si="21"/>
        <v>214.93380508066397</v>
      </c>
      <c r="BJ18" s="36">
        <f t="shared" ref="BJ18:BJ48" si="24">AL18+AX18</f>
        <v>70.154287105165452</v>
      </c>
      <c r="BK18" s="68">
        <v>0</v>
      </c>
      <c r="BL18" s="68">
        <v>0</v>
      </c>
      <c r="BM18" s="68">
        <v>0</v>
      </c>
      <c r="BN18" s="68">
        <v>0</v>
      </c>
      <c r="BO18" s="68">
        <v>0</v>
      </c>
      <c r="BP18" s="68">
        <v>0</v>
      </c>
      <c r="BR18" s="36">
        <f>'Mangifera indica'!BF18*$AD$7*$AH$4</f>
        <v>2672.4327447542623</v>
      </c>
      <c r="BS18" s="36">
        <f t="shared" si="4"/>
        <v>963.16584097396981</v>
      </c>
      <c r="BT18" s="36">
        <f t="shared" si="18"/>
        <v>486.37975413728742</v>
      </c>
      <c r="BU18" s="36">
        <f t="shared" si="22"/>
        <v>370.73932038363722</v>
      </c>
      <c r="BV18" s="36">
        <f t="shared" ref="BV18:BV48" si="25">BJ18*$AD$7*$AH$4</f>
        <v>121.00912982769988</v>
      </c>
      <c r="BW18" s="68">
        <v>0</v>
      </c>
      <c r="BX18" s="68">
        <v>0</v>
      </c>
      <c r="BY18" s="68">
        <v>0</v>
      </c>
      <c r="BZ18" s="68">
        <v>0</v>
      </c>
      <c r="CA18" s="68">
        <v>0</v>
      </c>
      <c r="CB18" s="68">
        <v>0</v>
      </c>
      <c r="CC18" s="36">
        <f t="shared" si="5"/>
        <v>4613.7267900768575</v>
      </c>
      <c r="CE18" s="36">
        <f t="shared" si="6"/>
        <v>26.724327447542624</v>
      </c>
      <c r="CF18" s="36">
        <f t="shared" si="6"/>
        <v>9.631658409739698</v>
      </c>
      <c r="CG18" s="36">
        <f t="shared" si="6"/>
        <v>4.8637975413728745</v>
      </c>
      <c r="CH18" s="36">
        <f t="shared" si="6"/>
        <v>3.7073932038363724</v>
      </c>
      <c r="CI18" s="36">
        <f t="shared" si="6"/>
        <v>1.2100912982769989</v>
      </c>
      <c r="CJ18" s="68">
        <v>0</v>
      </c>
      <c r="CK18" s="68">
        <v>0</v>
      </c>
      <c r="CL18" s="68">
        <v>0</v>
      </c>
      <c r="CM18" s="68">
        <v>0</v>
      </c>
      <c r="CN18" s="68">
        <v>0</v>
      </c>
      <c r="CO18" s="68">
        <v>0</v>
      </c>
      <c r="CP18" s="36">
        <f>SUM(CE18:CO18)</f>
        <v>46.13726790076857</v>
      </c>
      <c r="CR18" s="36">
        <f t="shared" si="8"/>
        <v>26.724327447542624</v>
      </c>
      <c r="CS18" s="36">
        <f t="shared" si="8"/>
        <v>9.631658409739698</v>
      </c>
      <c r="CT18" s="36">
        <f t="shared" si="8"/>
        <v>4.8637975413728745</v>
      </c>
      <c r="CU18" s="36">
        <f t="shared" si="8"/>
        <v>3.7073932038363724</v>
      </c>
      <c r="CV18" s="36">
        <f t="shared" si="8"/>
        <v>1.2100912982769989</v>
      </c>
      <c r="CW18" s="68">
        <v>0</v>
      </c>
      <c r="CX18" s="68">
        <v>0</v>
      </c>
      <c r="CY18" s="68">
        <v>0</v>
      </c>
      <c r="CZ18" s="68">
        <v>0</v>
      </c>
      <c r="DA18" s="68">
        <v>0</v>
      </c>
      <c r="DB18" s="68">
        <v>0</v>
      </c>
      <c r="DC18" s="36">
        <f t="shared" si="9"/>
        <v>46.13726790076857</v>
      </c>
      <c r="DE18" s="36">
        <f t="shared" si="10"/>
        <v>4706.0013258783938</v>
      </c>
      <c r="DF18" s="36">
        <f t="shared" si="19"/>
        <v>12027.018469214396</v>
      </c>
    </row>
    <row r="19" spans="2:110" ht="12.75" customHeight="1" x14ac:dyDescent="0.25">
      <c r="B19" s="65">
        <v>2023</v>
      </c>
      <c r="C19" s="36">
        <f>'General Information'!C21</f>
        <v>0.16</v>
      </c>
      <c r="D19" s="36">
        <f>'General Information'!D21</f>
        <v>0</v>
      </c>
      <c r="E19" s="36">
        <f>'General Information'!E21</f>
        <v>5.88</v>
      </c>
      <c r="F19" s="36">
        <f>'General Information'!F21</f>
        <v>3.26</v>
      </c>
      <c r="G19" s="36">
        <f>'General Information'!G21</f>
        <v>0</v>
      </c>
      <c r="H19" s="36">
        <f>'General Information'!H21</f>
        <v>4.0760000000000005</v>
      </c>
      <c r="I19" s="36">
        <f>'General Information'!I21</f>
        <v>1.52</v>
      </c>
      <c r="J19" s="36">
        <f>'General Information'!J21</f>
        <v>6.080000000000001</v>
      </c>
      <c r="K19" s="36">
        <f>'General Information'!K21</f>
        <v>0</v>
      </c>
      <c r="L19" s="36">
        <f>'General Information'!L21</f>
        <v>5.5080000000000009</v>
      </c>
      <c r="M19" s="36">
        <f>'General Information'!M21</f>
        <v>0</v>
      </c>
      <c r="N19" s="36">
        <f>'General Information'!N21</f>
        <v>22.415999999999997</v>
      </c>
      <c r="O19" s="36">
        <f>'General Information'!O21</f>
        <v>0</v>
      </c>
      <c r="P19" s="36">
        <f>'General Information'!P21</f>
        <v>0</v>
      </c>
      <c r="Q19" s="36">
        <f>'General Information'!Q21</f>
        <v>1.8840000000000001</v>
      </c>
      <c r="R19" s="36">
        <f>'General Information'!R21</f>
        <v>15.288</v>
      </c>
      <c r="S19" s="36">
        <f>'General Information'!S21</f>
        <v>1.6679999999999999</v>
      </c>
      <c r="T19" s="36">
        <f>'General Information'!T21</f>
        <v>0.76</v>
      </c>
      <c r="U19" s="66">
        <f t="shared" si="0"/>
        <v>15076.78</v>
      </c>
      <c r="V19" s="66">
        <f t="shared" si="11"/>
        <v>1507.6780000000001</v>
      </c>
      <c r="W19" s="66">
        <f t="shared" si="12"/>
        <v>13569.102000000001</v>
      </c>
      <c r="Y19" s="67">
        <v>6</v>
      </c>
      <c r="Z19" s="67" t="s">
        <v>94</v>
      </c>
      <c r="AA19" s="69">
        <v>28.76</v>
      </c>
      <c r="AB19" s="70" t="s">
        <v>95</v>
      </c>
      <c r="AC19" s="36">
        <f t="shared" si="1"/>
        <v>99.951525488246986</v>
      </c>
      <c r="AD19" s="36">
        <f t="shared" si="13"/>
        <v>28.616286322415817</v>
      </c>
      <c r="AE19" s="19"/>
      <c r="AF19" s="67">
        <v>6</v>
      </c>
      <c r="AG19" s="67" t="str">
        <f t="shared" si="2"/>
        <v>2023-2024</v>
      </c>
      <c r="AH19" s="36">
        <f>('Mangifera indica'!AD19*$W$14)/1000</f>
        <v>1470.1047061717584</v>
      </c>
      <c r="AI19" s="36">
        <f>('Mangifera indica'!AD18*$W$15)/1000</f>
        <v>553.19044741364451</v>
      </c>
      <c r="AJ19" s="36">
        <f>('Mangifera indica'!AD17*$W$16)/1000</f>
        <v>300.39498650615843</v>
      </c>
      <c r="AK19" s="36">
        <f>('Mangifera indica'!AD16*$W$17)/1000</f>
        <v>265.8497501384764</v>
      </c>
      <c r="AL19" s="36">
        <f>('Mangifera indica'!AD15*$W$18)/1000</f>
        <v>146.20163818039052</v>
      </c>
      <c r="AM19" s="36">
        <f>('Mangifera indica'!AD14*$W$19)/1000</f>
        <v>49.29021593132164</v>
      </c>
      <c r="AN19" s="68">
        <v>0</v>
      </c>
      <c r="AO19" s="68">
        <v>0</v>
      </c>
      <c r="AP19" s="68">
        <v>0</v>
      </c>
      <c r="AQ19" s="68">
        <v>0</v>
      </c>
      <c r="AR19" s="68">
        <v>0</v>
      </c>
      <c r="AT19" s="36">
        <f t="shared" si="3"/>
        <v>367.5261765429396</v>
      </c>
      <c r="AU19" s="36">
        <f t="shared" si="14"/>
        <v>138.29761185341113</v>
      </c>
      <c r="AV19" s="36">
        <f t="shared" si="20"/>
        <v>75.098746626539608</v>
      </c>
      <c r="AW19" s="36">
        <f t="shared" si="23"/>
        <v>66.462437534619099</v>
      </c>
      <c r="AX19" s="36">
        <f t="shared" ref="AX19:AX48" si="26">AL19*$AF$4</f>
        <v>36.550409545097629</v>
      </c>
      <c r="AY19" s="36">
        <f>AM19*$AF$4</f>
        <v>12.32255398283041</v>
      </c>
      <c r="AZ19" s="68">
        <v>0</v>
      </c>
      <c r="BA19" s="68">
        <v>0</v>
      </c>
      <c r="BB19" s="68">
        <v>0</v>
      </c>
      <c r="BC19" s="68">
        <v>0</v>
      </c>
      <c r="BD19" s="68">
        <v>0</v>
      </c>
      <c r="BF19" s="36">
        <f t="shared" si="15"/>
        <v>1837.6308827146979</v>
      </c>
      <c r="BG19" s="36">
        <f t="shared" si="16"/>
        <v>691.48805926705563</v>
      </c>
      <c r="BH19" s="36">
        <f t="shared" si="17"/>
        <v>375.49373313269803</v>
      </c>
      <c r="BI19" s="36">
        <f t="shared" si="21"/>
        <v>332.31218767309548</v>
      </c>
      <c r="BJ19" s="36">
        <f t="shared" si="24"/>
        <v>182.75204772548815</v>
      </c>
      <c r="BK19" s="36">
        <f>AM19+AY19</f>
        <v>61.612769914152054</v>
      </c>
      <c r="BL19" s="68">
        <v>0</v>
      </c>
      <c r="BM19" s="68">
        <v>0</v>
      </c>
      <c r="BN19" s="68">
        <v>0</v>
      </c>
      <c r="BO19" s="68">
        <v>0</v>
      </c>
      <c r="BP19" s="68">
        <v>0</v>
      </c>
      <c r="BR19" s="36">
        <f>'Mangifera indica'!BF19*$AD$7*$AH$4</f>
        <v>3169.7295095945819</v>
      </c>
      <c r="BS19" s="36">
        <f t="shared" si="4"/>
        <v>1192.7477534297443</v>
      </c>
      <c r="BT19" s="36">
        <f t="shared" si="18"/>
        <v>647.68914028059078</v>
      </c>
      <c r="BU19" s="36">
        <f t="shared" si="22"/>
        <v>573.20529251732239</v>
      </c>
      <c r="BV19" s="36">
        <f t="shared" si="25"/>
        <v>315.22900712169451</v>
      </c>
      <c r="BW19" s="36">
        <f t="shared" ref="BW19:BW48" si="27">BK19*$AD$7*$AH$4</f>
        <v>106.27586682492087</v>
      </c>
      <c r="BX19" s="68">
        <v>0</v>
      </c>
      <c r="BY19" s="68">
        <v>0</v>
      </c>
      <c r="BZ19" s="68">
        <v>0</v>
      </c>
      <c r="CA19" s="68">
        <v>0</v>
      </c>
      <c r="CB19" s="68">
        <v>0</v>
      </c>
      <c r="CC19" s="36">
        <f t="shared" si="5"/>
        <v>6004.8765697688541</v>
      </c>
      <c r="CE19" s="36">
        <f t="shared" si="6"/>
        <v>31.697295095945819</v>
      </c>
      <c r="CF19" s="36">
        <f t="shared" si="6"/>
        <v>11.927477534297443</v>
      </c>
      <c r="CG19" s="36">
        <f t="shared" si="6"/>
        <v>6.4768914028059079</v>
      </c>
      <c r="CH19" s="36">
        <f t="shared" si="6"/>
        <v>5.7320529251732237</v>
      </c>
      <c r="CI19" s="36">
        <f t="shared" si="6"/>
        <v>3.152290071216945</v>
      </c>
      <c r="CJ19" s="36">
        <f t="shared" si="6"/>
        <v>1.0627586682492087</v>
      </c>
      <c r="CK19" s="68">
        <v>0</v>
      </c>
      <c r="CL19" s="68">
        <v>0</v>
      </c>
      <c r="CM19" s="68">
        <v>0</v>
      </c>
      <c r="CN19" s="68">
        <v>0</v>
      </c>
      <c r="CO19" s="68">
        <v>0</v>
      </c>
      <c r="CP19" s="36">
        <f t="shared" si="7"/>
        <v>60.048765697688552</v>
      </c>
      <c r="CR19" s="36">
        <f t="shared" si="8"/>
        <v>31.697295095945819</v>
      </c>
      <c r="CS19" s="36">
        <f t="shared" si="8"/>
        <v>11.927477534297443</v>
      </c>
      <c r="CT19" s="36">
        <f t="shared" si="8"/>
        <v>6.4768914028059079</v>
      </c>
      <c r="CU19" s="36">
        <f t="shared" si="8"/>
        <v>5.7320529251732237</v>
      </c>
      <c r="CV19" s="36">
        <f t="shared" si="8"/>
        <v>3.152290071216945</v>
      </c>
      <c r="CW19" s="36">
        <f>BW19*$AF$7</f>
        <v>1.0627586682492087</v>
      </c>
      <c r="CX19" s="68">
        <v>0</v>
      </c>
      <c r="CY19" s="68">
        <v>0</v>
      </c>
      <c r="CZ19" s="68">
        <v>0</v>
      </c>
      <c r="DA19" s="68">
        <v>0</v>
      </c>
      <c r="DB19" s="68">
        <v>0</v>
      </c>
      <c r="DC19" s="36">
        <f t="shared" si="9"/>
        <v>60.048765697688552</v>
      </c>
      <c r="DE19" s="36">
        <f t="shared" si="10"/>
        <v>6124.9741011642309</v>
      </c>
      <c r="DF19" s="36">
        <f t="shared" si="19"/>
        <v>18151.992570378628</v>
      </c>
    </row>
    <row r="20" spans="2:110" x14ac:dyDescent="0.25">
      <c r="B20" s="65">
        <v>2024</v>
      </c>
      <c r="C20" s="36">
        <f>'General Information'!C22</f>
        <v>0</v>
      </c>
      <c r="D20" s="36">
        <f>'General Information'!D22</f>
        <v>0</v>
      </c>
      <c r="E20" s="36">
        <f>'General Information'!E22</f>
        <v>505.94</v>
      </c>
      <c r="F20" s="36">
        <f>'General Information'!F22</f>
        <v>0</v>
      </c>
      <c r="G20" s="36">
        <f>'General Information'!G22</f>
        <v>0</v>
      </c>
      <c r="H20" s="36">
        <f>'General Information'!H22</f>
        <v>0</v>
      </c>
      <c r="I20" s="36">
        <f>'General Information'!I22</f>
        <v>0</v>
      </c>
      <c r="J20" s="36">
        <f>'General Information'!J22</f>
        <v>0</v>
      </c>
      <c r="K20" s="36">
        <f>'General Information'!K22</f>
        <v>0</v>
      </c>
      <c r="L20" s="36">
        <f>'General Information'!L22</f>
        <v>0</v>
      </c>
      <c r="M20" s="36">
        <f>'General Information'!M22</f>
        <v>0</v>
      </c>
      <c r="N20" s="36">
        <f>'General Information'!N22</f>
        <v>0</v>
      </c>
      <c r="O20" s="36">
        <f>'General Information'!O22</f>
        <v>0</v>
      </c>
      <c r="P20" s="36">
        <f>'General Information'!P22</f>
        <v>0</v>
      </c>
      <c r="Q20" s="36">
        <f>'General Information'!Q22</f>
        <v>0</v>
      </c>
      <c r="R20" s="36">
        <f>'General Information'!R22</f>
        <v>0</v>
      </c>
      <c r="S20" s="36">
        <f>'General Information'!S22</f>
        <v>0</v>
      </c>
      <c r="T20" s="36">
        <f>'General Information'!T22</f>
        <v>0</v>
      </c>
      <c r="U20" s="66">
        <f t="shared" si="0"/>
        <v>202376</v>
      </c>
      <c r="V20" s="66">
        <f t="shared" si="11"/>
        <v>20237.600000000002</v>
      </c>
      <c r="W20" s="66">
        <f t="shared" si="12"/>
        <v>182138.4</v>
      </c>
      <c r="Y20" s="67">
        <v>7</v>
      </c>
      <c r="Z20" s="67" t="s">
        <v>96</v>
      </c>
      <c r="AA20" s="36">
        <v>30.87916666666667</v>
      </c>
      <c r="AB20" s="36"/>
      <c r="AC20" s="36">
        <f t="shared" si="1"/>
        <v>114.00169355083509</v>
      </c>
      <c r="AD20" s="36">
        <f t="shared" si="13"/>
        <v>14.050168062588099</v>
      </c>
      <c r="AE20" s="19"/>
      <c r="AF20" s="67">
        <v>7</v>
      </c>
      <c r="AG20" s="67" t="str">
        <f t="shared" si="2"/>
        <v>2024-2025</v>
      </c>
      <c r="AH20" s="36">
        <f>('Mangifera indica'!AD20*$W$14)/1000</f>
        <v>721.79939628068303</v>
      </c>
      <c r="AI20" s="36">
        <f>('Mangifera indica'!AD19*$W$15)/1000</f>
        <v>656.13029515326298</v>
      </c>
      <c r="AJ20" s="36">
        <f>('Mangifera indica'!AD18*$W$16)/1000</f>
        <v>371.99766650202656</v>
      </c>
      <c r="AK20" s="36">
        <f>('Mangifera indica'!AD17*$W$17)/1000</f>
        <v>354.0196618924175</v>
      </c>
      <c r="AL20" s="36">
        <f>('Mangifera indica'!AD16*$W$18)/1000</f>
        <v>226.04441496246852</v>
      </c>
      <c r="AM20" s="36">
        <f>('Mangifera indica'!AD15*$W$19)/1000</f>
        <v>128.40110370984385</v>
      </c>
      <c r="AN20" s="36">
        <f>('Mangifera indica'!AD14*$W$20)/1000</f>
        <v>661.62381750726274</v>
      </c>
      <c r="AO20" s="68">
        <v>0</v>
      </c>
      <c r="AP20" s="68">
        <v>0</v>
      </c>
      <c r="AQ20" s="68">
        <v>0</v>
      </c>
      <c r="AR20" s="68">
        <v>0</v>
      </c>
      <c r="AT20" s="36">
        <f t="shared" si="3"/>
        <v>180.44984907017076</v>
      </c>
      <c r="AU20" s="36">
        <f t="shared" si="14"/>
        <v>164.03257378831574</v>
      </c>
      <c r="AV20" s="36">
        <f t="shared" si="20"/>
        <v>92.99941662550664</v>
      </c>
      <c r="AW20" s="36">
        <f t="shared" si="23"/>
        <v>88.504915473104376</v>
      </c>
      <c r="AX20" s="36">
        <f t="shared" si="26"/>
        <v>56.511103740617131</v>
      </c>
      <c r="AY20" s="36">
        <f t="shared" ref="AY20:AY48" si="28">AM20*$AF$4</f>
        <v>32.100275927460963</v>
      </c>
      <c r="AZ20" s="36">
        <f>AN20*$AF$4</f>
        <v>165.40595437681569</v>
      </c>
      <c r="BA20" s="68">
        <v>0</v>
      </c>
      <c r="BB20" s="68">
        <v>0</v>
      </c>
      <c r="BC20" s="68">
        <v>0</v>
      </c>
      <c r="BD20" s="68">
        <v>0</v>
      </c>
      <c r="BF20" s="36">
        <f t="shared" si="15"/>
        <v>902.24924535085381</v>
      </c>
      <c r="BG20" s="36">
        <f t="shared" si="16"/>
        <v>820.16286894157872</v>
      </c>
      <c r="BH20" s="36">
        <f t="shared" si="17"/>
        <v>464.99708312753319</v>
      </c>
      <c r="BI20" s="36">
        <f t="shared" si="21"/>
        <v>442.52457736552185</v>
      </c>
      <c r="BJ20" s="36">
        <f t="shared" si="24"/>
        <v>282.55551870308568</v>
      </c>
      <c r="BK20" s="36">
        <f t="shared" ref="BK20:BK48" si="29">AM20+AY20</f>
        <v>160.50137963730481</v>
      </c>
      <c r="BL20" s="36">
        <f>AZ20+AN20</f>
        <v>827.0297718840784</v>
      </c>
      <c r="BM20" s="68">
        <v>0</v>
      </c>
      <c r="BN20" s="68">
        <v>0</v>
      </c>
      <c r="BO20" s="68">
        <v>0</v>
      </c>
      <c r="BP20" s="68">
        <v>0</v>
      </c>
      <c r="BR20" s="36">
        <f>'Mangifera indica'!BF20*$AD$7*$AH$4</f>
        <v>1556.2897233056876</v>
      </c>
      <c r="BS20" s="36">
        <f t="shared" si="4"/>
        <v>1414.6989326373291</v>
      </c>
      <c r="BT20" s="36">
        <f t="shared" si="18"/>
        <v>802.07346868668185</v>
      </c>
      <c r="BU20" s="36">
        <f t="shared" si="22"/>
        <v>763.31064349778853</v>
      </c>
      <c r="BV20" s="36">
        <f t="shared" si="25"/>
        <v>487.38001421095248</v>
      </c>
      <c r="BW20" s="36">
        <f t="shared" si="27"/>
        <v>276.84882973638707</v>
      </c>
      <c r="BX20" s="36">
        <f>BL20*$AD$7*$AH$4</f>
        <v>1426.5436535228469</v>
      </c>
      <c r="BY20" s="68">
        <v>0</v>
      </c>
      <c r="BZ20" s="68">
        <v>0</v>
      </c>
      <c r="CA20" s="68">
        <v>0</v>
      </c>
      <c r="CB20" s="68">
        <v>0</v>
      </c>
      <c r="CC20" s="36">
        <f t="shared" si="5"/>
        <v>6727.1452655976736</v>
      </c>
      <c r="CE20" s="36">
        <f t="shared" si="6"/>
        <v>15.562897233056876</v>
      </c>
      <c r="CF20" s="36">
        <f t="shared" si="6"/>
        <v>14.146989326373291</v>
      </c>
      <c r="CG20" s="36">
        <f t="shared" si="6"/>
        <v>8.0207346868668186</v>
      </c>
      <c r="CH20" s="36">
        <f t="shared" si="6"/>
        <v>7.6331064349778854</v>
      </c>
      <c r="CI20" s="36">
        <f t="shared" si="6"/>
        <v>4.8738001421095252</v>
      </c>
      <c r="CJ20" s="36">
        <f t="shared" si="6"/>
        <v>2.7684882973638709</v>
      </c>
      <c r="CK20" s="36">
        <f t="shared" si="6"/>
        <v>14.265436535228469</v>
      </c>
      <c r="CL20" s="68">
        <v>0</v>
      </c>
      <c r="CM20" s="68">
        <v>0</v>
      </c>
      <c r="CN20" s="68">
        <v>0</v>
      </c>
      <c r="CO20" s="68">
        <v>0</v>
      </c>
      <c r="CP20" s="36">
        <f t="shared" si="7"/>
        <v>67.271452655976731</v>
      </c>
      <c r="CR20" s="36">
        <f t="shared" si="8"/>
        <v>15.562897233056876</v>
      </c>
      <c r="CS20" s="36">
        <f t="shared" si="8"/>
        <v>14.146989326373291</v>
      </c>
      <c r="CT20" s="36">
        <f t="shared" si="8"/>
        <v>8.0207346868668186</v>
      </c>
      <c r="CU20" s="36">
        <f t="shared" si="8"/>
        <v>7.6331064349778854</v>
      </c>
      <c r="CV20" s="36">
        <f t="shared" si="8"/>
        <v>4.8738001421095252</v>
      </c>
      <c r="CW20" s="36">
        <f t="shared" si="8"/>
        <v>2.7684882973638709</v>
      </c>
      <c r="CX20" s="36">
        <f t="shared" si="8"/>
        <v>14.265436535228469</v>
      </c>
      <c r="CY20" s="68">
        <v>0</v>
      </c>
      <c r="CZ20" s="68">
        <v>0</v>
      </c>
      <c r="DA20" s="68">
        <v>0</v>
      </c>
      <c r="DB20" s="68">
        <v>0</v>
      </c>
      <c r="DC20" s="36">
        <f t="shared" si="9"/>
        <v>67.271452655976731</v>
      </c>
      <c r="DE20" s="36">
        <f t="shared" si="10"/>
        <v>6861.6881709096269</v>
      </c>
      <c r="DF20" s="36">
        <f t="shared" si="19"/>
        <v>25013.680741288255</v>
      </c>
    </row>
    <row r="21" spans="2:110" x14ac:dyDescent="0.25">
      <c r="B21" s="67">
        <v>2025</v>
      </c>
      <c r="C21" s="36">
        <f>'General Information'!C23</f>
        <v>0</v>
      </c>
      <c r="D21" s="36">
        <f>'General Information'!D23</f>
        <v>0</v>
      </c>
      <c r="E21" s="36">
        <f>'General Information'!E23</f>
        <v>650</v>
      </c>
      <c r="F21" s="36">
        <f>'General Information'!F23</f>
        <v>0</v>
      </c>
      <c r="G21" s="36">
        <f>'General Information'!G23</f>
        <v>0</v>
      </c>
      <c r="H21" s="36">
        <f>'General Information'!H23</f>
        <v>0</v>
      </c>
      <c r="I21" s="36">
        <f>'General Information'!I23</f>
        <v>0</v>
      </c>
      <c r="J21" s="36">
        <f>'General Information'!J23</f>
        <v>0</v>
      </c>
      <c r="K21" s="36">
        <f>'General Information'!K23</f>
        <v>0</v>
      </c>
      <c r="L21" s="36">
        <f>'General Information'!L23</f>
        <v>0</v>
      </c>
      <c r="M21" s="36">
        <f>'General Information'!M23</f>
        <v>0</v>
      </c>
      <c r="N21" s="36">
        <f>'General Information'!N23</f>
        <v>0</v>
      </c>
      <c r="O21" s="36">
        <f>'General Information'!O23</f>
        <v>0</v>
      </c>
      <c r="P21" s="36">
        <f>'General Information'!P23</f>
        <v>0</v>
      </c>
      <c r="Q21" s="36">
        <f>'General Information'!Q23</f>
        <v>0</v>
      </c>
      <c r="R21" s="36">
        <f>'General Information'!R23</f>
        <v>0</v>
      </c>
      <c r="S21" s="36">
        <f>'General Information'!S23</f>
        <v>0</v>
      </c>
      <c r="T21" s="36">
        <f>'General Information'!T23</f>
        <v>0</v>
      </c>
      <c r="U21" s="66">
        <f t="shared" si="0"/>
        <v>260000</v>
      </c>
      <c r="V21" s="66">
        <f t="shared" si="11"/>
        <v>26000</v>
      </c>
      <c r="W21" s="66">
        <f t="shared" si="12"/>
        <v>234000</v>
      </c>
      <c r="Y21" s="67">
        <v>8</v>
      </c>
      <c r="Z21" s="67" t="s">
        <v>97</v>
      </c>
      <c r="AA21" s="36">
        <v>32.998333333333342</v>
      </c>
      <c r="AB21" s="36"/>
      <c r="AC21" s="36">
        <f t="shared" si="1"/>
        <v>128.8962271046249</v>
      </c>
      <c r="AD21" s="36">
        <f t="shared" si="13"/>
        <v>14.894533553789813</v>
      </c>
      <c r="AE21" s="19"/>
      <c r="AF21" s="67">
        <v>8</v>
      </c>
      <c r="AG21" s="67" t="str">
        <f t="shared" si="2"/>
        <v>2025-2026</v>
      </c>
      <c r="AH21" s="36">
        <f>('Mangifera indica'!AD21*$W$14)/1000</f>
        <v>765.17699141511252</v>
      </c>
      <c r="AI21" s="36">
        <f>('Mangifera indica'!AD20*$W$15)/1000</f>
        <v>322.15014953347111</v>
      </c>
      <c r="AJ21" s="36">
        <f>('Mangifera indica'!AD19*$W$16)/1000</f>
        <v>441.22045103897347</v>
      </c>
      <c r="AK21" s="36">
        <f>('Mangifera indica'!AD18*$W$17)/1000</f>
        <v>438.40441430641465</v>
      </c>
      <c r="AL21" s="36">
        <f>('Mangifera indica'!AD17*$W$18)/1000</f>
        <v>301.01276121568395</v>
      </c>
      <c r="AM21" s="36">
        <f>('Mangifera indica'!AD16*$W$19)/1000</f>
        <v>198.52275754130247</v>
      </c>
      <c r="AN21" s="36">
        <f>('Mangifera indica'!AD15*$W$20)/1000</f>
        <v>1723.5312689037949</v>
      </c>
      <c r="AO21" s="36">
        <f>('Mangifera indica'!AD14*$W$21)/1000</f>
        <v>850.01281056987148</v>
      </c>
      <c r="AP21" s="68">
        <v>0</v>
      </c>
      <c r="AQ21" s="68">
        <v>0</v>
      </c>
      <c r="AR21" s="68">
        <v>0</v>
      </c>
      <c r="AT21" s="36">
        <f t="shared" si="3"/>
        <v>191.29424785377813</v>
      </c>
      <c r="AU21" s="36">
        <f t="shared" si="14"/>
        <v>80.537537383367777</v>
      </c>
      <c r="AV21" s="36">
        <f t="shared" si="20"/>
        <v>110.30511275974337</v>
      </c>
      <c r="AW21" s="36">
        <f t="shared" si="23"/>
        <v>109.60110357660366</v>
      </c>
      <c r="AX21" s="36">
        <f t="shared" si="26"/>
        <v>75.253190303920988</v>
      </c>
      <c r="AY21" s="36">
        <f t="shared" si="28"/>
        <v>49.630689385325617</v>
      </c>
      <c r="AZ21" s="36">
        <f t="shared" ref="AZ21:AZ48" si="30">AN21*$AF$4</f>
        <v>430.88281722594871</v>
      </c>
      <c r="BA21" s="36">
        <f>AO21*$AF$4</f>
        <v>212.50320264246787</v>
      </c>
      <c r="BB21" s="68">
        <v>0</v>
      </c>
      <c r="BC21" s="68">
        <v>0</v>
      </c>
      <c r="BD21" s="68">
        <v>0</v>
      </c>
      <c r="BF21" s="36">
        <f t="shared" si="15"/>
        <v>956.47123926889071</v>
      </c>
      <c r="BG21" s="36">
        <f t="shared" si="16"/>
        <v>402.68768691683886</v>
      </c>
      <c r="BH21" s="36">
        <f t="shared" si="17"/>
        <v>551.5255637987168</v>
      </c>
      <c r="BI21" s="36">
        <f t="shared" si="21"/>
        <v>548.00551788301834</v>
      </c>
      <c r="BJ21" s="36">
        <f t="shared" si="24"/>
        <v>376.26595151960493</v>
      </c>
      <c r="BK21" s="36">
        <f t="shared" si="29"/>
        <v>248.15344692662808</v>
      </c>
      <c r="BL21" s="36">
        <f t="shared" ref="BL21:BL48" si="31">AZ21+AN21</f>
        <v>2154.4140861297437</v>
      </c>
      <c r="BM21" s="36">
        <f>BA21+AO21</f>
        <v>1062.5160132123394</v>
      </c>
      <c r="BN21" s="68">
        <v>0</v>
      </c>
      <c r="BO21" s="68">
        <v>0</v>
      </c>
      <c r="BP21" s="68">
        <v>0</v>
      </c>
      <c r="BR21" s="36">
        <f>'Mangifera indica'!BF21*$AD$7*$AH$4</f>
        <v>1649.8172406149095</v>
      </c>
      <c r="BS21" s="36">
        <f t="shared" si="4"/>
        <v>694.59599116285528</v>
      </c>
      <c r="BT21" s="36">
        <f t="shared" si="18"/>
        <v>951.32644499640651</v>
      </c>
      <c r="BU21" s="36">
        <f t="shared" si="22"/>
        <v>945.25471779641828</v>
      </c>
      <c r="BV21" s="36">
        <f t="shared" si="25"/>
        <v>649.02113977616648</v>
      </c>
      <c r="BW21" s="36">
        <f t="shared" si="27"/>
        <v>428.03988060374076</v>
      </c>
      <c r="BX21" s="36">
        <f t="shared" ref="BX21:BX48" si="32">BL21*$AD$7*$AH$4</f>
        <v>3716.1488571651948</v>
      </c>
      <c r="BY21" s="36">
        <f>BM21*$AD$7*$AH$4</f>
        <v>1832.733871189964</v>
      </c>
      <c r="BZ21" s="68">
        <v>0</v>
      </c>
      <c r="CA21" s="68">
        <v>0</v>
      </c>
      <c r="CB21" s="68">
        <v>0</v>
      </c>
      <c r="CC21" s="36">
        <f t="shared" si="5"/>
        <v>10866.938143305657</v>
      </c>
      <c r="CE21" s="36">
        <f t="shared" si="6"/>
        <v>16.498172406149095</v>
      </c>
      <c r="CF21" s="36">
        <f t="shared" si="6"/>
        <v>6.9459599116285533</v>
      </c>
      <c r="CG21" s="36">
        <f t="shared" si="6"/>
        <v>9.5132644499640655</v>
      </c>
      <c r="CH21" s="36">
        <f t="shared" si="6"/>
        <v>9.452547177964183</v>
      </c>
      <c r="CI21" s="36">
        <f t="shared" si="6"/>
        <v>6.4902113977616649</v>
      </c>
      <c r="CJ21" s="36">
        <f t="shared" si="6"/>
        <v>4.2803988060374074</v>
      </c>
      <c r="CK21" s="36">
        <f t="shared" si="6"/>
        <v>37.161488571651951</v>
      </c>
      <c r="CL21" s="36">
        <f t="shared" si="6"/>
        <v>18.327338711899639</v>
      </c>
      <c r="CM21" s="68">
        <v>0</v>
      </c>
      <c r="CN21" s="68">
        <v>0</v>
      </c>
      <c r="CO21" s="68">
        <v>0</v>
      </c>
      <c r="CP21" s="36">
        <f t="shared" si="7"/>
        <v>108.66938143305657</v>
      </c>
      <c r="CR21" s="36">
        <f t="shared" si="8"/>
        <v>16.498172406149095</v>
      </c>
      <c r="CS21" s="36">
        <f t="shared" si="8"/>
        <v>6.9459599116285533</v>
      </c>
      <c r="CT21" s="36">
        <f t="shared" si="8"/>
        <v>9.5132644499640655</v>
      </c>
      <c r="CU21" s="36">
        <f t="shared" si="8"/>
        <v>9.452547177964183</v>
      </c>
      <c r="CV21" s="36">
        <f t="shared" si="8"/>
        <v>6.4902113977616649</v>
      </c>
      <c r="CW21" s="36">
        <f t="shared" si="8"/>
        <v>4.2803988060374074</v>
      </c>
      <c r="CX21" s="36">
        <f t="shared" si="8"/>
        <v>37.161488571651951</v>
      </c>
      <c r="CY21" s="36">
        <f t="shared" si="8"/>
        <v>18.327338711899639</v>
      </c>
      <c r="CZ21" s="68">
        <v>0</v>
      </c>
      <c r="DA21" s="68">
        <v>0</v>
      </c>
      <c r="DB21" s="68">
        <v>0</v>
      </c>
      <c r="DC21" s="36">
        <f t="shared" si="9"/>
        <v>108.66938143305657</v>
      </c>
      <c r="DE21" s="36">
        <f t="shared" si="10"/>
        <v>11084.276906171772</v>
      </c>
      <c r="DF21" s="36">
        <f t="shared" si="19"/>
        <v>36097.957647460025</v>
      </c>
    </row>
    <row r="22" spans="2:110" x14ac:dyDescent="0.25">
      <c r="B22" s="67">
        <v>2026</v>
      </c>
      <c r="C22" s="36">
        <f>'General Information'!C24</f>
        <v>0</v>
      </c>
      <c r="D22" s="36">
        <f>'General Information'!D24</f>
        <v>0</v>
      </c>
      <c r="E22" s="36">
        <f>'General Information'!E24</f>
        <v>650</v>
      </c>
      <c r="F22" s="36">
        <f>'General Information'!F24</f>
        <v>0</v>
      </c>
      <c r="G22" s="36">
        <f>'General Information'!G24</f>
        <v>0</v>
      </c>
      <c r="H22" s="36">
        <f>'General Information'!H24</f>
        <v>0</v>
      </c>
      <c r="I22" s="36">
        <f>'General Information'!I24</f>
        <v>0</v>
      </c>
      <c r="J22" s="36">
        <f>'General Information'!J24</f>
        <v>0</v>
      </c>
      <c r="K22" s="36">
        <f>'General Information'!K24</f>
        <v>0</v>
      </c>
      <c r="L22" s="36">
        <f>'General Information'!L24</f>
        <v>0</v>
      </c>
      <c r="M22" s="36">
        <f>'General Information'!M24</f>
        <v>0</v>
      </c>
      <c r="N22" s="36">
        <f>'General Information'!N24</f>
        <v>0</v>
      </c>
      <c r="O22" s="36">
        <f>'General Information'!O24</f>
        <v>0</v>
      </c>
      <c r="P22" s="36">
        <f>'General Information'!P24</f>
        <v>0</v>
      </c>
      <c r="Q22" s="36">
        <f>'General Information'!Q24</f>
        <v>0</v>
      </c>
      <c r="R22" s="36">
        <f>'General Information'!R24</f>
        <v>0</v>
      </c>
      <c r="S22" s="36">
        <f>'General Information'!S24</f>
        <v>0</v>
      </c>
      <c r="T22" s="36">
        <f>'General Information'!T24</f>
        <v>0</v>
      </c>
      <c r="U22" s="66">
        <f t="shared" si="0"/>
        <v>260000</v>
      </c>
      <c r="V22" s="66">
        <f t="shared" si="11"/>
        <v>26000</v>
      </c>
      <c r="W22" s="66">
        <f t="shared" si="12"/>
        <v>234000</v>
      </c>
      <c r="Y22" s="67">
        <v>9</v>
      </c>
      <c r="Z22" s="67" t="s">
        <v>98</v>
      </c>
      <c r="AA22" s="36">
        <v>35.117500000000014</v>
      </c>
      <c r="AB22" s="36"/>
      <c r="AC22" s="36">
        <f t="shared" si="1"/>
        <v>144.62675405727114</v>
      </c>
      <c r="AD22" s="36">
        <f t="shared" si="13"/>
        <v>15.730526952646244</v>
      </c>
      <c r="AE22" s="19"/>
      <c r="AF22" s="67">
        <v>9</v>
      </c>
      <c r="AG22" s="67" t="str">
        <f t="shared" si="2"/>
        <v>2026-2027</v>
      </c>
      <c r="AH22" s="36">
        <f>('Mangifera indica'!AD22*$W$14)/1000</f>
        <v>808.12448698251114</v>
      </c>
      <c r="AI22" s="36">
        <f>('Mangifera indica'!AD21*$W$15)/1000</f>
        <v>341.51023604915008</v>
      </c>
      <c r="AJ22" s="36">
        <f>('Mangifera indica'!AD20*$W$16)/1000</f>
        <v>216.63263429442637</v>
      </c>
      <c r="AK22" s="36">
        <f>('Mangifera indica'!AD19*$W$17)/1000</f>
        <v>519.9844268826871</v>
      </c>
      <c r="AL22" s="36">
        <f>('Mangifera indica'!AD18*$W$18)/1000</f>
        <v>372.76269508336321</v>
      </c>
      <c r="AM22" s="36">
        <f>('Mangifera indica'!AD17*$W$19)/1000</f>
        <v>264.36345893164918</v>
      </c>
      <c r="AN22" s="36">
        <f>('Mangifera indica'!AD16*$W$20)/1000</f>
        <v>2664.7760052331214</v>
      </c>
      <c r="AO22" s="36">
        <f>('Mangifera indica'!AD15*$W$21)/1000</f>
        <v>2214.284944435045</v>
      </c>
      <c r="AP22" s="36">
        <f>('Mangifera indica'!AD14*$W$22)/1000</f>
        <v>850.01281056987148</v>
      </c>
      <c r="AQ22" s="68">
        <v>0</v>
      </c>
      <c r="AR22" s="68">
        <v>0</v>
      </c>
      <c r="AT22" s="36">
        <f t="shared" si="3"/>
        <v>202.03112174562779</v>
      </c>
      <c r="AU22" s="36">
        <f t="shared" si="14"/>
        <v>85.37755901228752</v>
      </c>
      <c r="AV22" s="36">
        <f t="shared" si="20"/>
        <v>54.158158573606592</v>
      </c>
      <c r="AW22" s="36">
        <f t="shared" si="23"/>
        <v>129.99610672067178</v>
      </c>
      <c r="AX22" s="36">
        <f t="shared" si="26"/>
        <v>93.190673770840803</v>
      </c>
      <c r="AY22" s="36">
        <f t="shared" si="28"/>
        <v>66.090864732912294</v>
      </c>
      <c r="AZ22" s="36">
        <f t="shared" si="30"/>
        <v>666.19400130828035</v>
      </c>
      <c r="BA22" s="36">
        <f t="shared" ref="BA22:BA48" si="33">AO22*$AF$4</f>
        <v>553.57123610876124</v>
      </c>
      <c r="BB22" s="36">
        <f>AP22*$AF$4</f>
        <v>212.50320264246787</v>
      </c>
      <c r="BC22" s="68">
        <v>0</v>
      </c>
      <c r="BD22" s="68">
        <v>0</v>
      </c>
      <c r="BF22" s="36">
        <f t="shared" si="15"/>
        <v>1010.155608728139</v>
      </c>
      <c r="BG22" s="36">
        <f t="shared" si="16"/>
        <v>426.8877950614376</v>
      </c>
      <c r="BH22" s="36">
        <f t="shared" si="17"/>
        <v>270.79079286803295</v>
      </c>
      <c r="BI22" s="36">
        <f t="shared" si="21"/>
        <v>649.98053360335894</v>
      </c>
      <c r="BJ22" s="36">
        <f t="shared" si="24"/>
        <v>465.95336885420403</v>
      </c>
      <c r="BK22" s="36">
        <f t="shared" si="29"/>
        <v>330.45432366456146</v>
      </c>
      <c r="BL22" s="36">
        <f t="shared" si="31"/>
        <v>3330.9700065414017</v>
      </c>
      <c r="BM22" s="36">
        <f t="shared" ref="BM22:BM48" si="34">BA22+AO22</f>
        <v>2767.8561805438062</v>
      </c>
      <c r="BN22" s="36">
        <f>BB22+AP22</f>
        <v>1062.5160132123394</v>
      </c>
      <c r="BO22" s="68">
        <v>0</v>
      </c>
      <c r="BP22" s="68">
        <v>0</v>
      </c>
      <c r="BR22" s="36">
        <f>'Mangifera indica'!BF22*$AD$7*$AH$4</f>
        <v>1742.4174094951668</v>
      </c>
      <c r="BS22" s="36">
        <f t="shared" si="4"/>
        <v>736.3387577014737</v>
      </c>
      <c r="BT22" s="36">
        <f t="shared" si="18"/>
        <v>467.08703861806998</v>
      </c>
      <c r="BU22" s="36">
        <f t="shared" si="22"/>
        <v>1121.1514224124337</v>
      </c>
      <c r="BV22" s="36">
        <f t="shared" si="25"/>
        <v>803.72296593661656</v>
      </c>
      <c r="BW22" s="36">
        <f t="shared" si="27"/>
        <v>570.000662889002</v>
      </c>
      <c r="BX22" s="36">
        <f t="shared" si="32"/>
        <v>5745.5901642832632</v>
      </c>
      <c r="BY22" s="36">
        <f>BM22*$AD$7*$AH$4</f>
        <v>4774.2751258200115</v>
      </c>
      <c r="BZ22" s="36">
        <f>BN22*$AD$7*$AH$4</f>
        <v>1832.733871189964</v>
      </c>
      <c r="CA22" s="68">
        <v>0</v>
      </c>
      <c r="CB22" s="68">
        <v>0</v>
      </c>
      <c r="CC22" s="36">
        <f t="shared" si="5"/>
        <v>17793.317418346003</v>
      </c>
      <c r="CE22" s="36">
        <f t="shared" si="6"/>
        <v>17.424174094951667</v>
      </c>
      <c r="CF22" s="36">
        <f t="shared" si="6"/>
        <v>7.3633875770147368</v>
      </c>
      <c r="CG22" s="36">
        <f t="shared" si="6"/>
        <v>4.6708703861806997</v>
      </c>
      <c r="CH22" s="36">
        <f t="shared" si="6"/>
        <v>11.211514224124338</v>
      </c>
      <c r="CI22" s="36">
        <f t="shared" si="6"/>
        <v>8.0372296593661652</v>
      </c>
      <c r="CJ22" s="36">
        <f t="shared" si="6"/>
        <v>5.7000066288900202</v>
      </c>
      <c r="CK22" s="36">
        <f t="shared" si="6"/>
        <v>57.455901642832636</v>
      </c>
      <c r="CL22" s="36">
        <f t="shared" si="6"/>
        <v>47.742751258200116</v>
      </c>
      <c r="CM22" s="36">
        <f t="shared" si="6"/>
        <v>18.327338711899639</v>
      </c>
      <c r="CN22" s="68">
        <v>0</v>
      </c>
      <c r="CO22" s="68">
        <v>0</v>
      </c>
      <c r="CP22" s="36">
        <f t="shared" si="7"/>
        <v>177.93317418346001</v>
      </c>
      <c r="CR22" s="36">
        <f t="shared" si="8"/>
        <v>17.424174094951667</v>
      </c>
      <c r="CS22" s="36">
        <f t="shared" si="8"/>
        <v>7.3633875770147368</v>
      </c>
      <c r="CT22" s="36">
        <f t="shared" si="8"/>
        <v>4.6708703861806997</v>
      </c>
      <c r="CU22" s="36">
        <f t="shared" si="8"/>
        <v>11.211514224124338</v>
      </c>
      <c r="CV22" s="36">
        <f t="shared" si="8"/>
        <v>8.0372296593661652</v>
      </c>
      <c r="CW22" s="36">
        <f t="shared" si="8"/>
        <v>5.7000066288900202</v>
      </c>
      <c r="CX22" s="36">
        <f t="shared" si="8"/>
        <v>57.455901642832636</v>
      </c>
      <c r="CY22" s="36">
        <f t="shared" si="8"/>
        <v>47.742751258200116</v>
      </c>
      <c r="CZ22" s="36">
        <f t="shared" si="8"/>
        <v>18.327338711899639</v>
      </c>
      <c r="DA22" s="68">
        <v>0</v>
      </c>
      <c r="DB22" s="68">
        <v>0</v>
      </c>
      <c r="DC22" s="36">
        <f t="shared" si="9"/>
        <v>177.93317418346001</v>
      </c>
      <c r="DE22" s="36">
        <f t="shared" si="10"/>
        <v>18149.183766712926</v>
      </c>
      <c r="DF22" s="36">
        <f t="shared" si="19"/>
        <v>54247.141414172947</v>
      </c>
    </row>
    <row r="23" spans="2:110" x14ac:dyDescent="0.25">
      <c r="B23" s="67">
        <v>2027</v>
      </c>
      <c r="C23" s="36">
        <f>'General Information'!C25</f>
        <v>0</v>
      </c>
      <c r="D23" s="36">
        <f>'General Information'!D25</f>
        <v>0</v>
      </c>
      <c r="E23" s="36">
        <f>'General Information'!E25</f>
        <v>650</v>
      </c>
      <c r="F23" s="36">
        <f>'General Information'!F25</f>
        <v>0</v>
      </c>
      <c r="G23" s="36">
        <f>'General Information'!G25</f>
        <v>0</v>
      </c>
      <c r="H23" s="36">
        <f>'General Information'!H25</f>
        <v>0</v>
      </c>
      <c r="I23" s="36">
        <f>'General Information'!I25</f>
        <v>0</v>
      </c>
      <c r="J23" s="36">
        <f>'General Information'!J25</f>
        <v>0</v>
      </c>
      <c r="K23" s="36">
        <f>'General Information'!K25</f>
        <v>0</v>
      </c>
      <c r="L23" s="36">
        <f>'General Information'!L25</f>
        <v>0</v>
      </c>
      <c r="M23" s="36">
        <f>'General Information'!M25</f>
        <v>0</v>
      </c>
      <c r="N23" s="36">
        <f>'General Information'!N25</f>
        <v>0</v>
      </c>
      <c r="O23" s="36">
        <f>'General Information'!O25</f>
        <v>0</v>
      </c>
      <c r="P23" s="36">
        <f>'General Information'!P25</f>
        <v>0</v>
      </c>
      <c r="Q23" s="36">
        <f>'General Information'!Q25</f>
        <v>0</v>
      </c>
      <c r="R23" s="36">
        <f>'General Information'!R25</f>
        <v>0</v>
      </c>
      <c r="S23" s="36">
        <f>'General Information'!S25</f>
        <v>0</v>
      </c>
      <c r="T23" s="36">
        <f>'General Information'!T25</f>
        <v>0</v>
      </c>
      <c r="U23" s="66">
        <f t="shared" si="0"/>
        <v>260000</v>
      </c>
      <c r="V23" s="66">
        <f t="shared" si="11"/>
        <v>26000</v>
      </c>
      <c r="W23" s="66">
        <f t="shared" si="12"/>
        <v>234000</v>
      </c>
      <c r="Y23" s="67">
        <v>10</v>
      </c>
      <c r="Z23" s="67" t="s">
        <v>99</v>
      </c>
      <c r="AA23" s="36">
        <v>37.236666666666679</v>
      </c>
      <c r="AB23" s="36"/>
      <c r="AC23" s="36">
        <f t="shared" si="1"/>
        <v>161.18549982325297</v>
      </c>
      <c r="AD23" s="36">
        <f t="shared" si="13"/>
        <v>16.558745765981826</v>
      </c>
      <c r="AE23" s="19"/>
      <c r="AF23" s="67">
        <v>10</v>
      </c>
      <c r="AG23" s="67" t="str">
        <f t="shared" si="2"/>
        <v>2027-2028</v>
      </c>
      <c r="AH23" s="36">
        <f>('Mangifera indica'!AD23*$W$14)/1000</f>
        <v>850.67257870575054</v>
      </c>
      <c r="AI23" s="36">
        <f>('Mangifera indica'!AD22*$W$15)/1000</f>
        <v>360.67836252642047</v>
      </c>
      <c r="AJ23" s="36">
        <f>('Mangifera indica'!AD21*$W$16)/1000</f>
        <v>229.6514907131901</v>
      </c>
      <c r="AK23" s="36">
        <f>('Mangifera indica'!AD20*$W$17)/1000</f>
        <v>255.30456696288533</v>
      </c>
      <c r="AL23" s="36">
        <f>('Mangifera indica'!AD19*$W$18)/1000</f>
        <v>442.12783913871368</v>
      </c>
      <c r="AM23" s="36">
        <f>('Mangifera indica'!AD18*$W$19)/1000</f>
        <v>327.37760032144104</v>
      </c>
      <c r="AN23" s="36">
        <f>('Mangifera indica'!AD17*$W$20)/1000</f>
        <v>3548.5574084619807</v>
      </c>
      <c r="AO23" s="36">
        <f>('Mangifera indica'!AD16*$W$21)/1000</f>
        <v>3423.5371850447268</v>
      </c>
      <c r="AP23" s="36">
        <f>('Mangifera indica'!AD15*$W$22)/1000</f>
        <v>2214.284944435045</v>
      </c>
      <c r="AQ23" s="36">
        <f>('Mangifera indica'!AD14*$W$23)/1000</f>
        <v>850.01281056987148</v>
      </c>
      <c r="AR23" s="68">
        <v>0</v>
      </c>
      <c r="AT23" s="36">
        <f t="shared" si="3"/>
        <v>212.66814467643763</v>
      </c>
      <c r="AU23" s="36">
        <f t="shared" si="14"/>
        <v>90.169590631605118</v>
      </c>
      <c r="AV23" s="36">
        <f t="shared" si="20"/>
        <v>57.412872678297525</v>
      </c>
      <c r="AW23" s="36">
        <f t="shared" si="23"/>
        <v>63.826141740721333</v>
      </c>
      <c r="AX23" s="36">
        <f t="shared" si="26"/>
        <v>110.53195978467842</v>
      </c>
      <c r="AY23" s="36">
        <f t="shared" si="28"/>
        <v>81.844400080360259</v>
      </c>
      <c r="AZ23" s="36">
        <f t="shared" si="30"/>
        <v>887.13935211549517</v>
      </c>
      <c r="BA23" s="36">
        <f t="shared" si="33"/>
        <v>855.8842962611817</v>
      </c>
      <c r="BB23" s="36">
        <f t="shared" ref="BB23:BB48" si="35">AP23*$AF$4</f>
        <v>553.57123610876124</v>
      </c>
      <c r="BC23" s="36">
        <f>AQ23*$AF$4</f>
        <v>212.50320264246787</v>
      </c>
      <c r="BD23" s="68">
        <v>0</v>
      </c>
      <c r="BF23" s="36">
        <f t="shared" si="15"/>
        <v>1063.3407233821881</v>
      </c>
      <c r="BG23" s="36">
        <f t="shared" si="16"/>
        <v>450.84795315802558</v>
      </c>
      <c r="BH23" s="36">
        <f>AJ23+AV23</f>
        <v>287.06436339148763</v>
      </c>
      <c r="BI23" s="36">
        <f t="shared" si="21"/>
        <v>319.13070870360667</v>
      </c>
      <c r="BJ23" s="36">
        <f t="shared" si="24"/>
        <v>552.65979892339215</v>
      </c>
      <c r="BK23" s="36">
        <f t="shared" si="29"/>
        <v>409.22200040180132</v>
      </c>
      <c r="BL23" s="36">
        <f t="shared" si="31"/>
        <v>4435.6967605774762</v>
      </c>
      <c r="BM23" s="36">
        <f t="shared" si="34"/>
        <v>4279.4214813059089</v>
      </c>
      <c r="BN23" s="36">
        <f t="shared" ref="BN23:BN48" si="36">BB23+AP23</f>
        <v>2767.8561805438062</v>
      </c>
      <c r="BO23" s="36">
        <f>BC23+AQ23</f>
        <v>1062.5160132123394</v>
      </c>
      <c r="BP23" s="68">
        <v>0</v>
      </c>
      <c r="BR23" s="36">
        <f>'Mangifera indica'!BF23*$AD$7*$AH$4</f>
        <v>1834.1564137619362</v>
      </c>
      <c r="BS23" s="36">
        <f t="shared" si="4"/>
        <v>777.66763440227817</v>
      </c>
      <c r="BT23" s="36">
        <f t="shared" si="18"/>
        <v>495.15732041397695</v>
      </c>
      <c r="BU23" s="36">
        <f t="shared" si="22"/>
        <v>550.46855944285107</v>
      </c>
      <c r="BV23" s="36">
        <f t="shared" si="25"/>
        <v>953.28288716295901</v>
      </c>
      <c r="BW23" s="36">
        <f t="shared" si="27"/>
        <v>705.8670284930671</v>
      </c>
      <c r="BX23" s="36">
        <f t="shared" si="32"/>
        <v>7651.1333423200876</v>
      </c>
      <c r="BY23" s="36">
        <f t="shared" ref="BY23:BY48" si="37">BM23*$AD$7*$AH$4</f>
        <v>7381.5741131045615</v>
      </c>
      <c r="BZ23" s="36">
        <f>BN23*$AD$7*$AH$4</f>
        <v>4774.2751258200115</v>
      </c>
      <c r="CA23" s="36">
        <f>BO23*$AD$7*$AH$4</f>
        <v>1832.733871189964</v>
      </c>
      <c r="CB23" s="68">
        <v>0</v>
      </c>
      <c r="CC23" s="36">
        <f t="shared" si="5"/>
        <v>26956.316296111694</v>
      </c>
      <c r="CE23" s="36">
        <f t="shared" si="6"/>
        <v>18.341564137619361</v>
      </c>
      <c r="CF23" s="36">
        <f t="shared" si="6"/>
        <v>7.776676344022782</v>
      </c>
      <c r="CG23" s="36">
        <f t="shared" si="6"/>
        <v>4.9515732041397698</v>
      </c>
      <c r="CH23" s="36">
        <f t="shared" si="6"/>
        <v>5.5046855944285111</v>
      </c>
      <c r="CI23" s="36">
        <f t="shared" si="6"/>
        <v>9.5328288716295901</v>
      </c>
      <c r="CJ23" s="36">
        <f t="shared" si="6"/>
        <v>7.0586702849306713</v>
      </c>
      <c r="CK23" s="36">
        <f t="shared" si="6"/>
        <v>76.511333423200881</v>
      </c>
      <c r="CL23" s="36">
        <f t="shared" si="6"/>
        <v>73.815741131045613</v>
      </c>
      <c r="CM23" s="36">
        <f t="shared" si="6"/>
        <v>47.742751258200116</v>
      </c>
      <c r="CN23" s="36">
        <f t="shared" ref="CN23:CO48" si="38">CA23*$AF$5</f>
        <v>18.327338711899639</v>
      </c>
      <c r="CO23" s="68">
        <v>0</v>
      </c>
      <c r="CP23" s="36">
        <f t="shared" si="7"/>
        <v>269.56316296111692</v>
      </c>
      <c r="CR23" s="36">
        <f t="shared" si="8"/>
        <v>18.341564137619361</v>
      </c>
      <c r="CS23" s="36">
        <f t="shared" si="8"/>
        <v>7.776676344022782</v>
      </c>
      <c r="CT23" s="36">
        <f t="shared" si="8"/>
        <v>4.9515732041397698</v>
      </c>
      <c r="CU23" s="36">
        <f t="shared" si="8"/>
        <v>5.5046855944285111</v>
      </c>
      <c r="CV23" s="36">
        <f t="shared" si="8"/>
        <v>9.5328288716295901</v>
      </c>
      <c r="CW23" s="36">
        <f t="shared" si="8"/>
        <v>7.0586702849306713</v>
      </c>
      <c r="CX23" s="36">
        <f t="shared" si="8"/>
        <v>76.511333423200881</v>
      </c>
      <c r="CY23" s="36">
        <f t="shared" si="8"/>
        <v>73.815741131045613</v>
      </c>
      <c r="CZ23" s="36">
        <f t="shared" si="8"/>
        <v>47.742751258200116</v>
      </c>
      <c r="DA23" s="36">
        <f t="shared" ref="DA23:DB48" si="39">CA23*$AF$7</f>
        <v>18.327338711899639</v>
      </c>
      <c r="DB23" s="68">
        <v>0</v>
      </c>
      <c r="DC23" s="36">
        <f t="shared" si="9"/>
        <v>269.56316296111692</v>
      </c>
      <c r="DE23" s="36">
        <f t="shared" si="10"/>
        <v>27495.442622033926</v>
      </c>
      <c r="DF23" s="36">
        <f t="shared" si="19"/>
        <v>81742.58403620687</v>
      </c>
    </row>
    <row r="24" spans="2:110" x14ac:dyDescent="0.25">
      <c r="B24" s="67">
        <v>2028</v>
      </c>
      <c r="C24" s="36">
        <f>'General Information'!C26</f>
        <v>0</v>
      </c>
      <c r="D24" s="36">
        <f>'General Information'!D26</f>
        <v>0</v>
      </c>
      <c r="E24" s="36">
        <f>'General Information'!E26</f>
        <v>650</v>
      </c>
      <c r="F24" s="36">
        <f>'General Information'!F26</f>
        <v>0</v>
      </c>
      <c r="G24" s="36">
        <f>'General Information'!G26</f>
        <v>0</v>
      </c>
      <c r="H24" s="36">
        <f>'General Information'!H26</f>
        <v>0</v>
      </c>
      <c r="I24" s="36">
        <f>'General Information'!I26</f>
        <v>0</v>
      </c>
      <c r="J24" s="36">
        <f>'General Information'!J26</f>
        <v>0</v>
      </c>
      <c r="K24" s="36">
        <f>'General Information'!K26</f>
        <v>0</v>
      </c>
      <c r="L24" s="67">
        <v>0</v>
      </c>
      <c r="M24" s="36">
        <f>'General Information'!M26</f>
        <v>0</v>
      </c>
      <c r="N24" s="36">
        <f>'General Information'!N26</f>
        <v>0</v>
      </c>
      <c r="O24" s="36">
        <f>'General Information'!O26</f>
        <v>0</v>
      </c>
      <c r="P24" s="36">
        <f>'General Information'!P26</f>
        <v>0</v>
      </c>
      <c r="Q24" s="36">
        <f>'General Information'!Q26</f>
        <v>0</v>
      </c>
      <c r="R24" s="36">
        <f>'General Information'!R26</f>
        <v>0</v>
      </c>
      <c r="S24" s="36">
        <f>'General Information'!S26</f>
        <v>0</v>
      </c>
      <c r="T24" s="36">
        <f>'General Information'!T26</f>
        <v>0</v>
      </c>
      <c r="U24" s="66">
        <f t="shared" si="0"/>
        <v>260000</v>
      </c>
      <c r="V24" s="66">
        <f t="shared" si="11"/>
        <v>26000</v>
      </c>
      <c r="W24" s="66">
        <f t="shared" si="12"/>
        <v>234000</v>
      </c>
      <c r="Y24" s="67">
        <v>11</v>
      </c>
      <c r="Z24" s="67" t="s">
        <v>100</v>
      </c>
      <c r="AA24" s="36">
        <v>39.355833333333351</v>
      </c>
      <c r="AB24" s="36"/>
      <c r="AC24" s="36">
        <f t="shared" si="1"/>
        <v>178.56521219686726</v>
      </c>
      <c r="AD24" s="36">
        <f t="shared" si="13"/>
        <v>17.379712373614296</v>
      </c>
      <c r="AE24" s="19"/>
      <c r="AF24" s="67">
        <v>11</v>
      </c>
      <c r="AG24" s="67" t="str">
        <f t="shared" si="2"/>
        <v>2028-2029</v>
      </c>
      <c r="AH24" s="36">
        <f>('Mangifera indica'!AD24*$W$14)/1000</f>
        <v>892.84810280738634</v>
      </c>
      <c r="AI24" s="36">
        <f>('Mangifera indica'!AD23*$W$15)/1000</f>
        <v>379.6682289375517</v>
      </c>
      <c r="AJ24" s="36">
        <f>('Mangifera indica'!AD22*$W$16)/1000</f>
        <v>242.54126195580255</v>
      </c>
      <c r="AK24" s="36">
        <f>('Mangifera indica'!AD21*$W$17)/1000</f>
        <v>270.64746998933845</v>
      </c>
      <c r="AL24" s="36">
        <f>('Mangifera indica'!AD20*$W$18)/1000</f>
        <v>217.07814826348937</v>
      </c>
      <c r="AM24" s="36">
        <f>('Mangifera indica'!AD19*$W$19)/1000</f>
        <v>388.29730797006516</v>
      </c>
      <c r="AN24" s="36">
        <f>('Mangifera indica'!AD18*$W$20)/1000</f>
        <v>4394.3978251756635</v>
      </c>
      <c r="AO24" s="36">
        <f>('Mangifera indica'!AD17*$W$21)/1000</f>
        <v>4558.9641370523923</v>
      </c>
      <c r="AP24" s="36">
        <f>('Mangifera indica'!AD16*$W$22)/1000</f>
        <v>3423.5371850447268</v>
      </c>
      <c r="AQ24" s="36">
        <f>('Mangifera indica'!AD15*$W$23)/1000</f>
        <v>2214.284944435045</v>
      </c>
      <c r="AR24" s="36">
        <f>('Mangifera indica'!AD14*$W$24)/1000</f>
        <v>850.01281056987148</v>
      </c>
      <c r="AT24" s="36">
        <f t="shared" si="3"/>
        <v>223.21202570184658</v>
      </c>
      <c r="AU24" s="36">
        <f t="shared" si="14"/>
        <v>94.917057234387926</v>
      </c>
      <c r="AV24" s="36">
        <f t="shared" si="20"/>
        <v>60.635315488950638</v>
      </c>
      <c r="AW24" s="36">
        <f t="shared" si="23"/>
        <v>67.661867497334612</v>
      </c>
      <c r="AX24" s="36">
        <f t="shared" si="26"/>
        <v>54.269537065872342</v>
      </c>
      <c r="AY24" s="36">
        <f t="shared" si="28"/>
        <v>97.074326992516291</v>
      </c>
      <c r="AZ24" s="36">
        <f t="shared" si="30"/>
        <v>1098.5994562939159</v>
      </c>
      <c r="BA24" s="36">
        <f t="shared" si="33"/>
        <v>1139.7410342630981</v>
      </c>
      <c r="BB24" s="36">
        <f t="shared" si="35"/>
        <v>855.8842962611817</v>
      </c>
      <c r="BC24" s="36">
        <f t="shared" ref="BC24:BC48" si="40">AQ24*$AF$4</f>
        <v>553.57123610876124</v>
      </c>
      <c r="BD24" s="36">
        <f>AR24*$AF$4</f>
        <v>212.50320264246787</v>
      </c>
      <c r="BF24" s="36">
        <f t="shared" si="15"/>
        <v>1116.060128509233</v>
      </c>
      <c r="BG24" s="36">
        <f t="shared" si="16"/>
        <v>474.58528617193963</v>
      </c>
      <c r="BH24" s="36">
        <f t="shared" si="17"/>
        <v>303.17657744475321</v>
      </c>
      <c r="BI24" s="36">
        <f t="shared" si="21"/>
        <v>338.30933748667303</v>
      </c>
      <c r="BJ24" s="36">
        <f t="shared" si="24"/>
        <v>271.3476853293617</v>
      </c>
      <c r="BK24" s="36">
        <f t="shared" si="29"/>
        <v>485.37163496258142</v>
      </c>
      <c r="BL24" s="36">
        <f t="shared" si="31"/>
        <v>5492.9972814695793</v>
      </c>
      <c r="BM24" s="36">
        <f t="shared" si="34"/>
        <v>5698.7051713154906</v>
      </c>
      <c r="BN24" s="36">
        <f t="shared" si="36"/>
        <v>4279.4214813059089</v>
      </c>
      <c r="BO24" s="36">
        <f t="shared" ref="BO24:BO48" si="41">BC24+AQ24</f>
        <v>2767.8561805438062</v>
      </c>
      <c r="BP24" s="36">
        <f>BD24+AR24</f>
        <v>1062.5160132123394</v>
      </c>
      <c r="BR24" s="36">
        <f>'Mangifera indica'!BF24*$AD$7*$AH$4</f>
        <v>1925.0921156655759</v>
      </c>
      <c r="BS24" s="36">
        <f t="shared" si="4"/>
        <v>818.61216011797853</v>
      </c>
      <c r="BT24" s="36">
        <f t="shared" si="18"/>
        <v>522.94927843445475</v>
      </c>
      <c r="BU24" s="36">
        <f t="shared" si="22"/>
        <v>583.54977623076218</v>
      </c>
      <c r="BV24" s="36">
        <f t="shared" si="25"/>
        <v>468.04762242461595</v>
      </c>
      <c r="BW24" s="36">
        <f t="shared" si="27"/>
        <v>837.21753314695661</v>
      </c>
      <c r="BX24" s="36">
        <f t="shared" si="32"/>
        <v>9474.8710108068772</v>
      </c>
      <c r="BY24" s="36">
        <f t="shared" si="37"/>
        <v>9829.6965500020888</v>
      </c>
      <c r="BZ24" s="36">
        <f t="shared" ref="BZ24:BZ48" si="42">BN24*$AD$7*$AH$4</f>
        <v>7381.5741131045615</v>
      </c>
      <c r="CA24" s="36">
        <f>BO24*$AD$7*$AH$4</f>
        <v>4774.2751258200115</v>
      </c>
      <c r="CB24" s="36">
        <f>BP24*$AD$7*$AH$4</f>
        <v>1832.733871189964</v>
      </c>
      <c r="CC24" s="36">
        <f t="shared" si="5"/>
        <v>38448.619156943845</v>
      </c>
      <c r="CE24" s="36">
        <f t="shared" si="6"/>
        <v>19.25092115665576</v>
      </c>
      <c r="CF24" s="36">
        <f t="shared" si="6"/>
        <v>8.186121601179785</v>
      </c>
      <c r="CG24" s="36">
        <f t="shared" si="6"/>
        <v>5.229492784344548</v>
      </c>
      <c r="CH24" s="36">
        <f t="shared" si="6"/>
        <v>5.8354977623076216</v>
      </c>
      <c r="CI24" s="36">
        <f t="shared" si="6"/>
        <v>4.6804762242461599</v>
      </c>
      <c r="CJ24" s="36">
        <f t="shared" si="6"/>
        <v>8.3721753314695668</v>
      </c>
      <c r="CK24" s="36">
        <f t="shared" si="6"/>
        <v>94.748710108068778</v>
      </c>
      <c r="CL24" s="36">
        <f t="shared" si="6"/>
        <v>98.296965500020889</v>
      </c>
      <c r="CM24" s="36">
        <f t="shared" si="6"/>
        <v>73.815741131045613</v>
      </c>
      <c r="CN24" s="36">
        <f t="shared" si="38"/>
        <v>47.742751258200116</v>
      </c>
      <c r="CO24" s="36">
        <f t="shared" si="38"/>
        <v>18.327338711899639</v>
      </c>
      <c r="CP24" s="36">
        <f t="shared" si="7"/>
        <v>384.48619156943846</v>
      </c>
      <c r="CR24" s="36">
        <f t="shared" si="8"/>
        <v>19.25092115665576</v>
      </c>
      <c r="CS24" s="36">
        <f t="shared" si="8"/>
        <v>8.186121601179785</v>
      </c>
      <c r="CT24" s="36">
        <f t="shared" si="8"/>
        <v>5.229492784344548</v>
      </c>
      <c r="CU24" s="36">
        <f t="shared" si="8"/>
        <v>5.8354977623076216</v>
      </c>
      <c r="CV24" s="36">
        <f t="shared" si="8"/>
        <v>4.6804762242461599</v>
      </c>
      <c r="CW24" s="36">
        <f t="shared" si="8"/>
        <v>8.3721753314695668</v>
      </c>
      <c r="CX24" s="36">
        <f t="shared" si="8"/>
        <v>94.748710108068778</v>
      </c>
      <c r="CY24" s="36">
        <f t="shared" si="8"/>
        <v>98.296965500020889</v>
      </c>
      <c r="CZ24" s="36">
        <f t="shared" si="8"/>
        <v>73.815741131045613</v>
      </c>
      <c r="DA24" s="36">
        <f t="shared" si="39"/>
        <v>47.742751258200116</v>
      </c>
      <c r="DB24" s="36">
        <f t="shared" si="39"/>
        <v>18.327338711899639</v>
      </c>
      <c r="DC24" s="36">
        <f t="shared" si="9"/>
        <v>384.48619156943846</v>
      </c>
      <c r="DE24" s="36">
        <f t="shared" si="10"/>
        <v>39217.591540082729</v>
      </c>
      <c r="DF24" s="36">
        <f t="shared" si="19"/>
        <v>120960.17557628959</v>
      </c>
    </row>
    <row r="25" spans="2:110" x14ac:dyDescent="0.25">
      <c r="B25" s="67">
        <v>2029</v>
      </c>
      <c r="C25" s="67">
        <v>0</v>
      </c>
      <c r="D25" s="67">
        <v>0</v>
      </c>
      <c r="E25" s="67">
        <v>0</v>
      </c>
      <c r="F25" s="67">
        <v>0</v>
      </c>
      <c r="G25" s="67">
        <v>0</v>
      </c>
      <c r="H25" s="67">
        <v>0</v>
      </c>
      <c r="I25" s="67">
        <v>0</v>
      </c>
      <c r="J25" s="67">
        <v>0</v>
      </c>
      <c r="K25" s="67">
        <v>0</v>
      </c>
      <c r="L25" s="67">
        <v>0</v>
      </c>
      <c r="M25" s="67">
        <v>0</v>
      </c>
      <c r="N25" s="67">
        <v>0</v>
      </c>
      <c r="O25" s="67">
        <v>0</v>
      </c>
      <c r="P25" s="67">
        <v>0</v>
      </c>
      <c r="Q25" s="67">
        <v>0</v>
      </c>
      <c r="R25" s="67">
        <v>0</v>
      </c>
      <c r="S25" s="67">
        <v>0</v>
      </c>
      <c r="T25" s="67">
        <v>0</v>
      </c>
      <c r="U25" s="67">
        <f t="shared" ref="U25:U43" si="43">(C25*$C$12)+(D25*$D$12)+(E25*$E$12)+(F25*$F$12)+(G25*$G$12)+(H25*$H$12)</f>
        <v>0</v>
      </c>
      <c r="V25" s="67">
        <f t="shared" si="11"/>
        <v>0</v>
      </c>
      <c r="W25" s="67">
        <f t="shared" si="12"/>
        <v>0</v>
      </c>
      <c r="Y25" s="67">
        <v>12</v>
      </c>
      <c r="Z25" s="67" t="s">
        <v>101</v>
      </c>
      <c r="AA25" s="36">
        <v>41.475000000000023</v>
      </c>
      <c r="AB25" s="36"/>
      <c r="AC25" s="36">
        <f t="shared" si="1"/>
        <v>196.7590993096097</v>
      </c>
      <c r="AD25" s="36">
        <f t="shared" si="13"/>
        <v>18.193887112742431</v>
      </c>
      <c r="AE25" s="19"/>
      <c r="AF25" s="67">
        <v>12</v>
      </c>
      <c r="AG25" s="67" t="str">
        <f t="shared" si="2"/>
        <v>2029-2030</v>
      </c>
      <c r="AH25" s="36">
        <f>('Mangifera indica'!AD25*$W$14)/1000</f>
        <v>934.67470819401376</v>
      </c>
      <c r="AI25" s="36">
        <f>('Mangifera indica'!AD24*$W$15)/1000</f>
        <v>398.49181270058256</v>
      </c>
      <c r="AJ25" s="36">
        <f>('Mangifera indica'!AD23*$W$16)/1000</f>
        <v>255.31116068625525</v>
      </c>
      <c r="AK25" s="36">
        <f>('Mangifera indica'!AD22*$W$17)/1000</f>
        <v>285.83824434364573</v>
      </c>
      <c r="AL25" s="36">
        <f>('Mangifera indica'!AD21*$W$18)/1000</f>
        <v>230.12377849874053</v>
      </c>
      <c r="AM25" s="36">
        <f>('Mangifera indica'!AD20*$W$19)/1000</f>
        <v>190.64816355840031</v>
      </c>
      <c r="AN25" s="36">
        <f>('Mangifera indica'!AD19*$W$20)/1000</f>
        <v>5212.1246047067007</v>
      </c>
      <c r="AO25" s="36">
        <f>('Mangifera indica'!AD18*$W$21)/1000</f>
        <v>5645.6468877024572</v>
      </c>
      <c r="AP25" s="36">
        <f>('Mangifera indica'!AD17*$W$22)/1000</f>
        <v>4558.9641370523923</v>
      </c>
      <c r="AQ25" s="36">
        <f>('Mangifera indica'!AD16*$W$23)/1000</f>
        <v>3423.5371850447268</v>
      </c>
      <c r="AR25" s="36">
        <f>('Mangifera indica'!AD15*$W$24)/1000</f>
        <v>2214.284944435045</v>
      </c>
      <c r="AT25" s="36">
        <f t="shared" si="3"/>
        <v>233.66867704850344</v>
      </c>
      <c r="AU25" s="36">
        <f t="shared" si="14"/>
        <v>99.622953175145639</v>
      </c>
      <c r="AV25" s="36">
        <f t="shared" si="20"/>
        <v>63.827790171563812</v>
      </c>
      <c r="AW25" s="36">
        <f t="shared" si="23"/>
        <v>71.459561085911432</v>
      </c>
      <c r="AX25" s="36">
        <f t="shared" si="26"/>
        <v>57.530944624685134</v>
      </c>
      <c r="AY25" s="36">
        <f t="shared" si="28"/>
        <v>47.662040889600078</v>
      </c>
      <c r="AZ25" s="36">
        <f t="shared" si="30"/>
        <v>1303.0311511766752</v>
      </c>
      <c r="BA25" s="36">
        <f t="shared" si="33"/>
        <v>1411.4117219256143</v>
      </c>
      <c r="BB25" s="36">
        <f t="shared" si="35"/>
        <v>1139.7410342630981</v>
      </c>
      <c r="BC25" s="36">
        <f t="shared" si="40"/>
        <v>855.8842962611817</v>
      </c>
      <c r="BD25" s="36">
        <f t="shared" ref="BD25:BD48" si="44">AR25*$AF$4</f>
        <v>553.57123610876124</v>
      </c>
      <c r="BF25" s="36">
        <f t="shared" si="15"/>
        <v>1168.3433852425171</v>
      </c>
      <c r="BG25" s="36">
        <f t="shared" si="16"/>
        <v>498.11476587572821</v>
      </c>
      <c r="BH25" s="36">
        <f t="shared" si="17"/>
        <v>319.13895085781905</v>
      </c>
      <c r="BI25" s="36">
        <f t="shared" si="21"/>
        <v>357.29780542955717</v>
      </c>
      <c r="BJ25" s="36">
        <f t="shared" si="24"/>
        <v>287.6547231234257</v>
      </c>
      <c r="BK25" s="36">
        <f t="shared" si="29"/>
        <v>238.31020444800038</v>
      </c>
      <c r="BL25" s="36">
        <f t="shared" si="31"/>
        <v>6515.1557558833756</v>
      </c>
      <c r="BM25" s="36">
        <f t="shared" si="34"/>
        <v>7057.0586096280713</v>
      </c>
      <c r="BN25" s="36">
        <f t="shared" si="36"/>
        <v>5698.7051713154906</v>
      </c>
      <c r="BO25" s="36">
        <f t="shared" si="41"/>
        <v>4279.4214813059089</v>
      </c>
      <c r="BP25" s="36">
        <f t="shared" ref="BP25:BP48" si="45">BD25+AR25</f>
        <v>2767.8561805438062</v>
      </c>
      <c r="BR25" s="36">
        <f>'Mangifera indica'!BF25*$AD$7*$AH$4</f>
        <v>2015.2755052048174</v>
      </c>
      <c r="BS25" s="36">
        <f t="shared" si="4"/>
        <v>859.19815965904354</v>
      </c>
      <c r="BT25" s="36">
        <f t="shared" si="18"/>
        <v>550.48277633465204</v>
      </c>
      <c r="BU25" s="36">
        <f t="shared" si="22"/>
        <v>616.30298458544314</v>
      </c>
      <c r="BV25" s="36">
        <f t="shared" si="25"/>
        <v>496.17563191559697</v>
      </c>
      <c r="BW25" s="36">
        <f t="shared" si="27"/>
        <v>411.0612716523558</v>
      </c>
      <c r="BX25" s="36">
        <f t="shared" si="32"/>
        <v>11237.992163323233</v>
      </c>
      <c r="BY25" s="36">
        <f t="shared" si="37"/>
        <v>12172.720395747459</v>
      </c>
      <c r="BZ25" s="36">
        <f t="shared" si="42"/>
        <v>9829.6965500020888</v>
      </c>
      <c r="CA25" s="36">
        <f t="shared" ref="CA25:CA48" si="46">BO25*$AD$7*$AH$4</f>
        <v>7381.5741131045615</v>
      </c>
      <c r="CB25" s="36">
        <f t="shared" ref="CB25:CB48" si="47">BP25*$AD$7*$AH$4</f>
        <v>4774.2751258200115</v>
      </c>
      <c r="CC25" s="36">
        <f t="shared" si="5"/>
        <v>50344.754677349265</v>
      </c>
      <c r="CE25" s="36">
        <f t="shared" si="6"/>
        <v>20.152755052048175</v>
      </c>
      <c r="CF25" s="36">
        <f t="shared" si="6"/>
        <v>8.5919815965904363</v>
      </c>
      <c r="CG25" s="36">
        <f t="shared" si="6"/>
        <v>5.5048277633465208</v>
      </c>
      <c r="CH25" s="36">
        <f t="shared" si="6"/>
        <v>6.1630298458544317</v>
      </c>
      <c r="CI25" s="36">
        <f t="shared" si="6"/>
        <v>4.9617563191559695</v>
      </c>
      <c r="CJ25" s="36">
        <f t="shared" si="6"/>
        <v>4.1106127165235584</v>
      </c>
      <c r="CK25" s="36">
        <f t="shared" si="6"/>
        <v>112.37992163323234</v>
      </c>
      <c r="CL25" s="36">
        <f t="shared" si="6"/>
        <v>121.7272039574746</v>
      </c>
      <c r="CM25" s="36">
        <f t="shared" si="6"/>
        <v>98.296965500020889</v>
      </c>
      <c r="CN25" s="36">
        <f t="shared" si="38"/>
        <v>73.815741131045613</v>
      </c>
      <c r="CO25" s="36">
        <f t="shared" si="38"/>
        <v>47.742751258200116</v>
      </c>
      <c r="CP25" s="36">
        <f t="shared" si="7"/>
        <v>503.44754677349272</v>
      </c>
      <c r="CR25" s="36">
        <f t="shared" si="8"/>
        <v>20.152755052048175</v>
      </c>
      <c r="CS25" s="36">
        <f t="shared" si="8"/>
        <v>8.5919815965904363</v>
      </c>
      <c r="CT25" s="36">
        <f t="shared" si="8"/>
        <v>5.5048277633465208</v>
      </c>
      <c r="CU25" s="36">
        <f t="shared" si="8"/>
        <v>6.1630298458544317</v>
      </c>
      <c r="CV25" s="36">
        <f t="shared" si="8"/>
        <v>4.9617563191559695</v>
      </c>
      <c r="CW25" s="36">
        <f t="shared" si="8"/>
        <v>4.1106127165235584</v>
      </c>
      <c r="CX25" s="36">
        <f t="shared" si="8"/>
        <v>112.37992163323234</v>
      </c>
      <c r="CY25" s="36">
        <f t="shared" si="8"/>
        <v>121.7272039574746</v>
      </c>
      <c r="CZ25" s="36">
        <f t="shared" si="8"/>
        <v>98.296965500020889</v>
      </c>
      <c r="DA25" s="36">
        <f t="shared" si="39"/>
        <v>73.815741131045613</v>
      </c>
      <c r="DB25" s="36">
        <f t="shared" si="39"/>
        <v>47.742751258200116</v>
      </c>
      <c r="DC25" s="36">
        <f t="shared" si="9"/>
        <v>503.44754677349272</v>
      </c>
      <c r="DE25" s="36">
        <f t="shared" si="10"/>
        <v>51351.649770896256</v>
      </c>
      <c r="DF25" s="36">
        <f t="shared" si="19"/>
        <v>172311.82534718583</v>
      </c>
    </row>
    <row r="26" spans="2:110" x14ac:dyDescent="0.25">
      <c r="B26" s="67">
        <v>2030</v>
      </c>
      <c r="C26" s="67">
        <v>0</v>
      </c>
      <c r="D26" s="67">
        <v>0</v>
      </c>
      <c r="E26" s="67">
        <v>0</v>
      </c>
      <c r="F26" s="67">
        <v>0</v>
      </c>
      <c r="G26" s="67">
        <v>0</v>
      </c>
      <c r="H26" s="67">
        <v>0</v>
      </c>
      <c r="I26" s="67">
        <v>0</v>
      </c>
      <c r="J26" s="67">
        <v>0</v>
      </c>
      <c r="K26" s="67">
        <v>0</v>
      </c>
      <c r="L26" s="67">
        <v>0</v>
      </c>
      <c r="M26" s="67">
        <v>0</v>
      </c>
      <c r="N26" s="67">
        <v>0</v>
      </c>
      <c r="O26" s="67">
        <v>0</v>
      </c>
      <c r="P26" s="67">
        <v>0</v>
      </c>
      <c r="Q26" s="67">
        <v>0</v>
      </c>
      <c r="R26" s="67">
        <v>0</v>
      </c>
      <c r="S26" s="67">
        <v>0</v>
      </c>
      <c r="T26" s="67">
        <v>0</v>
      </c>
      <c r="U26" s="67">
        <f t="shared" si="43"/>
        <v>0</v>
      </c>
      <c r="V26" s="67">
        <f t="shared" si="11"/>
        <v>0</v>
      </c>
      <c r="W26" s="67">
        <f t="shared" si="12"/>
        <v>0</v>
      </c>
      <c r="Y26" s="67">
        <v>13</v>
      </c>
      <c r="Z26" s="67" t="s">
        <v>102</v>
      </c>
      <c r="AA26" s="36">
        <v>43.594166666666695</v>
      </c>
      <c r="AB26" s="36"/>
      <c r="AC26" s="36">
        <f t="shared" si="1"/>
        <v>215.76077782512812</v>
      </c>
      <c r="AD26" s="36">
        <f t="shared" si="13"/>
        <v>19.001678515518421</v>
      </c>
      <c r="AE26" s="19"/>
      <c r="AF26" s="67">
        <v>13</v>
      </c>
      <c r="AG26" s="67" t="str">
        <f t="shared" si="2"/>
        <v>2030-2031</v>
      </c>
      <c r="AH26" s="36">
        <f>('Mangifera indica'!AD26*$W$14)/1000</f>
        <v>976.173382391156</v>
      </c>
      <c r="AI26" s="36">
        <f>('Mangifera indica'!AD25*$W$15)/1000</f>
        <v>417.15966868551578</v>
      </c>
      <c r="AJ26" s="36">
        <f>('Mangifera indica'!AD24*$W$16)/1000</f>
        <v>267.96924122215603</v>
      </c>
      <c r="AK26" s="36">
        <f>('Mangifera indica'!AD23*$W$17)/1000</f>
        <v>300.88774727821823</v>
      </c>
      <c r="AL26" s="36">
        <f>('Mangifera indica'!AD22*$W$18)/1000</f>
        <v>243.04005808883861</v>
      </c>
      <c r="AM26" s="36">
        <f>('Mangifera indica'!AD21*$W$19)/1000</f>
        <v>202.10544503379649</v>
      </c>
      <c r="AN26" s="36">
        <f>('Mangifera indica'!AD20*$W$20)/1000</f>
        <v>2559.075130650896</v>
      </c>
      <c r="AO26" s="36">
        <f>('Mangifera indica'!AD19*$W$21)/1000</f>
        <v>6696.2109994453012</v>
      </c>
      <c r="AP26" s="36">
        <f>('Mangifera indica'!AD18*$W$22)/1000</f>
        <v>5645.6468877024572</v>
      </c>
      <c r="AQ26" s="36">
        <f>('Mangifera indica'!AD17*$W$23)/1000</f>
        <v>4558.9641370523923</v>
      </c>
      <c r="AR26" s="36">
        <f>('Mangifera indica'!AD16*$W$24)/1000</f>
        <v>3423.5371850447268</v>
      </c>
      <c r="AT26" s="36">
        <f t="shared" si="3"/>
        <v>244.043345597789</v>
      </c>
      <c r="AU26" s="36">
        <f t="shared" si="14"/>
        <v>104.28991717137895</v>
      </c>
      <c r="AV26" s="36">
        <f t="shared" si="20"/>
        <v>66.992310305539007</v>
      </c>
      <c r="AW26" s="36">
        <f t="shared" si="23"/>
        <v>75.221936819554557</v>
      </c>
      <c r="AX26" s="36">
        <f t="shared" si="26"/>
        <v>60.760014522209651</v>
      </c>
      <c r="AY26" s="36">
        <f t="shared" si="28"/>
        <v>50.526361258449121</v>
      </c>
      <c r="AZ26" s="36">
        <f t="shared" si="30"/>
        <v>639.76878266272399</v>
      </c>
      <c r="BA26" s="36">
        <f t="shared" si="33"/>
        <v>1674.0527498613253</v>
      </c>
      <c r="BB26" s="36">
        <f t="shared" si="35"/>
        <v>1411.4117219256143</v>
      </c>
      <c r="BC26" s="36">
        <f t="shared" si="40"/>
        <v>1139.7410342630981</v>
      </c>
      <c r="BD26" s="36">
        <f t="shared" si="44"/>
        <v>855.8842962611817</v>
      </c>
      <c r="BF26" s="36">
        <f t="shared" si="15"/>
        <v>1220.216727988945</v>
      </c>
      <c r="BG26" s="36">
        <f t="shared" si="16"/>
        <v>521.44958585689471</v>
      </c>
      <c r="BH26" s="36">
        <f t="shared" si="17"/>
        <v>334.96155152769506</v>
      </c>
      <c r="BI26" s="36">
        <f t="shared" si="21"/>
        <v>376.1096840977728</v>
      </c>
      <c r="BJ26" s="36">
        <f t="shared" si="24"/>
        <v>303.80007261104828</v>
      </c>
      <c r="BK26" s="36">
        <f t="shared" si="29"/>
        <v>252.63180629224561</v>
      </c>
      <c r="BL26" s="36">
        <f t="shared" si="31"/>
        <v>3198.8439133136199</v>
      </c>
      <c r="BM26" s="36">
        <f t="shared" si="34"/>
        <v>8370.2637493066268</v>
      </c>
      <c r="BN26" s="36">
        <f t="shared" si="36"/>
        <v>7057.0586096280713</v>
      </c>
      <c r="BO26" s="36">
        <f t="shared" si="41"/>
        <v>5698.7051713154906</v>
      </c>
      <c r="BP26" s="36">
        <f t="shared" si="45"/>
        <v>4279.4214813059089</v>
      </c>
      <c r="BR26" s="36">
        <f>'Mangifera indica'!BF26*$AD$7*$AH$4</f>
        <v>2104.7518341081313</v>
      </c>
      <c r="BS26" s="36">
        <f t="shared" si="4"/>
        <v>899.44839064455766</v>
      </c>
      <c r="BT26" s="36">
        <f t="shared" si="18"/>
        <v>577.77518023012124</v>
      </c>
      <c r="BU26" s="36">
        <f t="shared" si="22"/>
        <v>648.75159410024833</v>
      </c>
      <c r="BV26" s="36">
        <f t="shared" si="25"/>
        <v>524.02474524679712</v>
      </c>
      <c r="BW26" s="36">
        <f t="shared" si="27"/>
        <v>435.76460267349444</v>
      </c>
      <c r="BX26" s="36">
        <f t="shared" si="32"/>
        <v>5517.685866074663</v>
      </c>
      <c r="BY26" s="36">
        <f t="shared" si="37"/>
        <v>14437.867941179</v>
      </c>
      <c r="BZ26" s="36">
        <f t="shared" si="42"/>
        <v>12172.720395747459</v>
      </c>
      <c r="CA26" s="36">
        <f t="shared" si="46"/>
        <v>9829.6965500020888</v>
      </c>
      <c r="CB26" s="36">
        <f t="shared" si="47"/>
        <v>7381.5741131045615</v>
      </c>
      <c r="CC26" s="36">
        <f t="shared" si="5"/>
        <v>54530.061213111127</v>
      </c>
      <c r="CE26" s="36">
        <f t="shared" si="6"/>
        <v>21.047518341081314</v>
      </c>
      <c r="CF26" s="36">
        <f t="shared" si="6"/>
        <v>8.994483906445577</v>
      </c>
      <c r="CG26" s="36">
        <f t="shared" si="6"/>
        <v>5.7777518023012124</v>
      </c>
      <c r="CH26" s="36">
        <f t="shared" si="6"/>
        <v>6.4875159410024832</v>
      </c>
      <c r="CI26" s="36">
        <f t="shared" si="6"/>
        <v>5.2402474524679716</v>
      </c>
      <c r="CJ26" s="36">
        <f t="shared" si="6"/>
        <v>4.3576460267349448</v>
      </c>
      <c r="CK26" s="36">
        <f t="shared" si="6"/>
        <v>55.176858660746632</v>
      </c>
      <c r="CL26" s="36">
        <f t="shared" si="6"/>
        <v>144.37867941178999</v>
      </c>
      <c r="CM26" s="36">
        <f t="shared" ref="CM26:CM48" si="48">BZ26*$AF$5</f>
        <v>121.7272039574746</v>
      </c>
      <c r="CN26" s="36">
        <f t="shared" si="38"/>
        <v>98.296965500020889</v>
      </c>
      <c r="CO26" s="36">
        <f t="shared" si="38"/>
        <v>73.815741131045613</v>
      </c>
      <c r="CP26" s="36">
        <f t="shared" si="7"/>
        <v>545.30061213111117</v>
      </c>
      <c r="CR26" s="36">
        <f t="shared" si="8"/>
        <v>21.047518341081314</v>
      </c>
      <c r="CS26" s="36">
        <f t="shared" si="8"/>
        <v>8.994483906445577</v>
      </c>
      <c r="CT26" s="36">
        <f t="shared" si="8"/>
        <v>5.7777518023012124</v>
      </c>
      <c r="CU26" s="36">
        <f t="shared" si="8"/>
        <v>6.4875159410024832</v>
      </c>
      <c r="CV26" s="36">
        <f t="shared" si="8"/>
        <v>5.2402474524679716</v>
      </c>
      <c r="CW26" s="36">
        <f t="shared" si="8"/>
        <v>4.3576460267349448</v>
      </c>
      <c r="CX26" s="36">
        <f t="shared" si="8"/>
        <v>55.176858660746632</v>
      </c>
      <c r="CY26" s="36">
        <f t="shared" si="8"/>
        <v>144.37867941178999</v>
      </c>
      <c r="CZ26" s="36">
        <f t="shared" ref="CZ26:CZ48" si="49">BZ26*$AF$7</f>
        <v>121.7272039574746</v>
      </c>
      <c r="DA26" s="36">
        <f t="shared" si="39"/>
        <v>98.296965500020889</v>
      </c>
      <c r="DB26" s="36">
        <f t="shared" si="39"/>
        <v>73.815741131045613</v>
      </c>
      <c r="DC26" s="36">
        <f t="shared" si="9"/>
        <v>545.30061213111117</v>
      </c>
      <c r="DE26" s="36">
        <f t="shared" si="10"/>
        <v>55620.66243737335</v>
      </c>
      <c r="DF26" s="36">
        <f t="shared" si="19"/>
        <v>227932.4877845592</v>
      </c>
    </row>
    <row r="27" spans="2:110" x14ac:dyDescent="0.25">
      <c r="B27" s="67">
        <v>2031</v>
      </c>
      <c r="C27" s="67">
        <v>0</v>
      </c>
      <c r="D27" s="67">
        <v>0</v>
      </c>
      <c r="E27" s="67">
        <v>0</v>
      </c>
      <c r="F27" s="67">
        <v>0</v>
      </c>
      <c r="G27" s="67">
        <v>0</v>
      </c>
      <c r="H27" s="67">
        <v>0</v>
      </c>
      <c r="I27" s="67">
        <v>0</v>
      </c>
      <c r="J27" s="67">
        <v>0</v>
      </c>
      <c r="K27" s="67">
        <v>0</v>
      </c>
      <c r="L27" s="67">
        <v>0</v>
      </c>
      <c r="M27" s="67">
        <v>0</v>
      </c>
      <c r="N27" s="67">
        <v>0</v>
      </c>
      <c r="O27" s="67">
        <v>0</v>
      </c>
      <c r="P27" s="67">
        <v>0</v>
      </c>
      <c r="Q27" s="67">
        <v>0</v>
      </c>
      <c r="R27" s="67">
        <v>0</v>
      </c>
      <c r="S27" s="67">
        <v>0</v>
      </c>
      <c r="T27" s="67">
        <v>0</v>
      </c>
      <c r="U27" s="67">
        <f t="shared" si="43"/>
        <v>0</v>
      </c>
      <c r="V27" s="67">
        <f t="shared" si="11"/>
        <v>0</v>
      </c>
      <c r="W27" s="67">
        <f t="shared" si="12"/>
        <v>0</v>
      </c>
      <c r="Y27" s="67">
        <v>14</v>
      </c>
      <c r="Z27" s="67" t="s">
        <v>103</v>
      </c>
      <c r="AA27" s="36">
        <v>45.713333333333367</v>
      </c>
      <c r="AB27" s="36"/>
      <c r="AC27" s="36">
        <f t="shared" si="1"/>
        <v>235.56422925571269</v>
      </c>
      <c r="AD27" s="36">
        <f t="shared" si="13"/>
        <v>19.803451430584573</v>
      </c>
      <c r="AE27" s="19"/>
      <c r="AF27" s="67">
        <v>14</v>
      </c>
      <c r="AG27" s="67" t="str">
        <f t="shared" si="2"/>
        <v>2031-2032</v>
      </c>
      <c r="AH27" s="36">
        <f>('Mangifera indica'!AD27*$W$14)/1000</f>
        <v>1017.3628687710328</v>
      </c>
      <c r="AI27" s="36">
        <f>('Mangifera indica'!AD26*$W$15)/1000</f>
        <v>435.68116394713206</v>
      </c>
      <c r="AJ27" s="36">
        <f>('Mangifera indica'!AD25*$W$16)/1000</f>
        <v>280.52260127647094</v>
      </c>
      <c r="AK27" s="36">
        <f>('Mangifera indica'!AD24*$W$17)/1000</f>
        <v>315.80547091817215</v>
      </c>
      <c r="AL27" s="36">
        <f>('Mangifera indica'!AD23*$W$18)/1000</f>
        <v>255.83621864399964</v>
      </c>
      <c r="AM27" s="36">
        <f>('Mangifera indica'!AD22*$W$19)/1000</f>
        <v>213.44912473420607</v>
      </c>
      <c r="AN27" s="36">
        <f>('Mangifera indica'!AD21*$W$20)/1000</f>
        <v>2712.8665102335904</v>
      </c>
      <c r="AO27" s="36">
        <f>('Mangifera indica'!AD20*$W$21)/1000</f>
        <v>3287.7393266456152</v>
      </c>
      <c r="AP27" s="36">
        <f>('Mangifera indica'!AD19*$W$22)/1000</f>
        <v>6696.2109994453012</v>
      </c>
      <c r="AQ27" s="36">
        <f>('Mangifera indica'!AD18*$W$23)/1000</f>
        <v>5645.6468877024572</v>
      </c>
      <c r="AR27" s="36">
        <f>('Mangifera indica'!AD17*$W$24)/1000</f>
        <v>4558.9641370523923</v>
      </c>
      <c r="AT27" s="36">
        <f t="shared" si="3"/>
        <v>254.34071719275821</v>
      </c>
      <c r="AU27" s="36">
        <f t="shared" si="14"/>
        <v>108.92029098678302</v>
      </c>
      <c r="AV27" s="36">
        <f t="shared" si="20"/>
        <v>70.130650319117734</v>
      </c>
      <c r="AW27" s="36">
        <f t="shared" si="23"/>
        <v>78.951367729543037</v>
      </c>
      <c r="AX27" s="36">
        <f t="shared" si="26"/>
        <v>63.959054660999911</v>
      </c>
      <c r="AY27" s="36">
        <f t="shared" si="28"/>
        <v>53.362281183551517</v>
      </c>
      <c r="AZ27" s="36">
        <f t="shared" si="30"/>
        <v>678.21662755839759</v>
      </c>
      <c r="BA27" s="36">
        <f t="shared" si="33"/>
        <v>821.93483166140379</v>
      </c>
      <c r="BB27" s="36">
        <f t="shared" si="35"/>
        <v>1674.0527498613253</v>
      </c>
      <c r="BC27" s="36">
        <f t="shared" si="40"/>
        <v>1411.4117219256143</v>
      </c>
      <c r="BD27" s="36">
        <f t="shared" si="44"/>
        <v>1139.7410342630981</v>
      </c>
      <c r="BF27" s="36">
        <f t="shared" si="15"/>
        <v>1271.7035859637911</v>
      </c>
      <c r="BG27" s="36">
        <f t="shared" si="16"/>
        <v>544.60145493391508</v>
      </c>
      <c r="BH27" s="36">
        <f t="shared" si="17"/>
        <v>350.6532515955887</v>
      </c>
      <c r="BI27" s="36">
        <f t="shared" si="21"/>
        <v>394.7568386477152</v>
      </c>
      <c r="BJ27" s="36">
        <f t="shared" si="24"/>
        <v>319.79527330499957</v>
      </c>
      <c r="BK27" s="36">
        <f t="shared" si="29"/>
        <v>266.81140591775761</v>
      </c>
      <c r="BL27" s="36">
        <f t="shared" si="31"/>
        <v>3391.0831377919881</v>
      </c>
      <c r="BM27" s="36">
        <f t="shared" si="34"/>
        <v>4109.6741583070188</v>
      </c>
      <c r="BN27" s="36">
        <f t="shared" si="36"/>
        <v>8370.2637493066268</v>
      </c>
      <c r="BO27" s="36">
        <f t="shared" si="41"/>
        <v>7057.0586096280713</v>
      </c>
      <c r="BP27" s="36">
        <f t="shared" si="45"/>
        <v>5698.7051713154906</v>
      </c>
      <c r="BR27" s="36">
        <f>'Mangifera indica'!BF27*$AD$7*$AH$4</f>
        <v>2193.561515428943</v>
      </c>
      <c r="BS27" s="36">
        <f t="shared" si="4"/>
        <v>939.38304961551</v>
      </c>
      <c r="BT27" s="36">
        <f t="shared" si="18"/>
        <v>604.84179367723084</v>
      </c>
      <c r="BU27" s="36">
        <f t="shared" si="22"/>
        <v>680.91607098344389</v>
      </c>
      <c r="BV27" s="36">
        <f t="shared" si="25"/>
        <v>551.61486692379378</v>
      </c>
      <c r="BW27" s="36">
        <f t="shared" si="27"/>
        <v>460.22299406754007</v>
      </c>
      <c r="BX27" s="36">
        <f t="shared" si="32"/>
        <v>5849.2793043774</v>
      </c>
      <c r="BY27" s="36">
        <f t="shared" si="37"/>
        <v>7088.7769556637759</v>
      </c>
      <c r="BZ27" s="36">
        <f t="shared" si="42"/>
        <v>14437.867941179</v>
      </c>
      <c r="CA27" s="36">
        <f t="shared" si="46"/>
        <v>12172.720395747459</v>
      </c>
      <c r="CB27" s="36">
        <f t="shared" si="47"/>
        <v>9829.6965500020888</v>
      </c>
      <c r="CC27" s="36">
        <f t="shared" si="5"/>
        <v>54808.88143766619</v>
      </c>
      <c r="CE27" s="36">
        <f t="shared" si="6"/>
        <v>21.93561515428943</v>
      </c>
      <c r="CF27" s="36">
        <f t="shared" si="6"/>
        <v>9.3938304961551005</v>
      </c>
      <c r="CG27" s="36">
        <f t="shared" si="6"/>
        <v>6.0484179367723083</v>
      </c>
      <c r="CH27" s="36">
        <f t="shared" si="6"/>
        <v>6.8091607098344387</v>
      </c>
      <c r="CI27" s="36">
        <f t="shared" si="6"/>
        <v>5.5161486692379382</v>
      </c>
      <c r="CJ27" s="36">
        <f t="shared" si="6"/>
        <v>4.602229940675401</v>
      </c>
      <c r="CK27" s="36">
        <f t="shared" si="6"/>
        <v>58.492793043774</v>
      </c>
      <c r="CL27" s="36">
        <f t="shared" si="6"/>
        <v>70.887769556637764</v>
      </c>
      <c r="CM27" s="36">
        <f t="shared" si="48"/>
        <v>144.37867941178999</v>
      </c>
      <c r="CN27" s="36">
        <f t="shared" si="38"/>
        <v>121.7272039574746</v>
      </c>
      <c r="CO27" s="36">
        <f t="shared" si="38"/>
        <v>98.296965500020889</v>
      </c>
      <c r="CP27" s="36">
        <f t="shared" si="7"/>
        <v>548.08881437666184</v>
      </c>
      <c r="CR27" s="36">
        <f t="shared" si="8"/>
        <v>21.93561515428943</v>
      </c>
      <c r="CS27" s="36">
        <f t="shared" si="8"/>
        <v>9.3938304961551005</v>
      </c>
      <c r="CT27" s="36">
        <f t="shared" si="8"/>
        <v>6.0484179367723083</v>
      </c>
      <c r="CU27" s="36">
        <f t="shared" si="8"/>
        <v>6.8091607098344387</v>
      </c>
      <c r="CV27" s="36">
        <f t="shared" si="8"/>
        <v>5.5161486692379382</v>
      </c>
      <c r="CW27" s="36">
        <f t="shared" si="8"/>
        <v>4.602229940675401</v>
      </c>
      <c r="CX27" s="36">
        <f t="shared" si="8"/>
        <v>58.492793043774</v>
      </c>
      <c r="CY27" s="36">
        <f t="shared" si="8"/>
        <v>70.887769556637764</v>
      </c>
      <c r="CZ27" s="36">
        <f t="shared" si="49"/>
        <v>144.37867941178999</v>
      </c>
      <c r="DA27" s="36">
        <f t="shared" si="39"/>
        <v>121.7272039574746</v>
      </c>
      <c r="DB27" s="36">
        <f t="shared" si="39"/>
        <v>98.296965500020889</v>
      </c>
      <c r="DC27" s="36">
        <f t="shared" si="9"/>
        <v>548.08881437666184</v>
      </c>
      <c r="DE27" s="36">
        <f t="shared" si="10"/>
        <v>55905.059066419519</v>
      </c>
      <c r="DF27" s="36">
        <f t="shared" si="19"/>
        <v>283837.54685097875</v>
      </c>
    </row>
    <row r="28" spans="2:110" x14ac:dyDescent="0.25">
      <c r="B28" s="67">
        <v>2032</v>
      </c>
      <c r="C28" s="67">
        <v>0</v>
      </c>
      <c r="D28" s="67">
        <v>0</v>
      </c>
      <c r="E28" s="67">
        <v>0</v>
      </c>
      <c r="F28" s="67">
        <v>0</v>
      </c>
      <c r="G28" s="67">
        <v>0</v>
      </c>
      <c r="H28" s="67">
        <v>0</v>
      </c>
      <c r="I28" s="67">
        <v>0</v>
      </c>
      <c r="J28" s="67">
        <v>0</v>
      </c>
      <c r="K28" s="67">
        <v>0</v>
      </c>
      <c r="L28" s="67">
        <v>0</v>
      </c>
      <c r="M28" s="67">
        <v>0</v>
      </c>
      <c r="N28" s="67">
        <v>0</v>
      </c>
      <c r="O28" s="67">
        <v>0</v>
      </c>
      <c r="P28" s="67">
        <v>0</v>
      </c>
      <c r="Q28" s="67">
        <v>0</v>
      </c>
      <c r="R28" s="67">
        <v>0</v>
      </c>
      <c r="S28" s="67">
        <v>0</v>
      </c>
      <c r="T28" s="67">
        <v>0</v>
      </c>
      <c r="U28" s="67">
        <f t="shared" si="43"/>
        <v>0</v>
      </c>
      <c r="V28" s="67">
        <f t="shared" si="11"/>
        <v>0</v>
      </c>
      <c r="W28" s="67">
        <f t="shared" si="12"/>
        <v>0</v>
      </c>
      <c r="Y28" s="67">
        <v>15</v>
      </c>
      <c r="Z28" s="67" t="s">
        <v>104</v>
      </c>
      <c r="AA28" s="36">
        <v>47.832500000000039</v>
      </c>
      <c r="AB28" s="36"/>
      <c r="AC28" s="36">
        <f t="shared" si="1"/>
        <v>256.16376280157721</v>
      </c>
      <c r="AD28" s="36">
        <f t="shared" si="13"/>
        <v>20.599533545864517</v>
      </c>
      <c r="AE28" s="19"/>
      <c r="AF28" s="67">
        <v>15</v>
      </c>
      <c r="AG28" s="67" t="str">
        <f t="shared" si="2"/>
        <v>2032-2033</v>
      </c>
      <c r="AH28" s="36">
        <f>('Mangifera indica'!AD28*$W$14)/1000</f>
        <v>1058.2600016479662</v>
      </c>
      <c r="AI28" s="36">
        <f>('Mangifera indica'!AD27*$W$15)/1000</f>
        <v>454.06466394014706</v>
      </c>
      <c r="AJ28" s="36">
        <f>('Mangifera indica'!AD26*$W$16)/1000</f>
        <v>292.97753980562032</v>
      </c>
      <c r="AK28" s="36">
        <f>('Mangifera indica'!AD25*$W$17)/1000</f>
        <v>330.59978001677371</v>
      </c>
      <c r="AL28" s="36">
        <f>('Mangifera indica'!AD24*$W$18)/1000</f>
        <v>268.52033104586843</v>
      </c>
      <c r="AM28" s="36">
        <f>('Mangifera indica'!AD23*$W$19)/1000</f>
        <v>224.68731029067553</v>
      </c>
      <c r="AN28" s="36">
        <f>('Mangifera indica'!AD22*$W$20)/1000</f>
        <v>2865.1330103118626</v>
      </c>
      <c r="AO28" s="36">
        <f>('Mangifera indica'!AD21*$W$21)/1000</f>
        <v>3485.3208515868164</v>
      </c>
      <c r="AP28" s="36">
        <f>('Mangifera indica'!AD20*$W$22)/1000</f>
        <v>3287.7393266456152</v>
      </c>
      <c r="AQ28" s="36">
        <f>('Mangifera indica'!AD19*$W$23)/1000</f>
        <v>6696.2109994453012</v>
      </c>
      <c r="AR28" s="36">
        <f>('Mangifera indica'!AD18*$W$24)/1000</f>
        <v>5645.6468877024572</v>
      </c>
      <c r="AT28" s="36">
        <f t="shared" si="3"/>
        <v>264.56500041199155</v>
      </c>
      <c r="AU28" s="36">
        <f t="shared" si="14"/>
        <v>113.51616598503676</v>
      </c>
      <c r="AV28" s="36">
        <f t="shared" si="20"/>
        <v>73.244384951405081</v>
      </c>
      <c r="AW28" s="36">
        <f t="shared" si="23"/>
        <v>82.649945004193427</v>
      </c>
      <c r="AX28" s="36">
        <f t="shared" si="26"/>
        <v>67.130082761467108</v>
      </c>
      <c r="AY28" s="36">
        <f t="shared" si="28"/>
        <v>56.171827572668882</v>
      </c>
      <c r="AZ28" s="36">
        <f t="shared" si="30"/>
        <v>716.28325257796564</v>
      </c>
      <c r="BA28" s="36">
        <f t="shared" si="33"/>
        <v>871.3302128967041</v>
      </c>
      <c r="BB28" s="36">
        <f t="shared" si="35"/>
        <v>821.93483166140379</v>
      </c>
      <c r="BC28" s="36">
        <f t="shared" si="40"/>
        <v>1674.0527498613253</v>
      </c>
      <c r="BD28" s="36">
        <f t="shared" si="44"/>
        <v>1411.4117219256143</v>
      </c>
      <c r="BF28" s="36">
        <f t="shared" si="15"/>
        <v>1322.8250020599578</v>
      </c>
      <c r="BG28" s="36">
        <f t="shared" si="16"/>
        <v>567.58082992518382</v>
      </c>
      <c r="BH28" s="36">
        <f t="shared" si="17"/>
        <v>366.22192475702542</v>
      </c>
      <c r="BI28" s="36">
        <f t="shared" si="21"/>
        <v>413.24972502096716</v>
      </c>
      <c r="BJ28" s="36">
        <f t="shared" si="24"/>
        <v>335.65041380733555</v>
      </c>
      <c r="BK28" s="36">
        <f t="shared" si="29"/>
        <v>280.85913786334442</v>
      </c>
      <c r="BL28" s="36">
        <f t="shared" si="31"/>
        <v>3581.4162628898284</v>
      </c>
      <c r="BM28" s="36">
        <f t="shared" si="34"/>
        <v>4356.6510644835207</v>
      </c>
      <c r="BN28" s="36">
        <f t="shared" si="36"/>
        <v>4109.6741583070188</v>
      </c>
      <c r="BO28" s="36">
        <f t="shared" si="41"/>
        <v>8370.2637493066268</v>
      </c>
      <c r="BP28" s="36">
        <f t="shared" si="45"/>
        <v>7057.0586096280713</v>
      </c>
      <c r="BR28" s="36">
        <f>'Mangifera indica'!BF28*$AD$7*$AH$4</f>
        <v>2281.740846053221</v>
      </c>
      <c r="BS28" s="36">
        <f t="shared" si="4"/>
        <v>979.02017353794952</v>
      </c>
      <c r="BT28" s="36">
        <f t="shared" si="18"/>
        <v>631.69619801339309</v>
      </c>
      <c r="BU28" s="36">
        <f t="shared" si="22"/>
        <v>712.81445068866617</v>
      </c>
      <c r="BV28" s="36">
        <f t="shared" si="25"/>
        <v>578.96339877627304</v>
      </c>
      <c r="BW28" s="36">
        <f t="shared" si="27"/>
        <v>484.45392690048277</v>
      </c>
      <c r="BX28" s="36">
        <f t="shared" si="32"/>
        <v>6177.5849118586648</v>
      </c>
      <c r="BY28" s="36">
        <f t="shared" si="37"/>
        <v>7514.7874211276239</v>
      </c>
      <c r="BZ28" s="36">
        <f t="shared" si="42"/>
        <v>7088.7769556637759</v>
      </c>
      <c r="CA28" s="36">
        <f t="shared" si="46"/>
        <v>14437.867941179</v>
      </c>
      <c r="CB28" s="36">
        <f t="shared" si="47"/>
        <v>12172.720395747459</v>
      </c>
      <c r="CC28" s="36">
        <f t="shared" si="5"/>
        <v>53060.426619546502</v>
      </c>
      <c r="CE28" s="36">
        <f t="shared" si="6"/>
        <v>22.81740846053221</v>
      </c>
      <c r="CF28" s="36">
        <f t="shared" si="6"/>
        <v>9.7902017353794957</v>
      </c>
      <c r="CG28" s="36">
        <f t="shared" si="6"/>
        <v>6.3169619801339314</v>
      </c>
      <c r="CH28" s="36">
        <f t="shared" si="6"/>
        <v>7.1281445068866622</v>
      </c>
      <c r="CI28" s="36">
        <f t="shared" si="6"/>
        <v>5.7896339877627305</v>
      </c>
      <c r="CJ28" s="36">
        <f t="shared" si="6"/>
        <v>4.8445392690048275</v>
      </c>
      <c r="CK28" s="36">
        <f t="shared" si="6"/>
        <v>61.775849118586649</v>
      </c>
      <c r="CL28" s="36">
        <f t="shared" si="6"/>
        <v>75.147874211276246</v>
      </c>
      <c r="CM28" s="36">
        <f t="shared" si="48"/>
        <v>70.887769556637764</v>
      </c>
      <c r="CN28" s="36">
        <f t="shared" si="38"/>
        <v>144.37867941178999</v>
      </c>
      <c r="CO28" s="36">
        <f t="shared" si="38"/>
        <v>121.7272039574746</v>
      </c>
      <c r="CP28" s="36">
        <f t="shared" si="7"/>
        <v>530.60426619546502</v>
      </c>
      <c r="CR28" s="36">
        <f t="shared" si="8"/>
        <v>22.81740846053221</v>
      </c>
      <c r="CS28" s="36">
        <f t="shared" si="8"/>
        <v>9.7902017353794957</v>
      </c>
      <c r="CT28" s="36">
        <f t="shared" si="8"/>
        <v>6.3169619801339314</v>
      </c>
      <c r="CU28" s="36">
        <f t="shared" si="8"/>
        <v>7.1281445068866622</v>
      </c>
      <c r="CV28" s="36">
        <f t="shared" si="8"/>
        <v>5.7896339877627305</v>
      </c>
      <c r="CW28" s="36">
        <f t="shared" si="8"/>
        <v>4.8445392690048275</v>
      </c>
      <c r="CX28" s="36">
        <f t="shared" si="8"/>
        <v>61.775849118586649</v>
      </c>
      <c r="CY28" s="36">
        <f t="shared" si="8"/>
        <v>75.147874211276246</v>
      </c>
      <c r="CZ28" s="36">
        <f t="shared" si="49"/>
        <v>70.887769556637764</v>
      </c>
      <c r="DA28" s="36">
        <f t="shared" si="39"/>
        <v>144.37867941178999</v>
      </c>
      <c r="DB28" s="36">
        <f t="shared" si="39"/>
        <v>121.7272039574746</v>
      </c>
      <c r="DC28" s="36">
        <f t="shared" si="9"/>
        <v>530.60426619546502</v>
      </c>
      <c r="DE28" s="36">
        <f t="shared" si="10"/>
        <v>54121.635151937429</v>
      </c>
      <c r="DF28" s="36">
        <f t="shared" si="19"/>
        <v>337959.18200291618</v>
      </c>
    </row>
    <row r="29" spans="2:110" x14ac:dyDescent="0.25">
      <c r="B29" s="67">
        <v>2033</v>
      </c>
      <c r="C29" s="67">
        <v>0</v>
      </c>
      <c r="D29" s="67">
        <v>0</v>
      </c>
      <c r="E29" s="67">
        <v>0</v>
      </c>
      <c r="F29" s="67">
        <v>0</v>
      </c>
      <c r="G29" s="67">
        <v>0</v>
      </c>
      <c r="H29" s="67">
        <v>0</v>
      </c>
      <c r="I29" s="67">
        <v>0</v>
      </c>
      <c r="J29" s="67">
        <v>0</v>
      </c>
      <c r="K29" s="67">
        <v>0</v>
      </c>
      <c r="L29" s="67">
        <v>0</v>
      </c>
      <c r="M29" s="67">
        <v>0</v>
      </c>
      <c r="N29" s="67">
        <v>0</v>
      </c>
      <c r="O29" s="67">
        <v>0</v>
      </c>
      <c r="P29" s="67">
        <v>0</v>
      </c>
      <c r="Q29" s="67">
        <v>0</v>
      </c>
      <c r="R29" s="67">
        <v>0</v>
      </c>
      <c r="S29" s="67">
        <v>0</v>
      </c>
      <c r="T29" s="67">
        <v>0</v>
      </c>
      <c r="U29" s="67">
        <f t="shared" si="43"/>
        <v>0</v>
      </c>
      <c r="V29" s="67">
        <f t="shared" si="11"/>
        <v>0</v>
      </c>
      <c r="W29" s="67">
        <f t="shared" si="12"/>
        <v>0</v>
      </c>
      <c r="Y29" s="67">
        <v>16</v>
      </c>
      <c r="Z29" s="67" t="s">
        <v>105</v>
      </c>
      <c r="AA29" s="36">
        <v>49.951666666666704</v>
      </c>
      <c r="AB29" s="36"/>
      <c r="AC29" s="36">
        <f t="shared" si="1"/>
        <v>277.55398348722463</v>
      </c>
      <c r="AD29" s="36">
        <f t="shared" si="13"/>
        <v>21.390220685647421</v>
      </c>
      <c r="AE29" s="19"/>
      <c r="AF29" s="67">
        <v>16</v>
      </c>
      <c r="AG29" s="67" t="str">
        <f t="shared" si="2"/>
        <v>2033-2034</v>
      </c>
      <c r="AH29" s="36">
        <f>('Mangifera indica'!AD29*$W$14)/1000</f>
        <v>1098.8799784055307</v>
      </c>
      <c r="AI29" s="36">
        <f>('Mangifera indica'!AD28*$W$15)/1000</f>
        <v>472.31768207743437</v>
      </c>
      <c r="AJ29" s="36">
        <f>('Mangifera indica'!AD27*$W$16)/1000</f>
        <v>305.3396822314603</v>
      </c>
      <c r="AK29" s="36">
        <f>('Mangifera indica'!AD26*$W$17)/1000</f>
        <v>345.27809798161076</v>
      </c>
      <c r="AL29" s="36">
        <f>('Mangifera indica'!AD25*$W$18)/1000</f>
        <v>281.09950760415148</v>
      </c>
      <c r="AM29" s="36">
        <f>('Mangifera indica'!AD24*$W$19)/1000</f>
        <v>235.82708992823453</v>
      </c>
      <c r="AN29" s="36">
        <f>('Mangifera indica'!AD23*$W$20)/1000</f>
        <v>3015.9834598227039</v>
      </c>
      <c r="AO29" s="36">
        <f>('Mangifera indica'!AD22*$W$21)/1000</f>
        <v>3680.9433069192214</v>
      </c>
      <c r="AP29" s="36">
        <f>('Mangifera indica'!AD21*$W$22)/1000</f>
        <v>3485.3208515868164</v>
      </c>
      <c r="AQ29" s="36">
        <f>('Mangifera indica'!AD20*$W$23)/1000</f>
        <v>3287.7393266456152</v>
      </c>
      <c r="AR29" s="36">
        <f>('Mangifera indica'!AD19*$W$24)/1000</f>
        <v>6696.2109994453012</v>
      </c>
      <c r="AT29" s="36">
        <f t="shared" si="3"/>
        <v>274.71999460138267</v>
      </c>
      <c r="AU29" s="36">
        <f t="shared" si="14"/>
        <v>118.07942051935859</v>
      </c>
      <c r="AV29" s="36">
        <f t="shared" si="20"/>
        <v>76.334920557865075</v>
      </c>
      <c r="AW29" s="36">
        <f t="shared" si="23"/>
        <v>86.319524495402689</v>
      </c>
      <c r="AX29" s="36">
        <f t="shared" si="26"/>
        <v>70.274876901037871</v>
      </c>
      <c r="AY29" s="36">
        <f t="shared" si="28"/>
        <v>58.956772482058632</v>
      </c>
      <c r="AZ29" s="36">
        <f t="shared" si="30"/>
        <v>753.99586495567598</v>
      </c>
      <c r="BA29" s="36">
        <f t="shared" si="33"/>
        <v>920.23582672980535</v>
      </c>
      <c r="BB29" s="36">
        <f t="shared" si="35"/>
        <v>871.3302128967041</v>
      </c>
      <c r="BC29" s="36">
        <f t="shared" si="40"/>
        <v>821.93483166140379</v>
      </c>
      <c r="BD29" s="36">
        <f t="shared" si="44"/>
        <v>1674.0527498613253</v>
      </c>
      <c r="BF29" s="36">
        <f t="shared" si="15"/>
        <v>1373.5999730069134</v>
      </c>
      <c r="BG29" s="36">
        <f t="shared" si="16"/>
        <v>590.39710259679293</v>
      </c>
      <c r="BH29" s="36">
        <f t="shared" si="17"/>
        <v>381.67460278932538</v>
      </c>
      <c r="BI29" s="36">
        <f t="shared" si="21"/>
        <v>431.59762247701343</v>
      </c>
      <c r="BJ29" s="36">
        <f t="shared" si="24"/>
        <v>351.37438450518937</v>
      </c>
      <c r="BK29" s="36">
        <f t="shared" si="29"/>
        <v>294.78386241029318</v>
      </c>
      <c r="BL29" s="36">
        <f t="shared" si="31"/>
        <v>3769.97932477838</v>
      </c>
      <c r="BM29" s="36">
        <f t="shared" si="34"/>
        <v>4601.1791336490269</v>
      </c>
      <c r="BN29" s="36">
        <f t="shared" si="36"/>
        <v>4356.6510644835207</v>
      </c>
      <c r="BO29" s="36">
        <f t="shared" si="41"/>
        <v>4109.6741583070188</v>
      </c>
      <c r="BP29" s="36">
        <f t="shared" si="45"/>
        <v>8370.2637493066268</v>
      </c>
      <c r="BR29" s="36">
        <f>'Mangifera indica'!BF29*$AD$7*$AH$4</f>
        <v>2369.3225934396246</v>
      </c>
      <c r="BS29" s="36">
        <f t="shared" si="4"/>
        <v>1018.375962269208</v>
      </c>
      <c r="BT29" s="36">
        <f t="shared" si="18"/>
        <v>658.35052235130729</v>
      </c>
      <c r="BU29" s="36">
        <f t="shared" si="22"/>
        <v>744.46273901060044</v>
      </c>
      <c r="BV29" s="36">
        <f t="shared" si="25"/>
        <v>606.08567583300101</v>
      </c>
      <c r="BW29" s="36">
        <f t="shared" si="27"/>
        <v>508.47268427151465</v>
      </c>
      <c r="BX29" s="36">
        <f t="shared" si="32"/>
        <v>6502.8373373102277</v>
      </c>
      <c r="BY29" s="36">
        <f t="shared" si="37"/>
        <v>7936.5738876312053</v>
      </c>
      <c r="BZ29" s="36">
        <f t="shared" si="42"/>
        <v>7514.7874211276239</v>
      </c>
      <c r="CA29" s="36">
        <f t="shared" si="46"/>
        <v>7088.7769556637759</v>
      </c>
      <c r="CB29" s="36">
        <f t="shared" si="47"/>
        <v>14437.867941179</v>
      </c>
      <c r="CC29" s="36">
        <f t="shared" si="5"/>
        <v>49385.91372008709</v>
      </c>
      <c r="CE29" s="36">
        <f t="shared" si="6"/>
        <v>23.693225934396246</v>
      </c>
      <c r="CF29" s="36">
        <f t="shared" si="6"/>
        <v>10.183759622692079</v>
      </c>
      <c r="CG29" s="36">
        <f t="shared" si="6"/>
        <v>6.5835052235130727</v>
      </c>
      <c r="CH29" s="36">
        <f t="shared" si="6"/>
        <v>7.4446273901060049</v>
      </c>
      <c r="CI29" s="36">
        <f t="shared" si="6"/>
        <v>6.0608567583300106</v>
      </c>
      <c r="CJ29" s="36">
        <f t="shared" si="6"/>
        <v>5.0847268427151464</v>
      </c>
      <c r="CK29" s="36">
        <f t="shared" si="6"/>
        <v>65.028373373102283</v>
      </c>
      <c r="CL29" s="36">
        <f t="shared" si="6"/>
        <v>79.365738876312051</v>
      </c>
      <c r="CM29" s="36">
        <f t="shared" si="48"/>
        <v>75.147874211276246</v>
      </c>
      <c r="CN29" s="36">
        <f t="shared" si="38"/>
        <v>70.887769556637764</v>
      </c>
      <c r="CO29" s="36">
        <f t="shared" si="38"/>
        <v>144.37867941178999</v>
      </c>
      <c r="CP29" s="36">
        <f t="shared" si="7"/>
        <v>493.85913720087092</v>
      </c>
      <c r="CR29" s="36">
        <f t="shared" si="8"/>
        <v>23.693225934396246</v>
      </c>
      <c r="CS29" s="36">
        <f t="shared" si="8"/>
        <v>10.183759622692079</v>
      </c>
      <c r="CT29" s="36">
        <f t="shared" si="8"/>
        <v>6.5835052235130727</v>
      </c>
      <c r="CU29" s="36">
        <f t="shared" si="8"/>
        <v>7.4446273901060049</v>
      </c>
      <c r="CV29" s="36">
        <f t="shared" si="8"/>
        <v>6.0608567583300106</v>
      </c>
      <c r="CW29" s="36">
        <f t="shared" si="8"/>
        <v>5.0847268427151464</v>
      </c>
      <c r="CX29" s="36">
        <f t="shared" si="8"/>
        <v>65.028373373102283</v>
      </c>
      <c r="CY29" s="36">
        <f t="shared" si="8"/>
        <v>79.365738876312051</v>
      </c>
      <c r="CZ29" s="36">
        <f t="shared" si="49"/>
        <v>75.147874211276246</v>
      </c>
      <c r="DA29" s="36">
        <f t="shared" si="39"/>
        <v>70.887769556637764</v>
      </c>
      <c r="DB29" s="36">
        <f t="shared" si="39"/>
        <v>144.37867941178999</v>
      </c>
      <c r="DC29" s="36">
        <f t="shared" si="9"/>
        <v>493.85913720087092</v>
      </c>
      <c r="DE29" s="36">
        <f t="shared" si="10"/>
        <v>50373.631994488838</v>
      </c>
      <c r="DF29" s="36">
        <f t="shared" si="19"/>
        <v>388332.813997405</v>
      </c>
    </row>
    <row r="30" spans="2:110" x14ac:dyDescent="0.25">
      <c r="B30" s="67">
        <v>2034</v>
      </c>
      <c r="C30" s="67">
        <v>0</v>
      </c>
      <c r="D30" s="67">
        <v>0</v>
      </c>
      <c r="E30" s="67">
        <v>0</v>
      </c>
      <c r="F30" s="67">
        <v>0</v>
      </c>
      <c r="G30" s="67">
        <v>0</v>
      </c>
      <c r="H30" s="67">
        <v>0</v>
      </c>
      <c r="I30" s="67">
        <v>0</v>
      </c>
      <c r="J30" s="67">
        <v>0</v>
      </c>
      <c r="K30" s="67">
        <v>0</v>
      </c>
      <c r="L30" s="67">
        <v>0</v>
      </c>
      <c r="M30" s="67">
        <v>0</v>
      </c>
      <c r="N30" s="67">
        <v>0</v>
      </c>
      <c r="O30" s="67">
        <v>0</v>
      </c>
      <c r="P30" s="67">
        <v>0</v>
      </c>
      <c r="Q30" s="67">
        <v>0</v>
      </c>
      <c r="R30" s="67">
        <v>0</v>
      </c>
      <c r="S30" s="67">
        <v>0</v>
      </c>
      <c r="T30" s="67">
        <v>0</v>
      </c>
      <c r="U30" s="67">
        <f t="shared" si="43"/>
        <v>0</v>
      </c>
      <c r="V30" s="67">
        <f t="shared" si="11"/>
        <v>0</v>
      </c>
      <c r="W30" s="67">
        <f t="shared" si="12"/>
        <v>0</v>
      </c>
      <c r="Y30" s="67">
        <v>17</v>
      </c>
      <c r="Z30" s="67" t="s">
        <v>106</v>
      </c>
      <c r="AA30" s="36">
        <v>52.070833333333368</v>
      </c>
      <c r="AB30" s="36"/>
      <c r="AC30" s="36">
        <f t="shared" si="1"/>
        <v>299.72976464276883</v>
      </c>
      <c r="AD30" s="36">
        <f t="shared" si="13"/>
        <v>22.1757811555442</v>
      </c>
      <c r="AE30" s="19"/>
      <c r="AF30" s="67">
        <v>17</v>
      </c>
      <c r="AG30" s="67" t="str">
        <f t="shared" si="2"/>
        <v>2034-2035</v>
      </c>
      <c r="AH30" s="36">
        <f>('Mangifera indica'!AD30*$W$14)/1000</f>
        <v>1139.2365827100214</v>
      </c>
      <c r="AI30" s="36">
        <f>('Mangifera indica'!AD29*$W$15)/1000</f>
        <v>490.44700118454938</v>
      </c>
      <c r="AJ30" s="36">
        <f>('Mangifera indica'!AD28*$W$16)/1000</f>
        <v>317.61408101299389</v>
      </c>
      <c r="AK30" s="36">
        <f>('Mangifera indica'!AD27*$W$17)/1000</f>
        <v>359.84705445043664</v>
      </c>
      <c r="AL30" s="36">
        <f>('Mangifera indica'!AD26*$W$18)/1000</f>
        <v>293.58006022933324</v>
      </c>
      <c r="AM30" s="36">
        <f>('Mangifera indica'!AD25*$W$19)/1000</f>
        <v>246.87471000928755</v>
      </c>
      <c r="AN30" s="36">
        <f>('Mangifera indica'!AD24*$W$20)/1000</f>
        <v>3165.5130041903099</v>
      </c>
      <c r="AO30" s="36">
        <f>('Mangifera indica'!AD23*$W$21)/1000</f>
        <v>3874.7465092397474</v>
      </c>
      <c r="AP30" s="36">
        <f>('Mangifera indica'!AD22*$W$22)/1000</f>
        <v>3680.9433069192214</v>
      </c>
      <c r="AQ30" s="36">
        <f>('Mangifera indica'!AD21*$W$23)/1000</f>
        <v>3485.3208515868164</v>
      </c>
      <c r="AR30" s="36">
        <f>('Mangifera indica'!AD20*$W$24)/1000</f>
        <v>3287.7393266456152</v>
      </c>
      <c r="AT30" s="36">
        <f t="shared" si="3"/>
        <v>284.80914567750534</v>
      </c>
      <c r="AU30" s="36">
        <f t="shared" si="14"/>
        <v>122.61175029613734</v>
      </c>
      <c r="AV30" s="36">
        <f t="shared" si="20"/>
        <v>79.403520253248473</v>
      </c>
      <c r="AW30" s="36">
        <f t="shared" si="23"/>
        <v>89.961763612609161</v>
      </c>
      <c r="AX30" s="36">
        <f t="shared" si="26"/>
        <v>73.39501505733331</v>
      </c>
      <c r="AY30" s="36">
        <f t="shared" si="28"/>
        <v>61.718677502321889</v>
      </c>
      <c r="AZ30" s="36">
        <f t="shared" si="30"/>
        <v>791.37825104757746</v>
      </c>
      <c r="BA30" s="36">
        <f t="shared" si="33"/>
        <v>968.68662730993685</v>
      </c>
      <c r="BB30" s="36">
        <f t="shared" si="35"/>
        <v>920.23582672980535</v>
      </c>
      <c r="BC30" s="36">
        <f t="shared" si="40"/>
        <v>871.3302128967041</v>
      </c>
      <c r="BD30" s="36">
        <f t="shared" si="44"/>
        <v>821.93483166140379</v>
      </c>
      <c r="BF30" s="36">
        <f t="shared" si="15"/>
        <v>1424.0457283875267</v>
      </c>
      <c r="BG30" s="36">
        <f t="shared" si="16"/>
        <v>613.05875148068674</v>
      </c>
      <c r="BH30" s="36">
        <f t="shared" si="17"/>
        <v>397.01760126624237</v>
      </c>
      <c r="BI30" s="36">
        <f t="shared" si="21"/>
        <v>449.80881806304581</v>
      </c>
      <c r="BJ30" s="36">
        <f t="shared" si="24"/>
        <v>366.97507528666654</v>
      </c>
      <c r="BK30" s="36">
        <f t="shared" si="29"/>
        <v>308.59338751160942</v>
      </c>
      <c r="BL30" s="36">
        <f t="shared" si="31"/>
        <v>3956.8912552378874</v>
      </c>
      <c r="BM30" s="36">
        <f t="shared" si="34"/>
        <v>4843.4331365496846</v>
      </c>
      <c r="BN30" s="36">
        <f t="shared" si="36"/>
        <v>4601.1791336490269</v>
      </c>
      <c r="BO30" s="36">
        <f t="shared" si="41"/>
        <v>4356.6510644835207</v>
      </c>
      <c r="BP30" s="36">
        <f t="shared" si="45"/>
        <v>4109.6741583070188</v>
      </c>
      <c r="BR30" s="36">
        <f>'Mangifera indica'!BF30*$AD$7*$AH$4</f>
        <v>2456.3364768956449</v>
      </c>
      <c r="BS30" s="36">
        <f t="shared" si="4"/>
        <v>1057.4650404290364</v>
      </c>
      <c r="BT30" s="36">
        <f t="shared" si="18"/>
        <v>684.81566042414136</v>
      </c>
      <c r="BU30" s="36">
        <f t="shared" si="22"/>
        <v>775.8752302769476</v>
      </c>
      <c r="BV30" s="36">
        <f t="shared" si="25"/>
        <v>632.99530736197107</v>
      </c>
      <c r="BW30" s="36">
        <f t="shared" si="27"/>
        <v>532.292734118775</v>
      </c>
      <c r="BX30" s="36">
        <f t="shared" si="32"/>
        <v>6825.2417261598312</v>
      </c>
      <c r="BY30" s="36">
        <f t="shared" si="37"/>
        <v>8354.4378172345496</v>
      </c>
      <c r="BZ30" s="36">
        <f t="shared" si="42"/>
        <v>7936.5738876312053</v>
      </c>
      <c r="CA30" s="36">
        <f t="shared" si="46"/>
        <v>7514.7874211276239</v>
      </c>
      <c r="CB30" s="36">
        <f t="shared" si="47"/>
        <v>7088.7769556637759</v>
      </c>
      <c r="CC30" s="36">
        <f t="shared" si="5"/>
        <v>43859.598257323509</v>
      </c>
      <c r="CE30" s="36">
        <f t="shared" si="6"/>
        <v>24.56336476895645</v>
      </c>
      <c r="CF30" s="36">
        <f t="shared" si="6"/>
        <v>10.574650404290365</v>
      </c>
      <c r="CG30" s="36">
        <f t="shared" si="6"/>
        <v>6.8481566042414137</v>
      </c>
      <c r="CH30" s="36">
        <f t="shared" si="6"/>
        <v>7.7587523027694765</v>
      </c>
      <c r="CI30" s="36">
        <f t="shared" si="6"/>
        <v>6.3299530736197109</v>
      </c>
      <c r="CJ30" s="36">
        <f t="shared" si="6"/>
        <v>5.32292734118775</v>
      </c>
      <c r="CK30" s="36">
        <f t="shared" si="6"/>
        <v>68.25241726159831</v>
      </c>
      <c r="CL30" s="36">
        <f t="shared" si="6"/>
        <v>83.544378172345503</v>
      </c>
      <c r="CM30" s="36">
        <f t="shared" si="48"/>
        <v>79.365738876312051</v>
      </c>
      <c r="CN30" s="36">
        <f t="shared" si="38"/>
        <v>75.147874211276246</v>
      </c>
      <c r="CO30" s="36">
        <f t="shared" si="38"/>
        <v>70.887769556637764</v>
      </c>
      <c r="CP30" s="36">
        <f t="shared" si="7"/>
        <v>438.59598257323501</v>
      </c>
      <c r="CR30" s="36">
        <f t="shared" si="8"/>
        <v>24.56336476895645</v>
      </c>
      <c r="CS30" s="36">
        <f t="shared" si="8"/>
        <v>10.574650404290365</v>
      </c>
      <c r="CT30" s="36">
        <f t="shared" si="8"/>
        <v>6.8481566042414137</v>
      </c>
      <c r="CU30" s="36">
        <f t="shared" si="8"/>
        <v>7.7587523027694765</v>
      </c>
      <c r="CV30" s="36">
        <f t="shared" si="8"/>
        <v>6.3299530736197109</v>
      </c>
      <c r="CW30" s="36">
        <f t="shared" si="8"/>
        <v>5.32292734118775</v>
      </c>
      <c r="CX30" s="36">
        <f t="shared" si="8"/>
        <v>68.25241726159831</v>
      </c>
      <c r="CY30" s="36">
        <f t="shared" si="8"/>
        <v>83.544378172345503</v>
      </c>
      <c r="CZ30" s="36">
        <f t="shared" si="49"/>
        <v>79.365738876312051</v>
      </c>
      <c r="DA30" s="36">
        <f t="shared" si="39"/>
        <v>75.147874211276246</v>
      </c>
      <c r="DB30" s="36">
        <f t="shared" si="39"/>
        <v>70.887769556637764</v>
      </c>
      <c r="DC30" s="36">
        <f t="shared" si="9"/>
        <v>438.59598257323501</v>
      </c>
      <c r="DE30" s="36">
        <f t="shared" si="10"/>
        <v>44736.790222469979</v>
      </c>
      <c r="DF30" s="36">
        <f t="shared" si="19"/>
        <v>433069.60421987495</v>
      </c>
    </row>
    <row r="31" spans="2:110" x14ac:dyDescent="0.25">
      <c r="B31" s="67">
        <v>2035</v>
      </c>
      <c r="C31" s="67">
        <v>0</v>
      </c>
      <c r="D31" s="67">
        <v>0</v>
      </c>
      <c r="E31" s="67">
        <v>0</v>
      </c>
      <c r="F31" s="67">
        <v>0</v>
      </c>
      <c r="G31" s="67">
        <v>0</v>
      </c>
      <c r="H31" s="67">
        <v>0</v>
      </c>
      <c r="I31" s="67">
        <v>0</v>
      </c>
      <c r="J31" s="67">
        <v>0</v>
      </c>
      <c r="K31" s="67">
        <v>0</v>
      </c>
      <c r="L31" s="67">
        <v>0</v>
      </c>
      <c r="M31" s="67">
        <v>0</v>
      </c>
      <c r="N31" s="67">
        <v>0</v>
      </c>
      <c r="O31" s="67">
        <v>0</v>
      </c>
      <c r="P31" s="67">
        <v>0</v>
      </c>
      <c r="Q31" s="67">
        <v>0</v>
      </c>
      <c r="R31" s="67">
        <v>0</v>
      </c>
      <c r="S31" s="67">
        <v>0</v>
      </c>
      <c r="T31" s="67">
        <v>0</v>
      </c>
      <c r="U31" s="67">
        <f t="shared" si="43"/>
        <v>0</v>
      </c>
      <c r="V31" s="67">
        <f t="shared" si="11"/>
        <v>0</v>
      </c>
      <c r="W31" s="67">
        <f t="shared" si="12"/>
        <v>0</v>
      </c>
      <c r="Y31" s="67">
        <v>18</v>
      </c>
      <c r="Z31" s="67" t="s">
        <v>107</v>
      </c>
      <c r="AA31" s="36">
        <v>54.19000000000004</v>
      </c>
      <c r="AB31" s="36"/>
      <c r="AC31" s="36">
        <f t="shared" si="1"/>
        <v>322.68622398171516</v>
      </c>
      <c r="AD31" s="36">
        <f t="shared" si="13"/>
        <v>22.956459338946331</v>
      </c>
      <c r="AE31" s="19"/>
      <c r="AF31" s="67">
        <v>18</v>
      </c>
      <c r="AG31" s="67" t="str">
        <f t="shared" si="2"/>
        <v>2035-2036</v>
      </c>
      <c r="AH31" s="36">
        <f>('Mangifera indica'!AD31*$W$14)/1000</f>
        <v>1179.3423692713645</v>
      </c>
      <c r="AI31" s="36">
        <f>('Mangifera indica'!AD30*$W$15)/1000</f>
        <v>508.45877312332681</v>
      </c>
      <c r="AJ31" s="36">
        <f>('Mangifera indica'!AD29*$W$16)/1000</f>
        <v>329.80529731950855</v>
      </c>
      <c r="AK31" s="36">
        <f>('Mangifera indica'!AD28*$W$17)/1000</f>
        <v>374.31260381632842</v>
      </c>
      <c r="AL31" s="36">
        <f>('Mangifera indica'!AD27*$W$18)/1000</f>
        <v>305.96762591218243</v>
      </c>
      <c r="AM31" s="36">
        <f>('Mangifera indica'!AD26*$W$19)/1000</f>
        <v>257.83571394827806</v>
      </c>
      <c r="AN31" s="36">
        <f>('Mangifera indica'!AD25*$W$20)/1000</f>
        <v>3313.8054884955259</v>
      </c>
      <c r="AO31" s="36">
        <f>('Mangifera indica'!AD24*$W$21)/1000</f>
        <v>4066.8526954257454</v>
      </c>
      <c r="AP31" s="36">
        <f>('Mangifera indica'!AD23*$W$22)/1000</f>
        <v>3874.7465092397474</v>
      </c>
      <c r="AQ31" s="36">
        <f>('Mangifera indica'!AD22*$W$23)/1000</f>
        <v>3680.9433069192214</v>
      </c>
      <c r="AR31" s="36">
        <f>('Mangifera indica'!AD21*$W$24)/1000</f>
        <v>3485.3208515868164</v>
      </c>
      <c r="AT31" s="36">
        <f t="shared" si="3"/>
        <v>294.83559231784113</v>
      </c>
      <c r="AU31" s="36">
        <f t="shared" si="14"/>
        <v>127.1146932808317</v>
      </c>
      <c r="AV31" s="36">
        <f t="shared" si="20"/>
        <v>82.451324329877139</v>
      </c>
      <c r="AW31" s="36">
        <f t="shared" si="23"/>
        <v>93.578150954082105</v>
      </c>
      <c r="AX31" s="36">
        <f t="shared" si="26"/>
        <v>76.491906478045607</v>
      </c>
      <c r="AY31" s="36">
        <f t="shared" si="28"/>
        <v>64.458928487069514</v>
      </c>
      <c r="AZ31" s="36">
        <f t="shared" si="30"/>
        <v>828.45137212388147</v>
      </c>
      <c r="BA31" s="36">
        <f t="shared" si="33"/>
        <v>1016.7131738564364</v>
      </c>
      <c r="BB31" s="36">
        <f t="shared" si="35"/>
        <v>968.68662730993685</v>
      </c>
      <c r="BC31" s="36">
        <f t="shared" si="40"/>
        <v>920.23582672980535</v>
      </c>
      <c r="BD31" s="36">
        <f t="shared" si="44"/>
        <v>871.3302128967041</v>
      </c>
      <c r="BF31" s="36">
        <f t="shared" si="15"/>
        <v>1474.1779615892056</v>
      </c>
      <c r="BG31" s="36">
        <f t="shared" si="16"/>
        <v>635.57346640415847</v>
      </c>
      <c r="BH31" s="36">
        <f t="shared" si="17"/>
        <v>412.25662164938569</v>
      </c>
      <c r="BI31" s="36">
        <f t="shared" si="21"/>
        <v>467.89075477041052</v>
      </c>
      <c r="BJ31" s="36">
        <f t="shared" si="24"/>
        <v>382.45953239022805</v>
      </c>
      <c r="BK31" s="36">
        <f t="shared" si="29"/>
        <v>322.29464243534755</v>
      </c>
      <c r="BL31" s="36">
        <f t="shared" si="31"/>
        <v>4142.2568606194072</v>
      </c>
      <c r="BM31" s="36">
        <f t="shared" si="34"/>
        <v>5083.5658692821817</v>
      </c>
      <c r="BN31" s="36">
        <f t="shared" si="36"/>
        <v>4843.4331365496846</v>
      </c>
      <c r="BO31" s="36">
        <f t="shared" si="41"/>
        <v>4601.1791336490269</v>
      </c>
      <c r="BP31" s="36">
        <f t="shared" si="45"/>
        <v>4356.6510644835207</v>
      </c>
      <c r="BR31" s="36">
        <f>'Mangifera indica'!BF31*$AD$7*$AH$4</f>
        <v>2542.8095659452206</v>
      </c>
      <c r="BS31" s="36">
        <f t="shared" si="4"/>
        <v>1096.300672200533</v>
      </c>
      <c r="BT31" s="36">
        <f t="shared" si="18"/>
        <v>711.1014466830253</v>
      </c>
      <c r="BU31" s="36">
        <f t="shared" si="22"/>
        <v>807.06476290348098</v>
      </c>
      <c r="BV31" s="36">
        <f t="shared" si="25"/>
        <v>659.70444741990423</v>
      </c>
      <c r="BW31" s="36">
        <f t="shared" si="27"/>
        <v>555.92602873673093</v>
      </c>
      <c r="BX31" s="36">
        <f t="shared" si="32"/>
        <v>7144.9788588824149</v>
      </c>
      <c r="BY31" s="36">
        <f t="shared" si="37"/>
        <v>8768.6427679248354</v>
      </c>
      <c r="BZ31" s="36">
        <f t="shared" si="42"/>
        <v>8354.4378172345496</v>
      </c>
      <c r="CA31" s="36">
        <f t="shared" si="46"/>
        <v>7936.5738876312053</v>
      </c>
      <c r="CB31" s="36">
        <f t="shared" si="47"/>
        <v>7514.7874211276239</v>
      </c>
      <c r="CC31" s="36">
        <f t="shared" si="5"/>
        <v>46092.327676689521</v>
      </c>
      <c r="CE31" s="36">
        <f t="shared" si="6"/>
        <v>25.428095659452207</v>
      </c>
      <c r="CF31" s="36">
        <f t="shared" si="6"/>
        <v>10.96300672200533</v>
      </c>
      <c r="CG31" s="36">
        <f t="shared" si="6"/>
        <v>7.1110144668302535</v>
      </c>
      <c r="CH31" s="36">
        <f t="shared" si="6"/>
        <v>8.0706476290348093</v>
      </c>
      <c r="CI31" s="36">
        <f t="shared" si="6"/>
        <v>6.5970444741990422</v>
      </c>
      <c r="CJ31" s="36">
        <f t="shared" si="6"/>
        <v>5.5592602873673096</v>
      </c>
      <c r="CK31" s="36">
        <f t="shared" si="6"/>
        <v>71.449788588824148</v>
      </c>
      <c r="CL31" s="36">
        <f t="shared" si="6"/>
        <v>87.686427679248354</v>
      </c>
      <c r="CM31" s="36">
        <f t="shared" si="48"/>
        <v>83.544378172345503</v>
      </c>
      <c r="CN31" s="36">
        <f t="shared" si="38"/>
        <v>79.365738876312051</v>
      </c>
      <c r="CO31" s="36">
        <f t="shared" si="38"/>
        <v>75.147874211276246</v>
      </c>
      <c r="CP31" s="36">
        <f t="shared" si="7"/>
        <v>460.92327676689524</v>
      </c>
      <c r="CR31" s="36">
        <f t="shared" si="8"/>
        <v>25.428095659452207</v>
      </c>
      <c r="CS31" s="36">
        <f t="shared" si="8"/>
        <v>10.96300672200533</v>
      </c>
      <c r="CT31" s="36">
        <f t="shared" si="8"/>
        <v>7.1110144668302535</v>
      </c>
      <c r="CU31" s="36">
        <f t="shared" si="8"/>
        <v>8.0706476290348093</v>
      </c>
      <c r="CV31" s="36">
        <f t="shared" si="8"/>
        <v>6.5970444741990422</v>
      </c>
      <c r="CW31" s="36">
        <f t="shared" si="8"/>
        <v>5.5592602873673096</v>
      </c>
      <c r="CX31" s="36">
        <f t="shared" si="8"/>
        <v>71.449788588824148</v>
      </c>
      <c r="CY31" s="36">
        <f t="shared" si="8"/>
        <v>87.686427679248354</v>
      </c>
      <c r="CZ31" s="36">
        <f t="shared" si="49"/>
        <v>83.544378172345503</v>
      </c>
      <c r="DA31" s="36">
        <f t="shared" si="39"/>
        <v>79.365738876312051</v>
      </c>
      <c r="DB31" s="36">
        <f t="shared" si="39"/>
        <v>75.147874211276246</v>
      </c>
      <c r="DC31" s="36">
        <f t="shared" si="9"/>
        <v>460.92327676689524</v>
      </c>
      <c r="DE31" s="36">
        <f t="shared" si="10"/>
        <v>47014.174230223311</v>
      </c>
      <c r="DF31" s="36">
        <f t="shared" si="19"/>
        <v>480083.77845009824</v>
      </c>
    </row>
    <row r="32" spans="2:110" x14ac:dyDescent="0.25">
      <c r="B32" s="67">
        <v>2036</v>
      </c>
      <c r="C32" s="67">
        <v>0</v>
      </c>
      <c r="D32" s="67">
        <v>0</v>
      </c>
      <c r="E32" s="67">
        <v>0</v>
      </c>
      <c r="F32" s="67">
        <v>0</v>
      </c>
      <c r="G32" s="67">
        <v>0</v>
      </c>
      <c r="H32" s="67">
        <v>0</v>
      </c>
      <c r="I32" s="67">
        <v>0</v>
      </c>
      <c r="J32" s="67">
        <v>0</v>
      </c>
      <c r="K32" s="67">
        <v>0</v>
      </c>
      <c r="L32" s="67">
        <v>0</v>
      </c>
      <c r="M32" s="67">
        <v>0</v>
      </c>
      <c r="N32" s="67">
        <v>0</v>
      </c>
      <c r="O32" s="67">
        <v>0</v>
      </c>
      <c r="P32" s="67">
        <v>0</v>
      </c>
      <c r="Q32" s="67">
        <v>0</v>
      </c>
      <c r="R32" s="67">
        <v>0</v>
      </c>
      <c r="S32" s="67">
        <v>0</v>
      </c>
      <c r="T32" s="67">
        <v>0</v>
      </c>
      <c r="U32" s="67">
        <f t="shared" si="43"/>
        <v>0</v>
      </c>
      <c r="V32" s="67">
        <f t="shared" si="11"/>
        <v>0</v>
      </c>
      <c r="W32" s="67">
        <f t="shared" si="12"/>
        <v>0</v>
      </c>
      <c r="Y32" s="67">
        <v>19</v>
      </c>
      <c r="Z32" s="67" t="s">
        <v>108</v>
      </c>
      <c r="AA32" s="36">
        <v>56.309166666666712</v>
      </c>
      <c r="AB32" s="36"/>
      <c r="AC32" s="36">
        <f t="shared" si="1"/>
        <v>346.41870268040623</v>
      </c>
      <c r="AD32" s="36">
        <f t="shared" si="13"/>
        <v>23.732478698691068</v>
      </c>
      <c r="AE32" s="19"/>
      <c r="AF32" s="67">
        <v>19</v>
      </c>
      <c r="AG32" s="67" t="str">
        <f t="shared" si="2"/>
        <v>2036-2037</v>
      </c>
      <c r="AH32" s="36">
        <f>('Mangifera indica'!AD32*$W$14)/1000</f>
        <v>1219.2088180476858</v>
      </c>
      <c r="AI32" s="36">
        <f>('Mangifera indica'!AD31*$W$15)/1000</f>
        <v>526.35860125350985</v>
      </c>
      <c r="AJ32" s="36">
        <f>('Mangifera indica'!AD30*$W$16)/1000</f>
        <v>341.91746802332</v>
      </c>
      <c r="AK32" s="36">
        <f>('Mangifera indica'!AD29*$W$17)/1000</f>
        <v>388.68012148061268</v>
      </c>
      <c r="AL32" s="36">
        <f>('Mangifera indica'!AD28*$W$18)/1000</f>
        <v>318.26726750229301</v>
      </c>
      <c r="AM32" s="36">
        <f>('Mangifera indica'!AD27*$W$19)/1000</f>
        <v>268.71505241364798</v>
      </c>
      <c r="AN32" s="36">
        <f>('Mangifera indica'!AD26*$W$20)/1000</f>
        <v>3460.9353221309002</v>
      </c>
      <c r="AO32" s="36">
        <f>('Mangifera indica'!AD25*$W$21)/1000</f>
        <v>4257.3695843817286</v>
      </c>
      <c r="AP32" s="36">
        <f>('Mangifera indica'!AD24*$W$22)/1000</f>
        <v>4066.8526954257454</v>
      </c>
      <c r="AQ32" s="36">
        <f>('Mangifera indica'!AD23*$W$23)/1000</f>
        <v>3874.7465092397474</v>
      </c>
      <c r="AR32" s="36">
        <f>('Mangifera indica'!AD22*$W$24)/1000</f>
        <v>3680.9433069192214</v>
      </c>
      <c r="AT32" s="36">
        <f t="shared" si="3"/>
        <v>304.80220451192145</v>
      </c>
      <c r="AU32" s="36">
        <f t="shared" si="14"/>
        <v>131.58965031337746</v>
      </c>
      <c r="AV32" s="36">
        <f t="shared" si="20"/>
        <v>85.479367005829999</v>
      </c>
      <c r="AW32" s="36">
        <f t="shared" si="23"/>
        <v>97.170030370153171</v>
      </c>
      <c r="AX32" s="36">
        <f t="shared" si="26"/>
        <v>79.566816875573252</v>
      </c>
      <c r="AY32" s="36">
        <f t="shared" si="28"/>
        <v>67.178763103411995</v>
      </c>
      <c r="AZ32" s="36">
        <f t="shared" si="30"/>
        <v>865.23383053272505</v>
      </c>
      <c r="BA32" s="36">
        <f t="shared" si="33"/>
        <v>1064.3423960954322</v>
      </c>
      <c r="BB32" s="36">
        <f t="shared" si="35"/>
        <v>1016.7131738564364</v>
      </c>
      <c r="BC32" s="36">
        <f t="shared" si="40"/>
        <v>968.68662730993685</v>
      </c>
      <c r="BD32" s="36">
        <f t="shared" si="44"/>
        <v>920.23582672980535</v>
      </c>
      <c r="BF32" s="36">
        <f t="shared" si="15"/>
        <v>1524.0110225596072</v>
      </c>
      <c r="BG32" s="36">
        <f t="shared" si="16"/>
        <v>657.94825156688728</v>
      </c>
      <c r="BH32" s="36">
        <f t="shared" si="17"/>
        <v>427.39683502915</v>
      </c>
      <c r="BI32" s="36">
        <f t="shared" si="21"/>
        <v>485.85015185076588</v>
      </c>
      <c r="BJ32" s="36">
        <f t="shared" si="24"/>
        <v>397.83408437786625</v>
      </c>
      <c r="BK32" s="36">
        <f t="shared" si="29"/>
        <v>335.89381551705998</v>
      </c>
      <c r="BL32" s="36">
        <f t="shared" si="31"/>
        <v>4326.169152663625</v>
      </c>
      <c r="BM32" s="36">
        <f t="shared" si="34"/>
        <v>5321.711980477161</v>
      </c>
      <c r="BN32" s="36">
        <f t="shared" si="36"/>
        <v>5083.5658692821817</v>
      </c>
      <c r="BO32" s="36">
        <f t="shared" si="41"/>
        <v>4843.4331365496846</v>
      </c>
      <c r="BP32" s="36">
        <f t="shared" si="45"/>
        <v>4601.1791336490269</v>
      </c>
      <c r="BR32" s="36">
        <f>'Mangifera indica'!BF32*$AD$7*$AH$4</f>
        <v>2628.7666128130663</v>
      </c>
      <c r="BS32" s="36">
        <f t="shared" si="4"/>
        <v>1134.8949391277238</v>
      </c>
      <c r="BT32" s="36">
        <f t="shared" si="18"/>
        <v>737.21680074178084</v>
      </c>
      <c r="BU32" s="36">
        <f t="shared" si="22"/>
        <v>838.04292692738602</v>
      </c>
      <c r="BV32" s="36">
        <f t="shared" si="25"/>
        <v>686.22401214338151</v>
      </c>
      <c r="BW32" s="36">
        <f t="shared" si="27"/>
        <v>579.38324238537678</v>
      </c>
      <c r="BX32" s="36">
        <f t="shared" si="32"/>
        <v>7462.2091714294857</v>
      </c>
      <c r="BY32" s="36">
        <f t="shared" si="37"/>
        <v>9179.4209951250541</v>
      </c>
      <c r="BZ32" s="36">
        <f t="shared" si="42"/>
        <v>8768.6427679248354</v>
      </c>
      <c r="CA32" s="36">
        <f t="shared" si="46"/>
        <v>8354.4378172345496</v>
      </c>
      <c r="CB32" s="36">
        <f t="shared" si="47"/>
        <v>7936.5738876312053</v>
      </c>
      <c r="CC32" s="36">
        <f t="shared" si="5"/>
        <v>48305.813173483846</v>
      </c>
      <c r="CE32" s="36">
        <f t="shared" si="6"/>
        <v>26.287666128130663</v>
      </c>
      <c r="CF32" s="36">
        <f t="shared" si="6"/>
        <v>11.348949391277237</v>
      </c>
      <c r="CG32" s="36">
        <f t="shared" si="6"/>
        <v>7.3721680074178089</v>
      </c>
      <c r="CH32" s="36">
        <f t="shared" si="6"/>
        <v>8.3804292692738596</v>
      </c>
      <c r="CI32" s="36">
        <f t="shared" si="6"/>
        <v>6.8622401214338149</v>
      </c>
      <c r="CJ32" s="36">
        <f t="shared" si="6"/>
        <v>5.7938324238537682</v>
      </c>
      <c r="CK32" s="36">
        <f t="shared" si="6"/>
        <v>74.622091714294854</v>
      </c>
      <c r="CL32" s="36">
        <f t="shared" si="6"/>
        <v>91.794209951250537</v>
      </c>
      <c r="CM32" s="36">
        <f t="shared" si="48"/>
        <v>87.686427679248354</v>
      </c>
      <c r="CN32" s="36">
        <f t="shared" si="38"/>
        <v>83.544378172345503</v>
      </c>
      <c r="CO32" s="36">
        <f t="shared" si="38"/>
        <v>79.365738876312051</v>
      </c>
      <c r="CP32" s="36">
        <f t="shared" si="7"/>
        <v>483.05813173483841</v>
      </c>
      <c r="CR32" s="36">
        <f t="shared" si="8"/>
        <v>26.287666128130663</v>
      </c>
      <c r="CS32" s="36">
        <f t="shared" si="8"/>
        <v>11.348949391277237</v>
      </c>
      <c r="CT32" s="36">
        <f t="shared" si="8"/>
        <v>7.3721680074178089</v>
      </c>
      <c r="CU32" s="36">
        <f t="shared" si="8"/>
        <v>8.3804292692738596</v>
      </c>
      <c r="CV32" s="36">
        <f t="shared" si="8"/>
        <v>6.8622401214338149</v>
      </c>
      <c r="CW32" s="36">
        <f t="shared" si="8"/>
        <v>5.7938324238537682</v>
      </c>
      <c r="CX32" s="36">
        <f t="shared" si="8"/>
        <v>74.622091714294854</v>
      </c>
      <c r="CY32" s="36">
        <f t="shared" si="8"/>
        <v>91.794209951250537</v>
      </c>
      <c r="CZ32" s="36">
        <f t="shared" si="49"/>
        <v>87.686427679248354</v>
      </c>
      <c r="DA32" s="36">
        <f t="shared" si="39"/>
        <v>83.544378172345503</v>
      </c>
      <c r="DB32" s="36">
        <f t="shared" si="39"/>
        <v>79.365738876312051</v>
      </c>
      <c r="DC32" s="36">
        <f t="shared" si="9"/>
        <v>483.05813173483841</v>
      </c>
      <c r="DE32" s="36">
        <f t="shared" si="10"/>
        <v>49271.929436953527</v>
      </c>
      <c r="DF32" s="36">
        <f t="shared" si="19"/>
        <v>529355.70788705174</v>
      </c>
    </row>
    <row r="33" spans="2:110" x14ac:dyDescent="0.25">
      <c r="B33" s="67">
        <v>2037</v>
      </c>
      <c r="C33" s="67">
        <v>0</v>
      </c>
      <c r="D33" s="67">
        <v>0</v>
      </c>
      <c r="E33" s="67">
        <v>0</v>
      </c>
      <c r="F33" s="67">
        <v>0</v>
      </c>
      <c r="G33" s="67">
        <v>0</v>
      </c>
      <c r="H33" s="67">
        <v>0</v>
      </c>
      <c r="I33" s="67">
        <v>0</v>
      </c>
      <c r="J33" s="67">
        <v>0</v>
      </c>
      <c r="K33" s="67">
        <v>0</v>
      </c>
      <c r="L33" s="67">
        <v>0</v>
      </c>
      <c r="M33" s="67">
        <v>0</v>
      </c>
      <c r="N33" s="67">
        <v>0</v>
      </c>
      <c r="O33" s="67">
        <v>0</v>
      </c>
      <c r="P33" s="67">
        <v>0</v>
      </c>
      <c r="Q33" s="67">
        <v>0</v>
      </c>
      <c r="R33" s="67">
        <v>0</v>
      </c>
      <c r="S33" s="67">
        <v>0</v>
      </c>
      <c r="T33" s="67">
        <v>0</v>
      </c>
      <c r="U33" s="67">
        <f t="shared" si="43"/>
        <v>0</v>
      </c>
      <c r="V33" s="67">
        <f t="shared" si="11"/>
        <v>0</v>
      </c>
      <c r="W33" s="67">
        <f t="shared" si="12"/>
        <v>0</v>
      </c>
      <c r="Y33" s="67">
        <v>20</v>
      </c>
      <c r="Z33" s="67" t="s">
        <v>109</v>
      </c>
      <c r="AA33" s="36">
        <v>58.428333333333384</v>
      </c>
      <c r="AB33" s="36"/>
      <c r="AC33" s="36">
        <f t="shared" si="1"/>
        <v>370.92274698177164</v>
      </c>
      <c r="AD33" s="36">
        <f t="shared" si="13"/>
        <v>24.504044301365411</v>
      </c>
      <c r="AE33" s="19"/>
      <c r="AF33" s="67">
        <v>20</v>
      </c>
      <c r="AG33" s="67" t="str">
        <f t="shared" si="2"/>
        <v>2037-2038</v>
      </c>
      <c r="AH33" s="36">
        <f>('Mangifera indica'!AD33*$W$14)/1000</f>
        <v>1258.8464639263998</v>
      </c>
      <c r="AI33" s="36">
        <f>('Mangifera indica'!AD32*$W$15)/1000</f>
        <v>544.15160925661735</v>
      </c>
      <c r="AJ33" s="36">
        <f>('Mangifera indica'!AD31*$W$16)/1000</f>
        <v>353.95436115180252</v>
      </c>
      <c r="AK33" s="36">
        <f>('Mangifera indica'!AD30*$W$17)/1000</f>
        <v>402.95448280474432</v>
      </c>
      <c r="AL33" s="36">
        <f>('Mangifera indica'!AD29*$W$18)/1000</f>
        <v>330.48355554918561</v>
      </c>
      <c r="AM33" s="36">
        <f>('Mangifera indica'!AD28*$W$19)/1000</f>
        <v>279.51717183625732</v>
      </c>
      <c r="AN33" s="36">
        <f>('Mangifera indica'!AD27*$W$20)/1000</f>
        <v>3606.9689580443851</v>
      </c>
      <c r="AO33" s="36">
        <f>('Mangifera indica'!AD26*$W$21)/1000</f>
        <v>4446.3927726313104</v>
      </c>
      <c r="AP33" s="36">
        <f>('Mangifera indica'!AD25*$W$22)/1000</f>
        <v>4257.3695843817286</v>
      </c>
      <c r="AQ33" s="36">
        <f>('Mangifera indica'!AD24*$W$23)/1000</f>
        <v>4066.8526954257454</v>
      </c>
      <c r="AR33" s="36">
        <f>('Mangifera indica'!AD23*$W$24)/1000</f>
        <v>3874.7465092397474</v>
      </c>
      <c r="AT33" s="36">
        <f t="shared" si="3"/>
        <v>314.71161598159995</v>
      </c>
      <c r="AU33" s="36">
        <f t="shared" si="14"/>
        <v>136.03790231415434</v>
      </c>
      <c r="AV33" s="36">
        <f t="shared" si="20"/>
        <v>88.488590287950629</v>
      </c>
      <c r="AW33" s="36">
        <f t="shared" si="23"/>
        <v>100.73862070118608</v>
      </c>
      <c r="AX33" s="36">
        <f t="shared" si="26"/>
        <v>82.620888887296402</v>
      </c>
      <c r="AY33" s="36">
        <f t="shared" si="28"/>
        <v>69.87929295906433</v>
      </c>
      <c r="AZ33" s="36">
        <f t="shared" si="30"/>
        <v>901.74223951109627</v>
      </c>
      <c r="BA33" s="36">
        <f t="shared" si="33"/>
        <v>1111.5981931578276</v>
      </c>
      <c r="BB33" s="36">
        <f t="shared" si="35"/>
        <v>1064.3423960954322</v>
      </c>
      <c r="BC33" s="36">
        <f t="shared" si="40"/>
        <v>1016.7131738564364</v>
      </c>
      <c r="BD33" s="36">
        <f t="shared" si="44"/>
        <v>968.68662730993685</v>
      </c>
      <c r="BF33" s="36">
        <f t="shared" si="15"/>
        <v>1573.5580799079999</v>
      </c>
      <c r="BG33" s="36">
        <f t="shared" si="16"/>
        <v>680.18951157077163</v>
      </c>
      <c r="BH33" s="36">
        <f t="shared" si="17"/>
        <v>442.44295143975313</v>
      </c>
      <c r="BI33" s="36">
        <f t="shared" si="21"/>
        <v>503.69310350593037</v>
      </c>
      <c r="BJ33" s="36">
        <f t="shared" si="24"/>
        <v>413.10444443648203</v>
      </c>
      <c r="BK33" s="36">
        <f t="shared" si="29"/>
        <v>349.39646479532166</v>
      </c>
      <c r="BL33" s="36">
        <f t="shared" si="31"/>
        <v>4508.7111975554817</v>
      </c>
      <c r="BM33" s="36">
        <f t="shared" si="34"/>
        <v>5557.9909657891385</v>
      </c>
      <c r="BN33" s="36">
        <f t="shared" si="36"/>
        <v>5321.711980477161</v>
      </c>
      <c r="BO33" s="36">
        <f t="shared" si="41"/>
        <v>5083.5658692821817</v>
      </c>
      <c r="BP33" s="36">
        <f t="shared" si="45"/>
        <v>4843.4331365496846</v>
      </c>
      <c r="BR33" s="36">
        <f>'Mangifera indica'!BF33*$AD$7*$AH$4</f>
        <v>2714.2303320333085</v>
      </c>
      <c r="BS33" s="36">
        <f t="shared" si="4"/>
        <v>1173.258888508424</v>
      </c>
      <c r="BT33" s="36">
        <f t="shared" si="18"/>
        <v>763.16984693843017</v>
      </c>
      <c r="BU33" s="36">
        <f t="shared" si="22"/>
        <v>868.82023423737928</v>
      </c>
      <c r="BV33" s="36">
        <f t="shared" si="25"/>
        <v>712.56385620848778</v>
      </c>
      <c r="BW33" s="36">
        <f t="shared" si="27"/>
        <v>602.67396212545032</v>
      </c>
      <c r="BX33" s="36">
        <f t="shared" si="32"/>
        <v>7777.0759446634493</v>
      </c>
      <c r="BY33" s="36">
        <f t="shared" si="37"/>
        <v>9586.9786168896844</v>
      </c>
      <c r="BZ33" s="36">
        <f t="shared" si="42"/>
        <v>9179.4209951250541</v>
      </c>
      <c r="CA33" s="36">
        <f t="shared" si="46"/>
        <v>8768.6427679248354</v>
      </c>
      <c r="CB33" s="36">
        <f t="shared" si="47"/>
        <v>8354.4378172345496</v>
      </c>
      <c r="CC33" s="36">
        <f t="shared" si="5"/>
        <v>50501.273261889059</v>
      </c>
      <c r="CE33" s="36">
        <f t="shared" si="6"/>
        <v>27.142303320333085</v>
      </c>
      <c r="CF33" s="36">
        <f t="shared" si="6"/>
        <v>11.73258888508424</v>
      </c>
      <c r="CG33" s="36">
        <f t="shared" si="6"/>
        <v>7.6316984693843022</v>
      </c>
      <c r="CH33" s="36">
        <f t="shared" si="6"/>
        <v>8.6882023423737937</v>
      </c>
      <c r="CI33" s="36">
        <f t="shared" si="6"/>
        <v>7.1256385620848777</v>
      </c>
      <c r="CJ33" s="36">
        <f t="shared" si="6"/>
        <v>6.026739621254503</v>
      </c>
      <c r="CK33" s="36">
        <f t="shared" si="6"/>
        <v>77.7707594466345</v>
      </c>
      <c r="CL33" s="36">
        <f t="shared" si="6"/>
        <v>95.869786168896852</v>
      </c>
      <c r="CM33" s="36">
        <f t="shared" si="48"/>
        <v>91.794209951250537</v>
      </c>
      <c r="CN33" s="36">
        <f t="shared" si="38"/>
        <v>87.686427679248354</v>
      </c>
      <c r="CO33" s="36">
        <f t="shared" si="38"/>
        <v>83.544378172345503</v>
      </c>
      <c r="CP33" s="36">
        <f t="shared" si="7"/>
        <v>505.01273261889054</v>
      </c>
      <c r="CR33" s="36">
        <f t="shared" si="8"/>
        <v>27.142303320333085</v>
      </c>
      <c r="CS33" s="36">
        <f t="shared" si="8"/>
        <v>11.73258888508424</v>
      </c>
      <c r="CT33" s="36">
        <f t="shared" si="8"/>
        <v>7.6316984693843022</v>
      </c>
      <c r="CU33" s="36">
        <f t="shared" si="8"/>
        <v>8.6882023423737937</v>
      </c>
      <c r="CV33" s="36">
        <f t="shared" si="8"/>
        <v>7.1256385620848777</v>
      </c>
      <c r="CW33" s="36">
        <f t="shared" si="8"/>
        <v>6.026739621254503</v>
      </c>
      <c r="CX33" s="36">
        <f t="shared" si="8"/>
        <v>77.7707594466345</v>
      </c>
      <c r="CY33" s="36">
        <f t="shared" si="8"/>
        <v>95.869786168896852</v>
      </c>
      <c r="CZ33" s="36">
        <f t="shared" si="49"/>
        <v>91.794209951250537</v>
      </c>
      <c r="DA33" s="36">
        <f t="shared" si="39"/>
        <v>87.686427679248354</v>
      </c>
      <c r="DB33" s="36">
        <f t="shared" si="39"/>
        <v>83.544378172345503</v>
      </c>
      <c r="DC33" s="36">
        <f t="shared" si="9"/>
        <v>505.01273261889054</v>
      </c>
      <c r="DE33" s="36">
        <f t="shared" si="10"/>
        <v>51511.298727126836</v>
      </c>
      <c r="DF33" s="36">
        <f t="shared" si="19"/>
        <v>580867.00661417854</v>
      </c>
    </row>
    <row r="34" spans="2:110" x14ac:dyDescent="0.25">
      <c r="B34" s="67">
        <v>2038</v>
      </c>
      <c r="C34" s="67">
        <v>0</v>
      </c>
      <c r="D34" s="67">
        <v>0</v>
      </c>
      <c r="E34" s="67">
        <v>0</v>
      </c>
      <c r="F34" s="67">
        <v>0</v>
      </c>
      <c r="G34" s="67">
        <v>0</v>
      </c>
      <c r="H34" s="67">
        <v>0</v>
      </c>
      <c r="I34" s="67">
        <v>0</v>
      </c>
      <c r="J34" s="67">
        <v>0</v>
      </c>
      <c r="K34" s="67">
        <v>0</v>
      </c>
      <c r="L34" s="67">
        <v>0</v>
      </c>
      <c r="M34" s="67">
        <v>0</v>
      </c>
      <c r="N34" s="67">
        <v>0</v>
      </c>
      <c r="O34" s="67">
        <v>0</v>
      </c>
      <c r="P34" s="67">
        <v>0</v>
      </c>
      <c r="Q34" s="67">
        <v>0</v>
      </c>
      <c r="R34" s="67">
        <v>0</v>
      </c>
      <c r="S34" s="67">
        <v>0</v>
      </c>
      <c r="T34" s="67">
        <v>0</v>
      </c>
      <c r="U34" s="67">
        <f t="shared" si="43"/>
        <v>0</v>
      </c>
      <c r="V34" s="67">
        <f t="shared" si="11"/>
        <v>0</v>
      </c>
      <c r="W34" s="67">
        <f t="shared" si="12"/>
        <v>0</v>
      </c>
      <c r="Y34" s="67">
        <v>21</v>
      </c>
      <c r="Z34" s="67" t="s">
        <v>110</v>
      </c>
      <c r="AA34" s="36">
        <v>60.547500000000056</v>
      </c>
      <c r="AB34" s="36"/>
      <c r="AC34" s="36">
        <f t="shared" si="1"/>
        <v>396.19409193677677</v>
      </c>
      <c r="AD34" s="36">
        <f t="shared" si="13"/>
        <v>25.271344955005134</v>
      </c>
      <c r="AE34" s="19"/>
      <c r="AF34" s="67">
        <v>21</v>
      </c>
      <c r="AG34" s="67" t="str">
        <f t="shared" si="2"/>
        <v>2038-2039</v>
      </c>
      <c r="AH34" s="36">
        <f>('Mangifera indica'!AD34*$W$14)/1000</f>
        <v>1298.2650065442385</v>
      </c>
      <c r="AI34" s="36">
        <f>('Mangifera indica'!AD33*$W$15)/1000</f>
        <v>561.84249901460339</v>
      </c>
      <c r="AJ34" s="36">
        <f>('Mangifera indica'!AD32*$W$16)/1000</f>
        <v>365.91942216858939</v>
      </c>
      <c r="AK34" s="36">
        <f>('Mangifera indica'!AD31*$W$17)/1000</f>
        <v>417.14012846129452</v>
      </c>
      <c r="AL34" s="36">
        <f>('Mangifera indica'!AD30*$W$18)/1000</f>
        <v>342.62063543282494</v>
      </c>
      <c r="AM34" s="36">
        <f>('Mangifera indica'!AD29*$W$19)/1000</f>
        <v>290.24608628605984</v>
      </c>
      <c r="AN34" s="36">
        <f>('Mangifera indica'!AD28*$W$20)/1000</f>
        <v>3751.9660807900896</v>
      </c>
      <c r="AO34" s="36">
        <f>('Mangifera indica'!AD27*$W$21)/1000</f>
        <v>4634.0076347567901</v>
      </c>
      <c r="AP34" s="36">
        <f>('Mangifera indica'!AD26*$W$22)/1000</f>
        <v>4446.3927726313104</v>
      </c>
      <c r="AQ34" s="36">
        <f>('Mangifera indica'!AD25*$W$23)/1000</f>
        <v>4257.3695843817286</v>
      </c>
      <c r="AR34" s="36">
        <f>('Mangifera indica'!AD24*$W$24)/1000</f>
        <v>4066.8526954257454</v>
      </c>
      <c r="AT34" s="36">
        <f t="shared" si="3"/>
        <v>324.56625163605963</v>
      </c>
      <c r="AU34" s="36">
        <f t="shared" si="14"/>
        <v>140.46062475365085</v>
      </c>
      <c r="AV34" s="36">
        <f t="shared" si="20"/>
        <v>91.479855542147348</v>
      </c>
      <c r="AW34" s="36">
        <f t="shared" si="23"/>
        <v>104.28503211532363</v>
      </c>
      <c r="AX34" s="36">
        <f t="shared" si="26"/>
        <v>85.655158858206235</v>
      </c>
      <c r="AY34" s="36">
        <f t="shared" si="28"/>
        <v>72.561521571514959</v>
      </c>
      <c r="AZ34" s="36">
        <f t="shared" si="30"/>
        <v>937.99152019752239</v>
      </c>
      <c r="BA34" s="36">
        <f t="shared" si="33"/>
        <v>1158.5019086891975</v>
      </c>
      <c r="BB34" s="36">
        <f t="shared" si="35"/>
        <v>1111.5981931578276</v>
      </c>
      <c r="BC34" s="36">
        <f t="shared" si="40"/>
        <v>1064.3423960954322</v>
      </c>
      <c r="BD34" s="36">
        <f t="shared" si="44"/>
        <v>1016.7131738564364</v>
      </c>
      <c r="BF34" s="36">
        <f t="shared" si="15"/>
        <v>1622.8312581802982</v>
      </c>
      <c r="BG34" s="36">
        <f t="shared" si="16"/>
        <v>702.30312376825418</v>
      </c>
      <c r="BH34" s="36">
        <f t="shared" si="17"/>
        <v>457.39927771073673</v>
      </c>
      <c r="BI34" s="36">
        <f t="shared" si="21"/>
        <v>521.42516057661817</v>
      </c>
      <c r="BJ34" s="36">
        <f t="shared" si="24"/>
        <v>428.27579429103116</v>
      </c>
      <c r="BK34" s="36">
        <f t="shared" si="29"/>
        <v>362.80760785757479</v>
      </c>
      <c r="BL34" s="36">
        <f t="shared" si="31"/>
        <v>4689.9576009876118</v>
      </c>
      <c r="BM34" s="36">
        <f t="shared" si="34"/>
        <v>5792.5095434459872</v>
      </c>
      <c r="BN34" s="36">
        <f t="shared" si="36"/>
        <v>5557.9909657891385</v>
      </c>
      <c r="BO34" s="36">
        <f t="shared" si="41"/>
        <v>5321.711980477161</v>
      </c>
      <c r="BP34" s="36">
        <f t="shared" si="45"/>
        <v>5083.5658692821817</v>
      </c>
      <c r="BR34" s="36">
        <f>'Mangifera indica'!BF34*$AD$7*$AH$4</f>
        <v>2799.2216372351959</v>
      </c>
      <c r="BS34" s="36">
        <f t="shared" si="4"/>
        <v>1211.4026581878616</v>
      </c>
      <c r="BT34" s="36">
        <f t="shared" si="18"/>
        <v>788.96801412324976</v>
      </c>
      <c r="BU34" s="36">
        <f t="shared" si="22"/>
        <v>899.4062594786086</v>
      </c>
      <c r="BV34" s="36">
        <f t="shared" si="25"/>
        <v>738.7329175725996</v>
      </c>
      <c r="BW34" s="36">
        <f t="shared" si="27"/>
        <v>625.80684279353068</v>
      </c>
      <c r="BX34" s="36">
        <f t="shared" si="32"/>
        <v>8089.707865943531</v>
      </c>
      <c r="BY34" s="36">
        <f t="shared" si="37"/>
        <v>9991.4997114899834</v>
      </c>
      <c r="BZ34" s="36">
        <f t="shared" si="42"/>
        <v>9586.9786168896844</v>
      </c>
      <c r="CA34" s="36">
        <f t="shared" si="46"/>
        <v>9179.4209951250541</v>
      </c>
      <c r="CB34" s="36">
        <f t="shared" si="47"/>
        <v>8768.6427679248354</v>
      </c>
      <c r="CC34" s="36">
        <f t="shared" si="5"/>
        <v>52679.788286764131</v>
      </c>
      <c r="CE34" s="36">
        <f t="shared" si="6"/>
        <v>27.992216372351958</v>
      </c>
      <c r="CF34" s="36">
        <f t="shared" si="6"/>
        <v>12.114026581878615</v>
      </c>
      <c r="CG34" s="36">
        <f t="shared" si="6"/>
        <v>7.8896801412324979</v>
      </c>
      <c r="CH34" s="36">
        <f t="shared" si="6"/>
        <v>8.9940625947860866</v>
      </c>
      <c r="CI34" s="36">
        <f t="shared" si="6"/>
        <v>7.3873291757259958</v>
      </c>
      <c r="CJ34" s="36">
        <f t="shared" si="6"/>
        <v>6.2580684279353065</v>
      </c>
      <c r="CK34" s="36">
        <f t="shared" si="6"/>
        <v>80.897078659435309</v>
      </c>
      <c r="CL34" s="36">
        <f t="shared" si="6"/>
        <v>99.914997114899833</v>
      </c>
      <c r="CM34" s="36">
        <f t="shared" si="48"/>
        <v>95.869786168896852</v>
      </c>
      <c r="CN34" s="36">
        <f t="shared" si="38"/>
        <v>91.794209951250537</v>
      </c>
      <c r="CO34" s="36">
        <f t="shared" si="38"/>
        <v>87.686427679248354</v>
      </c>
      <c r="CP34" s="36">
        <f t="shared" si="7"/>
        <v>526.79788286764131</v>
      </c>
      <c r="CR34" s="36">
        <f t="shared" si="8"/>
        <v>27.992216372351958</v>
      </c>
      <c r="CS34" s="36">
        <f t="shared" si="8"/>
        <v>12.114026581878615</v>
      </c>
      <c r="CT34" s="36">
        <f t="shared" si="8"/>
        <v>7.8896801412324979</v>
      </c>
      <c r="CU34" s="36">
        <f t="shared" si="8"/>
        <v>8.9940625947860866</v>
      </c>
      <c r="CV34" s="36">
        <f t="shared" si="8"/>
        <v>7.3873291757259958</v>
      </c>
      <c r="CW34" s="36">
        <f t="shared" si="8"/>
        <v>6.2580684279353065</v>
      </c>
      <c r="CX34" s="36">
        <f t="shared" si="8"/>
        <v>80.897078659435309</v>
      </c>
      <c r="CY34" s="36">
        <f t="shared" si="8"/>
        <v>99.914997114899833</v>
      </c>
      <c r="CZ34" s="36">
        <f t="shared" si="49"/>
        <v>95.869786168896852</v>
      </c>
      <c r="DA34" s="36">
        <f t="shared" si="39"/>
        <v>91.794209951250537</v>
      </c>
      <c r="DB34" s="36">
        <f t="shared" si="39"/>
        <v>87.686427679248354</v>
      </c>
      <c r="DC34" s="36">
        <f t="shared" si="9"/>
        <v>526.79788286764131</v>
      </c>
      <c r="DE34" s="36">
        <f t="shared" si="10"/>
        <v>53733.384052499416</v>
      </c>
      <c r="DF34" s="36">
        <f t="shared" si="19"/>
        <v>634600.39066667797</v>
      </c>
    </row>
    <row r="35" spans="2:110" x14ac:dyDescent="0.25">
      <c r="B35" s="67">
        <v>2039</v>
      </c>
      <c r="C35" s="67">
        <v>0</v>
      </c>
      <c r="D35" s="67">
        <v>0</v>
      </c>
      <c r="E35" s="67">
        <v>0</v>
      </c>
      <c r="F35" s="67">
        <v>0</v>
      </c>
      <c r="G35" s="67">
        <v>0</v>
      </c>
      <c r="H35" s="67">
        <v>0</v>
      </c>
      <c r="I35" s="67">
        <v>0</v>
      </c>
      <c r="J35" s="67">
        <v>0</v>
      </c>
      <c r="K35" s="67">
        <v>0</v>
      </c>
      <c r="L35" s="67">
        <v>0</v>
      </c>
      <c r="M35" s="67">
        <v>0</v>
      </c>
      <c r="N35" s="67">
        <v>0</v>
      </c>
      <c r="O35" s="67">
        <v>0</v>
      </c>
      <c r="P35" s="67">
        <v>0</v>
      </c>
      <c r="Q35" s="67">
        <v>0</v>
      </c>
      <c r="R35" s="67">
        <v>0</v>
      </c>
      <c r="S35" s="67">
        <v>0</v>
      </c>
      <c r="T35" s="67">
        <v>0</v>
      </c>
      <c r="U35" s="67">
        <f t="shared" si="43"/>
        <v>0</v>
      </c>
      <c r="V35" s="67">
        <f t="shared" si="11"/>
        <v>0</v>
      </c>
      <c r="W35" s="67">
        <f t="shared" si="12"/>
        <v>0</v>
      </c>
      <c r="Y35" s="67">
        <v>22</v>
      </c>
      <c r="Z35" s="67" t="s">
        <v>111</v>
      </c>
      <c r="AA35" s="36">
        <v>62.666666666666728</v>
      </c>
      <c r="AB35" s="36"/>
      <c r="AC35" s="36">
        <f t="shared" si="1"/>
        <v>422.22864696785564</v>
      </c>
      <c r="AD35" s="36">
        <f t="shared" si="13"/>
        <v>26.034555031078867</v>
      </c>
      <c r="AE35" s="19"/>
      <c r="AF35" s="67">
        <v>22</v>
      </c>
      <c r="AG35" s="67" t="str">
        <f t="shared" si="2"/>
        <v>2039-2040</v>
      </c>
      <c r="AH35" s="36">
        <f>('Mangifera indica'!AD35*$W$14)/1000</f>
        <v>1337.4734038880549</v>
      </c>
      <c r="AI35" s="36">
        <f>('Mangifera indica'!AD34*$W$15)/1000</f>
        <v>579.43559962422239</v>
      </c>
      <c r="AJ35" s="36">
        <f>('Mangifera indica'!AD33*$W$16)/1000</f>
        <v>377.81581289457478</v>
      </c>
      <c r="AK35" s="36">
        <f>('Mangifera indica'!AD32*$W$17)/1000</f>
        <v>431.24111897698737</v>
      </c>
      <c r="AL35" s="36">
        <f>('Mangifera indica'!AD31*$W$18)/1000</f>
        <v>354.68228292968928</v>
      </c>
      <c r="AM35" s="36">
        <f>('Mangifera indica'!AD30*$W$19)/1000</f>
        <v>300.90543642925718</v>
      </c>
      <c r="AN35" s="36">
        <f>('Mangifera indica'!AD29*$W$20)/1000</f>
        <v>3895.9805713307242</v>
      </c>
      <c r="AO35" s="36">
        <f>('Mangifera indica'!AD28*$W$21)/1000</f>
        <v>4820.2908497322978</v>
      </c>
      <c r="AP35" s="36">
        <f>('Mangifera indica'!AD27*$W$22)/1000</f>
        <v>4634.0076347567901</v>
      </c>
      <c r="AQ35" s="36">
        <f>('Mangifera indica'!AD26*$W$23)/1000</f>
        <v>4446.3927726313104</v>
      </c>
      <c r="AR35" s="36">
        <f>('Mangifera indica'!AD25*$W$24)/1000</f>
        <v>4257.3695843817286</v>
      </c>
      <c r="AT35" s="36">
        <f t="shared" si="3"/>
        <v>334.36835097201373</v>
      </c>
      <c r="AU35" s="36">
        <f t="shared" si="14"/>
        <v>144.8588999060556</v>
      </c>
      <c r="AV35" s="36">
        <f t="shared" si="20"/>
        <v>94.453953223643694</v>
      </c>
      <c r="AW35" s="36">
        <f t="shared" si="23"/>
        <v>107.81027974424684</v>
      </c>
      <c r="AX35" s="36">
        <f t="shared" si="26"/>
        <v>88.67057073242232</v>
      </c>
      <c r="AY35" s="36">
        <f t="shared" si="28"/>
        <v>75.226359107314295</v>
      </c>
      <c r="AZ35" s="36">
        <f t="shared" si="30"/>
        <v>973.99514283268104</v>
      </c>
      <c r="BA35" s="36">
        <f t="shared" si="33"/>
        <v>1205.0727124330745</v>
      </c>
      <c r="BB35" s="36">
        <f t="shared" si="35"/>
        <v>1158.5019086891975</v>
      </c>
      <c r="BC35" s="36">
        <f t="shared" si="40"/>
        <v>1111.5981931578276</v>
      </c>
      <c r="BD35" s="36">
        <f t="shared" si="44"/>
        <v>1064.3423960954322</v>
      </c>
      <c r="BF35" s="36">
        <f t="shared" si="15"/>
        <v>1671.8417548600687</v>
      </c>
      <c r="BG35" s="36">
        <f t="shared" si="16"/>
        <v>724.29449953027802</v>
      </c>
      <c r="BH35" s="36">
        <f t="shared" si="17"/>
        <v>472.26976611821846</v>
      </c>
      <c r="BI35" s="36">
        <f t="shared" si="21"/>
        <v>539.05139872123425</v>
      </c>
      <c r="BJ35" s="36">
        <f t="shared" si="24"/>
        <v>443.35285366211161</v>
      </c>
      <c r="BK35" s="36">
        <f t="shared" si="29"/>
        <v>376.13179553657147</v>
      </c>
      <c r="BL35" s="36">
        <f t="shared" si="31"/>
        <v>4869.9757141634054</v>
      </c>
      <c r="BM35" s="36">
        <f t="shared" si="34"/>
        <v>6025.3635621653721</v>
      </c>
      <c r="BN35" s="36">
        <f t="shared" si="36"/>
        <v>5792.5095434459872</v>
      </c>
      <c r="BO35" s="36">
        <f t="shared" si="41"/>
        <v>5557.9909657891385</v>
      </c>
      <c r="BP35" s="36">
        <f t="shared" si="45"/>
        <v>5321.711980477161</v>
      </c>
      <c r="BR35" s="36">
        <f>'Mangifera indica'!BF35*$AD$7*$AH$4</f>
        <v>2883.7598429581326</v>
      </c>
      <c r="BS35" s="36">
        <f t="shared" si="4"/>
        <v>1249.3355822397764</v>
      </c>
      <c r="BT35" s="36">
        <f t="shared" si="18"/>
        <v>814.61811957731493</v>
      </c>
      <c r="BU35" s="36">
        <f t="shared" si="22"/>
        <v>929.80975765425683</v>
      </c>
      <c r="BV35" s="36">
        <f t="shared" si="25"/>
        <v>764.73933728177622</v>
      </c>
      <c r="BW35" s="36">
        <f t="shared" si="27"/>
        <v>648.7897341210321</v>
      </c>
      <c r="BX35" s="36">
        <f t="shared" si="32"/>
        <v>8400.2211093604565</v>
      </c>
      <c r="BY35" s="36">
        <f t="shared" si="37"/>
        <v>10393.14960837905</v>
      </c>
      <c r="BZ35" s="36">
        <f t="shared" si="42"/>
        <v>9991.4997114899834</v>
      </c>
      <c r="CA35" s="36">
        <f t="shared" si="46"/>
        <v>9586.9786168896844</v>
      </c>
      <c r="CB35" s="36">
        <f t="shared" si="47"/>
        <v>9179.4209951250541</v>
      </c>
      <c r="CC35" s="36">
        <f t="shared" si="5"/>
        <v>54842.322415076509</v>
      </c>
      <c r="CE35" s="36">
        <f t="shared" si="6"/>
        <v>28.837598429581327</v>
      </c>
      <c r="CF35" s="36">
        <f t="shared" si="6"/>
        <v>12.493355822397763</v>
      </c>
      <c r="CG35" s="36">
        <f t="shared" si="6"/>
        <v>8.1461811957731491</v>
      </c>
      <c r="CH35" s="36">
        <f t="shared" si="6"/>
        <v>9.2980975765425686</v>
      </c>
      <c r="CI35" s="36">
        <f t="shared" si="6"/>
        <v>7.6473933728177625</v>
      </c>
      <c r="CJ35" s="36">
        <f t="shared" si="6"/>
        <v>6.4878973412103207</v>
      </c>
      <c r="CK35" s="36">
        <f t="shared" si="6"/>
        <v>84.002211093604572</v>
      </c>
      <c r="CL35" s="36">
        <f t="shared" si="6"/>
        <v>103.93149608379051</v>
      </c>
      <c r="CM35" s="36">
        <f t="shared" si="48"/>
        <v>99.914997114899833</v>
      </c>
      <c r="CN35" s="36">
        <f t="shared" si="38"/>
        <v>95.869786168896852</v>
      </c>
      <c r="CO35" s="36">
        <f t="shared" si="38"/>
        <v>91.794209951250537</v>
      </c>
      <c r="CP35" s="36">
        <f t="shared" si="7"/>
        <v>548.42322415076524</v>
      </c>
      <c r="CR35" s="36">
        <f t="shared" si="8"/>
        <v>28.837598429581327</v>
      </c>
      <c r="CS35" s="36">
        <f t="shared" si="8"/>
        <v>12.493355822397763</v>
      </c>
      <c r="CT35" s="36">
        <f t="shared" si="8"/>
        <v>8.1461811957731491</v>
      </c>
      <c r="CU35" s="36">
        <f t="shared" si="8"/>
        <v>9.2980975765425686</v>
      </c>
      <c r="CV35" s="36">
        <f t="shared" si="8"/>
        <v>7.6473933728177625</v>
      </c>
      <c r="CW35" s="36">
        <f t="shared" si="8"/>
        <v>6.4878973412103207</v>
      </c>
      <c r="CX35" s="36">
        <f t="shared" si="8"/>
        <v>84.002211093604572</v>
      </c>
      <c r="CY35" s="36">
        <f t="shared" si="8"/>
        <v>103.93149608379051</v>
      </c>
      <c r="CZ35" s="36">
        <f t="shared" si="49"/>
        <v>99.914997114899833</v>
      </c>
      <c r="DA35" s="36">
        <f t="shared" si="39"/>
        <v>95.869786168896852</v>
      </c>
      <c r="DB35" s="36">
        <f t="shared" si="39"/>
        <v>91.794209951250537</v>
      </c>
      <c r="DC35" s="36">
        <f t="shared" si="9"/>
        <v>548.42322415076524</v>
      </c>
      <c r="DE35" s="36">
        <f t="shared" si="10"/>
        <v>55939.168863378036</v>
      </c>
      <c r="DF35" s="36">
        <f t="shared" si="19"/>
        <v>690539.55953005597</v>
      </c>
    </row>
    <row r="36" spans="2:110" x14ac:dyDescent="0.25">
      <c r="B36" s="67">
        <v>2040</v>
      </c>
      <c r="C36" s="67">
        <v>0</v>
      </c>
      <c r="D36" s="67">
        <v>0</v>
      </c>
      <c r="E36" s="67">
        <v>0</v>
      </c>
      <c r="F36" s="67">
        <v>0</v>
      </c>
      <c r="G36" s="67">
        <v>0</v>
      </c>
      <c r="H36" s="67">
        <v>0</v>
      </c>
      <c r="I36" s="67">
        <v>0</v>
      </c>
      <c r="J36" s="67">
        <v>0</v>
      </c>
      <c r="K36" s="67">
        <v>0</v>
      </c>
      <c r="L36" s="67">
        <v>0</v>
      </c>
      <c r="M36" s="67">
        <v>0</v>
      </c>
      <c r="N36" s="67">
        <v>0</v>
      </c>
      <c r="O36" s="67">
        <v>0</v>
      </c>
      <c r="P36" s="67">
        <v>0</v>
      </c>
      <c r="Q36" s="67">
        <v>0</v>
      </c>
      <c r="R36" s="67">
        <v>0</v>
      </c>
      <c r="S36" s="67">
        <v>0</v>
      </c>
      <c r="T36" s="67">
        <v>0</v>
      </c>
      <c r="U36" s="67">
        <f t="shared" si="43"/>
        <v>0</v>
      </c>
      <c r="V36" s="67">
        <f t="shared" si="11"/>
        <v>0</v>
      </c>
      <c r="W36" s="67">
        <f t="shared" si="12"/>
        <v>0</v>
      </c>
      <c r="Y36" s="67">
        <v>23</v>
      </c>
      <c r="Z36" s="67" t="s">
        <v>112</v>
      </c>
      <c r="AA36" s="36">
        <v>64.7858333333334</v>
      </c>
      <c r="AB36" s="36"/>
      <c r="AC36" s="36">
        <f t="shared" si="1"/>
        <v>449.02248299450315</v>
      </c>
      <c r="AD36" s="36">
        <f t="shared" si="13"/>
        <v>26.793836026647512</v>
      </c>
      <c r="AE36" s="19"/>
      <c r="AF36" s="67">
        <v>23</v>
      </c>
      <c r="AG36" s="67" t="str">
        <f t="shared" si="2"/>
        <v>2040-2041</v>
      </c>
      <c r="AH36" s="36">
        <f>('Mangifera indica'!AD36*$W$14)/1000</f>
        <v>1376.4799525476508</v>
      </c>
      <c r="AI36" s="36">
        <f>('Mangifera indica'!AD35*$W$15)/1000</f>
        <v>596.93490917250358</v>
      </c>
      <c r="AJ36" s="36">
        <f>('Mangifera indica'!AD34*$W$16)/1000</f>
        <v>389.64644446804431</v>
      </c>
      <c r="AK36" s="36">
        <f>('Mangifera indica'!AD33*$W$17)/1000</f>
        <v>445.2611806016414</v>
      </c>
      <c r="AL36" s="36">
        <f>('Mangifera indica'!AD32*$W$18)/1000</f>
        <v>366.67195058915041</v>
      </c>
      <c r="AM36" s="36">
        <f>('Mangifera indica'!AD31*$W$19)/1000</f>
        <v>311.49853832901539</v>
      </c>
      <c r="AN36" s="36">
        <f>('Mangifera indica'!AD30*$W$20)/1000</f>
        <v>4039.0612984209715</v>
      </c>
      <c r="AO36" s="36">
        <f>('Mangifera indica'!AD29*$W$21)/1000</f>
        <v>5005.3116404414968</v>
      </c>
      <c r="AP36" s="36">
        <f>('Mangifera indica'!AD28*$W$22)/1000</f>
        <v>4820.2908497322978</v>
      </c>
      <c r="AQ36" s="36">
        <f>('Mangifera indica'!AD27*$W$23)/1000</f>
        <v>4634.0076347567901</v>
      </c>
      <c r="AR36" s="36">
        <f>('Mangifera indica'!AD26*$W$24)/1000</f>
        <v>4446.3927726313104</v>
      </c>
      <c r="AT36" s="36">
        <f t="shared" si="3"/>
        <v>344.1199881369127</v>
      </c>
      <c r="AU36" s="36">
        <f t="shared" si="14"/>
        <v>149.2337272931259</v>
      </c>
      <c r="AV36" s="36">
        <f t="shared" si="20"/>
        <v>97.411611117011077</v>
      </c>
      <c r="AW36" s="36">
        <f t="shared" si="23"/>
        <v>111.31529515041035</v>
      </c>
      <c r="AX36" s="36">
        <f t="shared" si="26"/>
        <v>91.667987647287603</v>
      </c>
      <c r="AY36" s="36">
        <f t="shared" si="28"/>
        <v>77.874634582253847</v>
      </c>
      <c r="AZ36" s="36">
        <f t="shared" si="30"/>
        <v>1009.7653246052429</v>
      </c>
      <c r="BA36" s="36">
        <f t="shared" si="33"/>
        <v>1251.3279101103742</v>
      </c>
      <c r="BB36" s="36">
        <f t="shared" si="35"/>
        <v>1205.0727124330745</v>
      </c>
      <c r="BC36" s="36">
        <f t="shared" si="40"/>
        <v>1158.5019086891975</v>
      </c>
      <c r="BD36" s="36">
        <f t="shared" si="44"/>
        <v>1111.5981931578276</v>
      </c>
      <c r="BF36" s="36">
        <f t="shared" si="15"/>
        <v>1720.5999406845635</v>
      </c>
      <c r="BG36" s="36">
        <f t="shared" si="16"/>
        <v>746.16863646562945</v>
      </c>
      <c r="BH36" s="36">
        <f t="shared" si="17"/>
        <v>487.0580555850554</v>
      </c>
      <c r="BI36" s="36">
        <f t="shared" si="21"/>
        <v>556.57647575205169</v>
      </c>
      <c r="BJ36" s="36">
        <f t="shared" si="24"/>
        <v>458.339938236438</v>
      </c>
      <c r="BK36" s="36">
        <f t="shared" si="29"/>
        <v>389.37317291126925</v>
      </c>
      <c r="BL36" s="36">
        <f t="shared" si="31"/>
        <v>5048.8266230262143</v>
      </c>
      <c r="BM36" s="36">
        <f t="shared" si="34"/>
        <v>6256.6395505518713</v>
      </c>
      <c r="BN36" s="36">
        <f t="shared" si="36"/>
        <v>6025.3635621653721</v>
      </c>
      <c r="BO36" s="36">
        <f t="shared" si="41"/>
        <v>5792.5095434459872</v>
      </c>
      <c r="BP36" s="36">
        <f t="shared" si="45"/>
        <v>5557.9909657891385</v>
      </c>
      <c r="BR36" s="36">
        <f>'Mangifera indica'!BF36*$AD$7*$AH$4</f>
        <v>2967.8628376868032</v>
      </c>
      <c r="BS36" s="36">
        <f t="shared" si="4"/>
        <v>1287.0662810395643</v>
      </c>
      <c r="BT36" s="36">
        <f t="shared" si="18"/>
        <v>840.12644007866197</v>
      </c>
      <c r="BU36" s="36">
        <f t="shared" si="22"/>
        <v>960.03876302471383</v>
      </c>
      <c r="BV36" s="36">
        <f t="shared" si="25"/>
        <v>790.5905594640318</v>
      </c>
      <c r="BW36" s="36">
        <f t="shared" si="27"/>
        <v>671.62978595464824</v>
      </c>
      <c r="BX36" s="36">
        <f t="shared" si="32"/>
        <v>8708.7210420579158</v>
      </c>
      <c r="BY36" s="36">
        <f t="shared" si="37"/>
        <v>10792.077560746922</v>
      </c>
      <c r="BZ36" s="36">
        <f t="shared" si="42"/>
        <v>10393.14960837905</v>
      </c>
      <c r="CA36" s="36">
        <f t="shared" si="46"/>
        <v>9991.4997114899834</v>
      </c>
      <c r="CB36" s="36">
        <f t="shared" si="47"/>
        <v>9586.9786168896844</v>
      </c>
      <c r="CC36" s="36">
        <f t="shared" si="5"/>
        <v>56989.741206811974</v>
      </c>
      <c r="CE36" s="36">
        <f t="shared" si="6"/>
        <v>29.678628376868033</v>
      </c>
      <c r="CF36" s="36">
        <f t="shared" si="6"/>
        <v>12.870662810395643</v>
      </c>
      <c r="CG36" s="36">
        <f t="shared" si="6"/>
        <v>8.4012644007866193</v>
      </c>
      <c r="CH36" s="36">
        <f t="shared" si="6"/>
        <v>9.6003876302471394</v>
      </c>
      <c r="CI36" s="36">
        <f t="shared" si="6"/>
        <v>7.9059055946403181</v>
      </c>
      <c r="CJ36" s="36">
        <f t="shared" si="6"/>
        <v>6.7162978595464828</v>
      </c>
      <c r="CK36" s="36">
        <f t="shared" si="6"/>
        <v>87.087210420579154</v>
      </c>
      <c r="CL36" s="36">
        <f t="shared" si="6"/>
        <v>107.92077560746922</v>
      </c>
      <c r="CM36" s="36">
        <f t="shared" si="48"/>
        <v>103.93149608379051</v>
      </c>
      <c r="CN36" s="36">
        <f t="shared" si="38"/>
        <v>99.914997114899833</v>
      </c>
      <c r="CO36" s="36">
        <f t="shared" si="38"/>
        <v>95.869786168896852</v>
      </c>
      <c r="CP36" s="36">
        <f t="shared" si="7"/>
        <v>569.89741206811982</v>
      </c>
      <c r="CR36" s="36">
        <f t="shared" si="8"/>
        <v>29.678628376868033</v>
      </c>
      <c r="CS36" s="36">
        <f t="shared" si="8"/>
        <v>12.870662810395643</v>
      </c>
      <c r="CT36" s="36">
        <f t="shared" si="8"/>
        <v>8.4012644007866193</v>
      </c>
      <c r="CU36" s="36">
        <f t="shared" si="8"/>
        <v>9.6003876302471394</v>
      </c>
      <c r="CV36" s="36">
        <f t="shared" si="8"/>
        <v>7.9059055946403181</v>
      </c>
      <c r="CW36" s="36">
        <f t="shared" si="8"/>
        <v>6.7162978595464828</v>
      </c>
      <c r="CX36" s="36">
        <f t="shared" si="8"/>
        <v>87.087210420579154</v>
      </c>
      <c r="CY36" s="36">
        <f t="shared" si="8"/>
        <v>107.92077560746922</v>
      </c>
      <c r="CZ36" s="36">
        <f t="shared" si="49"/>
        <v>103.93149608379051</v>
      </c>
      <c r="DA36" s="36">
        <f t="shared" si="39"/>
        <v>99.914997114899833</v>
      </c>
      <c r="DB36" s="36">
        <f t="shared" si="39"/>
        <v>95.869786168896852</v>
      </c>
      <c r="DC36" s="36">
        <f t="shared" si="9"/>
        <v>569.89741206811982</v>
      </c>
      <c r="DE36" s="36">
        <f t="shared" si="10"/>
        <v>58129.53603094822</v>
      </c>
      <c r="DF36" s="36">
        <f t="shared" si="19"/>
        <v>748669.09556100424</v>
      </c>
    </row>
    <row r="37" spans="2:110" x14ac:dyDescent="0.25">
      <c r="B37" s="67">
        <v>2041</v>
      </c>
      <c r="C37" s="67">
        <v>0</v>
      </c>
      <c r="D37" s="67">
        <v>0</v>
      </c>
      <c r="E37" s="67">
        <v>0</v>
      </c>
      <c r="F37" s="67">
        <v>0</v>
      </c>
      <c r="G37" s="67">
        <v>0</v>
      </c>
      <c r="H37" s="67">
        <v>0</v>
      </c>
      <c r="I37" s="67">
        <v>0</v>
      </c>
      <c r="J37" s="67">
        <v>0</v>
      </c>
      <c r="K37" s="67">
        <v>0</v>
      </c>
      <c r="L37" s="67">
        <v>0</v>
      </c>
      <c r="M37" s="67">
        <v>0</v>
      </c>
      <c r="N37" s="67">
        <v>0</v>
      </c>
      <c r="O37" s="67">
        <v>0</v>
      </c>
      <c r="P37" s="67">
        <v>0</v>
      </c>
      <c r="Q37" s="67">
        <v>0</v>
      </c>
      <c r="R37" s="67">
        <v>0</v>
      </c>
      <c r="S37" s="67">
        <v>0</v>
      </c>
      <c r="T37" s="67">
        <v>0</v>
      </c>
      <c r="U37" s="67">
        <f t="shared" si="43"/>
        <v>0</v>
      </c>
      <c r="V37" s="67">
        <f t="shared" si="11"/>
        <v>0</v>
      </c>
      <c r="W37" s="67">
        <f t="shared" si="12"/>
        <v>0</v>
      </c>
      <c r="Y37" s="67">
        <v>24</v>
      </c>
      <c r="Z37" s="67" t="s">
        <v>113</v>
      </c>
      <c r="AA37" s="36">
        <v>66.905000000000072</v>
      </c>
      <c r="AB37" s="36"/>
      <c r="AC37" s="36">
        <f t="shared" si="1"/>
        <v>476.57182090565402</v>
      </c>
      <c r="AD37" s="36">
        <f t="shared" si="13"/>
        <v>27.549337911150872</v>
      </c>
      <c r="AE37" s="19"/>
      <c r="AF37" s="67">
        <v>24</v>
      </c>
      <c r="AG37" s="67" t="str">
        <f t="shared" si="2"/>
        <v>2041-2042</v>
      </c>
      <c r="AH37" s="36">
        <f>('Mangifera indica'!AD37*$W$14)/1000</f>
        <v>1415.2923569042571</v>
      </c>
      <c r="AI37" s="36">
        <f>('Mangifera indica'!AD36*$W$15)/1000</f>
        <v>614.34413055482116</v>
      </c>
      <c r="AJ37" s="36">
        <f>('Mangifera indica'!AD35*$W$16)/1000</f>
        <v>401.41400543695181</v>
      </c>
      <c r="AK37" s="36">
        <f>('Mangifera indica'!AD34*$W$17)/1000</f>
        <v>459.20374415214059</v>
      </c>
      <c r="AL37" s="36">
        <f>('Mangifera indica'!AD33*$W$18)/1000</f>
        <v>378.59280673451792</v>
      </c>
      <c r="AM37" s="36">
        <f>('Mangifera indica'!AD32*$W$19)/1000</f>
        <v>322.02842417536641</v>
      </c>
      <c r="AN37" s="36">
        <f>('Mangifera indica'!AD31*$W$20)/1000</f>
        <v>4181.2527736607426</v>
      </c>
      <c r="AO37" s="36">
        <f>('Mangifera indica'!AD30*$W$21)/1000</f>
        <v>5189.1327903973433</v>
      </c>
      <c r="AP37" s="36">
        <f>('Mangifera indica'!AD29*$W$22)/1000</f>
        <v>5005.3116404414968</v>
      </c>
      <c r="AQ37" s="36">
        <f>('Mangifera indica'!AD28*$W$23)/1000</f>
        <v>4820.2908497322978</v>
      </c>
      <c r="AR37" s="36">
        <f>('Mangifera indica'!AD27*$W$24)/1000</f>
        <v>4634.0076347567901</v>
      </c>
      <c r="AT37" s="36">
        <f t="shared" si="3"/>
        <v>353.82308922606427</v>
      </c>
      <c r="AU37" s="36">
        <f t="shared" si="14"/>
        <v>153.58603263870529</v>
      </c>
      <c r="AV37" s="36">
        <f t="shared" si="20"/>
        <v>100.35350135923795</v>
      </c>
      <c r="AW37" s="36">
        <f t="shared" si="23"/>
        <v>114.80093603803515</v>
      </c>
      <c r="AX37" s="36">
        <f t="shared" si="26"/>
        <v>94.64820168362948</v>
      </c>
      <c r="AY37" s="36">
        <f t="shared" si="28"/>
        <v>80.507106043841603</v>
      </c>
      <c r="AZ37" s="36">
        <f t="shared" si="30"/>
        <v>1045.3131934151857</v>
      </c>
      <c r="BA37" s="36">
        <f t="shared" si="33"/>
        <v>1297.2831975993358</v>
      </c>
      <c r="BB37" s="36">
        <f t="shared" si="35"/>
        <v>1251.3279101103742</v>
      </c>
      <c r="BC37" s="36">
        <f t="shared" si="40"/>
        <v>1205.0727124330745</v>
      </c>
      <c r="BD37" s="36">
        <f t="shared" si="44"/>
        <v>1158.5019086891975</v>
      </c>
      <c r="BF37" s="36">
        <f t="shared" si="15"/>
        <v>1769.1154461303213</v>
      </c>
      <c r="BG37" s="36">
        <f t="shared" si="16"/>
        <v>767.93016319352648</v>
      </c>
      <c r="BH37" s="36">
        <f t="shared" si="17"/>
        <v>501.76750679618976</v>
      </c>
      <c r="BI37" s="36">
        <f t="shared" si="21"/>
        <v>574.00468019017569</v>
      </c>
      <c r="BJ37" s="36">
        <f t="shared" si="24"/>
        <v>473.24100841814743</v>
      </c>
      <c r="BK37" s="36">
        <f t="shared" si="29"/>
        <v>402.535530219208</v>
      </c>
      <c r="BL37" s="36">
        <f t="shared" si="31"/>
        <v>5226.5659670759287</v>
      </c>
      <c r="BM37" s="36">
        <f t="shared" si="34"/>
        <v>6486.4159879966792</v>
      </c>
      <c r="BN37" s="36">
        <f t="shared" si="36"/>
        <v>6256.6395505518713</v>
      </c>
      <c r="BO37" s="36">
        <f t="shared" si="41"/>
        <v>6025.3635621653721</v>
      </c>
      <c r="BP37" s="36">
        <f t="shared" si="45"/>
        <v>5792.5095434459872</v>
      </c>
      <c r="BR37" s="36">
        <f>'Mangifera indica'!BF37*$AD$7*$AH$4</f>
        <v>3051.5472330301909</v>
      </c>
      <c r="BS37" s="36">
        <f t="shared" si="4"/>
        <v>1324.6027384925137</v>
      </c>
      <c r="BT37" s="36">
        <f t="shared" si="18"/>
        <v>865.49877247274765</v>
      </c>
      <c r="BU37" s="36">
        <f t="shared" si="22"/>
        <v>990.10067286003391</v>
      </c>
      <c r="BV37" s="36">
        <f t="shared" si="25"/>
        <v>816.29341542046245</v>
      </c>
      <c r="BW37" s="36">
        <f t="shared" si="27"/>
        <v>694.33353607511185</v>
      </c>
      <c r="BX37" s="36">
        <f t="shared" si="32"/>
        <v>9015.3036366092692</v>
      </c>
      <c r="BY37" s="36">
        <f t="shared" si="37"/>
        <v>11188.418937695471</v>
      </c>
      <c r="BZ37" s="36">
        <f t="shared" si="42"/>
        <v>10792.077560746922</v>
      </c>
      <c r="CA37" s="36">
        <f t="shared" si="46"/>
        <v>10393.14960837905</v>
      </c>
      <c r="CB37" s="36">
        <f t="shared" si="47"/>
        <v>9991.4997114899834</v>
      </c>
      <c r="CC37" s="36">
        <f t="shared" si="5"/>
        <v>59122.825823271749</v>
      </c>
      <c r="CE37" s="36">
        <f t="shared" si="6"/>
        <v>30.515472330301911</v>
      </c>
      <c r="CF37" s="36">
        <f t="shared" si="6"/>
        <v>13.246027384925137</v>
      </c>
      <c r="CG37" s="36">
        <f t="shared" si="6"/>
        <v>8.6549877247274765</v>
      </c>
      <c r="CH37" s="36">
        <f t="shared" si="6"/>
        <v>9.9010067286003398</v>
      </c>
      <c r="CI37" s="36">
        <f t="shared" si="6"/>
        <v>8.1629341542046241</v>
      </c>
      <c r="CJ37" s="36">
        <f t="shared" si="6"/>
        <v>6.943335360751119</v>
      </c>
      <c r="CK37" s="36">
        <f t="shared" si="6"/>
        <v>90.153036366092692</v>
      </c>
      <c r="CL37" s="36">
        <f t="shared" si="6"/>
        <v>111.88418937695471</v>
      </c>
      <c r="CM37" s="36">
        <f t="shared" si="48"/>
        <v>107.92077560746922</v>
      </c>
      <c r="CN37" s="36">
        <f t="shared" si="38"/>
        <v>103.93149608379051</v>
      </c>
      <c r="CO37" s="36">
        <f t="shared" si="38"/>
        <v>99.914997114899833</v>
      </c>
      <c r="CP37" s="36">
        <f t="shared" si="7"/>
        <v>591.22825823271762</v>
      </c>
      <c r="CR37" s="36">
        <f t="shared" si="8"/>
        <v>30.515472330301911</v>
      </c>
      <c r="CS37" s="36">
        <f t="shared" si="8"/>
        <v>13.246027384925137</v>
      </c>
      <c r="CT37" s="36">
        <f t="shared" si="8"/>
        <v>8.6549877247274765</v>
      </c>
      <c r="CU37" s="36">
        <f t="shared" si="8"/>
        <v>9.9010067286003398</v>
      </c>
      <c r="CV37" s="36">
        <f t="shared" si="8"/>
        <v>8.1629341542046241</v>
      </c>
      <c r="CW37" s="36">
        <f t="shared" si="8"/>
        <v>6.943335360751119</v>
      </c>
      <c r="CX37" s="36">
        <f t="shared" si="8"/>
        <v>90.153036366092692</v>
      </c>
      <c r="CY37" s="36">
        <f t="shared" si="8"/>
        <v>111.88418937695471</v>
      </c>
      <c r="CZ37" s="36">
        <f t="shared" si="49"/>
        <v>107.92077560746922</v>
      </c>
      <c r="DA37" s="36">
        <f t="shared" si="39"/>
        <v>103.93149608379051</v>
      </c>
      <c r="DB37" s="36">
        <f t="shared" si="39"/>
        <v>99.914997114899833</v>
      </c>
      <c r="DC37" s="36">
        <f t="shared" si="9"/>
        <v>591.22825823271762</v>
      </c>
      <c r="DE37" s="36">
        <f t="shared" si="10"/>
        <v>60305.282339737183</v>
      </c>
      <c r="DF37" s="36">
        <f t="shared" si="19"/>
        <v>808974.37790074141</v>
      </c>
    </row>
    <row r="38" spans="2:110" x14ac:dyDescent="0.25">
      <c r="B38" s="67">
        <v>2042</v>
      </c>
      <c r="C38" s="67">
        <v>0</v>
      </c>
      <c r="D38" s="67">
        <v>0</v>
      </c>
      <c r="E38" s="67">
        <v>0</v>
      </c>
      <c r="F38" s="67">
        <v>0</v>
      </c>
      <c r="G38" s="67">
        <v>0</v>
      </c>
      <c r="H38" s="67">
        <v>0</v>
      </c>
      <c r="I38" s="67">
        <v>0</v>
      </c>
      <c r="J38" s="67">
        <v>0</v>
      </c>
      <c r="K38" s="67">
        <v>0</v>
      </c>
      <c r="L38" s="67">
        <v>0</v>
      </c>
      <c r="M38" s="67">
        <v>0</v>
      </c>
      <c r="N38" s="67">
        <v>0</v>
      </c>
      <c r="O38" s="67">
        <v>0</v>
      </c>
      <c r="P38" s="67">
        <v>0</v>
      </c>
      <c r="Q38" s="67">
        <v>0</v>
      </c>
      <c r="R38" s="67">
        <v>0</v>
      </c>
      <c r="S38" s="67">
        <v>0</v>
      </c>
      <c r="T38" s="67">
        <v>0</v>
      </c>
      <c r="U38" s="67">
        <f t="shared" si="43"/>
        <v>0</v>
      </c>
      <c r="V38" s="67">
        <f t="shared" si="11"/>
        <v>0</v>
      </c>
      <c r="W38" s="67">
        <f t="shared" si="12"/>
        <v>0</v>
      </c>
      <c r="Y38" s="67">
        <v>25</v>
      </c>
      <c r="Z38" s="67" t="s">
        <v>114</v>
      </c>
      <c r="AA38" s="36">
        <v>69.02416666666673</v>
      </c>
      <c r="AB38" s="36"/>
      <c r="AC38" s="36">
        <f t="shared" si="1"/>
        <v>504.87302119917103</v>
      </c>
      <c r="AD38" s="36">
        <f t="shared" si="13"/>
        <v>28.301200293517013</v>
      </c>
      <c r="AE38" s="19"/>
      <c r="AF38" s="67">
        <v>25</v>
      </c>
      <c r="AG38" s="67" t="str">
        <f t="shared" si="2"/>
        <v>2042-2043</v>
      </c>
      <c r="AH38" s="36">
        <f>('Mangifera indica'!AD38*$W$14)/1000</f>
        <v>1453.9177890884521</v>
      </c>
      <c r="AI38" s="36">
        <f>('Mangifera indica'!AD37*$W$15)/1000</f>
        <v>631.66670235477318</v>
      </c>
      <c r="AJ38" s="36">
        <f>('Mangifera indica'!AD36*$W$16)/1000</f>
        <v>413.12098584508732</v>
      </c>
      <c r="AK38" s="36">
        <f>('Mangifera indica'!AD35*$W$17)/1000</f>
        <v>473.07197811957275</v>
      </c>
      <c r="AL38" s="36">
        <f>('Mangifera indica'!AD34*$W$18)/1000</f>
        <v>390.44776849095359</v>
      </c>
      <c r="AM38" s="36">
        <f>('Mangifera indica'!AD33*$W$19)/1000</f>
        <v>332.49787653774604</v>
      </c>
      <c r="AN38" s="36">
        <f>('Mangifera indica'!AD32*$W$20)/1000</f>
        <v>4322.5956982136731</v>
      </c>
      <c r="AO38" s="36">
        <f>('Mangifera indica'!AD31*$W$21)/1000</f>
        <v>5371.8114853134412</v>
      </c>
      <c r="AP38" s="36">
        <f>('Mangifera indica'!AD30*$W$22)/1000</f>
        <v>5189.1327903973433</v>
      </c>
      <c r="AQ38" s="36">
        <f>('Mangifera indica'!AD29*$W$23)/1000</f>
        <v>5005.3116404414968</v>
      </c>
      <c r="AR38" s="36">
        <f>('Mangifera indica'!AD28*$W$24)/1000</f>
        <v>4820.2908497322978</v>
      </c>
      <c r="AT38" s="36">
        <f t="shared" si="3"/>
        <v>363.47944727211302</v>
      </c>
      <c r="AU38" s="36">
        <f t="shared" si="14"/>
        <v>157.91667558869329</v>
      </c>
      <c r="AV38" s="36">
        <f t="shared" si="20"/>
        <v>103.28024646127183</v>
      </c>
      <c r="AW38" s="36">
        <f t="shared" si="23"/>
        <v>118.26799452989319</v>
      </c>
      <c r="AX38" s="36">
        <f t="shared" si="26"/>
        <v>97.611942122738398</v>
      </c>
      <c r="AY38" s="36">
        <f t="shared" si="28"/>
        <v>83.124469134436509</v>
      </c>
      <c r="AZ38" s="36">
        <f t="shared" si="30"/>
        <v>1080.6489245534183</v>
      </c>
      <c r="BA38" s="36">
        <f t="shared" si="33"/>
        <v>1342.9528713283603</v>
      </c>
      <c r="BB38" s="36">
        <f t="shared" si="35"/>
        <v>1297.2831975993358</v>
      </c>
      <c r="BC38" s="36">
        <f t="shared" si="40"/>
        <v>1251.3279101103742</v>
      </c>
      <c r="BD38" s="36">
        <f t="shared" si="44"/>
        <v>1205.0727124330745</v>
      </c>
      <c r="BF38" s="36">
        <f t="shared" si="15"/>
        <v>1817.3972363605651</v>
      </c>
      <c r="BG38" s="36">
        <f t="shared" si="16"/>
        <v>789.58337794346653</v>
      </c>
      <c r="BH38" s="36">
        <f t="shared" si="17"/>
        <v>516.40123230635913</v>
      </c>
      <c r="BI38" s="36">
        <f t="shared" si="21"/>
        <v>591.33997264946595</v>
      </c>
      <c r="BJ38" s="36">
        <f t="shared" si="24"/>
        <v>488.059710613692</v>
      </c>
      <c r="BK38" s="36">
        <f t="shared" si="29"/>
        <v>415.62234567218252</v>
      </c>
      <c r="BL38" s="36">
        <f t="shared" si="31"/>
        <v>5403.2446227670916</v>
      </c>
      <c r="BM38" s="36">
        <f t="shared" si="34"/>
        <v>6714.764356641801</v>
      </c>
      <c r="BN38" s="36">
        <f t="shared" si="36"/>
        <v>6486.4159879966792</v>
      </c>
      <c r="BO38" s="36">
        <f t="shared" si="41"/>
        <v>6256.6395505518713</v>
      </c>
      <c r="BP38" s="36">
        <f t="shared" si="45"/>
        <v>6025.3635621653721</v>
      </c>
      <c r="BR38" s="36">
        <f>'Mangifera indica'!BF38*$AD$7*$AH$4</f>
        <v>3134.8284929983383</v>
      </c>
      <c r="BS38" s="36">
        <f t="shared" si="4"/>
        <v>1361.9523686146854</v>
      </c>
      <c r="BT38" s="36">
        <f t="shared" si="18"/>
        <v>890.74048560523875</v>
      </c>
      <c r="BU38" s="36">
        <f t="shared" si="22"/>
        <v>1020.0023188230639</v>
      </c>
      <c r="BV38" s="36">
        <f t="shared" si="25"/>
        <v>841.8541948375572</v>
      </c>
      <c r="BW38" s="36">
        <f t="shared" si="27"/>
        <v>716.9069840499476</v>
      </c>
      <c r="BX38" s="36">
        <f t="shared" si="32"/>
        <v>9320.0566498109565</v>
      </c>
      <c r="BY38" s="36">
        <f t="shared" si="37"/>
        <v>11582.297038771441</v>
      </c>
      <c r="BZ38" s="36">
        <f t="shared" si="42"/>
        <v>11188.418937695471</v>
      </c>
      <c r="CA38" s="36">
        <f t="shared" si="46"/>
        <v>10792.077560746922</v>
      </c>
      <c r="CB38" s="36">
        <f t="shared" si="47"/>
        <v>10393.14960837905</v>
      </c>
      <c r="CC38" s="36">
        <f t="shared" si="5"/>
        <v>61242.284640332677</v>
      </c>
      <c r="CE38" s="36">
        <f t="shared" si="6"/>
        <v>31.348284929983382</v>
      </c>
      <c r="CF38" s="36">
        <f t="shared" si="6"/>
        <v>13.619523686146854</v>
      </c>
      <c r="CG38" s="36">
        <f t="shared" si="6"/>
        <v>8.9074048560523877</v>
      </c>
      <c r="CH38" s="36">
        <f t="shared" si="6"/>
        <v>10.20002318823064</v>
      </c>
      <c r="CI38" s="36">
        <f t="shared" si="6"/>
        <v>8.418541948375573</v>
      </c>
      <c r="CJ38" s="36">
        <f t="shared" si="6"/>
        <v>7.1690698404994757</v>
      </c>
      <c r="CK38" s="36">
        <f t="shared" si="6"/>
        <v>93.200566498109566</v>
      </c>
      <c r="CL38" s="36">
        <f t="shared" si="6"/>
        <v>115.82297038771442</v>
      </c>
      <c r="CM38" s="36">
        <f t="shared" si="48"/>
        <v>111.88418937695471</v>
      </c>
      <c r="CN38" s="36">
        <f t="shared" si="38"/>
        <v>107.92077560746922</v>
      </c>
      <c r="CO38" s="36">
        <f t="shared" si="38"/>
        <v>103.93149608379051</v>
      </c>
      <c r="CP38" s="36">
        <f t="shared" si="7"/>
        <v>612.42284640332673</v>
      </c>
      <c r="CR38" s="36">
        <f t="shared" si="8"/>
        <v>31.348284929983382</v>
      </c>
      <c r="CS38" s="36">
        <f t="shared" si="8"/>
        <v>13.619523686146854</v>
      </c>
      <c r="CT38" s="36">
        <f t="shared" si="8"/>
        <v>8.9074048560523877</v>
      </c>
      <c r="CU38" s="36">
        <f t="shared" si="8"/>
        <v>10.20002318823064</v>
      </c>
      <c r="CV38" s="36">
        <f t="shared" si="8"/>
        <v>8.418541948375573</v>
      </c>
      <c r="CW38" s="36">
        <f t="shared" si="8"/>
        <v>7.1690698404994757</v>
      </c>
      <c r="CX38" s="36">
        <f t="shared" si="8"/>
        <v>93.200566498109566</v>
      </c>
      <c r="CY38" s="36">
        <f t="shared" si="8"/>
        <v>115.82297038771442</v>
      </c>
      <c r="CZ38" s="36">
        <f t="shared" si="49"/>
        <v>111.88418937695471</v>
      </c>
      <c r="DA38" s="36">
        <f t="shared" si="39"/>
        <v>107.92077560746922</v>
      </c>
      <c r="DB38" s="36">
        <f t="shared" si="39"/>
        <v>103.93149608379051</v>
      </c>
      <c r="DC38" s="36">
        <f t="shared" si="9"/>
        <v>612.42284640332673</v>
      </c>
      <c r="DE38" s="36">
        <f t="shared" si="10"/>
        <v>62467.130333139336</v>
      </c>
      <c r="DF38" s="36">
        <f t="shared" si="19"/>
        <v>871441.50823388074</v>
      </c>
    </row>
    <row r="39" spans="2:110" x14ac:dyDescent="0.25">
      <c r="B39" s="67">
        <v>2043</v>
      </c>
      <c r="C39" s="67">
        <v>0</v>
      </c>
      <c r="D39" s="67">
        <v>0</v>
      </c>
      <c r="E39" s="67">
        <v>0</v>
      </c>
      <c r="F39" s="67">
        <v>0</v>
      </c>
      <c r="G39" s="67">
        <v>0</v>
      </c>
      <c r="H39" s="67">
        <v>0</v>
      </c>
      <c r="I39" s="67">
        <v>0</v>
      </c>
      <c r="J39" s="67">
        <v>0</v>
      </c>
      <c r="K39" s="67">
        <v>0</v>
      </c>
      <c r="L39" s="67">
        <v>0</v>
      </c>
      <c r="M39" s="67">
        <v>0</v>
      </c>
      <c r="N39" s="67">
        <v>0</v>
      </c>
      <c r="O39" s="67">
        <v>0</v>
      </c>
      <c r="P39" s="67">
        <v>0</v>
      </c>
      <c r="Q39" s="67">
        <v>0</v>
      </c>
      <c r="R39" s="67">
        <v>0</v>
      </c>
      <c r="S39" s="67">
        <v>0</v>
      </c>
      <c r="T39" s="67">
        <v>0</v>
      </c>
      <c r="U39" s="67">
        <f t="shared" si="43"/>
        <v>0</v>
      </c>
      <c r="V39" s="67">
        <f t="shared" si="11"/>
        <v>0</v>
      </c>
      <c r="W39" s="67">
        <f t="shared" si="12"/>
        <v>0</v>
      </c>
      <c r="Y39" s="67">
        <v>26</v>
      </c>
      <c r="Z39" s="67" t="s">
        <v>115</v>
      </c>
      <c r="AA39" s="36">
        <v>71.143333333333402</v>
      </c>
      <c r="AB39" s="36"/>
      <c r="AC39" s="36">
        <f t="shared" si="1"/>
        <v>533.92257463757278</v>
      </c>
      <c r="AD39" s="36">
        <f t="shared" si="13"/>
        <v>29.049553438401745</v>
      </c>
      <c r="AE39" s="19"/>
      <c r="AF39" s="67">
        <v>26</v>
      </c>
      <c r="AG39" s="67" t="str">
        <f t="shared" si="2"/>
        <v>2043-2044</v>
      </c>
      <c r="AH39" s="36">
        <f>('Mangifera indica'!AD39*$W$14)/1000</f>
        <v>1492.3629411874404</v>
      </c>
      <c r="AI39" s="36">
        <f>('Mangifera indica'!AD38*$W$15)/1000</f>
        <v>648.9058256043229</v>
      </c>
      <c r="AJ39" s="36">
        <f>('Mangifera indica'!AD37*$W$16)/1000</f>
        <v>424.76969799751822</v>
      </c>
      <c r="AK39" s="36">
        <f>('Mangifera indica'!AD36*$W$17)/1000</f>
        <v>486.86881705511308</v>
      </c>
      <c r="AL39" s="36">
        <f>('Mangifera indica'!AD35*$W$18)/1000</f>
        <v>402.23952993552132</v>
      </c>
      <c r="AM39" s="36">
        <f>('Mangifera indica'!AD34*$W$19)/1000</f>
        <v>342.90945737165009</v>
      </c>
      <c r="AN39" s="36">
        <f>('Mangifera indica'!AD33*$W$20)/1000</f>
        <v>4463.1274225798134</v>
      </c>
      <c r="AO39" s="36">
        <f>('Mangifera indica'!AD32*$W$21)/1000</f>
        <v>5553.4000154937094</v>
      </c>
      <c r="AP39" s="36">
        <f>('Mangifera indica'!AD31*$W$22)/1000</f>
        <v>5371.8114853134412</v>
      </c>
      <c r="AQ39" s="36">
        <f>('Mangifera indica'!AD30*$W$23)/1000</f>
        <v>5189.1327903973433</v>
      </c>
      <c r="AR39" s="36">
        <f>('Mangifera indica'!AD29*$W$24)/1000</f>
        <v>5005.3116404414968</v>
      </c>
      <c r="AT39" s="36">
        <f t="shared" si="3"/>
        <v>373.09073529686009</v>
      </c>
      <c r="AU39" s="36">
        <f t="shared" si="14"/>
        <v>162.22645640108072</v>
      </c>
      <c r="AV39" s="36">
        <f t="shared" si="20"/>
        <v>106.19242449937956</v>
      </c>
      <c r="AW39" s="36">
        <f t="shared" si="23"/>
        <v>121.71720426377827</v>
      </c>
      <c r="AX39" s="36">
        <f t="shared" si="26"/>
        <v>100.55988248388033</v>
      </c>
      <c r="AY39" s="36">
        <f t="shared" si="28"/>
        <v>85.727364342912523</v>
      </c>
      <c r="AZ39" s="36">
        <f t="shared" si="30"/>
        <v>1115.7818556449533</v>
      </c>
      <c r="BA39" s="36">
        <f t="shared" si="33"/>
        <v>1388.3500038734273</v>
      </c>
      <c r="BB39" s="36">
        <f t="shared" si="35"/>
        <v>1342.9528713283603</v>
      </c>
      <c r="BC39" s="36">
        <f t="shared" si="40"/>
        <v>1297.2831975993358</v>
      </c>
      <c r="BD39" s="36">
        <f t="shared" si="44"/>
        <v>1251.3279101103742</v>
      </c>
      <c r="BF39" s="36">
        <f t="shared" si="15"/>
        <v>1865.4536764843006</v>
      </c>
      <c r="BG39" s="36">
        <f t="shared" si="16"/>
        <v>811.13228200540357</v>
      </c>
      <c r="BH39" s="36">
        <f t="shared" si="17"/>
        <v>530.96212249689779</v>
      </c>
      <c r="BI39" s="36">
        <f t="shared" si="21"/>
        <v>608.58602131889131</v>
      </c>
      <c r="BJ39" s="36">
        <f t="shared" si="24"/>
        <v>502.79941241940162</v>
      </c>
      <c r="BK39" s="36">
        <f t="shared" si="29"/>
        <v>428.63682171456264</v>
      </c>
      <c r="BL39" s="36">
        <f t="shared" si="31"/>
        <v>5578.9092782247662</v>
      </c>
      <c r="BM39" s="36">
        <f t="shared" si="34"/>
        <v>6941.7500193671367</v>
      </c>
      <c r="BN39" s="36">
        <f t="shared" si="36"/>
        <v>6714.764356641801</v>
      </c>
      <c r="BO39" s="36">
        <f t="shared" si="41"/>
        <v>6486.4159879966792</v>
      </c>
      <c r="BP39" s="36">
        <f t="shared" si="45"/>
        <v>6256.6395505518713</v>
      </c>
      <c r="BR39" s="36">
        <f>'Mangifera indica'!BF39*$AD$7*$AH$4</f>
        <v>3217.7210465677699</v>
      </c>
      <c r="BS39" s="36">
        <f t="shared" si="4"/>
        <v>1399.1220732311206</v>
      </c>
      <c r="BT39" s="36">
        <f t="shared" si="18"/>
        <v>915.85656509489888</v>
      </c>
      <c r="BU39" s="36">
        <f t="shared" si="22"/>
        <v>1049.7500281729556</v>
      </c>
      <c r="BV39" s="36">
        <f t="shared" si="25"/>
        <v>867.27870648222586</v>
      </c>
      <c r="BW39" s="36">
        <f t="shared" si="27"/>
        <v>739.35565377544901</v>
      </c>
      <c r="BX39" s="36">
        <f t="shared" si="32"/>
        <v>9623.0606140098989</v>
      </c>
      <c r="BY39" s="36">
        <f t="shared" si="37"/>
        <v>11973.824608406372</v>
      </c>
      <c r="BZ39" s="36">
        <f t="shared" si="42"/>
        <v>11582.297038771441</v>
      </c>
      <c r="CA39" s="36">
        <f t="shared" si="46"/>
        <v>11188.418937695471</v>
      </c>
      <c r="CB39" s="36">
        <f t="shared" si="47"/>
        <v>10792.077560746922</v>
      </c>
      <c r="CC39" s="36">
        <f t="shared" si="5"/>
        <v>63348.762832954526</v>
      </c>
      <c r="CE39" s="36">
        <f t="shared" si="6"/>
        <v>32.177210465677703</v>
      </c>
      <c r="CF39" s="36">
        <f t="shared" si="6"/>
        <v>13.991220732311206</v>
      </c>
      <c r="CG39" s="36">
        <f t="shared" si="6"/>
        <v>9.1585656509489883</v>
      </c>
      <c r="CH39" s="36">
        <f t="shared" si="6"/>
        <v>10.497500281729556</v>
      </c>
      <c r="CI39" s="36">
        <f t="shared" si="6"/>
        <v>8.6727870648222591</v>
      </c>
      <c r="CJ39" s="36">
        <f t="shared" si="6"/>
        <v>7.3935565377544901</v>
      </c>
      <c r="CK39" s="36">
        <f t="shared" si="6"/>
        <v>96.230606140098985</v>
      </c>
      <c r="CL39" s="36">
        <f t="shared" si="6"/>
        <v>119.73824608406372</v>
      </c>
      <c r="CM39" s="36">
        <f t="shared" si="48"/>
        <v>115.82297038771442</v>
      </c>
      <c r="CN39" s="36">
        <f t="shared" si="38"/>
        <v>111.88418937695471</v>
      </c>
      <c r="CO39" s="36">
        <f t="shared" si="38"/>
        <v>107.92077560746922</v>
      </c>
      <c r="CP39" s="36">
        <f t="shared" si="7"/>
        <v>633.48762832954515</v>
      </c>
      <c r="CR39" s="36">
        <f t="shared" si="8"/>
        <v>32.177210465677703</v>
      </c>
      <c r="CS39" s="36">
        <f t="shared" si="8"/>
        <v>13.991220732311206</v>
      </c>
      <c r="CT39" s="36">
        <f t="shared" si="8"/>
        <v>9.1585656509489883</v>
      </c>
      <c r="CU39" s="36">
        <f t="shared" si="8"/>
        <v>10.497500281729556</v>
      </c>
      <c r="CV39" s="36">
        <f t="shared" si="8"/>
        <v>8.6727870648222591</v>
      </c>
      <c r="CW39" s="36">
        <f t="shared" si="8"/>
        <v>7.3935565377544901</v>
      </c>
      <c r="CX39" s="36">
        <f t="shared" si="8"/>
        <v>96.230606140098985</v>
      </c>
      <c r="CY39" s="36">
        <f t="shared" si="8"/>
        <v>119.73824608406372</v>
      </c>
      <c r="CZ39" s="36">
        <f t="shared" si="49"/>
        <v>115.82297038771442</v>
      </c>
      <c r="DA39" s="36">
        <f t="shared" si="39"/>
        <v>111.88418937695471</v>
      </c>
      <c r="DB39" s="36">
        <f t="shared" si="39"/>
        <v>107.92077560746922</v>
      </c>
      <c r="DC39" s="36">
        <f t="shared" si="9"/>
        <v>633.48762832954515</v>
      </c>
      <c r="DE39" s="36">
        <f t="shared" si="10"/>
        <v>64615.738089613616</v>
      </c>
      <c r="DF39" s="36">
        <f t="shared" si="19"/>
        <v>936057.24632349436</v>
      </c>
    </row>
    <row r="40" spans="2:110" x14ac:dyDescent="0.25">
      <c r="B40" s="67">
        <v>2044</v>
      </c>
      <c r="C40" s="67">
        <v>0</v>
      </c>
      <c r="D40" s="67">
        <v>0</v>
      </c>
      <c r="E40" s="67">
        <v>0</v>
      </c>
      <c r="F40" s="67">
        <v>0</v>
      </c>
      <c r="G40" s="67">
        <v>0</v>
      </c>
      <c r="H40" s="67">
        <v>0</v>
      </c>
      <c r="I40" s="67">
        <v>0</v>
      </c>
      <c r="J40" s="67">
        <v>0</v>
      </c>
      <c r="K40" s="67">
        <v>0</v>
      </c>
      <c r="L40" s="67">
        <v>0</v>
      </c>
      <c r="M40" s="67">
        <v>0</v>
      </c>
      <c r="N40" s="67">
        <v>0</v>
      </c>
      <c r="O40" s="67">
        <v>0</v>
      </c>
      <c r="P40" s="67">
        <v>0</v>
      </c>
      <c r="Q40" s="67">
        <v>0</v>
      </c>
      <c r="R40" s="67">
        <v>0</v>
      </c>
      <c r="S40" s="67">
        <v>0</v>
      </c>
      <c r="T40" s="67">
        <v>0</v>
      </c>
      <c r="U40" s="67">
        <f t="shared" si="43"/>
        <v>0</v>
      </c>
      <c r="V40" s="67">
        <f t="shared" si="11"/>
        <v>0</v>
      </c>
      <c r="W40" s="67">
        <f t="shared" si="12"/>
        <v>0</v>
      </c>
      <c r="Y40" s="67">
        <v>27</v>
      </c>
      <c r="Z40" s="67" t="s">
        <v>116</v>
      </c>
      <c r="AA40" s="36">
        <v>73.262500000000074</v>
      </c>
      <c r="AB40" s="36"/>
      <c r="AC40" s="36">
        <f t="shared" si="1"/>
        <v>563.71709379260926</v>
      </c>
      <c r="AD40" s="36">
        <f t="shared" si="13"/>
        <v>29.794519155036483</v>
      </c>
      <c r="AE40" s="19"/>
      <c r="AF40" s="67">
        <v>27</v>
      </c>
      <c r="AG40" s="67" t="str">
        <f t="shared" si="2"/>
        <v>2044-2045</v>
      </c>
      <c r="AH40" s="36">
        <f>('Mangifera indica'!AD40*$W$14)/1000</f>
        <v>1530.6340709078427</v>
      </c>
      <c r="AI40" s="36">
        <f>('Mangifera indica'!AD39*$W$15)/1000</f>
        <v>666.06448708470748</v>
      </c>
      <c r="AJ40" s="36">
        <f>('Mangifera indica'!AD38*$W$16)/1000</f>
        <v>436.3622944556746</v>
      </c>
      <c r="AK40" s="36">
        <f>('Mangifera indica'!AD37*$W$17)/1000</f>
        <v>500.59698604238457</v>
      </c>
      <c r="AL40" s="36">
        <f>('Mangifera indica'!AD36*$W$18)/1000</f>
        <v>413.9705862328891</v>
      </c>
      <c r="AM40" s="36">
        <f>('Mangifera indica'!AD35*$W$19)/1000</f>
        <v>353.26553274132237</v>
      </c>
      <c r="AN40" s="36">
        <f>('Mangifera indica'!AD34*$W$20)/1000</f>
        <v>4602.8823359527069</v>
      </c>
      <c r="AO40" s="36">
        <f>('Mangifera indica'!AD33*$W$21)/1000</f>
        <v>5733.9463665195062</v>
      </c>
      <c r="AP40" s="36">
        <f>('Mangifera indica'!AD32*$W$22)/1000</f>
        <v>5553.4000154937094</v>
      </c>
      <c r="AQ40" s="36">
        <f>('Mangifera indica'!AD31*$W$23)/1000</f>
        <v>5371.8114853134412</v>
      </c>
      <c r="AR40" s="36">
        <f>('Mangifera indica'!AD30*$W$24)/1000</f>
        <v>5189.1327903973433</v>
      </c>
      <c r="AT40" s="36">
        <f t="shared" si="3"/>
        <v>382.65851772696067</v>
      </c>
      <c r="AU40" s="36">
        <f t="shared" si="14"/>
        <v>166.51612177117687</v>
      </c>
      <c r="AV40" s="36">
        <f t="shared" si="20"/>
        <v>109.09057361391865</v>
      </c>
      <c r="AW40" s="36">
        <f t="shared" si="23"/>
        <v>125.14924651059614</v>
      </c>
      <c r="AX40" s="36">
        <f t="shared" si="26"/>
        <v>103.49264655822228</v>
      </c>
      <c r="AY40" s="36">
        <f t="shared" si="28"/>
        <v>88.316383185330594</v>
      </c>
      <c r="AZ40" s="36">
        <f t="shared" si="30"/>
        <v>1150.7205839881767</v>
      </c>
      <c r="BA40" s="36">
        <f t="shared" si="33"/>
        <v>1433.4865916298766</v>
      </c>
      <c r="BB40" s="36">
        <f t="shared" si="35"/>
        <v>1388.3500038734273</v>
      </c>
      <c r="BC40" s="36">
        <f t="shared" si="40"/>
        <v>1342.9528713283603</v>
      </c>
      <c r="BD40" s="36">
        <f t="shared" si="44"/>
        <v>1297.2831975993358</v>
      </c>
      <c r="BF40" s="36">
        <f t="shared" si="15"/>
        <v>1913.2925886348035</v>
      </c>
      <c r="BG40" s="36">
        <f t="shared" si="16"/>
        <v>832.58060885588429</v>
      </c>
      <c r="BH40" s="36">
        <f t="shared" si="17"/>
        <v>545.45286806959325</v>
      </c>
      <c r="BI40" s="36">
        <f t="shared" si="21"/>
        <v>625.7462325529807</v>
      </c>
      <c r="BJ40" s="36">
        <f t="shared" si="24"/>
        <v>517.46323279111141</v>
      </c>
      <c r="BK40" s="36">
        <f t="shared" si="29"/>
        <v>441.58191592665298</v>
      </c>
      <c r="BL40" s="36">
        <f t="shared" si="31"/>
        <v>5753.602919940884</v>
      </c>
      <c r="BM40" s="36">
        <f t="shared" si="34"/>
        <v>7167.432958149383</v>
      </c>
      <c r="BN40" s="36">
        <f t="shared" si="36"/>
        <v>6941.7500193671367</v>
      </c>
      <c r="BO40" s="36">
        <f t="shared" si="41"/>
        <v>6714.764356641801</v>
      </c>
      <c r="BP40" s="36">
        <f t="shared" si="45"/>
        <v>6486.4159879966792</v>
      </c>
      <c r="BR40" s="36">
        <f>'Mangifera indica'!BF40*$AD$7*$AH$4</f>
        <v>3300.2383861361723</v>
      </c>
      <c r="BS40" s="36">
        <f t="shared" si="4"/>
        <v>1436.1182922155149</v>
      </c>
      <c r="BT40" s="36">
        <f t="shared" si="18"/>
        <v>940.85165213324126</v>
      </c>
      <c r="BU40" s="36">
        <f t="shared" si="22"/>
        <v>1079.3496765306363</v>
      </c>
      <c r="BV40" s="36">
        <f t="shared" si="25"/>
        <v>892.57233024138804</v>
      </c>
      <c r="BW40" s="36">
        <f t="shared" si="27"/>
        <v>761.68464678188366</v>
      </c>
      <c r="BX40" s="36">
        <f t="shared" si="32"/>
        <v>9924.3896766060298</v>
      </c>
      <c r="BY40" s="36">
        <f t="shared" si="37"/>
        <v>12363.105109511871</v>
      </c>
      <c r="BZ40" s="36">
        <f t="shared" si="42"/>
        <v>11973.824608406372</v>
      </c>
      <c r="CA40" s="36">
        <f t="shared" si="46"/>
        <v>11582.297038771441</v>
      </c>
      <c r="CB40" s="36">
        <f t="shared" si="47"/>
        <v>11188.418937695471</v>
      </c>
      <c r="CC40" s="36">
        <f t="shared" si="5"/>
        <v>65442.850355030023</v>
      </c>
      <c r="CE40" s="36">
        <f t="shared" si="6"/>
        <v>33.002383861361722</v>
      </c>
      <c r="CF40" s="36">
        <f t="shared" si="6"/>
        <v>14.36118292215515</v>
      </c>
      <c r="CG40" s="36">
        <f t="shared" si="6"/>
        <v>9.4085165213324125</v>
      </c>
      <c r="CH40" s="36">
        <f t="shared" si="6"/>
        <v>10.793496765306363</v>
      </c>
      <c r="CI40" s="36">
        <f t="shared" si="6"/>
        <v>8.9257233024138802</v>
      </c>
      <c r="CJ40" s="36">
        <f t="shared" si="6"/>
        <v>7.6168464678188368</v>
      </c>
      <c r="CK40" s="36">
        <f t="shared" si="6"/>
        <v>99.243896766060303</v>
      </c>
      <c r="CL40" s="36">
        <f t="shared" si="6"/>
        <v>123.63105109511871</v>
      </c>
      <c r="CM40" s="36">
        <f t="shared" si="48"/>
        <v>119.73824608406372</v>
      </c>
      <c r="CN40" s="36">
        <f t="shared" si="38"/>
        <v>115.82297038771442</v>
      </c>
      <c r="CO40" s="36">
        <f t="shared" si="38"/>
        <v>111.88418937695471</v>
      </c>
      <c r="CP40" s="36">
        <f t="shared" si="7"/>
        <v>654.42850355030032</v>
      </c>
      <c r="CR40" s="36">
        <f t="shared" si="8"/>
        <v>33.002383861361722</v>
      </c>
      <c r="CS40" s="36">
        <f t="shared" si="8"/>
        <v>14.36118292215515</v>
      </c>
      <c r="CT40" s="36">
        <f t="shared" si="8"/>
        <v>9.4085165213324125</v>
      </c>
      <c r="CU40" s="36">
        <f t="shared" si="8"/>
        <v>10.793496765306363</v>
      </c>
      <c r="CV40" s="36">
        <f t="shared" si="8"/>
        <v>8.9257233024138802</v>
      </c>
      <c r="CW40" s="36">
        <f t="shared" si="8"/>
        <v>7.6168464678188368</v>
      </c>
      <c r="CX40" s="36">
        <f t="shared" si="8"/>
        <v>99.243896766060303</v>
      </c>
      <c r="CY40" s="36">
        <f t="shared" si="8"/>
        <v>123.63105109511871</v>
      </c>
      <c r="CZ40" s="36">
        <f t="shared" si="49"/>
        <v>119.73824608406372</v>
      </c>
      <c r="DA40" s="36">
        <f t="shared" si="39"/>
        <v>115.82297038771442</v>
      </c>
      <c r="DB40" s="36">
        <f t="shared" si="39"/>
        <v>111.88418937695471</v>
      </c>
      <c r="DC40" s="36">
        <f t="shared" si="9"/>
        <v>654.42850355030032</v>
      </c>
      <c r="DE40" s="36">
        <f t="shared" si="10"/>
        <v>66751.707362130619</v>
      </c>
      <c r="DF40" s="36">
        <f t="shared" si="19"/>
        <v>1002808.953685625</v>
      </c>
    </row>
    <row r="41" spans="2:110" x14ac:dyDescent="0.25">
      <c r="B41" s="67">
        <v>2045</v>
      </c>
      <c r="C41" s="67">
        <v>0</v>
      </c>
      <c r="D41" s="67">
        <v>0</v>
      </c>
      <c r="E41" s="67">
        <v>0</v>
      </c>
      <c r="F41" s="67">
        <v>0</v>
      </c>
      <c r="G41" s="67">
        <v>0</v>
      </c>
      <c r="H41" s="67">
        <v>0</v>
      </c>
      <c r="I41" s="67">
        <v>0</v>
      </c>
      <c r="J41" s="67">
        <v>0</v>
      </c>
      <c r="K41" s="67">
        <v>0</v>
      </c>
      <c r="L41" s="67">
        <v>0</v>
      </c>
      <c r="M41" s="67">
        <v>0</v>
      </c>
      <c r="N41" s="67">
        <v>0</v>
      </c>
      <c r="O41" s="67">
        <v>0</v>
      </c>
      <c r="P41" s="67">
        <v>0</v>
      </c>
      <c r="Q41" s="67">
        <v>0</v>
      </c>
      <c r="R41" s="67">
        <v>0</v>
      </c>
      <c r="S41" s="67">
        <v>0</v>
      </c>
      <c r="T41" s="67">
        <v>0</v>
      </c>
      <c r="U41" s="67">
        <f t="shared" si="43"/>
        <v>0</v>
      </c>
      <c r="V41" s="67">
        <f t="shared" si="11"/>
        <v>0</v>
      </c>
      <c r="W41" s="67">
        <f t="shared" si="12"/>
        <v>0</v>
      </c>
      <c r="Y41" s="67">
        <v>28</v>
      </c>
      <c r="Z41" s="67" t="s">
        <v>117</v>
      </c>
      <c r="AA41" s="36">
        <v>75.381666666666746</v>
      </c>
      <c r="AB41" s="36"/>
      <c r="AC41" s="36">
        <f t="shared" si="1"/>
        <v>594.25330537055197</v>
      </c>
      <c r="AD41" s="36">
        <f t="shared" si="13"/>
        <v>30.536211577942709</v>
      </c>
      <c r="AE41" s="19"/>
      <c r="AF41" s="67">
        <v>28</v>
      </c>
      <c r="AG41" s="67" t="str">
        <f t="shared" si="2"/>
        <v>2045-2046</v>
      </c>
      <c r="AH41" s="36">
        <f>('Mangifera indica'!AD41*$W$14)/1000</f>
        <v>1568.7370416833435</v>
      </c>
      <c r="AI41" s="36">
        <f>('Mangifera indica'!AD40*$W$15)/1000</f>
        <v>683.14547970644151</v>
      </c>
      <c r="AJ41" s="36">
        <f>('Mangifera indica'!AD39*$W$16)/1000</f>
        <v>447.90078370624622</v>
      </c>
      <c r="AK41" s="36">
        <f>('Mangifera indica'!AD38*$W$17)/1000</f>
        <v>514.25902190491593</v>
      </c>
      <c r="AL41" s="36">
        <f>('Mangifera indica'!AD37*$W$18)/1000</f>
        <v>425.64325444347531</v>
      </c>
      <c r="AM41" s="36">
        <f>('Mangifera indica'!AD36*$W$19)/1000</f>
        <v>363.56829401685485</v>
      </c>
      <c r="AN41" s="36">
        <f>('Mangifera indica'!AD35*$W$20)/1000</f>
        <v>4741.8921980726554</v>
      </c>
      <c r="AO41" s="36">
        <f>('Mangifera indica'!AD34*$W$21)/1000</f>
        <v>5913.4947194712013</v>
      </c>
      <c r="AP41" s="36">
        <f>('Mangifera indica'!AD33*$W$22)/1000</f>
        <v>5733.9463665195062</v>
      </c>
      <c r="AQ41" s="36">
        <f>('Mangifera indica'!AD32*$W$23)/1000</f>
        <v>5553.4000154937094</v>
      </c>
      <c r="AR41" s="36">
        <f>('Mangifera indica'!AD31*$W$24)/1000</f>
        <v>5371.8114853134412</v>
      </c>
      <c r="AT41" s="36">
        <f t="shared" si="3"/>
        <v>392.18426042083587</v>
      </c>
      <c r="AU41" s="36">
        <f t="shared" si="14"/>
        <v>170.78636992661038</v>
      </c>
      <c r="AV41" s="36">
        <f t="shared" si="20"/>
        <v>111.97519592656155</v>
      </c>
      <c r="AW41" s="36">
        <f t="shared" si="23"/>
        <v>128.56475547622898</v>
      </c>
      <c r="AX41" s="36">
        <f t="shared" si="26"/>
        <v>106.41081361086883</v>
      </c>
      <c r="AY41" s="36">
        <f t="shared" si="28"/>
        <v>90.892073504213712</v>
      </c>
      <c r="AZ41" s="36">
        <f t="shared" si="30"/>
        <v>1185.4730495181639</v>
      </c>
      <c r="BA41" s="36">
        <f t="shared" si="33"/>
        <v>1478.3736798678003</v>
      </c>
      <c r="BB41" s="36">
        <f t="shared" si="35"/>
        <v>1433.4865916298766</v>
      </c>
      <c r="BC41" s="36">
        <f t="shared" si="40"/>
        <v>1388.3500038734273</v>
      </c>
      <c r="BD41" s="36">
        <f t="shared" si="44"/>
        <v>1342.9528713283603</v>
      </c>
      <c r="BF41" s="36">
        <f t="shared" si="15"/>
        <v>1960.9213021041794</v>
      </c>
      <c r="BG41" s="36">
        <f t="shared" si="16"/>
        <v>853.93184963305191</v>
      </c>
      <c r="BH41" s="36">
        <f t="shared" si="17"/>
        <v>559.8759796328078</v>
      </c>
      <c r="BI41" s="36">
        <f t="shared" si="21"/>
        <v>642.82377738114496</v>
      </c>
      <c r="BJ41" s="36">
        <f t="shared" si="24"/>
        <v>532.05406805434416</v>
      </c>
      <c r="BK41" s="36">
        <f t="shared" si="29"/>
        <v>454.46036752106858</v>
      </c>
      <c r="BL41" s="36">
        <f t="shared" si="31"/>
        <v>5927.3652475908193</v>
      </c>
      <c r="BM41" s="36">
        <f t="shared" si="34"/>
        <v>7391.8683993390014</v>
      </c>
      <c r="BN41" s="36">
        <f t="shared" si="36"/>
        <v>7167.432958149383</v>
      </c>
      <c r="BO41" s="36">
        <f t="shared" si="41"/>
        <v>6941.7500193671367</v>
      </c>
      <c r="BP41" s="36">
        <f t="shared" si="45"/>
        <v>6714.764356641801</v>
      </c>
      <c r="BR41" s="36">
        <f>'Mangifera indica'!BF41*$AD$7*$AH$4</f>
        <v>3382.3931539994987</v>
      </c>
      <c r="BS41" s="36">
        <f t="shared" si="4"/>
        <v>1472.947047432051</v>
      </c>
      <c r="BT41" s="36">
        <f t="shared" si="18"/>
        <v>965.73007726863011</v>
      </c>
      <c r="BU41" s="36">
        <f t="shared" si="22"/>
        <v>1108.8067336047368</v>
      </c>
      <c r="BV41" s="36">
        <f t="shared" si="25"/>
        <v>917.74006198693814</v>
      </c>
      <c r="BW41" s="36">
        <f t="shared" si="27"/>
        <v>783.89868793709115</v>
      </c>
      <c r="BX41" s="36">
        <f t="shared" si="32"/>
        <v>10224.112315569404</v>
      </c>
      <c r="BY41" s="36">
        <f t="shared" si="37"/>
        <v>12750.233802019844</v>
      </c>
      <c r="BZ41" s="36">
        <f t="shared" si="42"/>
        <v>12363.105109511871</v>
      </c>
      <c r="CA41" s="36">
        <f t="shared" si="46"/>
        <v>11973.824608406372</v>
      </c>
      <c r="CB41" s="36">
        <f t="shared" si="47"/>
        <v>11582.297038771441</v>
      </c>
      <c r="CC41" s="36">
        <f t="shared" si="5"/>
        <v>67525.088636507877</v>
      </c>
      <c r="CE41" s="36">
        <f t="shared" si="6"/>
        <v>33.823931539994987</v>
      </c>
      <c r="CF41" s="36">
        <f t="shared" si="6"/>
        <v>14.729470474320511</v>
      </c>
      <c r="CG41" s="36">
        <f t="shared" si="6"/>
        <v>9.6573007726863018</v>
      </c>
      <c r="CH41" s="36">
        <f t="shared" si="6"/>
        <v>11.088067336047368</v>
      </c>
      <c r="CI41" s="36">
        <f t="shared" si="6"/>
        <v>9.1774006198693812</v>
      </c>
      <c r="CJ41" s="36">
        <f t="shared" si="6"/>
        <v>7.8389868793709114</v>
      </c>
      <c r="CK41" s="36">
        <f t="shared" si="6"/>
        <v>102.24112315569404</v>
      </c>
      <c r="CL41" s="36">
        <f t="shared" si="6"/>
        <v>127.50233802019844</v>
      </c>
      <c r="CM41" s="36">
        <f t="shared" si="48"/>
        <v>123.63105109511871</v>
      </c>
      <c r="CN41" s="36">
        <f t="shared" si="38"/>
        <v>119.73824608406372</v>
      </c>
      <c r="CO41" s="36">
        <f t="shared" si="38"/>
        <v>115.82297038771442</v>
      </c>
      <c r="CP41" s="36">
        <f t="shared" si="7"/>
        <v>675.25088636507883</v>
      </c>
      <c r="CR41" s="36">
        <f t="shared" si="8"/>
        <v>33.823931539994987</v>
      </c>
      <c r="CS41" s="36">
        <f t="shared" si="8"/>
        <v>14.729470474320511</v>
      </c>
      <c r="CT41" s="36">
        <f t="shared" si="8"/>
        <v>9.6573007726863018</v>
      </c>
      <c r="CU41" s="36">
        <f t="shared" si="8"/>
        <v>11.088067336047368</v>
      </c>
      <c r="CV41" s="36">
        <f t="shared" si="8"/>
        <v>9.1774006198693812</v>
      </c>
      <c r="CW41" s="36">
        <f t="shared" si="8"/>
        <v>7.8389868793709114</v>
      </c>
      <c r="CX41" s="36">
        <f t="shared" si="8"/>
        <v>102.24112315569404</v>
      </c>
      <c r="CY41" s="36">
        <f t="shared" si="8"/>
        <v>127.50233802019844</v>
      </c>
      <c r="CZ41" s="36">
        <f t="shared" si="49"/>
        <v>123.63105109511871</v>
      </c>
      <c r="DA41" s="36">
        <f t="shared" si="39"/>
        <v>119.73824608406372</v>
      </c>
      <c r="DB41" s="36">
        <f t="shared" si="39"/>
        <v>115.82297038771442</v>
      </c>
      <c r="DC41" s="36">
        <f t="shared" si="9"/>
        <v>675.25088636507883</v>
      </c>
      <c r="DE41" s="36">
        <f t="shared" si="10"/>
        <v>68875.590409238022</v>
      </c>
      <c r="DF41" s="36">
        <f t="shared" si="19"/>
        <v>1071684.5440948631</v>
      </c>
    </row>
    <row r="42" spans="2:110" x14ac:dyDescent="0.25">
      <c r="B42" s="67">
        <v>2046</v>
      </c>
      <c r="C42" s="67">
        <v>0</v>
      </c>
      <c r="D42" s="67">
        <v>0</v>
      </c>
      <c r="E42" s="67">
        <v>0</v>
      </c>
      <c r="F42" s="67">
        <v>0</v>
      </c>
      <c r="G42" s="67">
        <v>0</v>
      </c>
      <c r="H42" s="67">
        <v>0</v>
      </c>
      <c r="I42" s="67">
        <v>0</v>
      </c>
      <c r="J42" s="67">
        <v>0</v>
      </c>
      <c r="K42" s="67">
        <v>0</v>
      </c>
      <c r="L42" s="67">
        <v>0</v>
      </c>
      <c r="M42" s="67">
        <v>0</v>
      </c>
      <c r="N42" s="67">
        <v>0</v>
      </c>
      <c r="O42" s="67">
        <v>0</v>
      </c>
      <c r="P42" s="67">
        <v>0</v>
      </c>
      <c r="Q42" s="67">
        <v>0</v>
      </c>
      <c r="R42" s="67">
        <v>0</v>
      </c>
      <c r="S42" s="67">
        <v>0</v>
      </c>
      <c r="T42" s="67">
        <v>0</v>
      </c>
      <c r="U42" s="67">
        <f t="shared" si="43"/>
        <v>0</v>
      </c>
      <c r="V42" s="67">
        <f t="shared" si="11"/>
        <v>0</v>
      </c>
      <c r="W42" s="67">
        <f t="shared" si="12"/>
        <v>0</v>
      </c>
      <c r="Y42" s="67">
        <v>29</v>
      </c>
      <c r="Z42" s="67" t="s">
        <v>118</v>
      </c>
      <c r="AA42" s="36">
        <v>77.500833333333418</v>
      </c>
      <c r="AB42" s="36"/>
      <c r="AC42" s="36">
        <f t="shared" si="1"/>
        <v>625.52804322589418</v>
      </c>
      <c r="AD42" s="36">
        <f t="shared" si="13"/>
        <v>31.27473785534221</v>
      </c>
      <c r="AE42" s="19"/>
      <c r="AF42" s="67">
        <v>29</v>
      </c>
      <c r="AG42" s="67" t="str">
        <f t="shared" si="2"/>
        <v>2046-2047</v>
      </c>
      <c r="AH42" s="36">
        <f>('Mangifera indica'!AD42*$W$14)/1000</f>
        <v>1606.6773580403983</v>
      </c>
      <c r="AI42" s="36">
        <f>('Mangifera indica'!AD41*$W$15)/1000</f>
        <v>700.15142040997716</v>
      </c>
      <c r="AJ42" s="36">
        <f>('Mangifera indica'!AD40*$W$16)/1000</f>
        <v>459.38704386589097</v>
      </c>
      <c r="AK42" s="36">
        <f>('Mangifera indica'!AD39*$W$17)/1000</f>
        <v>527.85729167215436</v>
      </c>
      <c r="AL42" s="36">
        <f>('Mangifera indica'!AD38*$W$18)/1000</f>
        <v>437.25969155554174</v>
      </c>
      <c r="AM42" s="36">
        <f>('Mangifera indica'!AD37*$W$19)/1000</f>
        <v>373.81977614887313</v>
      </c>
      <c r="AN42" s="36">
        <f>('Mangifera indica'!AD36*$W$20)/1000</f>
        <v>4880.1864237559357</v>
      </c>
      <c r="AO42" s="36">
        <f>('Mangifera indica'!AD35*$W$21)/1000</f>
        <v>6092.085877272455</v>
      </c>
      <c r="AP42" s="36">
        <f>('Mangifera indica'!AD34*$W$22)/1000</f>
        <v>5913.4947194712013</v>
      </c>
      <c r="AQ42" s="36">
        <f>('Mangifera indica'!AD33*$W$23)/1000</f>
        <v>5733.9463665195062</v>
      </c>
      <c r="AR42" s="36">
        <f>('Mangifera indica'!AD32*$W$24)/1000</f>
        <v>5553.4000154937094</v>
      </c>
      <c r="AT42" s="36">
        <f t="shared" si="3"/>
        <v>401.66933951009958</v>
      </c>
      <c r="AU42" s="36">
        <f t="shared" si="14"/>
        <v>175.03785510249429</v>
      </c>
      <c r="AV42" s="36">
        <f t="shared" si="20"/>
        <v>114.84676096647274</v>
      </c>
      <c r="AW42" s="36">
        <f t="shared" si="23"/>
        <v>131.96432291803859</v>
      </c>
      <c r="AX42" s="36">
        <f t="shared" si="26"/>
        <v>109.31492288888543</v>
      </c>
      <c r="AY42" s="36">
        <f t="shared" si="28"/>
        <v>93.454944037218283</v>
      </c>
      <c r="AZ42" s="36">
        <f t="shared" si="30"/>
        <v>1220.0466059389839</v>
      </c>
      <c r="BA42" s="36">
        <f t="shared" si="33"/>
        <v>1523.0214693181138</v>
      </c>
      <c r="BB42" s="36">
        <f t="shared" si="35"/>
        <v>1478.3736798678003</v>
      </c>
      <c r="BC42" s="36">
        <f t="shared" si="40"/>
        <v>1433.4865916298766</v>
      </c>
      <c r="BD42" s="36">
        <f t="shared" si="44"/>
        <v>1388.3500038734273</v>
      </c>
      <c r="BF42" s="36">
        <f t="shared" si="15"/>
        <v>2008.346697550498</v>
      </c>
      <c r="BG42" s="36">
        <f t="shared" si="16"/>
        <v>875.18927551247145</v>
      </c>
      <c r="BH42" s="36">
        <f t="shared" si="17"/>
        <v>574.23380483236372</v>
      </c>
      <c r="BI42" s="36">
        <f t="shared" si="21"/>
        <v>659.82161459019289</v>
      </c>
      <c r="BJ42" s="36">
        <f t="shared" si="24"/>
        <v>546.5746144444272</v>
      </c>
      <c r="BK42" s="36">
        <f t="shared" si="29"/>
        <v>467.27472018609143</v>
      </c>
      <c r="BL42" s="36">
        <f t="shared" si="31"/>
        <v>6100.2330296949194</v>
      </c>
      <c r="BM42" s="36">
        <f t="shared" si="34"/>
        <v>7615.1073465905683</v>
      </c>
      <c r="BN42" s="36">
        <f t="shared" si="36"/>
        <v>7391.8683993390014</v>
      </c>
      <c r="BO42" s="36">
        <f t="shared" si="41"/>
        <v>7167.432958149383</v>
      </c>
      <c r="BP42" s="36">
        <f t="shared" si="45"/>
        <v>6941.7500193671367</v>
      </c>
      <c r="BR42" s="36">
        <f>'Mangifera indica'!BF42*$AD$7*$AH$4</f>
        <v>3464.1972186048538</v>
      </c>
      <c r="BS42" s="36">
        <f t="shared" si="4"/>
        <v>1509.6139813314619</v>
      </c>
      <c r="BT42" s="36">
        <f t="shared" si="18"/>
        <v>990.49588995534396</v>
      </c>
      <c r="BU42" s="36">
        <f t="shared" si="22"/>
        <v>1138.1263030066236</v>
      </c>
      <c r="BV42" s="36">
        <f t="shared" si="25"/>
        <v>942.78655245519246</v>
      </c>
      <c r="BW42" s="36">
        <f t="shared" si="27"/>
        <v>806.00216484898908</v>
      </c>
      <c r="BX42" s="36">
        <f t="shared" si="32"/>
        <v>10522.291952920767</v>
      </c>
      <c r="BY42" s="36">
        <f t="shared" si="37"/>
        <v>13135.29866213407</v>
      </c>
      <c r="BZ42" s="36">
        <f t="shared" si="42"/>
        <v>12750.233802019844</v>
      </c>
      <c r="CA42" s="36">
        <f t="shared" si="46"/>
        <v>12363.105109511871</v>
      </c>
      <c r="CB42" s="36">
        <f t="shared" si="47"/>
        <v>11973.824608406372</v>
      </c>
      <c r="CC42" s="36">
        <f t="shared" si="5"/>
        <v>69595.976245195387</v>
      </c>
      <c r="CE42" s="36">
        <f t="shared" si="6"/>
        <v>34.641972186048541</v>
      </c>
      <c r="CF42" s="36">
        <f t="shared" si="6"/>
        <v>15.09613981331462</v>
      </c>
      <c r="CG42" s="36">
        <f t="shared" si="6"/>
        <v>9.9049588995534403</v>
      </c>
      <c r="CH42" s="36">
        <f t="shared" si="6"/>
        <v>11.381263030066236</v>
      </c>
      <c r="CI42" s="36">
        <f t="shared" si="6"/>
        <v>9.4278655245519243</v>
      </c>
      <c r="CJ42" s="36">
        <f t="shared" si="6"/>
        <v>8.0600216484898901</v>
      </c>
      <c r="CK42" s="36">
        <f t="shared" si="6"/>
        <v>105.22291952920767</v>
      </c>
      <c r="CL42" s="36">
        <f t="shared" si="6"/>
        <v>131.3529866213407</v>
      </c>
      <c r="CM42" s="36">
        <f t="shared" si="48"/>
        <v>127.50233802019844</v>
      </c>
      <c r="CN42" s="36">
        <f t="shared" si="38"/>
        <v>123.63105109511871</v>
      </c>
      <c r="CO42" s="36">
        <f t="shared" si="38"/>
        <v>119.73824608406372</v>
      </c>
      <c r="CP42" s="36">
        <f t="shared" si="7"/>
        <v>695.95976245195379</v>
      </c>
      <c r="CR42" s="36">
        <f t="shared" si="8"/>
        <v>34.641972186048541</v>
      </c>
      <c r="CS42" s="36">
        <f t="shared" si="8"/>
        <v>15.09613981331462</v>
      </c>
      <c r="CT42" s="36">
        <f t="shared" si="8"/>
        <v>9.9049588995534403</v>
      </c>
      <c r="CU42" s="36">
        <f t="shared" si="8"/>
        <v>11.381263030066236</v>
      </c>
      <c r="CV42" s="36">
        <f t="shared" si="8"/>
        <v>9.4278655245519243</v>
      </c>
      <c r="CW42" s="36">
        <f t="shared" si="8"/>
        <v>8.0600216484898901</v>
      </c>
      <c r="CX42" s="36">
        <f t="shared" si="8"/>
        <v>105.22291952920767</v>
      </c>
      <c r="CY42" s="36">
        <f t="shared" si="8"/>
        <v>131.3529866213407</v>
      </c>
      <c r="CZ42" s="36">
        <f t="shared" si="49"/>
        <v>127.50233802019844</v>
      </c>
      <c r="DA42" s="36">
        <f t="shared" si="39"/>
        <v>123.63105109511871</v>
      </c>
      <c r="DB42" s="36">
        <f t="shared" si="39"/>
        <v>119.73824608406372</v>
      </c>
      <c r="DC42" s="36">
        <f t="shared" si="9"/>
        <v>695.95976245195379</v>
      </c>
      <c r="DE42" s="36">
        <f t="shared" si="10"/>
        <v>70987.895770099291</v>
      </c>
      <c r="DF42" s="36">
        <f t="shared" si="19"/>
        <v>1142672.4398649624</v>
      </c>
    </row>
    <row r="43" spans="2:110" x14ac:dyDescent="0.25">
      <c r="B43" s="67">
        <v>2047</v>
      </c>
      <c r="C43" s="67">
        <v>0</v>
      </c>
      <c r="D43" s="67">
        <v>0</v>
      </c>
      <c r="E43" s="67">
        <v>0</v>
      </c>
      <c r="F43" s="67">
        <v>0</v>
      </c>
      <c r="G43" s="67">
        <v>0</v>
      </c>
      <c r="H43" s="67">
        <v>0</v>
      </c>
      <c r="I43" s="67">
        <v>0</v>
      </c>
      <c r="J43" s="67">
        <v>0</v>
      </c>
      <c r="K43" s="67">
        <v>0</v>
      </c>
      <c r="L43" s="67">
        <v>0</v>
      </c>
      <c r="M43" s="67">
        <v>0</v>
      </c>
      <c r="N43" s="67">
        <v>0</v>
      </c>
      <c r="O43" s="67">
        <v>0</v>
      </c>
      <c r="P43" s="67">
        <v>0</v>
      </c>
      <c r="Q43" s="67">
        <v>0</v>
      </c>
      <c r="R43" s="67">
        <v>0</v>
      </c>
      <c r="S43" s="67">
        <v>0</v>
      </c>
      <c r="T43" s="67">
        <v>0</v>
      </c>
      <c r="U43" s="67">
        <f t="shared" si="43"/>
        <v>0</v>
      </c>
      <c r="V43" s="67">
        <f t="shared" si="11"/>
        <v>0</v>
      </c>
      <c r="W43" s="67">
        <f t="shared" si="12"/>
        <v>0</v>
      </c>
      <c r="Y43" s="67">
        <v>30</v>
      </c>
      <c r="Z43" s="67" t="s">
        <v>119</v>
      </c>
      <c r="AA43" s="36">
        <v>79.62000000000009</v>
      </c>
      <c r="AB43" s="36"/>
      <c r="AC43" s="36">
        <f t="shared" si="1"/>
        <v>657.53824198437871</v>
      </c>
      <c r="AD43" s="36">
        <f t="shared" si="13"/>
        <v>32.010198758484535</v>
      </c>
      <c r="AE43" s="19"/>
      <c r="AF43" s="67">
        <v>30</v>
      </c>
      <c r="AG43" s="67" t="str">
        <f t="shared" si="2"/>
        <v>2047-2048</v>
      </c>
      <c r="AH43" s="36">
        <f>('Mangifera indica'!AD43*$W$14)/1000</f>
        <v>1644.4601969012162</v>
      </c>
      <c r="AI43" s="36">
        <f>('Mangifera indica'!AD42*$W$15)/1000</f>
        <v>717.0847659499608</v>
      </c>
      <c r="AJ43" s="36">
        <f>('Mangifera indica'!AD41*$W$16)/1000</f>
        <v>470.82283471868698</v>
      </c>
      <c r="AK43" s="36">
        <f>('Mangifera indica'!AD40*$W$17)/1000</f>
        <v>541.39400873065426</v>
      </c>
      <c r="AL43" s="36">
        <f>('Mangifera indica'!AD39*$W$18)/1000</f>
        <v>448.82191018631386</v>
      </c>
      <c r="AM43" s="36">
        <f>('Mangifera indica'!AD38*$W$19)/1000</f>
        <v>384.02187350516232</v>
      </c>
      <c r="AN43" s="36">
        <f>('Mangifera indica'!AD37*$W$20)/1000</f>
        <v>5017.7923281963613</v>
      </c>
      <c r="AO43" s="36">
        <f>('Mangifera indica'!AD36*$W$21)/1000</f>
        <v>6269.7576302355174</v>
      </c>
      <c r="AP43" s="36">
        <f>('Mangifera indica'!AD35*$W$22)/1000</f>
        <v>6092.085877272455</v>
      </c>
      <c r="AQ43" s="36">
        <f>('Mangifera indica'!AD34*$W$23)/1000</f>
        <v>5913.4947194712013</v>
      </c>
      <c r="AR43" s="36">
        <f>('Mangifera indica'!AD33*$W$24)/1000</f>
        <v>5733.9463665195062</v>
      </c>
      <c r="AT43" s="36">
        <f t="shared" si="3"/>
        <v>411.11504922530406</v>
      </c>
      <c r="AU43" s="36">
        <f t="shared" si="14"/>
        <v>179.2711914874902</v>
      </c>
      <c r="AV43" s="36">
        <f t="shared" si="20"/>
        <v>117.70570867967174</v>
      </c>
      <c r="AW43" s="36">
        <f t="shared" si="23"/>
        <v>135.34850218266357</v>
      </c>
      <c r="AX43" s="36">
        <f t="shared" si="26"/>
        <v>112.20547754657846</v>
      </c>
      <c r="AY43" s="36">
        <f t="shared" si="28"/>
        <v>96.00546837629058</v>
      </c>
      <c r="AZ43" s="36">
        <f t="shared" si="30"/>
        <v>1254.4480820490903</v>
      </c>
      <c r="BA43" s="36">
        <f t="shared" si="33"/>
        <v>1567.4394075588793</v>
      </c>
      <c r="BB43" s="36">
        <f t="shared" si="35"/>
        <v>1523.0214693181138</v>
      </c>
      <c r="BC43" s="36">
        <f t="shared" si="40"/>
        <v>1478.3736798678003</v>
      </c>
      <c r="BD43" s="36">
        <f t="shared" si="44"/>
        <v>1433.4865916298766</v>
      </c>
      <c r="BF43" s="36">
        <f t="shared" si="15"/>
        <v>2055.5752461265201</v>
      </c>
      <c r="BG43" s="36">
        <f t="shared" si="16"/>
        <v>896.35595743745102</v>
      </c>
      <c r="BH43" s="36">
        <f t="shared" si="17"/>
        <v>588.52854339835869</v>
      </c>
      <c r="BI43" s="36">
        <f t="shared" si="21"/>
        <v>676.7425109133178</v>
      </c>
      <c r="BJ43" s="36">
        <f t="shared" si="24"/>
        <v>561.02738773289229</v>
      </c>
      <c r="BK43" s="36">
        <f t="shared" si="29"/>
        <v>480.02734188145291</v>
      </c>
      <c r="BL43" s="36">
        <f t="shared" si="31"/>
        <v>6272.2404102454511</v>
      </c>
      <c r="BM43" s="36">
        <f t="shared" si="34"/>
        <v>7837.1970377943962</v>
      </c>
      <c r="BN43" s="36">
        <f t="shared" si="36"/>
        <v>7615.1073465905683</v>
      </c>
      <c r="BO43" s="36">
        <f t="shared" si="41"/>
        <v>7391.8683993390014</v>
      </c>
      <c r="BP43" s="36">
        <f t="shared" si="45"/>
        <v>7167.432958149383</v>
      </c>
      <c r="BR43" s="36">
        <f>'Mangifera indica'!BF43*$AD$7*$AH$4</f>
        <v>3545.6617420436341</v>
      </c>
      <c r="BS43" s="36">
        <f t="shared" si="4"/>
        <v>1546.1243909838593</v>
      </c>
      <c r="BT43" s="36">
        <f t="shared" si="18"/>
        <v>1015.1528845078287</v>
      </c>
      <c r="BU43" s="36">
        <f t="shared" si="22"/>
        <v>1167.3131570743817</v>
      </c>
      <c r="BV43" s="36">
        <f t="shared" si="25"/>
        <v>967.71614110046585</v>
      </c>
      <c r="BW43" s="36">
        <f t="shared" si="27"/>
        <v>827.99916201131805</v>
      </c>
      <c r="BX43" s="36">
        <f t="shared" si="32"/>
        <v>10818.987483632378</v>
      </c>
      <c r="BY43" s="36">
        <f t="shared" si="37"/>
        <v>13518.381170491553</v>
      </c>
      <c r="BZ43" s="36">
        <f t="shared" si="42"/>
        <v>13135.29866213407</v>
      </c>
      <c r="CA43" s="36">
        <f t="shared" si="46"/>
        <v>12750.233802019844</v>
      </c>
      <c r="CB43" s="36">
        <f t="shared" si="47"/>
        <v>12363.105109511871</v>
      </c>
      <c r="CC43" s="36">
        <f t="shared" si="5"/>
        <v>71655.973705511205</v>
      </c>
      <c r="CE43" s="36">
        <f t="shared" si="6"/>
        <v>35.456617420436345</v>
      </c>
      <c r="CF43" s="36">
        <f t="shared" si="6"/>
        <v>15.461243909838593</v>
      </c>
      <c r="CG43" s="36">
        <f t="shared" si="6"/>
        <v>10.151528845078287</v>
      </c>
      <c r="CH43" s="36">
        <f t="shared" si="6"/>
        <v>11.673131570743818</v>
      </c>
      <c r="CI43" s="36">
        <f t="shared" si="6"/>
        <v>9.6771614110046595</v>
      </c>
      <c r="CJ43" s="36">
        <f t="shared" si="6"/>
        <v>8.2799916201131811</v>
      </c>
      <c r="CK43" s="36">
        <f t="shared" si="6"/>
        <v>108.18987483632378</v>
      </c>
      <c r="CL43" s="36">
        <f t="shared" si="6"/>
        <v>135.18381170491554</v>
      </c>
      <c r="CM43" s="36">
        <f t="shared" si="48"/>
        <v>131.3529866213407</v>
      </c>
      <c r="CN43" s="36">
        <f t="shared" si="38"/>
        <v>127.50233802019844</v>
      </c>
      <c r="CO43" s="36">
        <f t="shared" si="38"/>
        <v>123.63105109511871</v>
      </c>
      <c r="CP43" s="36">
        <f t="shared" si="7"/>
        <v>716.55973705511201</v>
      </c>
      <c r="CR43" s="36">
        <f t="shared" si="8"/>
        <v>35.456617420436345</v>
      </c>
      <c r="CS43" s="36">
        <f t="shared" si="8"/>
        <v>15.461243909838593</v>
      </c>
      <c r="CT43" s="36">
        <f t="shared" si="8"/>
        <v>10.151528845078287</v>
      </c>
      <c r="CU43" s="36">
        <f t="shared" si="8"/>
        <v>11.673131570743818</v>
      </c>
      <c r="CV43" s="36">
        <f t="shared" si="8"/>
        <v>9.6771614110046595</v>
      </c>
      <c r="CW43" s="36">
        <f t="shared" si="8"/>
        <v>8.2799916201131811</v>
      </c>
      <c r="CX43" s="36">
        <f t="shared" si="8"/>
        <v>108.18987483632378</v>
      </c>
      <c r="CY43" s="36">
        <f t="shared" si="8"/>
        <v>135.18381170491554</v>
      </c>
      <c r="CZ43" s="36">
        <f t="shared" si="49"/>
        <v>131.3529866213407</v>
      </c>
      <c r="DA43" s="36">
        <f t="shared" si="39"/>
        <v>127.50233802019844</v>
      </c>
      <c r="DB43" s="36">
        <f t="shared" si="39"/>
        <v>123.63105109511871</v>
      </c>
      <c r="DC43" s="36">
        <f t="shared" si="9"/>
        <v>716.55973705511201</v>
      </c>
      <c r="DE43" s="36">
        <f t="shared" si="10"/>
        <v>73089.093179621428</v>
      </c>
      <c r="DF43" s="36">
        <f t="shared" si="19"/>
        <v>1215761.5330445839</v>
      </c>
    </row>
    <row r="44" spans="2:110" x14ac:dyDescent="0.25">
      <c r="Y44" s="67">
        <v>31</v>
      </c>
      <c r="Z44" s="67" t="s">
        <v>120</v>
      </c>
      <c r="AA44" s="36">
        <v>81.739166666666804</v>
      </c>
      <c r="AB44" s="36"/>
      <c r="AC44" s="36">
        <f t="shared" si="1"/>
        <v>690.28093120717085</v>
      </c>
      <c r="AD44" s="36">
        <f t="shared" si="13"/>
        <v>32.742689222792137</v>
      </c>
      <c r="AF44" s="67">
        <v>31</v>
      </c>
      <c r="AG44" s="67" t="str">
        <f t="shared" si="2"/>
        <v>2048-2049</v>
      </c>
      <c r="AH44" s="36">
        <f>('Mangifera indica'!AD44*$W$14)/1000</f>
        <v>1682.0904353840144</v>
      </c>
      <c r="AI44" s="36">
        <f>('Mangifera indica'!AD43*$W$15)/1000</f>
        <v>733.94782686623557</v>
      </c>
      <c r="AJ44" s="36">
        <f>('Mangifera indica'!AD42*$W$16)/1000</f>
        <v>482.20980833039192</v>
      </c>
      <c r="AK44" s="36">
        <f>('Mangifera indica'!AD41*$W$17)/1000</f>
        <v>554.87124701038249</v>
      </c>
      <c r="AL44" s="36">
        <f>('Mangifera indica'!AD40*$W$18)/1000</f>
        <v>460.33179231487418</v>
      </c>
      <c r="AM44" s="36">
        <f>('Mangifera indica'!AD39*$W$19)/1000</f>
        <v>394.17635366012399</v>
      </c>
      <c r="AN44" s="36">
        <f>('Mangifera indica'!AD38*$W$20)/1000</f>
        <v>5154.735339540719</v>
      </c>
      <c r="AO44" s="36">
        <f>('Mangifera indica'!AD37*$W$21)/1000</f>
        <v>6446.5450712093043</v>
      </c>
      <c r="AP44" s="36">
        <f>('Mangifera indica'!AD36*$W$22)/1000</f>
        <v>6269.7576302355174</v>
      </c>
      <c r="AQ44" s="36">
        <f>('Mangifera indica'!AD35*$W$23)/1000</f>
        <v>6092.085877272455</v>
      </c>
      <c r="AR44" s="36">
        <f>('Mangifera indica'!AD34*$W$24)/1000</f>
        <v>5913.4947194712013</v>
      </c>
      <c r="AT44" s="36">
        <f t="shared" si="3"/>
        <v>420.52260884600361</v>
      </c>
      <c r="AU44" s="36">
        <f t="shared" si="14"/>
        <v>183.48695671655889</v>
      </c>
      <c r="AV44" s="36">
        <f t="shared" si="20"/>
        <v>120.55245208259798</v>
      </c>
      <c r="AW44" s="36">
        <f t="shared" si="23"/>
        <v>138.71781175259562</v>
      </c>
      <c r="AX44" s="36">
        <f t="shared" si="26"/>
        <v>115.08294807871854</v>
      </c>
      <c r="AY44" s="36">
        <f t="shared" si="28"/>
        <v>98.544088415030998</v>
      </c>
      <c r="AZ44" s="36">
        <f t="shared" si="30"/>
        <v>1288.6838348851797</v>
      </c>
      <c r="BA44" s="36">
        <f t="shared" si="33"/>
        <v>1611.6362678023261</v>
      </c>
      <c r="BB44" s="36">
        <f t="shared" si="35"/>
        <v>1567.4394075588793</v>
      </c>
      <c r="BC44" s="36">
        <f t="shared" si="40"/>
        <v>1523.0214693181138</v>
      </c>
      <c r="BD44" s="36">
        <f t="shared" si="44"/>
        <v>1478.3736798678003</v>
      </c>
      <c r="BF44" s="36">
        <f t="shared" si="15"/>
        <v>2102.6130442300182</v>
      </c>
      <c r="BG44" s="36">
        <f t="shared" si="16"/>
        <v>917.43478358279447</v>
      </c>
      <c r="BH44" s="36">
        <f t="shared" si="17"/>
        <v>602.76226041298992</v>
      </c>
      <c r="BI44" s="36">
        <f t="shared" si="21"/>
        <v>693.58905876297808</v>
      </c>
      <c r="BJ44" s="36">
        <f t="shared" si="24"/>
        <v>575.41474039359275</v>
      </c>
      <c r="BK44" s="36">
        <f t="shared" si="29"/>
        <v>492.72044207515501</v>
      </c>
      <c r="BL44" s="36">
        <f t="shared" si="31"/>
        <v>6443.4191744258987</v>
      </c>
      <c r="BM44" s="36">
        <f t="shared" si="34"/>
        <v>8058.1813390116304</v>
      </c>
      <c r="BN44" s="36">
        <f t="shared" si="36"/>
        <v>7837.1970377943962</v>
      </c>
      <c r="BO44" s="36">
        <f t="shared" si="41"/>
        <v>7615.1073465905683</v>
      </c>
      <c r="BP44" s="36">
        <f t="shared" si="45"/>
        <v>7391.8683993390014</v>
      </c>
      <c r="BR44" s="36">
        <f>'Mangifera indica'!BF44*$AD$7*$AH$4</f>
        <v>3626.7972399923583</v>
      </c>
      <c r="BS44" s="36">
        <f t="shared" si="4"/>
        <v>1582.4832582019621</v>
      </c>
      <c r="BT44" s="36">
        <f t="shared" si="18"/>
        <v>1039.7046229863661</v>
      </c>
      <c r="BU44" s="36">
        <f t="shared" si="22"/>
        <v>1196.3717674602608</v>
      </c>
      <c r="BV44" s="36">
        <f t="shared" si="25"/>
        <v>992.53288570490804</v>
      </c>
      <c r="BW44" s="36">
        <f t="shared" si="27"/>
        <v>849.89349053543481</v>
      </c>
      <c r="BX44" s="36">
        <f t="shared" si="32"/>
        <v>11114.253733967233</v>
      </c>
      <c r="BY44" s="36">
        <f t="shared" si="37"/>
        <v>13899.55699166116</v>
      </c>
      <c r="BZ44" s="36">
        <f t="shared" si="42"/>
        <v>13518.381170491553</v>
      </c>
      <c r="CA44" s="36">
        <f t="shared" si="46"/>
        <v>13135.29866213407</v>
      </c>
      <c r="CB44" s="36">
        <f t="shared" si="47"/>
        <v>12750.233802019844</v>
      </c>
      <c r="CC44" s="36">
        <f t="shared" si="5"/>
        <v>73705.507625155151</v>
      </c>
      <c r="CE44" s="36">
        <f t="shared" si="6"/>
        <v>36.267972399923586</v>
      </c>
      <c r="CF44" s="36">
        <f t="shared" si="6"/>
        <v>15.824832582019623</v>
      </c>
      <c r="CG44" s="36">
        <f t="shared" si="6"/>
        <v>10.39704622986366</v>
      </c>
      <c r="CH44" s="36">
        <f t="shared" si="6"/>
        <v>11.963717674602607</v>
      </c>
      <c r="CI44" s="36">
        <f t="shared" si="6"/>
        <v>9.925328857049081</v>
      </c>
      <c r="CJ44" s="36">
        <f t="shared" si="6"/>
        <v>8.4989349053543481</v>
      </c>
      <c r="CK44" s="36">
        <f t="shared" si="6"/>
        <v>111.14253733967233</v>
      </c>
      <c r="CL44" s="36">
        <f t="shared" si="6"/>
        <v>138.9955699166116</v>
      </c>
      <c r="CM44" s="36">
        <f t="shared" si="48"/>
        <v>135.18381170491554</v>
      </c>
      <c r="CN44" s="36">
        <f t="shared" si="38"/>
        <v>131.3529866213407</v>
      </c>
      <c r="CO44" s="36">
        <f t="shared" si="38"/>
        <v>127.50233802019844</v>
      </c>
      <c r="CP44" s="36">
        <f t="shared" si="7"/>
        <v>737.05507625155155</v>
      </c>
      <c r="CR44" s="36">
        <f t="shared" si="8"/>
        <v>36.267972399923586</v>
      </c>
      <c r="CS44" s="36">
        <f t="shared" si="8"/>
        <v>15.824832582019623</v>
      </c>
      <c r="CT44" s="36">
        <f t="shared" si="8"/>
        <v>10.39704622986366</v>
      </c>
      <c r="CU44" s="36">
        <f t="shared" si="8"/>
        <v>11.963717674602607</v>
      </c>
      <c r="CV44" s="36">
        <f t="shared" si="8"/>
        <v>9.925328857049081</v>
      </c>
      <c r="CW44" s="36">
        <f t="shared" si="8"/>
        <v>8.4989349053543481</v>
      </c>
      <c r="CX44" s="36">
        <f t="shared" si="8"/>
        <v>111.14253733967233</v>
      </c>
      <c r="CY44" s="36">
        <f t="shared" si="8"/>
        <v>138.9955699166116</v>
      </c>
      <c r="CZ44" s="36">
        <f t="shared" si="49"/>
        <v>135.18381170491554</v>
      </c>
      <c r="DA44" s="36">
        <f t="shared" si="39"/>
        <v>131.3529866213407</v>
      </c>
      <c r="DB44" s="36">
        <f t="shared" si="39"/>
        <v>127.50233802019844</v>
      </c>
      <c r="DC44" s="36">
        <f t="shared" si="9"/>
        <v>737.05507625155155</v>
      </c>
      <c r="DE44" s="36">
        <f t="shared" si="10"/>
        <v>75179.617777658248</v>
      </c>
      <c r="DF44" s="36">
        <f t="shared" si="19"/>
        <v>1290941.150822242</v>
      </c>
    </row>
    <row r="45" spans="2:110" x14ac:dyDescent="0.25">
      <c r="Y45" s="67">
        <v>32</v>
      </c>
      <c r="Z45" s="67" t="s">
        <v>121</v>
      </c>
      <c r="AA45" s="36">
        <v>83.858333333333405</v>
      </c>
      <c r="AB45" s="36"/>
      <c r="AC45" s="36">
        <f t="shared" si="1"/>
        <v>723.75323003729056</v>
      </c>
      <c r="AD45" s="36">
        <f t="shared" si="13"/>
        <v>33.472298830119712</v>
      </c>
      <c r="AF45" s="67">
        <v>32</v>
      </c>
      <c r="AG45" s="67" t="str">
        <f t="shared" si="2"/>
        <v>2049-2050</v>
      </c>
      <c r="AH45" s="36">
        <f>('Mangifera indica'!AD45*$W$14)/1000</f>
        <v>1719.5726755781307</v>
      </c>
      <c r="AI45" s="36">
        <f>('Mangifera indica'!AD44*$W$15)/1000</f>
        <v>750.74277989152131</v>
      </c>
      <c r="AJ45" s="36">
        <f>('Mangifera indica'!AD43*$W$16)/1000</f>
        <v>493.54951844336341</v>
      </c>
      <c r="AK45" s="36">
        <f>('Mangifera indica'!AD42*$W$17)/1000</f>
        <v>568.29095349376951</v>
      </c>
      <c r="AL45" s="36">
        <f>('Mangifera indica'!AD41*$W$18)/1000</f>
        <v>471.79110134436962</v>
      </c>
      <c r="AM45" s="36">
        <f>('Mangifera indica'!AD40*$W$19)/1000</f>
        <v>404.28486945564384</v>
      </c>
      <c r="AN45" s="36">
        <f>('Mangifera indica'!AD39*$W$20)/1000</f>
        <v>5291.0391839849917</v>
      </c>
      <c r="AO45" s="36">
        <f>('Mangifera indica'!AD38*$W$21)/1000</f>
        <v>6622.4808686829811</v>
      </c>
      <c r="AP45" s="36">
        <f>('Mangifera indica'!AD37*$W$22)/1000</f>
        <v>6446.5450712093043</v>
      </c>
      <c r="AQ45" s="36">
        <f>('Mangifera indica'!AD36*$W$23)/1000</f>
        <v>6269.7576302355174</v>
      </c>
      <c r="AR45" s="36">
        <f>('Mangifera indica'!AD35*$W$24)/1000</f>
        <v>6092.085877272455</v>
      </c>
      <c r="AT45" s="36">
        <f t="shared" si="3"/>
        <v>429.89316889453266</v>
      </c>
      <c r="AU45" s="36">
        <f t="shared" si="14"/>
        <v>187.68569497288033</v>
      </c>
      <c r="AV45" s="36">
        <f t="shared" si="20"/>
        <v>123.38737961084085</v>
      </c>
      <c r="AW45" s="36">
        <f t="shared" si="23"/>
        <v>142.07273837344238</v>
      </c>
      <c r="AX45" s="36">
        <f t="shared" si="26"/>
        <v>117.94777533609241</v>
      </c>
      <c r="AY45" s="36">
        <f t="shared" si="28"/>
        <v>101.07121736391096</v>
      </c>
      <c r="AZ45" s="36">
        <f t="shared" si="30"/>
        <v>1322.7597959962479</v>
      </c>
      <c r="BA45" s="36">
        <f t="shared" si="33"/>
        <v>1655.6202171707453</v>
      </c>
      <c r="BB45" s="36">
        <f t="shared" si="35"/>
        <v>1611.6362678023261</v>
      </c>
      <c r="BC45" s="36">
        <f t="shared" si="40"/>
        <v>1567.4394075588793</v>
      </c>
      <c r="BD45" s="36">
        <f t="shared" si="44"/>
        <v>1523.0214693181138</v>
      </c>
      <c r="BF45" s="36">
        <f t="shared" si="15"/>
        <v>2149.4658444726633</v>
      </c>
      <c r="BG45" s="36">
        <f t="shared" si="16"/>
        <v>938.42847486440166</v>
      </c>
      <c r="BH45" s="36">
        <f t="shared" si="17"/>
        <v>616.93689805420422</v>
      </c>
      <c r="BI45" s="36">
        <f t="shared" si="21"/>
        <v>710.36369186721186</v>
      </c>
      <c r="BJ45" s="36">
        <f t="shared" si="24"/>
        <v>589.738876680462</v>
      </c>
      <c r="BK45" s="36">
        <f t="shared" si="29"/>
        <v>505.35608681955478</v>
      </c>
      <c r="BL45" s="36">
        <f t="shared" si="31"/>
        <v>6613.7989799812394</v>
      </c>
      <c r="BM45" s="36">
        <f t="shared" si="34"/>
        <v>8278.1010858537265</v>
      </c>
      <c r="BN45" s="36">
        <f t="shared" si="36"/>
        <v>8058.1813390116304</v>
      </c>
      <c r="BO45" s="36">
        <f t="shared" si="41"/>
        <v>7837.1970377943962</v>
      </c>
      <c r="BP45" s="36">
        <f t="shared" si="45"/>
        <v>7615.1073465905683</v>
      </c>
      <c r="BR45" s="36">
        <f>'Mangifera indica'!BF45*$AD$7*$AH$4</f>
        <v>3707.6136351308969</v>
      </c>
      <c r="BS45" s="36">
        <f t="shared" si="4"/>
        <v>1618.6952762936064</v>
      </c>
      <c r="BT45" s="36">
        <f t="shared" si="18"/>
        <v>1064.1544554536968</v>
      </c>
      <c r="BU45" s="36">
        <f t="shared" si="22"/>
        <v>1225.3063321017537</v>
      </c>
      <c r="BV45" s="36">
        <f t="shared" si="25"/>
        <v>1017.2405883861288</v>
      </c>
      <c r="BW45" s="36">
        <f t="shared" si="27"/>
        <v>871.68871415504998</v>
      </c>
      <c r="BX45" s="36">
        <f t="shared" si="32"/>
        <v>11408.141860569638</v>
      </c>
      <c r="BY45" s="36">
        <f t="shared" si="37"/>
        <v>14278.896562989092</v>
      </c>
      <c r="BZ45" s="36">
        <f t="shared" si="42"/>
        <v>13899.55699166116</v>
      </c>
      <c r="CA45" s="36">
        <f t="shared" si="46"/>
        <v>13518.381170491553</v>
      </c>
      <c r="CB45" s="36">
        <f t="shared" si="47"/>
        <v>13135.29866213407</v>
      </c>
      <c r="CC45" s="36">
        <f t="shared" si="5"/>
        <v>75744.974249366642</v>
      </c>
      <c r="CE45" s="36">
        <f t="shared" si="6"/>
        <v>37.076136351308968</v>
      </c>
      <c r="CF45" s="36">
        <f t="shared" si="6"/>
        <v>16.186952762936066</v>
      </c>
      <c r="CG45" s="36">
        <f t="shared" si="6"/>
        <v>10.641544554536967</v>
      </c>
      <c r="CH45" s="36">
        <f t="shared" si="6"/>
        <v>12.253063321017537</v>
      </c>
      <c r="CI45" s="36">
        <f t="shared" si="6"/>
        <v>10.172405883861288</v>
      </c>
      <c r="CJ45" s="36">
        <f t="shared" si="6"/>
        <v>8.7168871415504992</v>
      </c>
      <c r="CK45" s="36">
        <f t="shared" si="6"/>
        <v>114.08141860569638</v>
      </c>
      <c r="CL45" s="36">
        <f t="shared" si="6"/>
        <v>142.78896562989092</v>
      </c>
      <c r="CM45" s="36">
        <f t="shared" si="48"/>
        <v>138.9955699166116</v>
      </c>
      <c r="CN45" s="36">
        <f t="shared" si="38"/>
        <v>135.18381170491554</v>
      </c>
      <c r="CO45" s="36">
        <f t="shared" si="38"/>
        <v>131.3529866213407</v>
      </c>
      <c r="CP45" s="36">
        <f t="shared" si="7"/>
        <v>757.44974249366646</v>
      </c>
      <c r="CR45" s="36">
        <f t="shared" si="8"/>
        <v>37.076136351308968</v>
      </c>
      <c r="CS45" s="36">
        <f t="shared" si="8"/>
        <v>16.186952762936066</v>
      </c>
      <c r="CT45" s="36">
        <f t="shared" si="8"/>
        <v>10.641544554536967</v>
      </c>
      <c r="CU45" s="36">
        <f t="shared" si="8"/>
        <v>12.253063321017537</v>
      </c>
      <c r="CV45" s="36">
        <f t="shared" si="8"/>
        <v>10.172405883861288</v>
      </c>
      <c r="CW45" s="36">
        <f t="shared" si="8"/>
        <v>8.7168871415504992</v>
      </c>
      <c r="CX45" s="36">
        <f t="shared" si="8"/>
        <v>114.08141860569638</v>
      </c>
      <c r="CY45" s="36">
        <f t="shared" si="8"/>
        <v>142.78896562989092</v>
      </c>
      <c r="CZ45" s="36">
        <f t="shared" si="49"/>
        <v>138.9955699166116</v>
      </c>
      <c r="DA45" s="36">
        <f t="shared" si="39"/>
        <v>135.18381170491554</v>
      </c>
      <c r="DB45" s="36">
        <f t="shared" si="39"/>
        <v>131.3529866213407</v>
      </c>
      <c r="DC45" s="36">
        <f t="shared" si="9"/>
        <v>757.44974249366646</v>
      </c>
      <c r="DE45" s="36">
        <f t="shared" si="10"/>
        <v>77259.873734353983</v>
      </c>
      <c r="DF45" s="36">
        <f t="shared" si="19"/>
        <v>1368201.0245565961</v>
      </c>
    </row>
    <row r="46" spans="2:110" x14ac:dyDescent="0.25">
      <c r="Y46" s="67">
        <v>33</v>
      </c>
      <c r="Z46" s="67" t="s">
        <v>122</v>
      </c>
      <c r="AA46" s="36">
        <v>85.977500000000106</v>
      </c>
      <c r="AB46" s="36"/>
      <c r="AC46" s="36">
        <f t="shared" si="1"/>
        <v>757.95234227712899</v>
      </c>
      <c r="AD46" s="36">
        <f t="shared" si="13"/>
        <v>34.199112239838428</v>
      </c>
      <c r="AF46" s="67">
        <v>33</v>
      </c>
      <c r="AG46" s="67" t="str">
        <f t="shared" si="2"/>
        <v>2050-2051</v>
      </c>
      <c r="AH46" s="36">
        <f>('Mangifera indica'!AD46*$W$14)/1000</f>
        <v>1756.9112666901176</v>
      </c>
      <c r="AI46" s="36">
        <f>('Mangifera indica'!AD45*$W$15)/1000</f>
        <v>767.47167900892714</v>
      </c>
      <c r="AJ46" s="36">
        <f>('Mangifera indica'!AD44*$W$16)/1000</f>
        <v>504.84342882021008</v>
      </c>
      <c r="AK46" s="36">
        <f>('Mangifera indica'!AD43*$W$17)/1000</f>
        <v>581.65495928775408</v>
      </c>
      <c r="AL46" s="36">
        <f>('Mangifera indica'!AD42*$W$18)/1000</f>
        <v>483.20149273809943</v>
      </c>
      <c r="AM46" s="36">
        <f>('Mangifera indica'!AD41*$W$19)/1000</f>
        <v>414.34896959468557</v>
      </c>
      <c r="AN46" s="36">
        <f>('Mangifera indica'!AD40*$W$20)/1000</f>
        <v>5426.7260476676975</v>
      </c>
      <c r="AO46" s="36">
        <f>('Mangifera indica'!AD39*$W$21)/1000</f>
        <v>6797.5955045860082</v>
      </c>
      <c r="AP46" s="36">
        <f>('Mangifera indica'!AD38*$W$22)/1000</f>
        <v>6622.4808686829811</v>
      </c>
      <c r="AQ46" s="36">
        <f>('Mangifera indica'!AD37*$W$23)/1000</f>
        <v>6446.5450712093043</v>
      </c>
      <c r="AR46" s="36">
        <f>('Mangifera indica'!AD36*$W$24)/1000</f>
        <v>6269.7576302355174</v>
      </c>
      <c r="AT46" s="36">
        <f t="shared" si="3"/>
        <v>439.2278166725294</v>
      </c>
      <c r="AU46" s="36">
        <f t="shared" si="14"/>
        <v>191.86791975223178</v>
      </c>
      <c r="AV46" s="36">
        <f t="shared" si="20"/>
        <v>126.21085720505252</v>
      </c>
      <c r="AW46" s="36">
        <f t="shared" si="23"/>
        <v>145.41373982193852</v>
      </c>
      <c r="AX46" s="36">
        <f t="shared" si="26"/>
        <v>120.80037318452486</v>
      </c>
      <c r="AY46" s="36">
        <f t="shared" si="28"/>
        <v>103.58724239867139</v>
      </c>
      <c r="AZ46" s="36">
        <f t="shared" si="30"/>
        <v>1356.6815119169244</v>
      </c>
      <c r="BA46" s="36">
        <f t="shared" si="33"/>
        <v>1699.3988761465021</v>
      </c>
      <c r="BB46" s="36">
        <f t="shared" si="35"/>
        <v>1655.6202171707453</v>
      </c>
      <c r="BC46" s="36">
        <f t="shared" si="40"/>
        <v>1611.6362678023261</v>
      </c>
      <c r="BD46" s="36">
        <f t="shared" si="44"/>
        <v>1567.4394075588793</v>
      </c>
      <c r="BF46" s="36">
        <f t="shared" si="15"/>
        <v>2196.1390833626469</v>
      </c>
      <c r="BG46" s="36">
        <f t="shared" si="16"/>
        <v>959.33959876115887</v>
      </c>
      <c r="BH46" s="36">
        <f t="shared" si="17"/>
        <v>631.05428602526263</v>
      </c>
      <c r="BI46" s="36">
        <f t="shared" si="21"/>
        <v>727.0686991096926</v>
      </c>
      <c r="BJ46" s="36">
        <f t="shared" si="24"/>
        <v>604.00186592262435</v>
      </c>
      <c r="BK46" s="36">
        <f t="shared" si="29"/>
        <v>517.93621199335701</v>
      </c>
      <c r="BL46" s="36">
        <f t="shared" si="31"/>
        <v>6783.4075595846216</v>
      </c>
      <c r="BM46" s="36">
        <f t="shared" si="34"/>
        <v>8496.9943807325108</v>
      </c>
      <c r="BN46" s="36">
        <f t="shared" si="36"/>
        <v>8278.1010858537265</v>
      </c>
      <c r="BO46" s="36">
        <f t="shared" si="41"/>
        <v>8058.1813390116304</v>
      </c>
      <c r="BP46" s="36">
        <f t="shared" si="45"/>
        <v>7837.1970377943962</v>
      </c>
      <c r="BR46" s="36">
        <f>'Mangifera indica'!BF46*$AD$7*$AH$4</f>
        <v>3788.1203048922293</v>
      </c>
      <c r="BS46" s="36">
        <f t="shared" si="4"/>
        <v>1654.7648739031226</v>
      </c>
      <c r="BT46" s="36">
        <f t="shared" si="18"/>
        <v>1088.5055379649755</v>
      </c>
      <c r="BU46" s="36">
        <f t="shared" si="22"/>
        <v>1254.1207990943087</v>
      </c>
      <c r="BV46" s="36">
        <f t="shared" si="25"/>
        <v>1041.8428185299347</v>
      </c>
      <c r="BW46" s="36">
        <f t="shared" si="27"/>
        <v>893.38817206734143</v>
      </c>
      <c r="BX46" s="36">
        <f t="shared" si="32"/>
        <v>11700.699699527513</v>
      </c>
      <c r="BY46" s="36">
        <f t="shared" si="37"/>
        <v>14656.465607325506</v>
      </c>
      <c r="BZ46" s="36">
        <f t="shared" si="42"/>
        <v>14278.896562989092</v>
      </c>
      <c r="CA46" s="36">
        <f t="shared" si="46"/>
        <v>13899.55699166116</v>
      </c>
      <c r="CB46" s="36">
        <f t="shared" si="47"/>
        <v>13518.381170491553</v>
      </c>
      <c r="CC46" s="36">
        <f t="shared" si="5"/>
        <v>77774.742538446735</v>
      </c>
      <c r="CE46" s="36">
        <f t="shared" si="6"/>
        <v>37.881203048922295</v>
      </c>
      <c r="CF46" s="36">
        <f t="shared" si="6"/>
        <v>16.547648739031228</v>
      </c>
      <c r="CG46" s="36">
        <f t="shared" si="6"/>
        <v>10.885055379649755</v>
      </c>
      <c r="CH46" s="36">
        <f t="shared" si="6"/>
        <v>12.541207990943088</v>
      </c>
      <c r="CI46" s="36">
        <f t="shared" si="6"/>
        <v>10.418428185299346</v>
      </c>
      <c r="CJ46" s="36">
        <f t="shared" si="6"/>
        <v>8.9338817206734138</v>
      </c>
      <c r="CK46" s="36">
        <f t="shared" si="6"/>
        <v>117.00699699527513</v>
      </c>
      <c r="CL46" s="36">
        <f t="shared" si="6"/>
        <v>146.56465607325507</v>
      </c>
      <c r="CM46" s="36">
        <f t="shared" si="48"/>
        <v>142.78896562989092</v>
      </c>
      <c r="CN46" s="36">
        <f t="shared" si="38"/>
        <v>138.9955699166116</v>
      </c>
      <c r="CO46" s="36">
        <f t="shared" si="38"/>
        <v>135.18381170491554</v>
      </c>
      <c r="CP46" s="36">
        <f t="shared" si="7"/>
        <v>777.74742538446742</v>
      </c>
      <c r="CR46" s="36">
        <f t="shared" si="8"/>
        <v>37.881203048922295</v>
      </c>
      <c r="CS46" s="36">
        <f t="shared" si="8"/>
        <v>16.547648739031228</v>
      </c>
      <c r="CT46" s="36">
        <f t="shared" si="8"/>
        <v>10.885055379649755</v>
      </c>
      <c r="CU46" s="36">
        <f t="shared" si="8"/>
        <v>12.541207990943088</v>
      </c>
      <c r="CV46" s="36">
        <f t="shared" si="8"/>
        <v>10.418428185299346</v>
      </c>
      <c r="CW46" s="36">
        <f t="shared" si="8"/>
        <v>8.9338817206734138</v>
      </c>
      <c r="CX46" s="36">
        <f t="shared" si="8"/>
        <v>117.00699699527513</v>
      </c>
      <c r="CY46" s="36">
        <f t="shared" si="8"/>
        <v>146.56465607325507</v>
      </c>
      <c r="CZ46" s="36">
        <f t="shared" si="49"/>
        <v>142.78896562989092</v>
      </c>
      <c r="DA46" s="36">
        <f t="shared" si="39"/>
        <v>138.9955699166116</v>
      </c>
      <c r="DB46" s="36">
        <f t="shared" si="39"/>
        <v>135.18381170491554</v>
      </c>
      <c r="DC46" s="36">
        <f t="shared" si="9"/>
        <v>777.74742538446742</v>
      </c>
      <c r="DE46" s="36">
        <f t="shared" si="10"/>
        <v>79330.237389215676</v>
      </c>
      <c r="DF46" s="36">
        <f t="shared" si="19"/>
        <v>1447531.2619458118</v>
      </c>
    </row>
    <row r="47" spans="2:110" x14ac:dyDescent="0.25">
      <c r="Y47" s="67">
        <v>34</v>
      </c>
      <c r="Z47" s="67" t="s">
        <v>123</v>
      </c>
      <c r="AA47" s="36">
        <v>88.096666666666806</v>
      </c>
      <c r="AB47" s="36"/>
      <c r="AC47" s="36">
        <f t="shared" si="1"/>
        <v>792.87555185241513</v>
      </c>
      <c r="AD47" s="36">
        <f t="shared" si="13"/>
        <v>34.923209575286137</v>
      </c>
      <c r="AF47" s="67">
        <v>34</v>
      </c>
      <c r="AG47" s="67" t="str">
        <f t="shared" si="2"/>
        <v>2051-2052</v>
      </c>
      <c r="AH47" s="36">
        <f>('Mangifera indica'!AD47*$W$14)/1000</f>
        <v>1794.1103248968514</v>
      </c>
      <c r="AI47" s="36">
        <f>('Mangifera indica'!AD46*$W$15)/1000</f>
        <v>784.13646533609415</v>
      </c>
      <c r="AJ47" s="36">
        <f>('Mangifera indica'!AD45*$W$16)/1000</f>
        <v>516.09292067951105</v>
      </c>
      <c r="AK47" s="36">
        <f>('Mangifera indica'!AD44*$W$17)/1000</f>
        <v>594.9649894568912</v>
      </c>
      <c r="AL47" s="36">
        <f>('Mangifera indica'!AD43*$W$18)/1000</f>
        <v>494.56452343375651</v>
      </c>
      <c r="AM47" s="36">
        <f>('Mangifera indica'!AD42*$W$19)/1000</f>
        <v>424.3701079823997</v>
      </c>
      <c r="AN47" s="36">
        <f>('Mangifera indica'!AD41*$W$20)/1000</f>
        <v>5561.8167188679599</v>
      </c>
      <c r="AO47" s="36">
        <f>('Mangifera indica'!AD40*$W$21)/1000</f>
        <v>6971.9174822785371</v>
      </c>
      <c r="AP47" s="36">
        <f>('Mangifera indica'!AD39*$W$22)/1000</f>
        <v>6797.5955045860082</v>
      </c>
      <c r="AQ47" s="36">
        <f>('Mangifera indica'!AD38*$W$23)/1000</f>
        <v>6622.4808686829811</v>
      </c>
      <c r="AR47" s="36">
        <f>('Mangifera indica'!AD37*$W$24)/1000</f>
        <v>6446.5450712093043</v>
      </c>
      <c r="AT47" s="36">
        <f t="shared" si="3"/>
        <v>448.52758122421284</v>
      </c>
      <c r="AU47" s="36">
        <f t="shared" si="14"/>
        <v>196.03411633402354</v>
      </c>
      <c r="AV47" s="36">
        <f t="shared" si="20"/>
        <v>129.02323016987776</v>
      </c>
      <c r="AW47" s="36">
        <f t="shared" si="23"/>
        <v>148.7412473642228</v>
      </c>
      <c r="AX47" s="36">
        <f t="shared" si="26"/>
        <v>123.64113085843913</v>
      </c>
      <c r="AY47" s="36">
        <f t="shared" si="28"/>
        <v>106.09252699559993</v>
      </c>
      <c r="AZ47" s="36">
        <f t="shared" si="30"/>
        <v>1390.45417971699</v>
      </c>
      <c r="BA47" s="36">
        <f t="shared" si="33"/>
        <v>1742.9793705696343</v>
      </c>
      <c r="BB47" s="36">
        <f t="shared" si="35"/>
        <v>1699.3988761465021</v>
      </c>
      <c r="BC47" s="36">
        <f t="shared" si="40"/>
        <v>1655.6202171707453</v>
      </c>
      <c r="BD47" s="36">
        <f t="shared" si="44"/>
        <v>1611.6362678023261</v>
      </c>
      <c r="BF47" s="36">
        <f t="shared" si="15"/>
        <v>2242.6379061210641</v>
      </c>
      <c r="BG47" s="36">
        <f t="shared" si="16"/>
        <v>980.17058167011771</v>
      </c>
      <c r="BH47" s="36">
        <f t="shared" si="17"/>
        <v>645.11615084938876</v>
      </c>
      <c r="BI47" s="36">
        <f t="shared" si="21"/>
        <v>743.70623682111398</v>
      </c>
      <c r="BJ47" s="36">
        <f t="shared" si="24"/>
        <v>618.20565429219562</v>
      </c>
      <c r="BK47" s="36">
        <f t="shared" si="29"/>
        <v>530.46263497799964</v>
      </c>
      <c r="BL47" s="36">
        <f t="shared" si="31"/>
        <v>6952.2708985849495</v>
      </c>
      <c r="BM47" s="36">
        <f t="shared" si="34"/>
        <v>8714.896852848171</v>
      </c>
      <c r="BN47" s="36">
        <f t="shared" si="36"/>
        <v>8496.9943807325108</v>
      </c>
      <c r="BO47" s="36">
        <f t="shared" si="41"/>
        <v>8278.1010858537265</v>
      </c>
      <c r="BP47" s="36">
        <f t="shared" si="45"/>
        <v>8058.1813390116304</v>
      </c>
      <c r="BR47" s="36">
        <f>'Mangifera indica'!BF47*$AD$7*$AH$4</f>
        <v>3868.3261242682233</v>
      </c>
      <c r="BS47" s="36">
        <f t="shared" si="4"/>
        <v>1690.696236322786</v>
      </c>
      <c r="BT47" s="36">
        <f t="shared" si="18"/>
        <v>1112.7608486001106</v>
      </c>
      <c r="BU47" s="36">
        <f t="shared" si="22"/>
        <v>1282.8188878927392</v>
      </c>
      <c r="BV47" s="36">
        <f t="shared" si="25"/>
        <v>1066.3429330886081</v>
      </c>
      <c r="BW47" s="36">
        <f t="shared" si="27"/>
        <v>914.99499907355153</v>
      </c>
      <c r="BX47" s="36">
        <f t="shared" si="32"/>
        <v>11991.972072969178</v>
      </c>
      <c r="BY47" s="36">
        <f t="shared" si="37"/>
        <v>15032.325581477809</v>
      </c>
      <c r="BZ47" s="36">
        <f t="shared" si="42"/>
        <v>14656.465607325506</v>
      </c>
      <c r="CA47" s="36">
        <f t="shared" si="46"/>
        <v>14278.896562989092</v>
      </c>
      <c r="CB47" s="36">
        <f t="shared" si="47"/>
        <v>13899.55699166116</v>
      </c>
      <c r="CC47" s="36">
        <f t="shared" si="5"/>
        <v>79795.156845668753</v>
      </c>
      <c r="CE47" s="36">
        <f t="shared" si="6"/>
        <v>38.683261242682235</v>
      </c>
      <c r="CF47" s="36">
        <f t="shared" si="6"/>
        <v>16.906962363227862</v>
      </c>
      <c r="CG47" s="36">
        <f t="shared" si="6"/>
        <v>11.127608486001106</v>
      </c>
      <c r="CH47" s="36">
        <f t="shared" si="6"/>
        <v>12.828188878927392</v>
      </c>
      <c r="CI47" s="36">
        <f t="shared" si="6"/>
        <v>10.663429330886082</v>
      </c>
      <c r="CJ47" s="36">
        <f t="shared" si="6"/>
        <v>9.1499499907355162</v>
      </c>
      <c r="CK47" s="36">
        <f t="shared" si="6"/>
        <v>119.91972072969179</v>
      </c>
      <c r="CL47" s="36">
        <f t="shared" si="6"/>
        <v>150.32325581477809</v>
      </c>
      <c r="CM47" s="36">
        <f t="shared" si="48"/>
        <v>146.56465607325507</v>
      </c>
      <c r="CN47" s="36">
        <f t="shared" si="38"/>
        <v>142.78896562989092</v>
      </c>
      <c r="CO47" s="36">
        <f t="shared" si="38"/>
        <v>138.9955699166116</v>
      </c>
      <c r="CP47" s="36">
        <f t="shared" si="7"/>
        <v>797.95156845668771</v>
      </c>
      <c r="CR47" s="36">
        <f t="shared" si="8"/>
        <v>38.683261242682235</v>
      </c>
      <c r="CS47" s="36">
        <f t="shared" si="8"/>
        <v>16.906962363227862</v>
      </c>
      <c r="CT47" s="36">
        <f t="shared" si="8"/>
        <v>11.127608486001106</v>
      </c>
      <c r="CU47" s="36">
        <f t="shared" si="8"/>
        <v>12.828188878927392</v>
      </c>
      <c r="CV47" s="36">
        <f t="shared" si="8"/>
        <v>10.663429330886082</v>
      </c>
      <c r="CW47" s="36">
        <f t="shared" si="8"/>
        <v>9.1499499907355162</v>
      </c>
      <c r="CX47" s="36">
        <f t="shared" si="8"/>
        <v>119.91972072969179</v>
      </c>
      <c r="CY47" s="36">
        <f t="shared" si="8"/>
        <v>150.32325581477809</v>
      </c>
      <c r="CZ47" s="36">
        <f t="shared" si="49"/>
        <v>146.56465607325507</v>
      </c>
      <c r="DA47" s="36">
        <f t="shared" si="39"/>
        <v>142.78896562989092</v>
      </c>
      <c r="DB47" s="36">
        <f t="shared" si="39"/>
        <v>138.9955699166116</v>
      </c>
      <c r="DC47" s="36">
        <f t="shared" si="9"/>
        <v>797.95156845668771</v>
      </c>
      <c r="DE47" s="36">
        <f t="shared" si="10"/>
        <v>81391.059982582126</v>
      </c>
      <c r="DF47" s="36">
        <f t="shared" si="19"/>
        <v>1528922.321928394</v>
      </c>
    </row>
    <row r="48" spans="2:110" x14ac:dyDescent="0.25">
      <c r="Y48" s="67">
        <v>35</v>
      </c>
      <c r="Z48" s="67" t="s">
        <v>124</v>
      </c>
      <c r="AA48" s="36">
        <v>90.215833333333507</v>
      </c>
      <c r="AB48" s="36"/>
      <c r="AC48" s="36">
        <f t="shared" si="1"/>
        <v>828.52021862368065</v>
      </c>
      <c r="AD48" s="36">
        <f t="shared" si="13"/>
        <v>35.64466677126552</v>
      </c>
      <c r="AF48" s="67">
        <v>35</v>
      </c>
      <c r="AG48" s="67" t="str">
        <f>Z48</f>
        <v>2052-2053</v>
      </c>
      <c r="AH48" s="36">
        <f>('Mangifera indica'!AD48*$W$14)/1000</f>
        <v>1831.1737511975577</v>
      </c>
      <c r="AI48" s="36">
        <f>('Mangifera indica'!AD47*$W$15)/1000</f>
        <v>800.73897598594181</v>
      </c>
      <c r="AJ48" s="36">
        <f>('Mangifera indica'!AD46*$W$16)/1000</f>
        <v>527.29929934249162</v>
      </c>
      <c r="AK48" s="36">
        <f>('Mangifera indica'!AD45*$W$17)/1000</f>
        <v>608.22267178645154</v>
      </c>
      <c r="AL48" s="36">
        <f>('Mangifera indica'!AD44*$W$18)/1000</f>
        <v>505.88166020423779</v>
      </c>
      <c r="AM48" s="36">
        <f>('Mangifera indica'!AD43*$W$19)/1000</f>
        <v>434.34965199415001</v>
      </c>
      <c r="AN48" s="36">
        <f>('Mangifera indica'!AD42*$W$20)/1000</f>
        <v>5696.3307133914614</v>
      </c>
      <c r="AO48" s="36">
        <f>('Mangifera indica'!AD41*$W$21)/1000</f>
        <v>7145.4735092385945</v>
      </c>
      <c r="AP48" s="36">
        <f>('Mangifera indica'!AD40*$W$22)/1000</f>
        <v>6971.9174822785371</v>
      </c>
      <c r="AQ48" s="36">
        <f>('Mangifera indica'!AD39*$W$23)/1000</f>
        <v>6797.5955045860082</v>
      </c>
      <c r="AR48" s="36">
        <f>('Mangifera indica'!AD38*$W$24)/1000</f>
        <v>6622.4808686829811</v>
      </c>
      <c r="AT48" s="36">
        <f t="shared" si="3"/>
        <v>457.79343779938944</v>
      </c>
      <c r="AU48" s="36">
        <f t="shared" si="14"/>
        <v>200.18474399648545</v>
      </c>
      <c r="AV48" s="36">
        <f t="shared" si="20"/>
        <v>131.82482483562291</v>
      </c>
      <c r="AW48" s="36">
        <f t="shared" si="23"/>
        <v>152.05566794661289</v>
      </c>
      <c r="AX48" s="36">
        <f t="shared" si="26"/>
        <v>126.47041505105945</v>
      </c>
      <c r="AY48" s="36">
        <f t="shared" si="28"/>
        <v>108.5874129985375</v>
      </c>
      <c r="AZ48" s="36">
        <f t="shared" si="30"/>
        <v>1424.0826783478653</v>
      </c>
      <c r="BA48" s="36">
        <f t="shared" si="33"/>
        <v>1786.3683773096486</v>
      </c>
      <c r="BB48" s="36">
        <f t="shared" si="35"/>
        <v>1742.9793705696343</v>
      </c>
      <c r="BC48" s="36">
        <f t="shared" si="40"/>
        <v>1699.3988761465021</v>
      </c>
      <c r="BD48" s="36">
        <f t="shared" si="44"/>
        <v>1655.6202171707453</v>
      </c>
      <c r="BF48" s="36">
        <f t="shared" si="15"/>
        <v>2288.9671889969472</v>
      </c>
      <c r="BG48" s="36">
        <f t="shared" si="16"/>
        <v>1000.9237199824272</v>
      </c>
      <c r="BH48" s="36">
        <f t="shared" si="17"/>
        <v>659.12412417811447</v>
      </c>
      <c r="BI48" s="36">
        <f t="shared" si="21"/>
        <v>760.2783397330644</v>
      </c>
      <c r="BJ48" s="36">
        <f t="shared" si="24"/>
        <v>632.35207525529722</v>
      </c>
      <c r="BK48" s="36">
        <f t="shared" si="29"/>
        <v>542.93706499268751</v>
      </c>
      <c r="BL48" s="36">
        <f t="shared" si="31"/>
        <v>7120.4133917393265</v>
      </c>
      <c r="BM48" s="36">
        <f t="shared" si="34"/>
        <v>8931.8418865482436</v>
      </c>
      <c r="BN48" s="36">
        <f t="shared" si="36"/>
        <v>8714.896852848171</v>
      </c>
      <c r="BO48" s="36">
        <f t="shared" si="41"/>
        <v>8496.9943807325108</v>
      </c>
      <c r="BP48" s="36">
        <f t="shared" si="45"/>
        <v>8278.1010858537265</v>
      </c>
      <c r="BR48" s="36">
        <f>'Mangifera indica'!BF48*$AD$7*$AH$4</f>
        <v>3948.2395043008337</v>
      </c>
      <c r="BS48" s="36">
        <f t="shared" si="4"/>
        <v>1726.4933245976886</v>
      </c>
      <c r="BT48" s="36">
        <f t="shared" si="18"/>
        <v>1136.9232017948295</v>
      </c>
      <c r="BU48" s="36">
        <f t="shared" si="22"/>
        <v>1311.4041082055626</v>
      </c>
      <c r="BV48" s="36">
        <f t="shared" si="25"/>
        <v>1090.7440946078623</v>
      </c>
      <c r="BW48" s="36">
        <f t="shared" si="27"/>
        <v>936.5121434058866</v>
      </c>
      <c r="BX48" s="36">
        <f t="shared" si="32"/>
        <v>12282.001059411163</v>
      </c>
      <c r="BY48" s="36">
        <f t="shared" si="37"/>
        <v>15406.534070107064</v>
      </c>
      <c r="BZ48" s="36">
        <f t="shared" si="42"/>
        <v>15032.325581477809</v>
      </c>
      <c r="CA48" s="36">
        <f t="shared" si="46"/>
        <v>14656.465607325506</v>
      </c>
      <c r="CB48" s="36">
        <f t="shared" si="47"/>
        <v>14278.896562989092</v>
      </c>
      <c r="CC48" s="36">
        <f t="shared" si="5"/>
        <v>81806.539258223289</v>
      </c>
      <c r="CE48" s="36">
        <f t="shared" si="6"/>
        <v>39.482395043008339</v>
      </c>
      <c r="CF48" s="36">
        <f t="shared" si="6"/>
        <v>17.264933245976888</v>
      </c>
      <c r="CG48" s="36">
        <f t="shared" si="6"/>
        <v>11.369232017948296</v>
      </c>
      <c r="CH48" s="36">
        <f t="shared" si="6"/>
        <v>13.114041082055627</v>
      </c>
      <c r="CI48" s="36">
        <f t="shared" si="6"/>
        <v>10.907440946078623</v>
      </c>
      <c r="CJ48" s="36">
        <f t="shared" si="6"/>
        <v>9.3651214340588655</v>
      </c>
      <c r="CK48" s="36">
        <f t="shared" si="6"/>
        <v>122.82001059411164</v>
      </c>
      <c r="CL48" s="36">
        <f t="shared" si="6"/>
        <v>154.06534070107065</v>
      </c>
      <c r="CM48" s="36">
        <f t="shared" si="48"/>
        <v>150.32325581477809</v>
      </c>
      <c r="CN48" s="36">
        <f t="shared" si="38"/>
        <v>146.56465607325507</v>
      </c>
      <c r="CO48" s="36">
        <f t="shared" si="38"/>
        <v>142.78896562989092</v>
      </c>
      <c r="CP48" s="36">
        <f t="shared" si="7"/>
        <v>818.06539258223302</v>
      </c>
      <c r="CR48" s="36">
        <f t="shared" si="8"/>
        <v>39.482395043008339</v>
      </c>
      <c r="CS48" s="36">
        <f t="shared" si="8"/>
        <v>17.264933245976888</v>
      </c>
      <c r="CT48" s="36">
        <f t="shared" si="8"/>
        <v>11.369232017948296</v>
      </c>
      <c r="CU48" s="36">
        <f t="shared" si="8"/>
        <v>13.114041082055627</v>
      </c>
      <c r="CV48" s="36">
        <f t="shared" si="8"/>
        <v>10.907440946078623</v>
      </c>
      <c r="CW48" s="36">
        <f t="shared" si="8"/>
        <v>9.3651214340588655</v>
      </c>
      <c r="CX48" s="36">
        <f t="shared" si="8"/>
        <v>122.82001059411164</v>
      </c>
      <c r="CY48" s="36">
        <f t="shared" si="8"/>
        <v>154.06534070107065</v>
      </c>
      <c r="CZ48" s="36">
        <f t="shared" si="49"/>
        <v>150.32325581477809</v>
      </c>
      <c r="DA48" s="36">
        <f t="shared" si="39"/>
        <v>146.56465607325507</v>
      </c>
      <c r="DB48" s="36">
        <f t="shared" si="39"/>
        <v>142.78896562989092</v>
      </c>
      <c r="DC48" s="36">
        <f t="shared" si="9"/>
        <v>818.06539258223302</v>
      </c>
      <c r="DE48" s="36">
        <f t="shared" si="10"/>
        <v>83442.670043387741</v>
      </c>
      <c r="DF48" s="36">
        <f t="shared" si="19"/>
        <v>1612364.9919717817</v>
      </c>
    </row>
    <row r="50" spans="77:77" x14ac:dyDescent="0.25">
      <c r="BY50" s="205"/>
    </row>
  </sheetData>
  <mergeCells count="91">
    <mergeCell ref="BN12:BN13"/>
    <mergeCell ref="BO12:BO13"/>
    <mergeCell ref="BP12:BP13"/>
    <mergeCell ref="CE11:CO11"/>
    <mergeCell ref="CR11:DB11"/>
    <mergeCell ref="CX12:CX13"/>
    <mergeCell ref="CY12:CY13"/>
    <mergeCell ref="CZ12:CZ13"/>
    <mergeCell ref="DA12:DA13"/>
    <mergeCell ref="DB12:DB13"/>
    <mergeCell ref="CK12:CK13"/>
    <mergeCell ref="CL12:CL13"/>
    <mergeCell ref="CM12:CM13"/>
    <mergeCell ref="CN12:CN13"/>
    <mergeCell ref="CO12:CO13"/>
    <mergeCell ref="CJ12:CJ13"/>
    <mergeCell ref="BB12:BB13"/>
    <mergeCell ref="BC12:BC13"/>
    <mergeCell ref="BD12:BD13"/>
    <mergeCell ref="BL12:BL13"/>
    <mergeCell ref="BM12:BM13"/>
    <mergeCell ref="AT11:BD11"/>
    <mergeCell ref="CH12:CH13"/>
    <mergeCell ref="CI12:CI13"/>
    <mergeCell ref="BV12:BV13"/>
    <mergeCell ref="BW12:BW13"/>
    <mergeCell ref="BX12:BX13"/>
    <mergeCell ref="BY12:BY13"/>
    <mergeCell ref="BZ12:BZ13"/>
    <mergeCell ref="CA12:CA13"/>
    <mergeCell ref="CB12:CB13"/>
    <mergeCell ref="BR12:BR13"/>
    <mergeCell ref="BS12:BS13"/>
    <mergeCell ref="BT12:BT13"/>
    <mergeCell ref="BU12:BU13"/>
    <mergeCell ref="AZ12:AZ13"/>
    <mergeCell ref="BA12:BA13"/>
    <mergeCell ref="BR11:CB11"/>
    <mergeCell ref="U11:U13"/>
    <mergeCell ref="B11:B13"/>
    <mergeCell ref="V11:V13"/>
    <mergeCell ref="W11:W13"/>
    <mergeCell ref="AJ12:AJ13"/>
    <mergeCell ref="AK12:AK13"/>
    <mergeCell ref="AL12:AL13"/>
    <mergeCell ref="BF12:BF13"/>
    <mergeCell ref="BG12:BG13"/>
    <mergeCell ref="BH12:BH13"/>
    <mergeCell ref="BI12:BI13"/>
    <mergeCell ref="BJ12:BJ13"/>
    <mergeCell ref="BK12:BK13"/>
    <mergeCell ref="BF11:BP11"/>
    <mergeCell ref="AM12:AM13"/>
    <mergeCell ref="AC3:AH3"/>
    <mergeCell ref="Y11:Y13"/>
    <mergeCell ref="Y10:AD10"/>
    <mergeCell ref="AH12:AH13"/>
    <mergeCell ref="AI12:AI13"/>
    <mergeCell ref="AF11:AF13"/>
    <mergeCell ref="AG11:AG13"/>
    <mergeCell ref="Z11:Z13"/>
    <mergeCell ref="AB11:AB13"/>
    <mergeCell ref="AA11:AA13"/>
    <mergeCell ref="AD11:AD13"/>
    <mergeCell ref="AC11:AC13"/>
    <mergeCell ref="AH11:AR11"/>
    <mergeCell ref="AN12:AN13"/>
    <mergeCell ref="AO12:AO13"/>
    <mergeCell ref="AP12:AP13"/>
    <mergeCell ref="DF11:DF13"/>
    <mergeCell ref="DE11:DE13"/>
    <mergeCell ref="CC11:CC13"/>
    <mergeCell ref="CP11:CP13"/>
    <mergeCell ref="DC11:DC13"/>
    <mergeCell ref="CE12:CE13"/>
    <mergeCell ref="CF12:CF13"/>
    <mergeCell ref="CR12:CR13"/>
    <mergeCell ref="CS12:CS13"/>
    <mergeCell ref="CT12:CT13"/>
    <mergeCell ref="CU12:CU13"/>
    <mergeCell ref="CV12:CV13"/>
    <mergeCell ref="CW12:CW13"/>
    <mergeCell ref="CG12:CG13"/>
    <mergeCell ref="AQ12:AQ13"/>
    <mergeCell ref="AY12:AY13"/>
    <mergeCell ref="AT12:AT13"/>
    <mergeCell ref="AU12:AU13"/>
    <mergeCell ref="AV12:AV13"/>
    <mergeCell ref="AW12:AW13"/>
    <mergeCell ref="AX12:AX13"/>
    <mergeCell ref="AR12:AR13"/>
  </mergeCells>
  <phoneticPr fontId="9" type="noConversion"/>
  <hyperlinks>
    <hyperlink ref="AB19" r:id="rId1" xr:uid="{816E1790-E72D-457D-B9EC-EB19768A813E}"/>
  </hyperlinks>
  <pageMargins left="0.7" right="0.7" top="0.75" bottom="0.75" header="0.3" footer="0.3"/>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0F50-F7E3-4E7C-B459-F4C363036042}">
  <dimension ref="B3:BL48"/>
  <sheetViews>
    <sheetView topLeftCell="G25" zoomScale="86" zoomScaleNormal="86" workbookViewId="0">
      <selection activeCell="K14" sqref="K14"/>
    </sheetView>
  </sheetViews>
  <sheetFormatPr defaultColWidth="9.140625" defaultRowHeight="14.25" x14ac:dyDescent="0.25"/>
  <cols>
    <col min="1" max="2" width="9.140625" style="45"/>
    <col min="3" max="3" width="11.7109375" style="45" bestFit="1" customWidth="1"/>
    <col min="4" max="4" width="9.140625" style="45"/>
    <col min="5" max="5" width="11.5703125" style="45" customWidth="1"/>
    <col min="6" max="6" width="12.140625" style="45" customWidth="1"/>
    <col min="7" max="7" width="12.28515625" style="45" customWidth="1"/>
    <col min="8" max="8" width="9.140625" style="45"/>
    <col min="9" max="9" width="29.28515625" style="45" bestFit="1" customWidth="1"/>
    <col min="10" max="10" width="11.42578125" style="45" bestFit="1" customWidth="1"/>
    <col min="11" max="11" width="18.28515625" style="45" bestFit="1" customWidth="1"/>
    <col min="12" max="12" width="18.28515625" style="45" customWidth="1"/>
    <col min="13" max="13" width="18.5703125" style="45" bestFit="1" customWidth="1"/>
    <col min="14" max="14" width="30.5703125" style="45" customWidth="1"/>
    <col min="15" max="15" width="13.5703125" style="45" bestFit="1" customWidth="1"/>
    <col min="16" max="16" width="5.140625" style="45" bestFit="1" customWidth="1"/>
    <col min="17" max="17" width="14.140625" style="45" bestFit="1" customWidth="1"/>
    <col min="18" max="18" width="9.85546875" style="45" bestFit="1" customWidth="1"/>
    <col min="19" max="19" width="11.28515625" style="45" bestFit="1" customWidth="1"/>
    <col min="20" max="20" width="11.5703125" style="45" bestFit="1" customWidth="1"/>
    <col min="21" max="21" width="11.85546875" style="45" bestFit="1" customWidth="1"/>
    <col min="22" max="22" width="10.42578125" style="45" bestFit="1" customWidth="1"/>
    <col min="23" max="23" width="8.85546875" style="45" bestFit="1" customWidth="1"/>
    <col min="24" max="31" width="9.140625" style="45"/>
    <col min="32" max="32" width="10.42578125" style="45" bestFit="1" customWidth="1"/>
    <col min="33" max="38" width="9.140625" style="45"/>
    <col min="39" max="39" width="10.42578125" style="45" bestFit="1" customWidth="1"/>
    <col min="40" max="40" width="9.85546875" style="45" bestFit="1" customWidth="1"/>
    <col min="41" max="44" width="9.140625" style="45"/>
    <col min="45" max="45" width="16" style="45" customWidth="1"/>
    <col min="46" max="60" width="9.140625" style="45"/>
    <col min="61" max="61" width="18.28515625" style="45" customWidth="1"/>
    <col min="62" max="62" width="9.140625" style="45"/>
    <col min="63" max="63" width="19.7109375" style="45" bestFit="1" customWidth="1"/>
    <col min="64" max="64" width="21.5703125" style="45" customWidth="1"/>
    <col min="65" max="16384" width="9.140625" style="45"/>
  </cols>
  <sheetData>
    <row r="3" spans="2:64" ht="15" customHeight="1" x14ac:dyDescent="0.25">
      <c r="M3" s="218" t="s">
        <v>61</v>
      </c>
      <c r="N3" s="219"/>
      <c r="O3" s="219"/>
      <c r="P3" s="219"/>
      <c r="Q3" s="219"/>
      <c r="R3" s="219"/>
    </row>
    <row r="4" spans="2:64" ht="15.75" x14ac:dyDescent="0.3">
      <c r="M4" s="57" t="s">
        <v>62</v>
      </c>
      <c r="N4" s="58" t="str">
        <f>'General Information'!$C$4</f>
        <v>Gauva</v>
      </c>
      <c r="O4" s="57" t="s">
        <v>63</v>
      </c>
      <c r="P4" s="58">
        <f>'General Information'!$G$4</f>
        <v>0.25</v>
      </c>
      <c r="Q4" s="57" t="s">
        <v>64</v>
      </c>
      <c r="R4" s="58">
        <v>3.67</v>
      </c>
    </row>
    <row r="5" spans="2:64" x14ac:dyDescent="0.25">
      <c r="M5" s="57" t="s">
        <v>65</v>
      </c>
      <c r="N5" s="59" t="str">
        <f>'General Information'!$D$4</f>
        <v>Psidium guajava</v>
      </c>
      <c r="O5" s="57" t="s">
        <v>66</v>
      </c>
      <c r="P5" s="60">
        <f>'General Information'!$I$4</f>
        <v>0.01</v>
      </c>
      <c r="Q5" s="57"/>
      <c r="R5" s="57"/>
    </row>
    <row r="6" spans="2:64" x14ac:dyDescent="0.25">
      <c r="M6" s="57" t="s">
        <v>67</v>
      </c>
      <c r="N6" s="58" t="str">
        <f>'General Information'!$E$4</f>
        <v>Y=(3.264X^1.012)+3.446</v>
      </c>
      <c r="O6" s="57" t="s">
        <v>8</v>
      </c>
      <c r="P6" s="58">
        <f>'General Information'!$J$4</f>
        <v>0.37</v>
      </c>
      <c r="Q6" s="57"/>
      <c r="R6" s="57"/>
    </row>
    <row r="7" spans="2:64" x14ac:dyDescent="0.25">
      <c r="M7" s="57" t="s">
        <v>21</v>
      </c>
      <c r="N7" s="58">
        <f>'General Information'!$H$4</f>
        <v>0.47</v>
      </c>
      <c r="O7" s="57" t="s">
        <v>68</v>
      </c>
      <c r="P7" s="60">
        <f>'General Information'!$K$4</f>
        <v>0.01</v>
      </c>
      <c r="Q7" s="57"/>
      <c r="R7" s="57"/>
    </row>
    <row r="10" spans="2:64" s="81" customFormat="1" ht="15.75" customHeight="1" x14ac:dyDescent="0.25">
      <c r="I10" s="215" t="s">
        <v>125</v>
      </c>
      <c r="J10" s="215"/>
      <c r="K10" s="215"/>
      <c r="L10" s="215"/>
      <c r="M10" s="215"/>
      <c r="N10" s="215"/>
      <c r="O10" s="82"/>
      <c r="P10" s="82"/>
    </row>
    <row r="11" spans="2:64" s="81" customFormat="1" ht="15.75" customHeight="1" x14ac:dyDescent="0.25">
      <c r="B11" s="225" t="s">
        <v>30</v>
      </c>
      <c r="C11" s="80" t="s">
        <v>52</v>
      </c>
      <c r="D11" s="80"/>
      <c r="E11" s="225" t="s">
        <v>70</v>
      </c>
      <c r="F11" s="225" t="s">
        <v>71</v>
      </c>
      <c r="G11" s="225" t="s">
        <v>72</v>
      </c>
      <c r="I11" s="215" t="s">
        <v>73</v>
      </c>
      <c r="J11" s="215" t="s">
        <v>30</v>
      </c>
      <c r="K11" s="215" t="s">
        <v>126</v>
      </c>
      <c r="L11" s="64"/>
      <c r="M11" s="215" t="s">
        <v>127</v>
      </c>
      <c r="N11" s="215" t="s">
        <v>128</v>
      </c>
      <c r="O11" s="82"/>
      <c r="P11" s="215" t="s">
        <v>73</v>
      </c>
      <c r="Q11" s="215" t="s">
        <v>30</v>
      </c>
      <c r="R11" s="217" t="s">
        <v>77</v>
      </c>
      <c r="S11" s="217"/>
      <c r="T11" s="217"/>
      <c r="U11" s="217"/>
      <c r="V11" s="217"/>
      <c r="W11" s="217"/>
      <c r="Y11" s="217" t="s">
        <v>78</v>
      </c>
      <c r="Z11" s="217"/>
      <c r="AA11" s="217"/>
      <c r="AB11" s="217"/>
      <c r="AC11" s="217"/>
      <c r="AD11" s="217"/>
      <c r="AF11" s="217" t="s">
        <v>79</v>
      </c>
      <c r="AG11" s="217"/>
      <c r="AH11" s="217"/>
      <c r="AI11" s="217"/>
      <c r="AJ11" s="217"/>
      <c r="AK11" s="217"/>
      <c r="AM11" s="217" t="s">
        <v>129</v>
      </c>
      <c r="AN11" s="217"/>
      <c r="AO11" s="217"/>
      <c r="AP11" s="217"/>
      <c r="AQ11" s="217"/>
      <c r="AR11" s="217"/>
      <c r="AS11" s="217" t="s">
        <v>81</v>
      </c>
      <c r="AU11" s="217" t="s">
        <v>82</v>
      </c>
      <c r="AV11" s="217"/>
      <c r="AW11" s="217"/>
      <c r="AX11" s="217"/>
      <c r="AY11" s="217"/>
      <c r="AZ11" s="217"/>
      <c r="BA11" s="217" t="s">
        <v>83</v>
      </c>
      <c r="BC11" s="217" t="s">
        <v>84</v>
      </c>
      <c r="BD11" s="217"/>
      <c r="BE11" s="217"/>
      <c r="BF11" s="217"/>
      <c r="BG11" s="217"/>
      <c r="BH11" s="217"/>
      <c r="BI11" s="217" t="s">
        <v>85</v>
      </c>
      <c r="BK11" s="217" t="s">
        <v>86</v>
      </c>
      <c r="BL11" s="215" t="s">
        <v>87</v>
      </c>
    </row>
    <row r="12" spans="2:64" s="81" customFormat="1" ht="15.75" customHeight="1" x14ac:dyDescent="0.25">
      <c r="B12" s="225"/>
      <c r="C12" s="80">
        <v>1666</v>
      </c>
      <c r="D12" s="80"/>
      <c r="E12" s="225"/>
      <c r="F12" s="225"/>
      <c r="G12" s="225"/>
      <c r="I12" s="215"/>
      <c r="J12" s="215"/>
      <c r="K12" s="215"/>
      <c r="L12" s="64"/>
      <c r="M12" s="215"/>
      <c r="N12" s="215"/>
      <c r="O12" s="82"/>
      <c r="P12" s="215"/>
      <c r="Q12" s="215"/>
      <c r="R12" s="226">
        <v>2018</v>
      </c>
      <c r="S12" s="226">
        <v>2019</v>
      </c>
      <c r="T12" s="226">
        <v>2020</v>
      </c>
      <c r="U12" s="226">
        <v>2021</v>
      </c>
      <c r="V12" s="226">
        <v>2022</v>
      </c>
      <c r="W12" s="226">
        <v>2023</v>
      </c>
      <c r="Y12" s="226">
        <v>2018</v>
      </c>
      <c r="Z12" s="226">
        <v>2019</v>
      </c>
      <c r="AA12" s="226">
        <v>2020</v>
      </c>
      <c r="AB12" s="226">
        <v>2021</v>
      </c>
      <c r="AC12" s="226">
        <v>2022</v>
      </c>
      <c r="AD12" s="226">
        <v>2023</v>
      </c>
      <c r="AF12" s="226">
        <v>2018</v>
      </c>
      <c r="AG12" s="226">
        <v>2019</v>
      </c>
      <c r="AH12" s="226">
        <v>2020</v>
      </c>
      <c r="AI12" s="226">
        <v>2021</v>
      </c>
      <c r="AJ12" s="226">
        <v>2022</v>
      </c>
      <c r="AK12" s="226">
        <v>2023</v>
      </c>
      <c r="AM12" s="226">
        <v>2018</v>
      </c>
      <c r="AN12" s="226">
        <v>2019</v>
      </c>
      <c r="AO12" s="226">
        <v>2020</v>
      </c>
      <c r="AP12" s="226">
        <v>2021</v>
      </c>
      <c r="AQ12" s="226">
        <v>2022</v>
      </c>
      <c r="AR12" s="226">
        <v>2023</v>
      </c>
      <c r="AS12" s="217"/>
      <c r="AU12" s="226">
        <v>2018</v>
      </c>
      <c r="AV12" s="226">
        <v>2019</v>
      </c>
      <c r="AW12" s="226">
        <v>2020</v>
      </c>
      <c r="AX12" s="226">
        <v>2021</v>
      </c>
      <c r="AY12" s="226">
        <v>2022</v>
      </c>
      <c r="AZ12" s="226">
        <v>2023</v>
      </c>
      <c r="BA12" s="217"/>
      <c r="BC12" s="226">
        <v>2018</v>
      </c>
      <c r="BD12" s="226">
        <v>2019</v>
      </c>
      <c r="BE12" s="226">
        <v>2020</v>
      </c>
      <c r="BF12" s="226">
        <v>2021</v>
      </c>
      <c r="BG12" s="226">
        <v>2022</v>
      </c>
      <c r="BH12" s="226">
        <v>2023</v>
      </c>
      <c r="BI12" s="217"/>
      <c r="BK12" s="217"/>
      <c r="BL12" s="215"/>
    </row>
    <row r="13" spans="2:64" s="81" customFormat="1" x14ac:dyDescent="0.25">
      <c r="B13" s="225"/>
      <c r="C13" s="80" t="s">
        <v>88</v>
      </c>
      <c r="D13" s="80"/>
      <c r="E13" s="225"/>
      <c r="F13" s="225"/>
      <c r="G13" s="225"/>
      <c r="I13" s="215"/>
      <c r="J13" s="215"/>
      <c r="K13" s="215"/>
      <c r="L13" s="64"/>
      <c r="M13" s="215"/>
      <c r="N13" s="215"/>
      <c r="O13" s="82"/>
      <c r="P13" s="215"/>
      <c r="Q13" s="215"/>
      <c r="R13" s="226"/>
      <c r="S13" s="226"/>
      <c r="T13" s="226"/>
      <c r="U13" s="226"/>
      <c r="V13" s="226"/>
      <c r="W13" s="226"/>
      <c r="Y13" s="226"/>
      <c r="Z13" s="226"/>
      <c r="AA13" s="226"/>
      <c r="AB13" s="226"/>
      <c r="AC13" s="226"/>
      <c r="AD13" s="226"/>
      <c r="AF13" s="226"/>
      <c r="AG13" s="226"/>
      <c r="AH13" s="226"/>
      <c r="AI13" s="226"/>
      <c r="AJ13" s="226"/>
      <c r="AK13" s="226"/>
      <c r="AM13" s="226"/>
      <c r="AN13" s="226"/>
      <c r="AO13" s="226"/>
      <c r="AP13" s="226"/>
      <c r="AQ13" s="226"/>
      <c r="AR13" s="226"/>
      <c r="AS13" s="217"/>
      <c r="AU13" s="226"/>
      <c r="AV13" s="226"/>
      <c r="AW13" s="226"/>
      <c r="AX13" s="226"/>
      <c r="AY13" s="226"/>
      <c r="AZ13" s="226"/>
      <c r="BA13" s="217"/>
      <c r="BC13" s="226"/>
      <c r="BD13" s="226"/>
      <c r="BE13" s="226"/>
      <c r="BF13" s="226"/>
      <c r="BG13" s="226"/>
      <c r="BH13" s="226"/>
      <c r="BI13" s="217"/>
      <c r="BK13" s="217"/>
      <c r="BL13" s="215"/>
    </row>
    <row r="14" spans="2:64" x14ac:dyDescent="0.25">
      <c r="B14" s="65">
        <v>2018</v>
      </c>
      <c r="C14" s="36">
        <f>'General Information'!C31</f>
        <v>15.79</v>
      </c>
      <c r="D14" s="67"/>
      <c r="E14" s="67">
        <f>(C14*$C$12)</f>
        <v>26306.14</v>
      </c>
      <c r="F14" s="67">
        <f>E14*10%</f>
        <v>2630.614</v>
      </c>
      <c r="G14" s="67">
        <f>E14-F14</f>
        <v>23675.525999999998</v>
      </c>
      <c r="I14" s="67">
        <v>1</v>
      </c>
      <c r="J14" s="67" t="str">
        <f>'Mangifera indica'!Z14</f>
        <v>2018 -2019</v>
      </c>
      <c r="K14" s="33"/>
      <c r="L14" s="33"/>
      <c r="M14" s="67">
        <v>6.09</v>
      </c>
      <c r="N14" s="36">
        <f>M14-0</f>
        <v>6.09</v>
      </c>
      <c r="O14" s="19"/>
      <c r="P14" s="67">
        <v>1</v>
      </c>
      <c r="Q14" s="67" t="s">
        <v>89</v>
      </c>
      <c r="R14" s="36">
        <f>(N14*$G$14)/1000</f>
        <v>144.18395333999999</v>
      </c>
      <c r="S14" s="68"/>
      <c r="T14" s="68"/>
      <c r="U14" s="68"/>
      <c r="V14" s="68"/>
      <c r="W14" s="68"/>
      <c r="Y14" s="36">
        <f>R14*$P$4</f>
        <v>36.045988334999997</v>
      </c>
      <c r="Z14" s="68"/>
      <c r="AA14" s="68"/>
      <c r="AB14" s="68"/>
      <c r="AC14" s="68"/>
      <c r="AD14" s="68"/>
      <c r="AF14" s="36">
        <f>R14+Y14</f>
        <v>180.22994167499999</v>
      </c>
      <c r="AG14" s="68">
        <v>0</v>
      </c>
      <c r="AH14" s="68">
        <v>0</v>
      </c>
      <c r="AI14" s="68">
        <v>0</v>
      </c>
      <c r="AJ14" s="68">
        <v>0</v>
      </c>
      <c r="AK14" s="68">
        <v>0</v>
      </c>
      <c r="AM14" s="36">
        <f>AF14*$N$7*$R$4</f>
        <v>310.87862639520745</v>
      </c>
      <c r="AN14" s="68">
        <v>0</v>
      </c>
      <c r="AO14" s="68">
        <v>0</v>
      </c>
      <c r="AP14" s="68">
        <v>0</v>
      </c>
      <c r="AQ14" s="68">
        <v>0</v>
      </c>
      <c r="AR14" s="68">
        <v>0</v>
      </c>
      <c r="AS14" s="36">
        <f t="shared" ref="AS14:AS48" si="0">SUM(AM14:AR14)</f>
        <v>310.87862639520745</v>
      </c>
      <c r="AU14" s="36">
        <f>AM14*$P$5</f>
        <v>3.1087862639520747</v>
      </c>
      <c r="AV14" s="68">
        <v>0</v>
      </c>
      <c r="AW14" s="68">
        <v>0</v>
      </c>
      <c r="AX14" s="68">
        <v>0</v>
      </c>
      <c r="AY14" s="68">
        <v>0</v>
      </c>
      <c r="AZ14" s="68">
        <v>0</v>
      </c>
      <c r="BA14" s="36">
        <f t="shared" ref="BA14:BA48" si="1">SUM(AU14:AZ14)</f>
        <v>3.1087862639520747</v>
      </c>
      <c r="BC14" s="36">
        <f>AM14*$P$7</f>
        <v>3.1087862639520747</v>
      </c>
      <c r="BD14" s="68">
        <v>0</v>
      </c>
      <c r="BE14" s="68">
        <v>0</v>
      </c>
      <c r="BF14" s="68">
        <v>0</v>
      </c>
      <c r="BG14" s="68">
        <v>0</v>
      </c>
      <c r="BH14" s="68">
        <v>0</v>
      </c>
      <c r="BI14" s="36">
        <f t="shared" ref="BI14:BI48" si="2">SUM(BC14:BH14)</f>
        <v>3.1087862639520747</v>
      </c>
      <c r="BK14" s="36">
        <f>AS14+BA14+BI14</f>
        <v>317.09619892311161</v>
      </c>
      <c r="BL14" s="36">
        <f>BK14</f>
        <v>317.09619892311161</v>
      </c>
    </row>
    <row r="15" spans="2:64" x14ac:dyDescent="0.25">
      <c r="B15" s="65">
        <v>2019</v>
      </c>
      <c r="C15" s="36">
        <f>'General Information'!C32</f>
        <v>20</v>
      </c>
      <c r="D15" s="67"/>
      <c r="E15" s="67">
        <f t="shared" ref="E15:E23" si="3">(C15*$C$12)</f>
        <v>33320</v>
      </c>
      <c r="F15" s="67">
        <f>E15*10%</f>
        <v>3332</v>
      </c>
      <c r="G15" s="67">
        <f>E15-F15</f>
        <v>29988</v>
      </c>
      <c r="I15" s="67">
        <v>2</v>
      </c>
      <c r="J15" s="67" t="str">
        <f>'Mangifera indica'!Z15</f>
        <v>2019-2020</v>
      </c>
      <c r="K15" s="71">
        <v>1.37</v>
      </c>
      <c r="L15" s="72" t="s">
        <v>18</v>
      </c>
      <c r="M15" s="36">
        <f>(3.264*(K15^1.012))+3.446</f>
        <v>7.9346047430868136</v>
      </c>
      <c r="N15" s="36">
        <f>M15-M14</f>
        <v>1.8446047430868138</v>
      </c>
      <c r="O15" s="19"/>
      <c r="P15" s="67">
        <v>2</v>
      </c>
      <c r="Q15" s="67" t="s">
        <v>90</v>
      </c>
      <c r="R15" s="36">
        <f t="shared" ref="R15:R48" si="4">(N15*$G$14)/1000</f>
        <v>43.671987554675177</v>
      </c>
      <c r="S15" s="36">
        <f>(N14*$G$15)/1000</f>
        <v>182.62691999999998</v>
      </c>
      <c r="T15" s="68"/>
      <c r="U15" s="68"/>
      <c r="V15" s="68"/>
      <c r="W15" s="68"/>
      <c r="Y15" s="36">
        <f t="shared" ref="Y15:Y48" si="5">R15*$P$4</f>
        <v>10.917996888668794</v>
      </c>
      <c r="Z15" s="36">
        <f>S15*$P$4</f>
        <v>45.656729999999996</v>
      </c>
      <c r="AA15" s="68"/>
      <c r="AB15" s="68"/>
      <c r="AC15" s="68"/>
      <c r="AD15" s="68"/>
      <c r="AF15" s="36">
        <f>R15+Y15</f>
        <v>54.589984443343972</v>
      </c>
      <c r="AG15" s="36">
        <f>S15+Z15</f>
        <v>228.28364999999997</v>
      </c>
      <c r="AH15" s="68">
        <v>0</v>
      </c>
      <c r="AI15" s="68">
        <v>0</v>
      </c>
      <c r="AJ15" s="68">
        <v>0</v>
      </c>
      <c r="AK15" s="68">
        <v>0</v>
      </c>
      <c r="AM15" s="36">
        <f t="shared" ref="AM15:AM48" si="6">AF15*$N$7*$R$4</f>
        <v>94.162264166324007</v>
      </c>
      <c r="AN15" s="36">
        <f t="shared" ref="AN15:AN48" si="7">AG15*$N$7*$R$4</f>
        <v>393.76646788499988</v>
      </c>
      <c r="AO15" s="68">
        <v>0</v>
      </c>
      <c r="AP15" s="68">
        <v>0</v>
      </c>
      <c r="AQ15" s="68">
        <v>0</v>
      </c>
      <c r="AR15" s="68">
        <v>0</v>
      </c>
      <c r="AS15" s="36">
        <f t="shared" si="0"/>
        <v>487.92873205132389</v>
      </c>
      <c r="AU15" s="36">
        <f t="shared" ref="AU15:AZ48" si="8">AM15*$P$5</f>
        <v>0.94162264166324006</v>
      </c>
      <c r="AV15" s="36">
        <f t="shared" si="8"/>
        <v>3.9376646788499987</v>
      </c>
      <c r="AW15" s="68">
        <v>0</v>
      </c>
      <c r="AX15" s="68">
        <v>0</v>
      </c>
      <c r="AY15" s="68">
        <v>0</v>
      </c>
      <c r="AZ15" s="68">
        <v>0</v>
      </c>
      <c r="BA15" s="36">
        <f t="shared" si="1"/>
        <v>4.8792873205132388</v>
      </c>
      <c r="BC15" s="36">
        <f t="shared" ref="BC15:BC48" si="9">AM15*$P$7</f>
        <v>0.94162264166324006</v>
      </c>
      <c r="BD15" s="36">
        <f>AN15*$P$7</f>
        <v>3.9376646788499987</v>
      </c>
      <c r="BE15" s="68">
        <v>0</v>
      </c>
      <c r="BF15" s="68">
        <v>0</v>
      </c>
      <c r="BG15" s="68">
        <v>0</v>
      </c>
      <c r="BH15" s="68">
        <v>0</v>
      </c>
      <c r="BI15" s="36">
        <f t="shared" si="2"/>
        <v>4.8792873205132388</v>
      </c>
      <c r="BK15" s="36">
        <f t="shared" ref="BK15:BK48" si="10">AS15+BA15+BI15</f>
        <v>497.68730669235038</v>
      </c>
      <c r="BL15" s="36">
        <f>BK15+BL14</f>
        <v>814.78350561546199</v>
      </c>
    </row>
    <row r="16" spans="2:64" x14ac:dyDescent="0.25">
      <c r="B16" s="65">
        <v>2020</v>
      </c>
      <c r="C16" s="36">
        <f>'General Information'!C33</f>
        <v>14.63</v>
      </c>
      <c r="D16" s="67"/>
      <c r="E16" s="67">
        <f t="shared" si="3"/>
        <v>24373.58</v>
      </c>
      <c r="F16" s="67">
        <f t="shared" ref="F16:F23" si="11">E16*10%</f>
        <v>2437.3580000000002</v>
      </c>
      <c r="G16" s="67">
        <f t="shared" ref="G16:G23" si="12">E16-F16</f>
        <v>21936.222000000002</v>
      </c>
      <c r="I16" s="67">
        <v>3</v>
      </c>
      <c r="J16" s="67" t="str">
        <f>'Mangifera indica'!Z16</f>
        <v>2020-2021</v>
      </c>
      <c r="K16" s="33">
        <v>2.3650000000000002</v>
      </c>
      <c r="L16" s="73"/>
      <c r="M16" s="36">
        <f t="shared" ref="M16:M43" si="13">(3.264*(K16^1.012))+3.446</f>
        <v>11.245509096034107</v>
      </c>
      <c r="N16" s="36">
        <f t="shared" ref="N16:N48" si="14">M16-M15</f>
        <v>3.3109043529472935</v>
      </c>
      <c r="O16" s="19"/>
      <c r="P16" s="67">
        <v>3</v>
      </c>
      <c r="Q16" s="67" t="s">
        <v>91</v>
      </c>
      <c r="R16" s="36">
        <f t="shared" si="4"/>
        <v>78.387402091716822</v>
      </c>
      <c r="S16" s="36">
        <f t="shared" ref="S16:S42" si="15">(N15*$G$15)/1000</f>
        <v>55.31600703568737</v>
      </c>
      <c r="T16" s="36">
        <f>(N14*$G$16)/1000</f>
        <v>133.59159198</v>
      </c>
      <c r="U16" s="68"/>
      <c r="V16" s="68"/>
      <c r="W16" s="68"/>
      <c r="Y16" s="36">
        <f t="shared" si="5"/>
        <v>19.596850522929206</v>
      </c>
      <c r="Z16" s="36">
        <f t="shared" ref="Z16:Z48" si="16">S16*$P$4</f>
        <v>13.829001758921843</v>
      </c>
      <c r="AA16" s="36">
        <f>T16*$P$4</f>
        <v>33.397897995000001</v>
      </c>
      <c r="AB16" s="68"/>
      <c r="AC16" s="68"/>
      <c r="AD16" s="68"/>
      <c r="AF16" s="36">
        <f t="shared" ref="AF16:AF48" si="17">R16+Y16</f>
        <v>97.984252614646024</v>
      </c>
      <c r="AG16" s="36">
        <f t="shared" ref="AG16:AG48" si="18">S16+Z16</f>
        <v>69.145008794609211</v>
      </c>
      <c r="AH16" s="36">
        <f>T16+AA16</f>
        <v>166.989489975</v>
      </c>
      <c r="AI16" s="68">
        <v>0</v>
      </c>
      <c r="AJ16" s="68">
        <v>0</v>
      </c>
      <c r="AK16" s="68">
        <v>0</v>
      </c>
      <c r="AM16" s="36">
        <f t="shared" si="6"/>
        <v>169.01303733500293</v>
      </c>
      <c r="AN16" s="36">
        <f t="shared" si="7"/>
        <v>119.26822566982142</v>
      </c>
      <c r="AO16" s="36">
        <f t="shared" ref="AO16:AO48" si="19">AH16*$N$7*$R$4</f>
        <v>288.04017125787749</v>
      </c>
      <c r="AP16" s="68">
        <v>0</v>
      </c>
      <c r="AQ16" s="68">
        <v>0</v>
      </c>
      <c r="AR16" s="68">
        <v>0</v>
      </c>
      <c r="AS16" s="36">
        <f t="shared" si="0"/>
        <v>576.32143426270181</v>
      </c>
      <c r="AU16" s="36">
        <f t="shared" si="8"/>
        <v>1.6901303733500295</v>
      </c>
      <c r="AV16" s="36">
        <f t="shared" si="8"/>
        <v>1.1926822566982143</v>
      </c>
      <c r="AW16" s="36">
        <f t="shared" si="8"/>
        <v>2.8804017125787751</v>
      </c>
      <c r="AX16" s="68">
        <v>0</v>
      </c>
      <c r="AY16" s="68">
        <v>0</v>
      </c>
      <c r="AZ16" s="68">
        <v>0</v>
      </c>
      <c r="BA16" s="36">
        <f t="shared" si="1"/>
        <v>5.7632143426270188</v>
      </c>
      <c r="BC16" s="36">
        <f t="shared" si="9"/>
        <v>1.6901303733500295</v>
      </c>
      <c r="BD16" s="36">
        <f t="shared" ref="BD16:BD48" si="20">AN16*$P$7</f>
        <v>1.1926822566982143</v>
      </c>
      <c r="BE16" s="36">
        <f>AO16*$P$7</f>
        <v>2.8804017125787751</v>
      </c>
      <c r="BF16" s="68">
        <v>0</v>
      </c>
      <c r="BG16" s="68">
        <v>0</v>
      </c>
      <c r="BH16" s="68">
        <v>0</v>
      </c>
      <c r="BI16" s="36">
        <f t="shared" si="2"/>
        <v>5.7632143426270188</v>
      </c>
      <c r="BK16" s="36">
        <f t="shared" si="10"/>
        <v>587.84786294795595</v>
      </c>
      <c r="BL16" s="36">
        <f>BK16+BL15</f>
        <v>1402.6313685634179</v>
      </c>
    </row>
    <row r="17" spans="2:64" x14ac:dyDescent="0.25">
      <c r="B17" s="65">
        <v>2021</v>
      </c>
      <c r="C17" s="36">
        <f>'General Information'!C34</f>
        <v>43.96</v>
      </c>
      <c r="D17" s="67"/>
      <c r="E17" s="67">
        <f t="shared" si="3"/>
        <v>73237.36</v>
      </c>
      <c r="F17" s="67">
        <f t="shared" si="11"/>
        <v>7323.7360000000008</v>
      </c>
      <c r="G17" s="67">
        <f t="shared" si="12"/>
        <v>65913.623999999996</v>
      </c>
      <c r="I17" s="67">
        <v>4</v>
      </c>
      <c r="J17" s="67" t="str">
        <f>'Mangifera indica'!Z17</f>
        <v>2021-2022</v>
      </c>
      <c r="K17" s="71">
        <v>3.3600000000000003</v>
      </c>
      <c r="L17" s="72" t="s">
        <v>18</v>
      </c>
      <c r="M17" s="36">
        <f t="shared" si="13"/>
        <v>14.573702309323142</v>
      </c>
      <c r="N17" s="36">
        <f t="shared" si="14"/>
        <v>3.3281932132890351</v>
      </c>
      <c r="O17" s="19"/>
      <c r="P17" s="67">
        <v>4</v>
      </c>
      <c r="Q17" s="67" t="s">
        <v>92</v>
      </c>
      <c r="R17" s="36">
        <f t="shared" si="4"/>
        <v>78.796724954248091</v>
      </c>
      <c r="S17" s="36">
        <f t="shared" si="15"/>
        <v>99.287399736183431</v>
      </c>
      <c r="T17" s="36">
        <f t="shared" ref="T17:T48" si="21">(N15*$G$16)/1000</f>
        <v>40.463659146605316</v>
      </c>
      <c r="U17" s="36">
        <f>($G$17*N14)/1000</f>
        <v>401.41397015999996</v>
      </c>
      <c r="V17" s="68"/>
      <c r="W17" s="68"/>
      <c r="Y17" s="36">
        <f t="shared" si="5"/>
        <v>19.699181238562023</v>
      </c>
      <c r="Z17" s="36">
        <f t="shared" si="16"/>
        <v>24.821849934045858</v>
      </c>
      <c r="AA17" s="36">
        <f t="shared" ref="AA17:AA48" si="22">T17*$P$4</f>
        <v>10.115914786651329</v>
      </c>
      <c r="AB17" s="36">
        <f>U17*$P$4</f>
        <v>100.35349253999999</v>
      </c>
      <c r="AC17" s="68"/>
      <c r="AD17" s="68"/>
      <c r="AF17" s="36">
        <f t="shared" si="17"/>
        <v>98.495906192810111</v>
      </c>
      <c r="AG17" s="36">
        <f t="shared" si="18"/>
        <v>124.10924967022929</v>
      </c>
      <c r="AH17" s="36">
        <f t="shared" ref="AH17:AH48" si="23">T17+AA17</f>
        <v>50.579573933256647</v>
      </c>
      <c r="AI17" s="36">
        <f>U17+AB17</f>
        <v>501.76746269999995</v>
      </c>
      <c r="AJ17" s="68">
        <v>0</v>
      </c>
      <c r="AK17" s="68">
        <v>0</v>
      </c>
      <c r="AM17" s="36">
        <f t="shared" si="6"/>
        <v>169.89558859197814</v>
      </c>
      <c r="AN17" s="36">
        <f t="shared" si="7"/>
        <v>214.07604475617848</v>
      </c>
      <c r="AO17" s="36">
        <f t="shared" si="19"/>
        <v>87.244707077474388</v>
      </c>
      <c r="AP17" s="36">
        <f t="shared" ref="AP17:AP48" si="24">AI17*$N$7*$R$4</f>
        <v>865.49869641122984</v>
      </c>
      <c r="AQ17" s="68">
        <v>0</v>
      </c>
      <c r="AR17" s="68">
        <v>0</v>
      </c>
      <c r="AS17" s="36">
        <f t="shared" si="0"/>
        <v>1336.7150368368609</v>
      </c>
      <c r="AU17" s="36">
        <f t="shared" si="8"/>
        <v>1.6989558859197815</v>
      </c>
      <c r="AV17" s="36">
        <f t="shared" si="8"/>
        <v>2.1407604475617847</v>
      </c>
      <c r="AW17" s="36">
        <f t="shared" si="8"/>
        <v>0.87244707077474393</v>
      </c>
      <c r="AX17" s="36">
        <f t="shared" si="8"/>
        <v>8.6549869641122985</v>
      </c>
      <c r="AY17" s="68">
        <v>0</v>
      </c>
      <c r="AZ17" s="68">
        <v>0</v>
      </c>
      <c r="BA17" s="36">
        <f t="shared" si="1"/>
        <v>13.367150368368609</v>
      </c>
      <c r="BC17" s="36">
        <f t="shared" si="9"/>
        <v>1.6989558859197815</v>
      </c>
      <c r="BD17" s="36">
        <f t="shared" si="20"/>
        <v>2.1407604475617847</v>
      </c>
      <c r="BE17" s="36">
        <f t="shared" ref="BE17:BE48" si="25">AO17*$P$7</f>
        <v>0.87244707077474393</v>
      </c>
      <c r="BF17" s="36">
        <f>AP17*$P$7</f>
        <v>8.6549869641122985</v>
      </c>
      <c r="BG17" s="68">
        <v>0</v>
      </c>
      <c r="BH17" s="68">
        <v>0</v>
      </c>
      <c r="BI17" s="36">
        <f t="shared" si="2"/>
        <v>13.367150368368609</v>
      </c>
      <c r="BK17" s="36">
        <f t="shared" si="10"/>
        <v>1363.4493375735981</v>
      </c>
      <c r="BL17" s="36">
        <f t="shared" ref="BL17:BL48" si="26">BK17+BL16</f>
        <v>2766.080706137016</v>
      </c>
    </row>
    <row r="18" spans="2:64" x14ac:dyDescent="0.25">
      <c r="B18" s="65">
        <v>2022</v>
      </c>
      <c r="C18" s="36">
        <f>'General Information'!C35</f>
        <v>31.45</v>
      </c>
      <c r="D18" s="67"/>
      <c r="E18" s="67">
        <f t="shared" si="3"/>
        <v>52395.7</v>
      </c>
      <c r="F18" s="67">
        <f t="shared" si="11"/>
        <v>5239.57</v>
      </c>
      <c r="G18" s="67">
        <f t="shared" si="12"/>
        <v>47156.13</v>
      </c>
      <c r="I18" s="67">
        <v>5</v>
      </c>
      <c r="J18" s="67" t="str">
        <f>'Mangifera indica'!Z18</f>
        <v>2022-2023</v>
      </c>
      <c r="K18" s="33">
        <v>4.53</v>
      </c>
      <c r="L18" s="73"/>
      <c r="M18" s="36">
        <f t="shared" si="13"/>
        <v>18.502413398684656</v>
      </c>
      <c r="N18" s="36">
        <f t="shared" si="14"/>
        <v>3.9287110893615136</v>
      </c>
      <c r="O18" s="19"/>
      <c r="P18" s="67">
        <v>5</v>
      </c>
      <c r="Q18" s="67" t="s">
        <v>93</v>
      </c>
      <c r="R18" s="36">
        <f t="shared" si="4"/>
        <v>93.014301542666828</v>
      </c>
      <c r="S18" s="36">
        <f t="shared" si="15"/>
        <v>99.805858080111591</v>
      </c>
      <c r="T18" s="36">
        <f t="shared" si="21"/>
        <v>72.62873290701819</v>
      </c>
      <c r="U18" s="36">
        <f t="shared" ref="U18:U45" si="27">($G$17*N15)/1000</f>
        <v>121.58458346444083</v>
      </c>
      <c r="V18" s="36">
        <f>(N14*$G$18)/1000</f>
        <v>287.1808317</v>
      </c>
      <c r="W18" s="68"/>
      <c r="Y18" s="36">
        <f t="shared" si="5"/>
        <v>23.253575385666707</v>
      </c>
      <c r="Z18" s="36">
        <f t="shared" si="16"/>
        <v>24.951464520027898</v>
      </c>
      <c r="AA18" s="36">
        <f t="shared" si="22"/>
        <v>18.157183226754547</v>
      </c>
      <c r="AB18" s="36">
        <f t="shared" ref="AB18:AB48" si="28">U18*$P$4</f>
        <v>30.396145866110206</v>
      </c>
      <c r="AC18" s="36">
        <f>V18*$P$4</f>
        <v>71.795207925</v>
      </c>
      <c r="AD18" s="68"/>
      <c r="AF18" s="36">
        <f t="shared" si="17"/>
        <v>116.26787692833354</v>
      </c>
      <c r="AG18" s="36">
        <f t="shared" si="18"/>
        <v>124.75732260013949</v>
      </c>
      <c r="AH18" s="36">
        <f t="shared" si="23"/>
        <v>90.78591613377273</v>
      </c>
      <c r="AI18" s="36">
        <f t="shared" ref="AI18:AI48" si="29">U18+AB18</f>
        <v>151.98072933055104</v>
      </c>
      <c r="AJ18" s="36">
        <f>V18+AC18</f>
        <v>358.976039625</v>
      </c>
      <c r="AK18" s="68">
        <v>0</v>
      </c>
      <c r="AM18" s="36">
        <f t="shared" si="6"/>
        <v>200.55046091368249</v>
      </c>
      <c r="AN18" s="36">
        <f t="shared" si="7"/>
        <v>215.19390575298058</v>
      </c>
      <c r="AO18" s="36">
        <f t="shared" si="19"/>
        <v>156.59662673914457</v>
      </c>
      <c r="AP18" s="36">
        <f t="shared" si="24"/>
        <v>262.15156002226746</v>
      </c>
      <c r="AQ18" s="36">
        <f t="shared" ref="AQ18:AQ48" si="30">AJ18*$N$7*$R$4</f>
        <v>619.19777074916249</v>
      </c>
      <c r="AR18" s="68">
        <v>0</v>
      </c>
      <c r="AS18" s="36">
        <f t="shared" si="0"/>
        <v>1453.6903241772375</v>
      </c>
      <c r="AU18" s="36">
        <f t="shared" si="8"/>
        <v>2.0055046091368247</v>
      </c>
      <c r="AV18" s="36">
        <f t="shared" si="8"/>
        <v>2.1519390575298059</v>
      </c>
      <c r="AW18" s="36">
        <f t="shared" si="8"/>
        <v>1.5659662673914456</v>
      </c>
      <c r="AX18" s="36">
        <f t="shared" si="8"/>
        <v>2.6215156002226747</v>
      </c>
      <c r="AY18" s="36">
        <f t="shared" si="8"/>
        <v>6.1919777074916249</v>
      </c>
      <c r="AZ18" s="68">
        <v>0</v>
      </c>
      <c r="BA18" s="36">
        <f t="shared" si="1"/>
        <v>14.536903241772375</v>
      </c>
      <c r="BC18" s="36">
        <f t="shared" si="9"/>
        <v>2.0055046091368247</v>
      </c>
      <c r="BD18" s="36">
        <f t="shared" si="20"/>
        <v>2.1519390575298059</v>
      </c>
      <c r="BE18" s="36">
        <f t="shared" si="25"/>
        <v>1.5659662673914456</v>
      </c>
      <c r="BF18" s="36">
        <f t="shared" ref="BF18:BF48" si="31">AP18*$P$7</f>
        <v>2.6215156002226747</v>
      </c>
      <c r="BG18" s="36">
        <f>AQ18*$P$7</f>
        <v>6.1919777074916249</v>
      </c>
      <c r="BH18" s="68">
        <v>0</v>
      </c>
      <c r="BI18" s="36">
        <f t="shared" si="2"/>
        <v>14.536903241772375</v>
      </c>
      <c r="BK18" s="36">
        <f t="shared" si="10"/>
        <v>1482.764130660782</v>
      </c>
      <c r="BL18" s="36">
        <f t="shared" si="26"/>
        <v>4248.8448367977981</v>
      </c>
    </row>
    <row r="19" spans="2:64" x14ac:dyDescent="0.25">
      <c r="B19" s="65">
        <v>2023</v>
      </c>
      <c r="C19" s="36">
        <f>'General Information'!C36</f>
        <v>0</v>
      </c>
      <c r="D19" s="67"/>
      <c r="E19" s="67">
        <f t="shared" si="3"/>
        <v>0</v>
      </c>
      <c r="F19" s="67">
        <f t="shared" si="11"/>
        <v>0</v>
      </c>
      <c r="G19" s="67">
        <f t="shared" si="12"/>
        <v>0</v>
      </c>
      <c r="I19" s="67">
        <v>6</v>
      </c>
      <c r="J19" s="67" t="str">
        <f>'Mangifera indica'!Z19</f>
        <v>2023-2024</v>
      </c>
      <c r="K19" s="71">
        <v>5.7</v>
      </c>
      <c r="L19" s="72" t="s">
        <v>18</v>
      </c>
      <c r="M19" s="36">
        <f t="shared" si="13"/>
        <v>22.443458480603493</v>
      </c>
      <c r="N19" s="36">
        <f t="shared" si="14"/>
        <v>3.941045081918837</v>
      </c>
      <c r="O19" s="19"/>
      <c r="P19" s="67">
        <v>6</v>
      </c>
      <c r="Q19" s="67" t="s">
        <v>94</v>
      </c>
      <c r="R19" s="36">
        <f t="shared" si="4"/>
        <v>93.306315304141549</v>
      </c>
      <c r="S19" s="36">
        <f t="shared" si="15"/>
        <v>117.81418814777307</v>
      </c>
      <c r="T19" s="36">
        <f t="shared" si="21"/>
        <v>73.007985185601626</v>
      </c>
      <c r="U19" s="36">
        <f t="shared" si="27"/>
        <v>218.23370462013116</v>
      </c>
      <c r="V19" s="36">
        <f t="shared" ref="V19:V46" si="32">(N15*$G$18)/1000</f>
        <v>86.984421063618385</v>
      </c>
      <c r="W19" s="36"/>
      <c r="Y19" s="36">
        <f t="shared" si="5"/>
        <v>23.326578826035387</v>
      </c>
      <c r="Z19" s="36">
        <f t="shared" si="16"/>
        <v>29.453547036943267</v>
      </c>
      <c r="AA19" s="36">
        <f t="shared" si="22"/>
        <v>18.251996296400407</v>
      </c>
      <c r="AB19" s="36">
        <f t="shared" si="28"/>
        <v>54.558426155032791</v>
      </c>
      <c r="AC19" s="36">
        <f t="shared" ref="AC19:AC48" si="33">V19*$P$4</f>
        <v>21.746105265904596</v>
      </c>
      <c r="AD19" s="36"/>
      <c r="AF19" s="36">
        <f t="shared" si="17"/>
        <v>116.63289413017694</v>
      </c>
      <c r="AG19" s="36">
        <f t="shared" si="18"/>
        <v>147.26773518471634</v>
      </c>
      <c r="AH19" s="36">
        <f t="shared" si="23"/>
        <v>91.259981482002033</v>
      </c>
      <c r="AI19" s="36">
        <f t="shared" si="29"/>
        <v>272.79213077516397</v>
      </c>
      <c r="AJ19" s="36">
        <f t="shared" ref="AJ19:AJ48" si="34">V19+AC19</f>
        <v>108.73052632952297</v>
      </c>
      <c r="AK19" s="36">
        <f>N14*$G$19/1000</f>
        <v>0</v>
      </c>
      <c r="AM19" s="36">
        <f t="shared" si="6"/>
        <v>201.18007908514218</v>
      </c>
      <c r="AN19" s="36">
        <f t="shared" si="7"/>
        <v>254.02211642011721</v>
      </c>
      <c r="AO19" s="36">
        <f t="shared" si="19"/>
        <v>157.41434205830529</v>
      </c>
      <c r="AP19" s="36">
        <f t="shared" si="24"/>
        <v>470.5391463740803</v>
      </c>
      <c r="AQ19" s="36">
        <f t="shared" si="30"/>
        <v>187.54928486579416</v>
      </c>
      <c r="AR19" s="36">
        <f t="shared" ref="AR19:AR48" si="35">AK19*$N$7*$R$4</f>
        <v>0</v>
      </c>
      <c r="AS19" s="36">
        <f t="shared" si="0"/>
        <v>1270.704968803439</v>
      </c>
      <c r="AU19" s="36">
        <f t="shared" si="8"/>
        <v>2.0118007908514217</v>
      </c>
      <c r="AV19" s="36">
        <f t="shared" si="8"/>
        <v>2.5402211642011721</v>
      </c>
      <c r="AW19" s="36">
        <f t="shared" si="8"/>
        <v>1.5741434205830529</v>
      </c>
      <c r="AX19" s="36">
        <f t="shared" si="8"/>
        <v>4.7053914637408027</v>
      </c>
      <c r="AY19" s="36">
        <f t="shared" si="8"/>
        <v>1.8754928486579416</v>
      </c>
      <c r="AZ19" s="36">
        <f t="shared" si="8"/>
        <v>0</v>
      </c>
      <c r="BA19" s="36">
        <f t="shared" si="1"/>
        <v>12.707049688034392</v>
      </c>
      <c r="BC19" s="36">
        <f t="shared" si="9"/>
        <v>2.0118007908514217</v>
      </c>
      <c r="BD19" s="36">
        <f t="shared" si="20"/>
        <v>2.5402211642011721</v>
      </c>
      <c r="BE19" s="36">
        <f t="shared" si="25"/>
        <v>1.5741434205830529</v>
      </c>
      <c r="BF19" s="36">
        <f t="shared" si="31"/>
        <v>4.7053914637408027</v>
      </c>
      <c r="BG19" s="36">
        <f t="shared" ref="BG19:BG48" si="36">AQ19*$P$7</f>
        <v>1.8754928486579416</v>
      </c>
      <c r="BH19" s="36">
        <f>AR19*$P$7</f>
        <v>0</v>
      </c>
      <c r="BI19" s="36">
        <f t="shared" si="2"/>
        <v>12.707049688034392</v>
      </c>
      <c r="BK19" s="36">
        <f t="shared" si="10"/>
        <v>1296.1190681795078</v>
      </c>
      <c r="BL19" s="36">
        <f t="shared" si="26"/>
        <v>5544.9639049773059</v>
      </c>
    </row>
    <row r="20" spans="2:64" x14ac:dyDescent="0.25">
      <c r="B20" s="65">
        <v>2024</v>
      </c>
      <c r="C20" s="36">
        <v>0</v>
      </c>
      <c r="D20" s="67"/>
      <c r="E20" s="67">
        <f t="shared" si="3"/>
        <v>0</v>
      </c>
      <c r="F20" s="67">
        <f t="shared" si="11"/>
        <v>0</v>
      </c>
      <c r="G20" s="67">
        <f t="shared" si="12"/>
        <v>0</v>
      </c>
      <c r="I20" s="67">
        <v>7</v>
      </c>
      <c r="J20" s="67" t="str">
        <f>'Mangifera indica'!Z20</f>
        <v>2024-2025</v>
      </c>
      <c r="K20" s="33">
        <v>6.49</v>
      </c>
      <c r="L20" s="73"/>
      <c r="M20" s="36">
        <f t="shared" si="13"/>
        <v>25.110156446200378</v>
      </c>
      <c r="N20" s="36">
        <f t="shared" si="14"/>
        <v>2.6666979655968852</v>
      </c>
      <c r="O20" s="19"/>
      <c r="P20" s="67">
        <v>7</v>
      </c>
      <c r="Q20" s="67" t="s">
        <v>96</v>
      </c>
      <c r="R20" s="36">
        <f t="shared" si="4"/>
        <v>63.135477018636159</v>
      </c>
      <c r="S20" s="36">
        <f t="shared" si="15"/>
        <v>118.18405991658209</v>
      </c>
      <c r="T20" s="36">
        <f t="shared" si="21"/>
        <v>86.181078630095996</v>
      </c>
      <c r="U20" s="36">
        <f t="shared" si="27"/>
        <v>219.37327606008526</v>
      </c>
      <c r="V20" s="36">
        <f t="shared" si="32"/>
        <v>156.12943608514846</v>
      </c>
      <c r="W20" s="36"/>
      <c r="Y20" s="36">
        <f t="shared" si="5"/>
        <v>15.78386925465904</v>
      </c>
      <c r="Z20" s="36">
        <f t="shared" si="16"/>
        <v>29.546014979145522</v>
      </c>
      <c r="AA20" s="36">
        <f t="shared" si="22"/>
        <v>21.545269657523999</v>
      </c>
      <c r="AB20" s="36">
        <f t="shared" si="28"/>
        <v>54.843319015021315</v>
      </c>
      <c r="AC20" s="36">
        <f t="shared" si="33"/>
        <v>39.032359021287114</v>
      </c>
      <c r="AD20" s="36"/>
      <c r="AF20" s="36">
        <f t="shared" si="17"/>
        <v>78.919346273295204</v>
      </c>
      <c r="AG20" s="36">
        <f t="shared" si="18"/>
        <v>147.7300748957276</v>
      </c>
      <c r="AH20" s="36">
        <f t="shared" si="23"/>
        <v>107.72634828762</v>
      </c>
      <c r="AI20" s="36">
        <f t="shared" si="29"/>
        <v>274.21659507510657</v>
      </c>
      <c r="AJ20" s="36">
        <f t="shared" si="34"/>
        <v>195.16179510643556</v>
      </c>
      <c r="AK20" s="36">
        <f t="shared" ref="AK20:AK48" si="37">N15*$G$19/1000</f>
        <v>0</v>
      </c>
      <c r="AM20" s="36">
        <f t="shared" si="6"/>
        <v>136.12798038680688</v>
      </c>
      <c r="AN20" s="36">
        <f t="shared" si="7"/>
        <v>254.81960618764052</v>
      </c>
      <c r="AO20" s="36">
        <f t="shared" si="19"/>
        <v>185.81717816131572</v>
      </c>
      <c r="AP20" s="36">
        <f t="shared" si="24"/>
        <v>472.9962048450513</v>
      </c>
      <c r="AQ20" s="36">
        <f t="shared" si="30"/>
        <v>336.63458037909066</v>
      </c>
      <c r="AR20" s="36">
        <f t="shared" si="35"/>
        <v>0</v>
      </c>
      <c r="AS20" s="36">
        <f t="shared" si="0"/>
        <v>1386.3955499599051</v>
      </c>
      <c r="AU20" s="36">
        <f t="shared" si="8"/>
        <v>1.3612798038680689</v>
      </c>
      <c r="AV20" s="36">
        <f t="shared" si="8"/>
        <v>2.5481960618764052</v>
      </c>
      <c r="AW20" s="36">
        <f t="shared" si="8"/>
        <v>1.8581717816131573</v>
      </c>
      <c r="AX20" s="36">
        <f t="shared" si="8"/>
        <v>4.7299620484505134</v>
      </c>
      <c r="AY20" s="36">
        <f t="shared" si="8"/>
        <v>3.3663458037909066</v>
      </c>
      <c r="AZ20" s="36">
        <f t="shared" si="8"/>
        <v>0</v>
      </c>
      <c r="BA20" s="36">
        <f t="shared" si="1"/>
        <v>13.863955499599051</v>
      </c>
      <c r="BC20" s="36">
        <f t="shared" si="9"/>
        <v>1.3612798038680689</v>
      </c>
      <c r="BD20" s="36">
        <f t="shared" si="20"/>
        <v>2.5481960618764052</v>
      </c>
      <c r="BE20" s="36">
        <f t="shared" si="25"/>
        <v>1.8581717816131573</v>
      </c>
      <c r="BF20" s="36">
        <f t="shared" si="31"/>
        <v>4.7299620484505134</v>
      </c>
      <c r="BG20" s="36">
        <f t="shared" si="36"/>
        <v>3.3663458037909066</v>
      </c>
      <c r="BH20" s="36">
        <f t="shared" ref="BH20:BH48" si="38">AR20*$P$7</f>
        <v>0</v>
      </c>
      <c r="BI20" s="36">
        <f t="shared" si="2"/>
        <v>13.863955499599051</v>
      </c>
      <c r="BK20" s="36">
        <f t="shared" si="10"/>
        <v>1414.1234609591033</v>
      </c>
      <c r="BL20" s="36">
        <f t="shared" si="26"/>
        <v>6959.0873659364097</v>
      </c>
    </row>
    <row r="21" spans="2:64" x14ac:dyDescent="0.25">
      <c r="B21" s="67">
        <v>2025</v>
      </c>
      <c r="C21" s="36">
        <v>0</v>
      </c>
      <c r="D21" s="67"/>
      <c r="E21" s="67">
        <f t="shared" si="3"/>
        <v>0</v>
      </c>
      <c r="F21" s="67">
        <f t="shared" si="11"/>
        <v>0</v>
      </c>
      <c r="G21" s="67">
        <f t="shared" si="12"/>
        <v>0</v>
      </c>
      <c r="I21" s="67">
        <v>8</v>
      </c>
      <c r="J21" s="67" t="str">
        <f>'Mangifera indica'!Z21</f>
        <v>2025-2026</v>
      </c>
      <c r="K21" s="71">
        <v>7.28</v>
      </c>
      <c r="L21" s="72" t="s">
        <v>18</v>
      </c>
      <c r="M21" s="36">
        <f t="shared" si="13"/>
        <v>27.780762159913728</v>
      </c>
      <c r="N21" s="36">
        <f t="shared" si="14"/>
        <v>2.6706057137133499</v>
      </c>
      <c r="O21" s="19"/>
      <c r="P21" s="67">
        <v>8</v>
      </c>
      <c r="Q21" s="67" t="s">
        <v>97</v>
      </c>
      <c r="R21" s="36">
        <f t="shared" si="4"/>
        <v>63.227995010768964</v>
      </c>
      <c r="S21" s="36">
        <f t="shared" si="15"/>
        <v>79.96893859231939</v>
      </c>
      <c r="T21" s="36">
        <f t="shared" si="21"/>
        <v>86.451639828979793</v>
      </c>
      <c r="U21" s="36">
        <f t="shared" si="27"/>
        <v>258.95558554880517</v>
      </c>
      <c r="V21" s="36">
        <f t="shared" si="32"/>
        <v>156.94471183097545</v>
      </c>
      <c r="W21" s="36"/>
      <c r="Y21" s="36">
        <f t="shared" si="5"/>
        <v>15.806998752692241</v>
      </c>
      <c r="Z21" s="36">
        <f t="shared" si="16"/>
        <v>19.992234648079847</v>
      </c>
      <c r="AA21" s="36">
        <f t="shared" si="22"/>
        <v>21.612909957244948</v>
      </c>
      <c r="AB21" s="36">
        <f t="shared" si="28"/>
        <v>64.738896387201294</v>
      </c>
      <c r="AC21" s="36">
        <f t="shared" si="33"/>
        <v>39.236177957743863</v>
      </c>
      <c r="AD21" s="36"/>
      <c r="AF21" s="36">
        <f t="shared" si="17"/>
        <v>79.034993763461202</v>
      </c>
      <c r="AG21" s="36">
        <f t="shared" si="18"/>
        <v>99.961173240399233</v>
      </c>
      <c r="AH21" s="36">
        <f t="shared" si="23"/>
        <v>108.06454978622475</v>
      </c>
      <c r="AI21" s="36">
        <f t="shared" si="29"/>
        <v>323.69448193600647</v>
      </c>
      <c r="AJ21" s="36">
        <f t="shared" si="34"/>
        <v>196.1808897887193</v>
      </c>
      <c r="AK21" s="36">
        <f t="shared" si="37"/>
        <v>0</v>
      </c>
      <c r="AM21" s="36">
        <f t="shared" si="6"/>
        <v>136.32746074259421</v>
      </c>
      <c r="AN21" s="36">
        <f t="shared" si="7"/>
        <v>172.42302772236462</v>
      </c>
      <c r="AO21" s="36">
        <f t="shared" si="19"/>
        <v>186.40054192625905</v>
      </c>
      <c r="AP21" s="36">
        <f t="shared" si="24"/>
        <v>558.34061189141755</v>
      </c>
      <c r="AQ21" s="36">
        <f t="shared" si="30"/>
        <v>338.39241679656186</v>
      </c>
      <c r="AR21" s="36">
        <f t="shared" si="35"/>
        <v>0</v>
      </c>
      <c r="AS21" s="36">
        <f t="shared" si="0"/>
        <v>1391.8840590791974</v>
      </c>
      <c r="AU21" s="36">
        <f t="shared" si="8"/>
        <v>1.3632746074259421</v>
      </c>
      <c r="AV21" s="36">
        <f t="shared" si="8"/>
        <v>1.7242302772236462</v>
      </c>
      <c r="AW21" s="36">
        <f t="shared" si="8"/>
        <v>1.8640054192625906</v>
      </c>
      <c r="AX21" s="36">
        <f t="shared" si="8"/>
        <v>5.5834061189141755</v>
      </c>
      <c r="AY21" s="36">
        <f t="shared" si="8"/>
        <v>3.3839241679656187</v>
      </c>
      <c r="AZ21" s="36">
        <f t="shared" si="8"/>
        <v>0</v>
      </c>
      <c r="BA21" s="36">
        <f t="shared" si="1"/>
        <v>13.918840590791973</v>
      </c>
      <c r="BC21" s="36">
        <f t="shared" si="9"/>
        <v>1.3632746074259421</v>
      </c>
      <c r="BD21" s="36">
        <f t="shared" si="20"/>
        <v>1.7242302772236462</v>
      </c>
      <c r="BE21" s="36">
        <f t="shared" si="25"/>
        <v>1.8640054192625906</v>
      </c>
      <c r="BF21" s="36">
        <f t="shared" si="31"/>
        <v>5.5834061189141755</v>
      </c>
      <c r="BG21" s="36">
        <f t="shared" si="36"/>
        <v>3.3839241679656187</v>
      </c>
      <c r="BH21" s="36">
        <f t="shared" si="38"/>
        <v>0</v>
      </c>
      <c r="BI21" s="36">
        <f t="shared" si="2"/>
        <v>13.918840590791973</v>
      </c>
      <c r="BK21" s="36">
        <f t="shared" si="10"/>
        <v>1419.7217402607812</v>
      </c>
      <c r="BL21" s="36">
        <f t="shared" si="26"/>
        <v>8378.80910619719</v>
      </c>
    </row>
    <row r="22" spans="2:64" x14ac:dyDescent="0.25">
      <c r="B22" s="67">
        <v>2026</v>
      </c>
      <c r="C22" s="36">
        <f>'General Information'!C43</f>
        <v>0</v>
      </c>
      <c r="D22" s="67"/>
      <c r="E22" s="67">
        <f t="shared" si="3"/>
        <v>0</v>
      </c>
      <c r="F22" s="67">
        <f t="shared" si="11"/>
        <v>0</v>
      </c>
      <c r="G22" s="67">
        <f t="shared" si="12"/>
        <v>0</v>
      </c>
      <c r="I22" s="67">
        <v>9</v>
      </c>
      <c r="J22" s="67" t="str">
        <f>'Mangifera indica'!Z22</f>
        <v>2026-2027</v>
      </c>
      <c r="K22" s="33">
        <v>8.5549999999999997</v>
      </c>
      <c r="L22" s="73"/>
      <c r="M22" s="36">
        <f t="shared" si="13"/>
        <v>32.098122819409049</v>
      </c>
      <c r="N22" s="36">
        <f t="shared" si="14"/>
        <v>4.3173606594953213</v>
      </c>
      <c r="O22" s="19"/>
      <c r="P22" s="67">
        <v>9</v>
      </c>
      <c r="Q22" s="67" t="s">
        <v>98</v>
      </c>
      <c r="R22" s="36">
        <f t="shared" si="4"/>
        <v>102.21578454525861</v>
      </c>
      <c r="S22" s="36">
        <f t="shared" si="15"/>
        <v>80.086124142835942</v>
      </c>
      <c r="T22" s="36">
        <f t="shared" si="21"/>
        <v>58.497278580281645</v>
      </c>
      <c r="U22" s="36">
        <f t="shared" si="27"/>
        <v>259.76856369664739</v>
      </c>
      <c r="V22" s="36">
        <f t="shared" si="32"/>
        <v>185.26281086237316</v>
      </c>
      <c r="W22" s="36"/>
      <c r="Y22" s="36">
        <f t="shared" si="5"/>
        <v>25.553946136314654</v>
      </c>
      <c r="Z22" s="36">
        <f t="shared" si="16"/>
        <v>20.021531035708986</v>
      </c>
      <c r="AA22" s="36">
        <f t="shared" si="22"/>
        <v>14.624319645070411</v>
      </c>
      <c r="AB22" s="36">
        <f t="shared" si="28"/>
        <v>64.942140924161848</v>
      </c>
      <c r="AC22" s="36">
        <f t="shared" si="33"/>
        <v>46.315702715593289</v>
      </c>
      <c r="AD22" s="36"/>
      <c r="AF22" s="36">
        <f t="shared" si="17"/>
        <v>127.76973068157326</v>
      </c>
      <c r="AG22" s="36">
        <f t="shared" si="18"/>
        <v>100.10765517854493</v>
      </c>
      <c r="AH22" s="36">
        <f t="shared" si="23"/>
        <v>73.121598225352059</v>
      </c>
      <c r="AI22" s="36">
        <f t="shared" si="29"/>
        <v>324.71070462080922</v>
      </c>
      <c r="AJ22" s="36">
        <f t="shared" si="34"/>
        <v>231.57851357796645</v>
      </c>
      <c r="AK22" s="36">
        <f t="shared" si="37"/>
        <v>0</v>
      </c>
      <c r="AM22" s="36">
        <f t="shared" si="6"/>
        <v>220.3900084526457</v>
      </c>
      <c r="AN22" s="36">
        <f t="shared" si="7"/>
        <v>172.67569441747213</v>
      </c>
      <c r="AO22" s="36">
        <f t="shared" si="19"/>
        <v>126.12744477890976</v>
      </c>
      <c r="AP22" s="36">
        <f t="shared" si="24"/>
        <v>560.09349440043388</v>
      </c>
      <c r="AQ22" s="36">
        <f t="shared" si="30"/>
        <v>399.4497780706343</v>
      </c>
      <c r="AR22" s="36">
        <f t="shared" si="35"/>
        <v>0</v>
      </c>
      <c r="AS22" s="36">
        <f t="shared" si="0"/>
        <v>1478.7364201200958</v>
      </c>
      <c r="AU22" s="36">
        <f t="shared" si="8"/>
        <v>2.2039000845264569</v>
      </c>
      <c r="AV22" s="36">
        <f t="shared" si="8"/>
        <v>1.7267569441747213</v>
      </c>
      <c r="AW22" s="36">
        <f t="shared" si="8"/>
        <v>1.2612744477890976</v>
      </c>
      <c r="AX22" s="36">
        <f t="shared" si="8"/>
        <v>5.6009349440043392</v>
      </c>
      <c r="AY22" s="36">
        <f t="shared" si="8"/>
        <v>3.9944977807063431</v>
      </c>
      <c r="AZ22" s="36">
        <f t="shared" si="8"/>
        <v>0</v>
      </c>
      <c r="BA22" s="36">
        <f t="shared" si="1"/>
        <v>14.787364201200958</v>
      </c>
      <c r="BC22" s="36">
        <f t="shared" si="9"/>
        <v>2.2039000845264569</v>
      </c>
      <c r="BD22" s="36">
        <f t="shared" si="20"/>
        <v>1.7267569441747213</v>
      </c>
      <c r="BE22" s="36">
        <f t="shared" si="25"/>
        <v>1.2612744477890976</v>
      </c>
      <c r="BF22" s="36">
        <f t="shared" si="31"/>
        <v>5.6009349440043392</v>
      </c>
      <c r="BG22" s="36">
        <f t="shared" si="36"/>
        <v>3.9944977807063431</v>
      </c>
      <c r="BH22" s="36">
        <f t="shared" si="38"/>
        <v>0</v>
      </c>
      <c r="BI22" s="36">
        <f t="shared" si="2"/>
        <v>14.787364201200958</v>
      </c>
      <c r="BK22" s="36">
        <f t="shared" si="10"/>
        <v>1508.3111485224977</v>
      </c>
      <c r="BL22" s="36">
        <f t="shared" si="26"/>
        <v>9887.1202547196881</v>
      </c>
    </row>
    <row r="23" spans="2:64" x14ac:dyDescent="0.25">
      <c r="B23" s="67">
        <v>2027</v>
      </c>
      <c r="C23" s="36">
        <f>'General Information'!C44</f>
        <v>0</v>
      </c>
      <c r="D23" s="67"/>
      <c r="E23" s="67">
        <f t="shared" si="3"/>
        <v>0</v>
      </c>
      <c r="F23" s="67">
        <f t="shared" si="11"/>
        <v>0</v>
      </c>
      <c r="G23" s="67">
        <f t="shared" si="12"/>
        <v>0</v>
      </c>
      <c r="I23" s="67">
        <v>10</v>
      </c>
      <c r="J23" s="67" t="str">
        <f>'Mangifera indica'!Z23</f>
        <v>2027-2028</v>
      </c>
      <c r="K23" s="71">
        <v>9.83</v>
      </c>
      <c r="L23" s="72" t="s">
        <v>18</v>
      </c>
      <c r="M23" s="36">
        <f t="shared" si="13"/>
        <v>36.423240393234849</v>
      </c>
      <c r="N23" s="36">
        <f t="shared" si="14"/>
        <v>4.3251175738257999</v>
      </c>
      <c r="O23" s="19"/>
      <c r="P23" s="67">
        <v>10</v>
      </c>
      <c r="Q23" s="67" t="s">
        <v>99</v>
      </c>
      <c r="R23" s="36">
        <f t="shared" si="4"/>
        <v>102.39943357216964</v>
      </c>
      <c r="S23" s="36">
        <f t="shared" si="15"/>
        <v>129.46901145694568</v>
      </c>
      <c r="T23" s="36">
        <f t="shared" si="21"/>
        <v>58.582999810484495</v>
      </c>
      <c r="U23" s="36">
        <f t="shared" si="27"/>
        <v>175.77172702591801</v>
      </c>
      <c r="V23" s="36">
        <f t="shared" si="32"/>
        <v>185.84443421882531</v>
      </c>
      <c r="W23" s="36"/>
      <c r="Y23" s="36">
        <f t="shared" si="5"/>
        <v>25.59985839304241</v>
      </c>
      <c r="Z23" s="36">
        <f t="shared" si="16"/>
        <v>32.36725286423642</v>
      </c>
      <c r="AA23" s="36">
        <f t="shared" si="22"/>
        <v>14.645749952621124</v>
      </c>
      <c r="AB23" s="36">
        <f t="shared" si="28"/>
        <v>43.942931756479503</v>
      </c>
      <c r="AC23" s="36">
        <f t="shared" si="33"/>
        <v>46.461108554706328</v>
      </c>
      <c r="AD23" s="36"/>
      <c r="AF23" s="36">
        <f t="shared" si="17"/>
        <v>127.99929196521205</v>
      </c>
      <c r="AG23" s="36">
        <f t="shared" si="18"/>
        <v>161.83626432118211</v>
      </c>
      <c r="AH23" s="36">
        <f t="shared" si="23"/>
        <v>73.228749763105611</v>
      </c>
      <c r="AI23" s="36">
        <f t="shared" si="29"/>
        <v>219.71465878239752</v>
      </c>
      <c r="AJ23" s="36">
        <f t="shared" si="34"/>
        <v>232.30554277353164</v>
      </c>
      <c r="AK23" s="36">
        <f t="shared" si="37"/>
        <v>0</v>
      </c>
      <c r="AM23" s="36">
        <f t="shared" si="6"/>
        <v>220.78597871079427</v>
      </c>
      <c r="AN23" s="36">
        <f t="shared" si="7"/>
        <v>279.15137232760696</v>
      </c>
      <c r="AO23" s="36">
        <f t="shared" si="19"/>
        <v>126.31227046638087</v>
      </c>
      <c r="AP23" s="36">
        <f t="shared" si="24"/>
        <v>378.98581493375747</v>
      </c>
      <c r="AQ23" s="36">
        <f t="shared" si="30"/>
        <v>400.70383073006474</v>
      </c>
      <c r="AR23" s="36">
        <f t="shared" si="35"/>
        <v>0</v>
      </c>
      <c r="AS23" s="36">
        <f t="shared" si="0"/>
        <v>1405.9392671686044</v>
      </c>
      <c r="AU23" s="36">
        <f t="shared" si="8"/>
        <v>2.2078597871079428</v>
      </c>
      <c r="AV23" s="36">
        <f t="shared" si="8"/>
        <v>2.7915137232760698</v>
      </c>
      <c r="AW23" s="36">
        <f t="shared" si="8"/>
        <v>1.2631227046638087</v>
      </c>
      <c r="AX23" s="36">
        <f t="shared" si="8"/>
        <v>3.7898581493375749</v>
      </c>
      <c r="AY23" s="36">
        <f t="shared" si="8"/>
        <v>4.0070383073006477</v>
      </c>
      <c r="AZ23" s="36">
        <f t="shared" si="8"/>
        <v>0</v>
      </c>
      <c r="BA23" s="36">
        <f t="shared" si="1"/>
        <v>14.059392671686044</v>
      </c>
      <c r="BC23" s="36">
        <f t="shared" si="9"/>
        <v>2.2078597871079428</v>
      </c>
      <c r="BD23" s="36">
        <f t="shared" si="20"/>
        <v>2.7915137232760698</v>
      </c>
      <c r="BE23" s="36">
        <f t="shared" si="25"/>
        <v>1.2631227046638087</v>
      </c>
      <c r="BF23" s="36">
        <f t="shared" si="31"/>
        <v>3.7898581493375749</v>
      </c>
      <c r="BG23" s="36">
        <f t="shared" si="36"/>
        <v>4.0070383073006477</v>
      </c>
      <c r="BH23" s="36">
        <f t="shared" si="38"/>
        <v>0</v>
      </c>
      <c r="BI23" s="36">
        <f t="shared" si="2"/>
        <v>14.059392671686044</v>
      </c>
      <c r="BK23" s="36">
        <f t="shared" si="10"/>
        <v>1434.0580525119765</v>
      </c>
      <c r="BL23" s="36">
        <f t="shared" si="26"/>
        <v>11321.178307231665</v>
      </c>
    </row>
    <row r="24" spans="2:64" x14ac:dyDescent="0.25">
      <c r="B24" s="67">
        <v>2028</v>
      </c>
      <c r="C24" s="36">
        <v>0</v>
      </c>
      <c r="D24" s="67"/>
      <c r="E24" s="67">
        <v>0</v>
      </c>
      <c r="F24" s="67">
        <v>0</v>
      </c>
      <c r="G24" s="67">
        <v>0</v>
      </c>
      <c r="I24" s="67">
        <v>11</v>
      </c>
      <c r="J24" s="67" t="str">
        <f>'Mangifera indica'!Z24</f>
        <v>2028-2029</v>
      </c>
      <c r="K24" s="33">
        <v>11.105</v>
      </c>
      <c r="L24" s="73"/>
      <c r="M24" s="36">
        <f t="shared" si="13"/>
        <v>40.755113998881782</v>
      </c>
      <c r="N24" s="36">
        <f t="shared" si="14"/>
        <v>4.3318736056469334</v>
      </c>
      <c r="O24" s="19"/>
      <c r="P24" s="67">
        <v>11</v>
      </c>
      <c r="Q24" s="67" t="s">
        <v>100</v>
      </c>
      <c r="R24" s="36">
        <f t="shared" si="4"/>
        <v>102.55938617920771</v>
      </c>
      <c r="S24" s="36">
        <f t="shared" si="15"/>
        <v>129.70162580388808</v>
      </c>
      <c r="T24" s="36">
        <f t="shared" si="21"/>
        <v>94.706581880755778</v>
      </c>
      <c r="U24" s="36">
        <f t="shared" si="27"/>
        <v>176.02930086595339</v>
      </c>
      <c r="V24" s="36">
        <f t="shared" si="32"/>
        <v>125.75115593642224</v>
      </c>
      <c r="W24" s="36"/>
      <c r="Y24" s="36">
        <f t="shared" si="5"/>
        <v>25.639846544801927</v>
      </c>
      <c r="Z24" s="36">
        <f t="shared" si="16"/>
        <v>32.425406450972019</v>
      </c>
      <c r="AA24" s="36">
        <f t="shared" si="22"/>
        <v>23.676645470188944</v>
      </c>
      <c r="AB24" s="36">
        <f t="shared" si="28"/>
        <v>44.007325216488347</v>
      </c>
      <c r="AC24" s="36">
        <f t="shared" si="33"/>
        <v>31.437788984105559</v>
      </c>
      <c r="AD24" s="36"/>
      <c r="AF24" s="36">
        <f t="shared" si="17"/>
        <v>128.19923272400962</v>
      </c>
      <c r="AG24" s="36">
        <f t="shared" si="18"/>
        <v>162.1270322548601</v>
      </c>
      <c r="AH24" s="36">
        <f t="shared" si="23"/>
        <v>118.38322735094472</v>
      </c>
      <c r="AI24" s="36">
        <f t="shared" si="29"/>
        <v>220.03662608244173</v>
      </c>
      <c r="AJ24" s="36">
        <f t="shared" si="34"/>
        <v>157.1889449205278</v>
      </c>
      <c r="AK24" s="36">
        <f t="shared" si="37"/>
        <v>0</v>
      </c>
      <c r="AM24" s="36">
        <f t="shared" si="6"/>
        <v>221.13085652564419</v>
      </c>
      <c r="AN24" s="36">
        <f t="shared" si="7"/>
        <v>279.65291793640819</v>
      </c>
      <c r="AO24" s="36">
        <f t="shared" si="19"/>
        <v>204.19922885764456</v>
      </c>
      <c r="AP24" s="36">
        <f t="shared" si="24"/>
        <v>379.54117632960373</v>
      </c>
      <c r="AQ24" s="36">
        <f t="shared" si="30"/>
        <v>271.13521109341843</v>
      </c>
      <c r="AR24" s="36">
        <f t="shared" si="35"/>
        <v>0</v>
      </c>
      <c r="AS24" s="36">
        <f t="shared" si="0"/>
        <v>1355.6593907427191</v>
      </c>
      <c r="AU24" s="36">
        <f t="shared" si="8"/>
        <v>2.2113085652564419</v>
      </c>
      <c r="AV24" s="36">
        <f t="shared" si="8"/>
        <v>2.7965291793640819</v>
      </c>
      <c r="AW24" s="36">
        <f t="shared" si="8"/>
        <v>2.0419922885764454</v>
      </c>
      <c r="AX24" s="36">
        <f t="shared" si="8"/>
        <v>3.7954117632960376</v>
      </c>
      <c r="AY24" s="36">
        <f t="shared" si="8"/>
        <v>2.7113521109341843</v>
      </c>
      <c r="AZ24" s="36">
        <f t="shared" si="8"/>
        <v>0</v>
      </c>
      <c r="BA24" s="36">
        <f t="shared" si="1"/>
        <v>13.556593907427191</v>
      </c>
      <c r="BC24" s="36">
        <f t="shared" si="9"/>
        <v>2.2113085652564419</v>
      </c>
      <c r="BD24" s="36">
        <f t="shared" si="20"/>
        <v>2.7965291793640819</v>
      </c>
      <c r="BE24" s="36">
        <f t="shared" si="25"/>
        <v>2.0419922885764454</v>
      </c>
      <c r="BF24" s="36">
        <f t="shared" si="31"/>
        <v>3.7954117632960376</v>
      </c>
      <c r="BG24" s="36">
        <f t="shared" si="36"/>
        <v>2.7113521109341843</v>
      </c>
      <c r="BH24" s="36">
        <f t="shared" si="38"/>
        <v>0</v>
      </c>
      <c r="BI24" s="36">
        <f t="shared" si="2"/>
        <v>13.556593907427191</v>
      </c>
      <c r="BK24" s="36">
        <f t="shared" si="10"/>
        <v>1382.7725785575735</v>
      </c>
      <c r="BL24" s="36">
        <f t="shared" si="26"/>
        <v>12703.950885789238</v>
      </c>
    </row>
    <row r="25" spans="2:64" x14ac:dyDescent="0.25">
      <c r="B25" s="67">
        <v>2029</v>
      </c>
      <c r="C25" s="36">
        <v>0</v>
      </c>
      <c r="D25" s="67"/>
      <c r="E25" s="67">
        <v>0</v>
      </c>
      <c r="F25" s="67">
        <v>0</v>
      </c>
      <c r="G25" s="67">
        <v>0</v>
      </c>
      <c r="I25" s="67">
        <v>12</v>
      </c>
      <c r="J25" s="67" t="str">
        <f>'Mangifera indica'!Z25</f>
        <v>2029-2030</v>
      </c>
      <c r="K25" s="33">
        <v>12.38</v>
      </c>
      <c r="L25" s="73"/>
      <c r="M25" s="36">
        <f t="shared" si="13"/>
        <v>45.092973110967151</v>
      </c>
      <c r="N25" s="36">
        <f t="shared" si="14"/>
        <v>4.3378591120853685</v>
      </c>
      <c r="O25" s="19"/>
      <c r="P25" s="67">
        <v>12</v>
      </c>
      <c r="Q25" s="67" t="s">
        <v>101</v>
      </c>
      <c r="R25" s="36">
        <f t="shared" si="4"/>
        <v>102.70109619251404</v>
      </c>
      <c r="S25" s="36">
        <f t="shared" si="15"/>
        <v>129.90422568614025</v>
      </c>
      <c r="T25" s="36">
        <f t="shared" si="21"/>
        <v>94.876739275544139</v>
      </c>
      <c r="U25" s="36">
        <f t="shared" si="27"/>
        <v>284.57288718236663</v>
      </c>
      <c r="V25" s="36">
        <f t="shared" si="32"/>
        <v>125.9354302146095</v>
      </c>
      <c r="W25" s="36"/>
      <c r="Y25" s="36">
        <f t="shared" si="5"/>
        <v>25.675274048128511</v>
      </c>
      <c r="Z25" s="36">
        <f t="shared" si="16"/>
        <v>32.476056421535063</v>
      </c>
      <c r="AA25" s="36">
        <f t="shared" si="22"/>
        <v>23.719184818886035</v>
      </c>
      <c r="AB25" s="36">
        <f t="shared" si="28"/>
        <v>71.143221795591657</v>
      </c>
      <c r="AC25" s="36">
        <f t="shared" si="33"/>
        <v>31.483857553652374</v>
      </c>
      <c r="AD25" s="36"/>
      <c r="AF25" s="36">
        <f t="shared" si="17"/>
        <v>128.37637024064256</v>
      </c>
      <c r="AG25" s="36">
        <f t="shared" si="18"/>
        <v>162.38028210767533</v>
      </c>
      <c r="AH25" s="36">
        <f t="shared" si="23"/>
        <v>118.59592409443017</v>
      </c>
      <c r="AI25" s="36">
        <f t="shared" si="29"/>
        <v>355.7161089779583</v>
      </c>
      <c r="AJ25" s="36">
        <f t="shared" si="34"/>
        <v>157.41928776826188</v>
      </c>
      <c r="AK25" s="36">
        <f t="shared" si="37"/>
        <v>0</v>
      </c>
      <c r="AM25" s="36">
        <f t="shared" si="6"/>
        <v>221.43640102808433</v>
      </c>
      <c r="AN25" s="36">
        <f t="shared" si="7"/>
        <v>280.08974860752915</v>
      </c>
      <c r="AO25" s="36">
        <f t="shared" si="19"/>
        <v>204.56610947048259</v>
      </c>
      <c r="AP25" s="36">
        <f t="shared" si="24"/>
        <v>613.57471637608023</v>
      </c>
      <c r="AQ25" s="36">
        <f t="shared" si="30"/>
        <v>271.5325294714749</v>
      </c>
      <c r="AR25" s="36">
        <f t="shared" si="35"/>
        <v>0</v>
      </c>
      <c r="AS25" s="36">
        <f t="shared" si="0"/>
        <v>1591.1995049536513</v>
      </c>
      <c r="AU25" s="36">
        <f t="shared" si="8"/>
        <v>2.2143640102808435</v>
      </c>
      <c r="AV25" s="36">
        <f t="shared" si="8"/>
        <v>2.8008974860752915</v>
      </c>
      <c r="AW25" s="36">
        <f t="shared" si="8"/>
        <v>2.0456610947048257</v>
      </c>
      <c r="AX25" s="36">
        <f t="shared" si="8"/>
        <v>6.1357471637608025</v>
      </c>
      <c r="AY25" s="36">
        <f t="shared" si="8"/>
        <v>2.715325294714749</v>
      </c>
      <c r="AZ25" s="36">
        <f t="shared" si="8"/>
        <v>0</v>
      </c>
      <c r="BA25" s="36">
        <f t="shared" si="1"/>
        <v>15.911995049536513</v>
      </c>
      <c r="BC25" s="36">
        <f t="shared" si="9"/>
        <v>2.2143640102808435</v>
      </c>
      <c r="BD25" s="36">
        <f t="shared" si="20"/>
        <v>2.8008974860752915</v>
      </c>
      <c r="BE25" s="36">
        <f t="shared" si="25"/>
        <v>2.0456610947048257</v>
      </c>
      <c r="BF25" s="36">
        <f t="shared" si="31"/>
        <v>6.1357471637608025</v>
      </c>
      <c r="BG25" s="36">
        <f t="shared" si="36"/>
        <v>2.715325294714749</v>
      </c>
      <c r="BH25" s="36">
        <f t="shared" si="38"/>
        <v>0</v>
      </c>
      <c r="BI25" s="36">
        <f t="shared" si="2"/>
        <v>15.911995049536513</v>
      </c>
      <c r="BK25" s="36">
        <f t="shared" si="10"/>
        <v>1623.0234950527242</v>
      </c>
      <c r="BL25" s="36">
        <f t="shared" si="26"/>
        <v>14326.974380841963</v>
      </c>
    </row>
    <row r="26" spans="2:64" x14ac:dyDescent="0.25">
      <c r="B26" s="67">
        <v>2030</v>
      </c>
      <c r="C26" s="36">
        <v>0</v>
      </c>
      <c r="D26" s="67"/>
      <c r="E26" s="67">
        <v>0</v>
      </c>
      <c r="F26" s="67">
        <v>0</v>
      </c>
      <c r="G26" s="67">
        <v>0</v>
      </c>
      <c r="I26" s="67">
        <v>13</v>
      </c>
      <c r="J26" s="67" t="str">
        <f>'Mangifera indica'!Z26</f>
        <v>2030-2031</v>
      </c>
      <c r="K26" s="33">
        <v>13.654999999999999</v>
      </c>
      <c r="L26" s="73"/>
      <c r="M26" s="36">
        <f t="shared" si="13"/>
        <v>49.436206014267071</v>
      </c>
      <c r="N26" s="36">
        <f t="shared" si="14"/>
        <v>4.3432329032999206</v>
      </c>
      <c r="O26" s="19"/>
      <c r="P26" s="67">
        <v>13</v>
      </c>
      <c r="Q26" s="67" t="s">
        <v>102</v>
      </c>
      <c r="R26" s="36">
        <f t="shared" si="4"/>
        <v>102.82832352613275</v>
      </c>
      <c r="S26" s="36">
        <f t="shared" si="15"/>
        <v>130.08371905321604</v>
      </c>
      <c r="T26" s="36">
        <f t="shared" si="21"/>
        <v>95.024941089411584</v>
      </c>
      <c r="U26" s="36">
        <f t="shared" si="27"/>
        <v>285.08417351694595</v>
      </c>
      <c r="V26" s="36">
        <f t="shared" si="32"/>
        <v>203.5900205160471</v>
      </c>
      <c r="W26" s="36"/>
      <c r="Y26" s="36">
        <f t="shared" si="5"/>
        <v>25.707080881533187</v>
      </c>
      <c r="Z26" s="36">
        <f t="shared" si="16"/>
        <v>32.520929763304011</v>
      </c>
      <c r="AA26" s="36">
        <f t="shared" si="22"/>
        <v>23.756235272352896</v>
      </c>
      <c r="AB26" s="36">
        <f t="shared" si="28"/>
        <v>71.271043379236488</v>
      </c>
      <c r="AC26" s="36">
        <f t="shared" si="33"/>
        <v>50.897505129011776</v>
      </c>
      <c r="AD26" s="36"/>
      <c r="AF26" s="36">
        <f t="shared" si="17"/>
        <v>128.53540440766594</v>
      </c>
      <c r="AG26" s="36">
        <f t="shared" si="18"/>
        <v>162.60464881652007</v>
      </c>
      <c r="AH26" s="36">
        <f t="shared" si="23"/>
        <v>118.78117636176448</v>
      </c>
      <c r="AI26" s="36">
        <f t="shared" si="29"/>
        <v>356.35521689618247</v>
      </c>
      <c r="AJ26" s="36">
        <f t="shared" si="34"/>
        <v>254.48752564505889</v>
      </c>
      <c r="AK26" s="36">
        <f t="shared" si="37"/>
        <v>0</v>
      </c>
      <c r="AM26" s="36">
        <f t="shared" si="6"/>
        <v>221.71071906278297</v>
      </c>
      <c r="AN26" s="36">
        <f t="shared" si="7"/>
        <v>280.47675874361545</v>
      </c>
      <c r="AO26" s="36">
        <f t="shared" si="19"/>
        <v>204.88565110640755</v>
      </c>
      <c r="AP26" s="36">
        <f t="shared" si="24"/>
        <v>614.67711362422506</v>
      </c>
      <c r="AQ26" s="36">
        <f t="shared" si="30"/>
        <v>438.96553298516204</v>
      </c>
      <c r="AR26" s="36">
        <f t="shared" si="35"/>
        <v>0</v>
      </c>
      <c r="AS26" s="36">
        <f t="shared" si="0"/>
        <v>1760.7157755221931</v>
      </c>
      <c r="AU26" s="36">
        <f t="shared" si="8"/>
        <v>2.2171071906278299</v>
      </c>
      <c r="AV26" s="36">
        <f t="shared" si="8"/>
        <v>2.8047675874361544</v>
      </c>
      <c r="AW26" s="36">
        <f t="shared" si="8"/>
        <v>2.0488565110640757</v>
      </c>
      <c r="AX26" s="36">
        <f t="shared" si="8"/>
        <v>6.1467711362422506</v>
      </c>
      <c r="AY26" s="36">
        <f t="shared" si="8"/>
        <v>4.3896553298516201</v>
      </c>
      <c r="AZ26" s="36">
        <f t="shared" si="8"/>
        <v>0</v>
      </c>
      <c r="BA26" s="36">
        <f t="shared" si="1"/>
        <v>17.60715775522193</v>
      </c>
      <c r="BC26" s="36">
        <f t="shared" si="9"/>
        <v>2.2171071906278299</v>
      </c>
      <c r="BD26" s="36">
        <f t="shared" si="20"/>
        <v>2.8047675874361544</v>
      </c>
      <c r="BE26" s="36">
        <f t="shared" si="25"/>
        <v>2.0488565110640757</v>
      </c>
      <c r="BF26" s="36">
        <f t="shared" si="31"/>
        <v>6.1467711362422506</v>
      </c>
      <c r="BG26" s="36">
        <f t="shared" si="36"/>
        <v>4.3896553298516201</v>
      </c>
      <c r="BH26" s="36">
        <f t="shared" si="38"/>
        <v>0</v>
      </c>
      <c r="BI26" s="36">
        <f t="shared" si="2"/>
        <v>17.60715775522193</v>
      </c>
      <c r="BK26" s="36">
        <f t="shared" si="10"/>
        <v>1795.9300910326372</v>
      </c>
      <c r="BL26" s="36">
        <f t="shared" si="26"/>
        <v>16122.904471874599</v>
      </c>
    </row>
    <row r="27" spans="2:64" x14ac:dyDescent="0.25">
      <c r="B27" s="67">
        <v>2031</v>
      </c>
      <c r="C27" s="36">
        <v>0</v>
      </c>
      <c r="D27" s="67"/>
      <c r="E27" s="67">
        <v>0</v>
      </c>
      <c r="F27" s="67">
        <v>0</v>
      </c>
      <c r="G27" s="67">
        <v>0</v>
      </c>
      <c r="I27" s="67">
        <v>14</v>
      </c>
      <c r="J27" s="67" t="str">
        <f>'Mangifera indica'!Z27</f>
        <v>2031-2032</v>
      </c>
      <c r="K27" s="33">
        <v>14.93</v>
      </c>
      <c r="L27" s="73"/>
      <c r="M27" s="36">
        <f t="shared" si="13"/>
        <v>53.784315162712517</v>
      </c>
      <c r="N27" s="36">
        <f t="shared" si="14"/>
        <v>4.3481091484454453</v>
      </c>
      <c r="O27" s="19"/>
      <c r="P27" s="67">
        <v>14</v>
      </c>
      <c r="Q27" s="67" t="s">
        <v>103</v>
      </c>
      <c r="R27" s="36">
        <f t="shared" si="4"/>
        <v>102.943771194858</v>
      </c>
      <c r="S27" s="36">
        <f t="shared" si="15"/>
        <v>130.24486830415802</v>
      </c>
      <c r="T27" s="36">
        <f t="shared" si="21"/>
        <v>95.156240487427539</v>
      </c>
      <c r="U27" s="36">
        <f t="shared" si="27"/>
        <v>285.52948805813628</v>
      </c>
      <c r="V27" s="36">
        <f t="shared" si="32"/>
        <v>203.95580657661401</v>
      </c>
      <c r="W27" s="36"/>
      <c r="Y27" s="36">
        <f t="shared" si="5"/>
        <v>25.7359427987145</v>
      </c>
      <c r="Z27" s="36">
        <f t="shared" si="16"/>
        <v>32.561217076039505</v>
      </c>
      <c r="AA27" s="36">
        <f t="shared" si="22"/>
        <v>23.789060121856885</v>
      </c>
      <c r="AB27" s="36">
        <f t="shared" si="28"/>
        <v>71.38237201453407</v>
      </c>
      <c r="AC27" s="36">
        <f t="shared" si="33"/>
        <v>50.988951644153502</v>
      </c>
      <c r="AD27" s="36"/>
      <c r="AF27" s="36">
        <f t="shared" si="17"/>
        <v>128.67971399357251</v>
      </c>
      <c r="AG27" s="36">
        <f t="shared" si="18"/>
        <v>162.80608538019752</v>
      </c>
      <c r="AH27" s="36">
        <f t="shared" si="23"/>
        <v>118.94530060928443</v>
      </c>
      <c r="AI27" s="36">
        <f t="shared" si="29"/>
        <v>356.91186007267038</v>
      </c>
      <c r="AJ27" s="36">
        <f t="shared" si="34"/>
        <v>254.94475822076751</v>
      </c>
      <c r="AK27" s="36">
        <f t="shared" si="37"/>
        <v>0</v>
      </c>
      <c r="AM27" s="36">
        <f t="shared" si="6"/>
        <v>221.95963866751319</v>
      </c>
      <c r="AN27" s="36">
        <f t="shared" si="7"/>
        <v>280.82421667230267</v>
      </c>
      <c r="AO27" s="36">
        <f t="shared" si="19"/>
        <v>205.16874902095469</v>
      </c>
      <c r="AP27" s="36">
        <f t="shared" si="24"/>
        <v>615.6372674393491</v>
      </c>
      <c r="AQ27" s="36">
        <f t="shared" si="30"/>
        <v>439.75421345500183</v>
      </c>
      <c r="AR27" s="36">
        <f t="shared" si="35"/>
        <v>0</v>
      </c>
      <c r="AS27" s="36">
        <f t="shared" si="0"/>
        <v>1763.3440852551216</v>
      </c>
      <c r="AU27" s="36">
        <f t="shared" si="8"/>
        <v>2.219596386675132</v>
      </c>
      <c r="AV27" s="36">
        <f t="shared" si="8"/>
        <v>2.8082421667230268</v>
      </c>
      <c r="AW27" s="36">
        <f t="shared" si="8"/>
        <v>2.051687490209547</v>
      </c>
      <c r="AX27" s="36">
        <f t="shared" si="8"/>
        <v>6.1563726743934915</v>
      </c>
      <c r="AY27" s="36">
        <f t="shared" si="8"/>
        <v>4.3975421345500187</v>
      </c>
      <c r="AZ27" s="36">
        <f t="shared" si="8"/>
        <v>0</v>
      </c>
      <c r="BA27" s="36">
        <f t="shared" si="1"/>
        <v>17.633440852551217</v>
      </c>
      <c r="BC27" s="36">
        <f t="shared" si="9"/>
        <v>2.219596386675132</v>
      </c>
      <c r="BD27" s="36">
        <f t="shared" si="20"/>
        <v>2.8082421667230268</v>
      </c>
      <c r="BE27" s="36">
        <f t="shared" si="25"/>
        <v>2.051687490209547</v>
      </c>
      <c r="BF27" s="36">
        <f t="shared" si="31"/>
        <v>6.1563726743934915</v>
      </c>
      <c r="BG27" s="36">
        <f t="shared" si="36"/>
        <v>4.3975421345500187</v>
      </c>
      <c r="BH27" s="36">
        <f t="shared" si="38"/>
        <v>0</v>
      </c>
      <c r="BI27" s="36">
        <f t="shared" si="2"/>
        <v>17.633440852551217</v>
      </c>
      <c r="BK27" s="36">
        <f t="shared" si="10"/>
        <v>1798.6109669602242</v>
      </c>
      <c r="BL27" s="36">
        <f t="shared" si="26"/>
        <v>17921.515438834824</v>
      </c>
    </row>
    <row r="28" spans="2:64" s="76" customFormat="1" x14ac:dyDescent="0.25">
      <c r="B28" s="74">
        <v>2032</v>
      </c>
      <c r="C28" s="75">
        <v>0</v>
      </c>
      <c r="D28" s="74"/>
      <c r="E28" s="74">
        <v>0</v>
      </c>
      <c r="F28" s="74">
        <v>0</v>
      </c>
      <c r="G28" s="74">
        <v>0</v>
      </c>
      <c r="I28" s="74">
        <v>15</v>
      </c>
      <c r="J28" s="67" t="str">
        <f>'Mangifera indica'!Z28</f>
        <v>2032-2033</v>
      </c>
      <c r="K28" s="33">
        <v>16.204999999999998</v>
      </c>
      <c r="L28" s="73"/>
      <c r="M28" s="36">
        <f t="shared" si="13"/>
        <v>58.136887865220103</v>
      </c>
      <c r="N28" s="75">
        <f t="shared" si="14"/>
        <v>4.3525727025075867</v>
      </c>
      <c r="O28" s="77"/>
      <c r="P28" s="74">
        <v>15</v>
      </c>
      <c r="Q28" s="74" t="s">
        <v>104</v>
      </c>
      <c r="R28" s="36">
        <f t="shared" si="4"/>
        <v>103.04944818510863</v>
      </c>
      <c r="S28" s="36">
        <f t="shared" si="15"/>
        <v>130.39109714358202</v>
      </c>
      <c r="T28" s="36">
        <f t="shared" si="21"/>
        <v>95.274121164491604</v>
      </c>
      <c r="U28" s="36">
        <f t="shared" si="27"/>
        <v>285.92401447896879</v>
      </c>
      <c r="V28" s="36">
        <f t="shared" si="32"/>
        <v>204.2743948914555</v>
      </c>
      <c r="W28" s="75"/>
      <c r="Y28" s="36">
        <f t="shared" si="5"/>
        <v>25.762362046277158</v>
      </c>
      <c r="Z28" s="36">
        <f t="shared" si="16"/>
        <v>32.597774285895504</v>
      </c>
      <c r="AA28" s="36">
        <f t="shared" si="22"/>
        <v>23.818530291122901</v>
      </c>
      <c r="AB28" s="36">
        <f t="shared" si="28"/>
        <v>71.481003619742197</v>
      </c>
      <c r="AC28" s="36">
        <f t="shared" si="33"/>
        <v>51.068598722863875</v>
      </c>
      <c r="AD28" s="75"/>
      <c r="AF28" s="36">
        <f t="shared" si="17"/>
        <v>128.81181023138578</v>
      </c>
      <c r="AG28" s="36">
        <f t="shared" si="18"/>
        <v>162.98887142947751</v>
      </c>
      <c r="AH28" s="36">
        <f t="shared" si="23"/>
        <v>119.0926514556145</v>
      </c>
      <c r="AI28" s="36">
        <f t="shared" si="29"/>
        <v>357.40501809871097</v>
      </c>
      <c r="AJ28" s="36">
        <f t="shared" si="34"/>
        <v>255.34299361431937</v>
      </c>
      <c r="AK28" s="36">
        <f t="shared" si="37"/>
        <v>0</v>
      </c>
      <c r="AM28" s="75">
        <f t="shared" si="6"/>
        <v>222.18749146811732</v>
      </c>
      <c r="AN28" s="75">
        <f t="shared" si="7"/>
        <v>281.13950432870575</v>
      </c>
      <c r="AO28" s="75">
        <f t="shared" si="19"/>
        <v>205.42291449578943</v>
      </c>
      <c r="AP28" s="75">
        <f t="shared" si="24"/>
        <v>616.48791571846652</v>
      </c>
      <c r="AQ28" s="75">
        <f t="shared" si="30"/>
        <v>440.44112968533949</v>
      </c>
      <c r="AR28" s="75">
        <f t="shared" si="35"/>
        <v>0</v>
      </c>
      <c r="AS28" s="75">
        <f t="shared" si="0"/>
        <v>1765.6789556964186</v>
      </c>
      <c r="AU28" s="36">
        <f t="shared" si="8"/>
        <v>2.2218749146811732</v>
      </c>
      <c r="AV28" s="36">
        <f t="shared" si="8"/>
        <v>2.8113950432870576</v>
      </c>
      <c r="AW28" s="36">
        <f t="shared" si="8"/>
        <v>2.0542291449578944</v>
      </c>
      <c r="AX28" s="36">
        <f t="shared" si="8"/>
        <v>6.1648791571846653</v>
      </c>
      <c r="AY28" s="36">
        <f t="shared" si="8"/>
        <v>4.4044112968533948</v>
      </c>
      <c r="AZ28" s="36">
        <f t="shared" si="8"/>
        <v>0</v>
      </c>
      <c r="BA28" s="75">
        <f t="shared" si="1"/>
        <v>17.656789556964185</v>
      </c>
      <c r="BC28" s="36">
        <f t="shared" si="9"/>
        <v>2.2218749146811732</v>
      </c>
      <c r="BD28" s="36">
        <f t="shared" si="20"/>
        <v>2.8113950432870576</v>
      </c>
      <c r="BE28" s="36">
        <f t="shared" si="25"/>
        <v>2.0542291449578944</v>
      </c>
      <c r="BF28" s="36">
        <f t="shared" si="31"/>
        <v>6.1648791571846653</v>
      </c>
      <c r="BG28" s="36">
        <f t="shared" si="36"/>
        <v>4.4044112968533948</v>
      </c>
      <c r="BH28" s="36">
        <f t="shared" si="38"/>
        <v>0</v>
      </c>
      <c r="BI28" s="75">
        <f t="shared" si="2"/>
        <v>17.656789556964185</v>
      </c>
      <c r="BK28" s="75">
        <f t="shared" si="10"/>
        <v>1800.992534810347</v>
      </c>
      <c r="BL28" s="75">
        <f t="shared" si="26"/>
        <v>19722.50797364517</v>
      </c>
    </row>
    <row r="29" spans="2:64" x14ac:dyDescent="0.25">
      <c r="B29" s="67">
        <v>2033</v>
      </c>
      <c r="C29" s="36">
        <v>0</v>
      </c>
      <c r="D29" s="67"/>
      <c r="E29" s="67">
        <v>0</v>
      </c>
      <c r="F29" s="67">
        <v>0</v>
      </c>
      <c r="G29" s="67">
        <v>0</v>
      </c>
      <c r="I29" s="67">
        <v>16</v>
      </c>
      <c r="J29" s="67" t="str">
        <f>'Mangifera indica'!Z29</f>
        <v>2033-2034</v>
      </c>
      <c r="K29" s="78"/>
      <c r="L29" s="78"/>
      <c r="M29" s="78">
        <f>M14</f>
        <v>6.09</v>
      </c>
      <c r="N29" s="36">
        <f t="shared" si="14"/>
        <v>-52.0468878652201</v>
      </c>
      <c r="O29" s="19"/>
      <c r="P29" s="67">
        <v>16</v>
      </c>
      <c r="Q29" s="67" t="s">
        <v>105</v>
      </c>
      <c r="R29" s="36">
        <f t="shared" si="4"/>
        <v>-1232.2374468721027</v>
      </c>
      <c r="S29" s="36">
        <f t="shared" si="15"/>
        <v>130.5249502027975</v>
      </c>
      <c r="T29" s="36">
        <f t="shared" si="21"/>
        <v>95.381087560530247</v>
      </c>
      <c r="U29" s="36">
        <f t="shared" si="27"/>
        <v>286.27822053253931</v>
      </c>
      <c r="V29" s="36">
        <f t="shared" si="32"/>
        <v>204.55664821118219</v>
      </c>
      <c r="W29" s="36"/>
      <c r="Y29" s="36">
        <f t="shared" si="5"/>
        <v>-308.05936171802568</v>
      </c>
      <c r="Z29" s="36">
        <f t="shared" si="16"/>
        <v>32.631237550699375</v>
      </c>
      <c r="AA29" s="36">
        <f t="shared" si="22"/>
        <v>23.845271890132562</v>
      </c>
      <c r="AB29" s="36">
        <f t="shared" si="28"/>
        <v>71.569555133134827</v>
      </c>
      <c r="AC29" s="36">
        <f t="shared" si="33"/>
        <v>51.139162052795548</v>
      </c>
      <c r="AD29" s="36"/>
      <c r="AF29" s="36">
        <f t="shared" si="17"/>
        <v>-1540.2968085901284</v>
      </c>
      <c r="AG29" s="36">
        <f t="shared" si="18"/>
        <v>163.15618775349688</v>
      </c>
      <c r="AH29" s="36">
        <f t="shared" si="23"/>
        <v>119.22635945066281</v>
      </c>
      <c r="AI29" s="36">
        <f t="shared" si="29"/>
        <v>357.84777566567413</v>
      </c>
      <c r="AJ29" s="36">
        <f t="shared" si="34"/>
        <v>255.69581026397773</v>
      </c>
      <c r="AK29" s="36">
        <f t="shared" si="37"/>
        <v>0</v>
      </c>
      <c r="AM29" s="36">
        <f t="shared" si="6"/>
        <v>-2656.8579651371124</v>
      </c>
      <c r="AN29" s="36">
        <f t="shared" si="7"/>
        <v>281.42810825600679</v>
      </c>
      <c r="AO29" s="36">
        <f t="shared" si="19"/>
        <v>205.65354741644825</v>
      </c>
      <c r="AP29" s="36">
        <f t="shared" si="24"/>
        <v>617.25162824572124</v>
      </c>
      <c r="AQ29" s="36">
        <f t="shared" si="30"/>
        <v>441.04970312433517</v>
      </c>
      <c r="AR29" s="36">
        <f t="shared" si="35"/>
        <v>0</v>
      </c>
      <c r="AS29" s="36">
        <f t="shared" si="0"/>
        <v>-1111.4749780946006</v>
      </c>
      <c r="AU29" s="36">
        <f t="shared" si="8"/>
        <v>-26.568579651371124</v>
      </c>
      <c r="AV29" s="36">
        <f t="shared" si="8"/>
        <v>2.8142810825600679</v>
      </c>
      <c r="AW29" s="36">
        <f t="shared" si="8"/>
        <v>2.0565354741644826</v>
      </c>
      <c r="AX29" s="36">
        <f t="shared" si="8"/>
        <v>6.1725162824572122</v>
      </c>
      <c r="AY29" s="36">
        <f t="shared" si="8"/>
        <v>4.4104970312433514</v>
      </c>
      <c r="AZ29" s="36">
        <f t="shared" si="8"/>
        <v>0</v>
      </c>
      <c r="BA29" s="36">
        <f t="shared" si="1"/>
        <v>-11.114749780946006</v>
      </c>
      <c r="BC29" s="36">
        <f t="shared" si="9"/>
        <v>-26.568579651371124</v>
      </c>
      <c r="BD29" s="36">
        <f t="shared" si="20"/>
        <v>2.8142810825600679</v>
      </c>
      <c r="BE29" s="36">
        <f t="shared" si="25"/>
        <v>2.0565354741644826</v>
      </c>
      <c r="BF29" s="36">
        <f t="shared" si="31"/>
        <v>6.1725162824572122</v>
      </c>
      <c r="BG29" s="36">
        <f t="shared" si="36"/>
        <v>4.4104970312433514</v>
      </c>
      <c r="BH29" s="36">
        <f t="shared" si="38"/>
        <v>0</v>
      </c>
      <c r="BI29" s="36">
        <f t="shared" si="2"/>
        <v>-11.114749780946006</v>
      </c>
      <c r="BK29" s="36">
        <f t="shared" si="10"/>
        <v>-1133.7044776564928</v>
      </c>
      <c r="BL29" s="36">
        <f t="shared" si="26"/>
        <v>18588.803495988675</v>
      </c>
    </row>
    <row r="30" spans="2:64" x14ac:dyDescent="0.25">
      <c r="B30" s="67">
        <v>2034</v>
      </c>
      <c r="C30" s="36">
        <v>0</v>
      </c>
      <c r="D30" s="67"/>
      <c r="E30" s="67">
        <v>0</v>
      </c>
      <c r="F30" s="67">
        <v>0</v>
      </c>
      <c r="G30" s="67">
        <v>0</v>
      </c>
      <c r="I30" s="67">
        <v>17</v>
      </c>
      <c r="J30" s="67" t="str">
        <f>'Mangifera indica'!Z30</f>
        <v>2034-2035</v>
      </c>
      <c r="K30" s="73">
        <f t="shared" ref="K30:K43" si="39">K15</f>
        <v>1.37</v>
      </c>
      <c r="L30" s="73"/>
      <c r="M30" s="36">
        <f t="shared" si="13"/>
        <v>7.9346047430868136</v>
      </c>
      <c r="N30" s="36">
        <f t="shared" si="14"/>
        <v>1.8446047430868138</v>
      </c>
      <c r="O30" s="19"/>
      <c r="P30" s="67">
        <v>17</v>
      </c>
      <c r="Q30" s="67" t="s">
        <v>106</v>
      </c>
      <c r="R30" s="36">
        <f t="shared" si="4"/>
        <v>43.671987554675177</v>
      </c>
      <c r="S30" s="36">
        <f t="shared" si="15"/>
        <v>-1560.7820733022204</v>
      </c>
      <c r="T30" s="36">
        <f t="shared" si="21"/>
        <v>95.479001073346382</v>
      </c>
      <c r="U30" s="36">
        <f t="shared" si="27"/>
        <v>286.59963152159327</v>
      </c>
      <c r="V30" s="36">
        <f t="shared" si="32"/>
        <v>204.81005540828846</v>
      </c>
      <c r="W30" s="36"/>
      <c r="Y30" s="36">
        <f t="shared" si="5"/>
        <v>10.917996888668794</v>
      </c>
      <c r="Z30" s="36">
        <f t="shared" si="16"/>
        <v>-390.1955183255551</v>
      </c>
      <c r="AA30" s="36">
        <f t="shared" si="22"/>
        <v>23.869750268336595</v>
      </c>
      <c r="AB30" s="36">
        <f t="shared" si="28"/>
        <v>71.649907880398317</v>
      </c>
      <c r="AC30" s="36">
        <f t="shared" si="33"/>
        <v>51.202513852072116</v>
      </c>
      <c r="AD30" s="36"/>
      <c r="AF30" s="36">
        <f t="shared" si="17"/>
        <v>54.589984443343972</v>
      </c>
      <c r="AG30" s="36">
        <f t="shared" si="18"/>
        <v>-1950.9775916277754</v>
      </c>
      <c r="AH30" s="36">
        <f t="shared" si="23"/>
        <v>119.34875134168297</v>
      </c>
      <c r="AI30" s="36">
        <f t="shared" si="29"/>
        <v>358.24953940199157</v>
      </c>
      <c r="AJ30" s="36">
        <f t="shared" si="34"/>
        <v>256.01256926036058</v>
      </c>
      <c r="AK30" s="36">
        <f t="shared" si="37"/>
        <v>0</v>
      </c>
      <c r="AM30" s="36">
        <f t="shared" si="6"/>
        <v>94.162264166324007</v>
      </c>
      <c r="AN30" s="36">
        <f t="shared" si="7"/>
        <v>-3365.2412477987496</v>
      </c>
      <c r="AO30" s="36">
        <f t="shared" si="19"/>
        <v>205.86466118926893</v>
      </c>
      <c r="AP30" s="36">
        <f t="shared" si="24"/>
        <v>617.9446305144952</v>
      </c>
      <c r="AQ30" s="36">
        <f t="shared" si="30"/>
        <v>441.59608071719595</v>
      </c>
      <c r="AR30" s="36">
        <f t="shared" si="35"/>
        <v>0</v>
      </c>
      <c r="AS30" s="36">
        <f t="shared" si="0"/>
        <v>-2005.6736112114654</v>
      </c>
      <c r="AU30" s="36">
        <f t="shared" si="8"/>
        <v>0.94162264166324006</v>
      </c>
      <c r="AV30" s="36">
        <f t="shared" si="8"/>
        <v>-33.652412477987497</v>
      </c>
      <c r="AW30" s="36">
        <f t="shared" si="8"/>
        <v>2.0586466118926894</v>
      </c>
      <c r="AX30" s="36">
        <f t="shared" si="8"/>
        <v>6.1794463051449524</v>
      </c>
      <c r="AY30" s="36">
        <f t="shared" si="8"/>
        <v>4.4159608071719596</v>
      </c>
      <c r="AZ30" s="36">
        <f t="shared" si="8"/>
        <v>0</v>
      </c>
      <c r="BA30" s="36">
        <f t="shared" si="1"/>
        <v>-20.056736112114656</v>
      </c>
      <c r="BC30" s="36">
        <f t="shared" si="9"/>
        <v>0.94162264166324006</v>
      </c>
      <c r="BD30" s="36">
        <f t="shared" si="20"/>
        <v>-33.652412477987497</v>
      </c>
      <c r="BE30" s="36">
        <f t="shared" si="25"/>
        <v>2.0586466118926894</v>
      </c>
      <c r="BF30" s="36">
        <f t="shared" si="31"/>
        <v>6.1794463051449524</v>
      </c>
      <c r="BG30" s="36">
        <f t="shared" si="36"/>
        <v>4.4159608071719596</v>
      </c>
      <c r="BH30" s="36">
        <f t="shared" si="38"/>
        <v>0</v>
      </c>
      <c r="BI30" s="36">
        <f t="shared" si="2"/>
        <v>-20.056736112114656</v>
      </c>
      <c r="BK30" s="36">
        <f t="shared" si="10"/>
        <v>-2045.7870834356945</v>
      </c>
      <c r="BL30" s="36">
        <f t="shared" si="26"/>
        <v>16543.016412552981</v>
      </c>
    </row>
    <row r="31" spans="2:64" x14ac:dyDescent="0.25">
      <c r="B31" s="67">
        <v>2035</v>
      </c>
      <c r="C31" s="36">
        <v>0</v>
      </c>
      <c r="D31" s="67"/>
      <c r="E31" s="67">
        <v>0</v>
      </c>
      <c r="F31" s="67">
        <v>0</v>
      </c>
      <c r="G31" s="67">
        <v>0</v>
      </c>
      <c r="I31" s="67">
        <v>18</v>
      </c>
      <c r="J31" s="67" t="str">
        <f>'Mangifera indica'!Z31</f>
        <v>2035-2036</v>
      </c>
      <c r="K31" s="73">
        <f t="shared" si="39"/>
        <v>2.3650000000000002</v>
      </c>
      <c r="L31" s="73"/>
      <c r="M31" s="36">
        <f t="shared" si="13"/>
        <v>11.245509096034107</v>
      </c>
      <c r="N31" s="36">
        <f t="shared" si="14"/>
        <v>3.3109043529472935</v>
      </c>
      <c r="O31" s="19"/>
      <c r="P31" s="67">
        <v>18</v>
      </c>
      <c r="Q31" s="67" t="s">
        <v>107</v>
      </c>
      <c r="R31" s="36">
        <f t="shared" si="4"/>
        <v>78.387402091716822</v>
      </c>
      <c r="S31" s="36">
        <f t="shared" si="15"/>
        <v>55.31600703568737</v>
      </c>
      <c r="T31" s="36">
        <f t="shared" si="21"/>
        <v>-1141.7120866205744</v>
      </c>
      <c r="U31" s="36">
        <f t="shared" si="27"/>
        <v>286.8938405457489</v>
      </c>
      <c r="V31" s="36">
        <f t="shared" si="32"/>
        <v>205.0400002582827</v>
      </c>
      <c r="W31" s="36"/>
      <c r="Y31" s="36">
        <f t="shared" si="5"/>
        <v>19.596850522929206</v>
      </c>
      <c r="Z31" s="36">
        <f t="shared" si="16"/>
        <v>13.829001758921843</v>
      </c>
      <c r="AA31" s="36">
        <f t="shared" si="22"/>
        <v>-285.4280216551436</v>
      </c>
      <c r="AB31" s="36">
        <f t="shared" si="28"/>
        <v>71.723460136437225</v>
      </c>
      <c r="AC31" s="36">
        <f t="shared" si="33"/>
        <v>51.260000064570676</v>
      </c>
      <c r="AD31" s="36"/>
      <c r="AF31" s="36">
        <f t="shared" si="17"/>
        <v>97.984252614646024</v>
      </c>
      <c r="AG31" s="36">
        <f t="shared" si="18"/>
        <v>69.145008794609211</v>
      </c>
      <c r="AH31" s="36">
        <f t="shared" si="23"/>
        <v>-1427.1401082757179</v>
      </c>
      <c r="AI31" s="36">
        <f t="shared" si="29"/>
        <v>358.61730068218611</v>
      </c>
      <c r="AJ31" s="36">
        <f t="shared" si="34"/>
        <v>256.30000032285341</v>
      </c>
      <c r="AK31" s="36">
        <f t="shared" si="37"/>
        <v>0</v>
      </c>
      <c r="AM31" s="36">
        <f t="shared" si="6"/>
        <v>169.01303733500293</v>
      </c>
      <c r="AN31" s="36">
        <f t="shared" si="7"/>
        <v>119.26822566982142</v>
      </c>
      <c r="AO31" s="36">
        <f t="shared" si="19"/>
        <v>-2461.6739727647855</v>
      </c>
      <c r="AP31" s="36">
        <f t="shared" si="24"/>
        <v>618.57898194670281</v>
      </c>
      <c r="AQ31" s="36">
        <f t="shared" si="30"/>
        <v>442.09187055688977</v>
      </c>
      <c r="AR31" s="36">
        <f t="shared" si="35"/>
        <v>0</v>
      </c>
      <c r="AS31" s="36">
        <f t="shared" si="0"/>
        <v>-1112.7218572563688</v>
      </c>
      <c r="AU31" s="36">
        <f t="shared" si="8"/>
        <v>1.6901303733500295</v>
      </c>
      <c r="AV31" s="36">
        <f t="shared" si="8"/>
        <v>1.1926822566982143</v>
      </c>
      <c r="AW31" s="36">
        <f t="shared" si="8"/>
        <v>-24.616739727647854</v>
      </c>
      <c r="AX31" s="36">
        <f t="shared" si="8"/>
        <v>6.1857898194670282</v>
      </c>
      <c r="AY31" s="36">
        <f t="shared" si="8"/>
        <v>4.4209187055688979</v>
      </c>
      <c r="AZ31" s="36">
        <f t="shared" si="8"/>
        <v>0</v>
      </c>
      <c r="BA31" s="36">
        <f t="shared" si="1"/>
        <v>-11.127218572563685</v>
      </c>
      <c r="BC31" s="36">
        <f t="shared" si="9"/>
        <v>1.6901303733500295</v>
      </c>
      <c r="BD31" s="36">
        <f t="shared" si="20"/>
        <v>1.1926822566982143</v>
      </c>
      <c r="BE31" s="36">
        <f t="shared" si="25"/>
        <v>-24.616739727647854</v>
      </c>
      <c r="BF31" s="36">
        <f t="shared" si="31"/>
        <v>6.1857898194670282</v>
      </c>
      <c r="BG31" s="36">
        <f t="shared" si="36"/>
        <v>4.4209187055688979</v>
      </c>
      <c r="BH31" s="36">
        <f t="shared" si="38"/>
        <v>0</v>
      </c>
      <c r="BI31" s="36">
        <f t="shared" si="2"/>
        <v>-11.127218572563685</v>
      </c>
      <c r="BK31" s="36">
        <f t="shared" si="10"/>
        <v>-1134.976294401496</v>
      </c>
      <c r="BL31" s="36">
        <f t="shared" si="26"/>
        <v>15408.040118151484</v>
      </c>
    </row>
    <row r="32" spans="2:64" x14ac:dyDescent="0.25">
      <c r="B32" s="67">
        <v>2036</v>
      </c>
      <c r="C32" s="36">
        <v>0</v>
      </c>
      <c r="D32" s="67"/>
      <c r="E32" s="67">
        <v>0</v>
      </c>
      <c r="F32" s="67">
        <v>0</v>
      </c>
      <c r="G32" s="67">
        <v>0</v>
      </c>
      <c r="I32" s="67">
        <v>19</v>
      </c>
      <c r="J32" s="67" t="str">
        <f>'Mangifera indica'!Z32</f>
        <v>2036-2037</v>
      </c>
      <c r="K32" s="73">
        <f t="shared" si="39"/>
        <v>3.3600000000000003</v>
      </c>
      <c r="L32" s="73"/>
      <c r="M32" s="36">
        <f t="shared" si="13"/>
        <v>14.573702309323142</v>
      </c>
      <c r="N32" s="36">
        <f t="shared" si="14"/>
        <v>3.3281932132890351</v>
      </c>
      <c r="O32" s="19"/>
      <c r="P32" s="67">
        <v>19</v>
      </c>
      <c r="Q32" s="67" t="s">
        <v>108</v>
      </c>
      <c r="R32" s="36">
        <f t="shared" si="4"/>
        <v>78.796724954248091</v>
      </c>
      <c r="S32" s="36">
        <f t="shared" si="15"/>
        <v>99.287399736183431</v>
      </c>
      <c r="T32" s="36">
        <f t="shared" si="21"/>
        <v>40.463659146605316</v>
      </c>
      <c r="U32" s="36">
        <f t="shared" si="27"/>
        <v>-3430.5989971182803</v>
      </c>
      <c r="V32" s="36">
        <f t="shared" si="32"/>
        <v>205.25048419389907</v>
      </c>
      <c r="W32" s="36"/>
      <c r="Y32" s="36">
        <f t="shared" si="5"/>
        <v>19.699181238562023</v>
      </c>
      <c r="Z32" s="36">
        <f t="shared" si="16"/>
        <v>24.821849934045858</v>
      </c>
      <c r="AA32" s="36">
        <f t="shared" si="22"/>
        <v>10.115914786651329</v>
      </c>
      <c r="AB32" s="36">
        <f t="shared" si="28"/>
        <v>-857.64974927957007</v>
      </c>
      <c r="AC32" s="36">
        <f t="shared" si="33"/>
        <v>51.312621048474767</v>
      </c>
      <c r="AD32" s="36"/>
      <c r="AF32" s="36">
        <f t="shared" si="17"/>
        <v>98.495906192810111</v>
      </c>
      <c r="AG32" s="36">
        <f t="shared" si="18"/>
        <v>124.10924967022929</v>
      </c>
      <c r="AH32" s="36">
        <f t="shared" si="23"/>
        <v>50.579573933256647</v>
      </c>
      <c r="AI32" s="36">
        <f t="shared" si="29"/>
        <v>-4288.2487463978505</v>
      </c>
      <c r="AJ32" s="36">
        <f t="shared" si="34"/>
        <v>256.56310524237381</v>
      </c>
      <c r="AK32" s="36">
        <f t="shared" si="37"/>
        <v>0</v>
      </c>
      <c r="AM32" s="36">
        <f t="shared" si="6"/>
        <v>169.89558859197814</v>
      </c>
      <c r="AN32" s="36">
        <f t="shared" si="7"/>
        <v>214.07604475617848</v>
      </c>
      <c r="AO32" s="36">
        <f t="shared" si="19"/>
        <v>87.244707077474388</v>
      </c>
      <c r="AP32" s="36">
        <f t="shared" si="24"/>
        <v>-7396.8002626616517</v>
      </c>
      <c r="AQ32" s="36">
        <f t="shared" si="30"/>
        <v>442.54570023257054</v>
      </c>
      <c r="AR32" s="36">
        <f t="shared" si="35"/>
        <v>0</v>
      </c>
      <c r="AS32" s="36">
        <f t="shared" si="0"/>
        <v>-6483.0382220034508</v>
      </c>
      <c r="AU32" s="36">
        <f t="shared" si="8"/>
        <v>1.6989558859197815</v>
      </c>
      <c r="AV32" s="36">
        <f t="shared" si="8"/>
        <v>2.1407604475617847</v>
      </c>
      <c r="AW32" s="36">
        <f t="shared" si="8"/>
        <v>0.87244707077474393</v>
      </c>
      <c r="AX32" s="36">
        <f t="shared" si="8"/>
        <v>-73.968002626616524</v>
      </c>
      <c r="AY32" s="36">
        <f t="shared" si="8"/>
        <v>4.4254570023257056</v>
      </c>
      <c r="AZ32" s="36">
        <f t="shared" si="8"/>
        <v>0</v>
      </c>
      <c r="BA32" s="36">
        <f t="shared" si="1"/>
        <v>-64.830382220034508</v>
      </c>
      <c r="BC32" s="36">
        <f t="shared" si="9"/>
        <v>1.6989558859197815</v>
      </c>
      <c r="BD32" s="36">
        <f t="shared" si="20"/>
        <v>2.1407604475617847</v>
      </c>
      <c r="BE32" s="36">
        <f t="shared" si="25"/>
        <v>0.87244707077474393</v>
      </c>
      <c r="BF32" s="36">
        <f t="shared" si="31"/>
        <v>-73.968002626616524</v>
      </c>
      <c r="BG32" s="36">
        <f t="shared" si="36"/>
        <v>4.4254570023257056</v>
      </c>
      <c r="BH32" s="36">
        <f t="shared" si="38"/>
        <v>0</v>
      </c>
      <c r="BI32" s="36">
        <f t="shared" si="2"/>
        <v>-64.830382220034508</v>
      </c>
      <c r="BK32" s="36">
        <f t="shared" si="10"/>
        <v>-6612.6989864435191</v>
      </c>
      <c r="BL32" s="36">
        <f t="shared" si="26"/>
        <v>8795.3411317079663</v>
      </c>
    </row>
    <row r="33" spans="2:64" x14ac:dyDescent="0.25">
      <c r="B33" s="67">
        <v>2037</v>
      </c>
      <c r="C33" s="36">
        <v>0</v>
      </c>
      <c r="D33" s="67"/>
      <c r="E33" s="67">
        <v>0</v>
      </c>
      <c r="F33" s="67">
        <v>0</v>
      </c>
      <c r="G33" s="67">
        <v>0</v>
      </c>
      <c r="I33" s="67">
        <v>20</v>
      </c>
      <c r="J33" s="67" t="str">
        <f>'Mangifera indica'!Z33</f>
        <v>2037-2038</v>
      </c>
      <c r="K33" s="73">
        <f t="shared" si="39"/>
        <v>4.53</v>
      </c>
      <c r="L33" s="73"/>
      <c r="M33" s="36">
        <f t="shared" si="13"/>
        <v>18.502413398684656</v>
      </c>
      <c r="N33" s="36">
        <f t="shared" si="14"/>
        <v>3.9287110893615136</v>
      </c>
      <c r="O33" s="19"/>
      <c r="P33" s="67">
        <v>20</v>
      </c>
      <c r="Q33" s="67" t="s">
        <v>109</v>
      </c>
      <c r="R33" s="36">
        <f t="shared" si="4"/>
        <v>93.014301542666828</v>
      </c>
      <c r="S33" s="36">
        <f t="shared" si="15"/>
        <v>99.805858080111591</v>
      </c>
      <c r="T33" s="36">
        <f t="shared" si="21"/>
        <v>72.62873290701819</v>
      </c>
      <c r="U33" s="36">
        <f t="shared" si="27"/>
        <v>121.58458346444083</v>
      </c>
      <c r="V33" s="36">
        <f t="shared" si="32"/>
        <v>-2454.3298102677413</v>
      </c>
      <c r="W33" s="36"/>
      <c r="Y33" s="36">
        <f t="shared" si="5"/>
        <v>23.253575385666707</v>
      </c>
      <c r="Z33" s="36">
        <f t="shared" si="16"/>
        <v>24.951464520027898</v>
      </c>
      <c r="AA33" s="36">
        <f t="shared" si="22"/>
        <v>18.157183226754547</v>
      </c>
      <c r="AB33" s="36">
        <f t="shared" si="28"/>
        <v>30.396145866110206</v>
      </c>
      <c r="AC33" s="36">
        <f t="shared" si="33"/>
        <v>-613.58245256693533</v>
      </c>
      <c r="AD33" s="36"/>
      <c r="AF33" s="36">
        <f t="shared" si="17"/>
        <v>116.26787692833354</v>
      </c>
      <c r="AG33" s="36">
        <f t="shared" si="18"/>
        <v>124.75732260013949</v>
      </c>
      <c r="AH33" s="36">
        <f t="shared" si="23"/>
        <v>90.78591613377273</v>
      </c>
      <c r="AI33" s="36">
        <f t="shared" si="29"/>
        <v>151.98072933055104</v>
      </c>
      <c r="AJ33" s="36">
        <f t="shared" si="34"/>
        <v>-3067.9122628346768</v>
      </c>
      <c r="AK33" s="36">
        <f t="shared" si="37"/>
        <v>0</v>
      </c>
      <c r="AM33" s="36">
        <f t="shared" si="6"/>
        <v>200.55046091368249</v>
      </c>
      <c r="AN33" s="36">
        <f t="shared" si="7"/>
        <v>215.19390575298058</v>
      </c>
      <c r="AO33" s="36">
        <f t="shared" si="19"/>
        <v>156.59662673914457</v>
      </c>
      <c r="AP33" s="36">
        <f t="shared" si="24"/>
        <v>262.15156002226746</v>
      </c>
      <c r="AQ33" s="36">
        <f t="shared" si="30"/>
        <v>-5291.8418621635337</v>
      </c>
      <c r="AR33" s="36">
        <f t="shared" si="35"/>
        <v>0</v>
      </c>
      <c r="AS33" s="36">
        <f t="shared" si="0"/>
        <v>-4457.3493087354582</v>
      </c>
      <c r="AU33" s="36">
        <f t="shared" si="8"/>
        <v>2.0055046091368247</v>
      </c>
      <c r="AV33" s="36">
        <f t="shared" si="8"/>
        <v>2.1519390575298059</v>
      </c>
      <c r="AW33" s="36">
        <f t="shared" si="8"/>
        <v>1.5659662673914456</v>
      </c>
      <c r="AX33" s="36">
        <f t="shared" si="8"/>
        <v>2.6215156002226747</v>
      </c>
      <c r="AY33" s="36">
        <f t="shared" si="8"/>
        <v>-52.91841862163534</v>
      </c>
      <c r="AZ33" s="36">
        <f t="shared" si="8"/>
        <v>0</v>
      </c>
      <c r="BA33" s="36">
        <f t="shared" si="1"/>
        <v>-44.573493087354592</v>
      </c>
      <c r="BC33" s="36">
        <f t="shared" si="9"/>
        <v>2.0055046091368247</v>
      </c>
      <c r="BD33" s="36">
        <f t="shared" si="20"/>
        <v>2.1519390575298059</v>
      </c>
      <c r="BE33" s="36">
        <f t="shared" si="25"/>
        <v>1.5659662673914456</v>
      </c>
      <c r="BF33" s="36">
        <f t="shared" si="31"/>
        <v>2.6215156002226747</v>
      </c>
      <c r="BG33" s="36">
        <f t="shared" si="36"/>
        <v>-52.91841862163534</v>
      </c>
      <c r="BH33" s="36">
        <f t="shared" si="38"/>
        <v>0</v>
      </c>
      <c r="BI33" s="36">
        <f t="shared" si="2"/>
        <v>-44.573493087354592</v>
      </c>
      <c r="BK33" s="36">
        <f t="shared" si="10"/>
        <v>-4546.4962949101682</v>
      </c>
      <c r="BL33" s="36">
        <f t="shared" si="26"/>
        <v>4248.8448367977981</v>
      </c>
    </row>
    <row r="34" spans="2:64" x14ac:dyDescent="0.25">
      <c r="B34" s="67">
        <v>2038</v>
      </c>
      <c r="C34" s="36">
        <v>0</v>
      </c>
      <c r="D34" s="67"/>
      <c r="E34" s="67">
        <v>0</v>
      </c>
      <c r="F34" s="67">
        <v>0</v>
      </c>
      <c r="G34" s="67">
        <v>0</v>
      </c>
      <c r="I34" s="67">
        <v>21</v>
      </c>
      <c r="J34" s="67" t="str">
        <f>'Mangifera indica'!Z34</f>
        <v>2038-2039</v>
      </c>
      <c r="K34" s="73">
        <f t="shared" si="39"/>
        <v>5.7</v>
      </c>
      <c r="L34" s="73"/>
      <c r="M34" s="36">
        <f t="shared" si="13"/>
        <v>22.443458480603493</v>
      </c>
      <c r="N34" s="36">
        <f t="shared" si="14"/>
        <v>3.941045081918837</v>
      </c>
      <c r="O34" s="19"/>
      <c r="P34" s="67">
        <v>21</v>
      </c>
      <c r="Q34" s="67" t="s">
        <v>110</v>
      </c>
      <c r="R34" s="36">
        <f t="shared" si="4"/>
        <v>93.306315304141549</v>
      </c>
      <c r="S34" s="36">
        <f t="shared" si="15"/>
        <v>117.81418814777307</v>
      </c>
      <c r="T34" s="36">
        <f t="shared" si="21"/>
        <v>73.007985185601626</v>
      </c>
      <c r="U34" s="36">
        <f t="shared" si="27"/>
        <v>218.23370462013116</v>
      </c>
      <c r="V34" s="36">
        <f t="shared" si="32"/>
        <v>86.984421063618385</v>
      </c>
      <c r="W34" s="36"/>
      <c r="Y34" s="36">
        <f t="shared" si="5"/>
        <v>23.326578826035387</v>
      </c>
      <c r="Z34" s="36">
        <f t="shared" si="16"/>
        <v>29.453547036943267</v>
      </c>
      <c r="AA34" s="36">
        <f t="shared" si="22"/>
        <v>18.251996296400407</v>
      </c>
      <c r="AB34" s="36">
        <f t="shared" si="28"/>
        <v>54.558426155032791</v>
      </c>
      <c r="AC34" s="36">
        <f t="shared" si="33"/>
        <v>21.746105265904596</v>
      </c>
      <c r="AD34" s="36"/>
      <c r="AF34" s="36">
        <f t="shared" si="17"/>
        <v>116.63289413017694</v>
      </c>
      <c r="AG34" s="36">
        <f t="shared" si="18"/>
        <v>147.26773518471634</v>
      </c>
      <c r="AH34" s="36">
        <f t="shared" si="23"/>
        <v>91.259981482002033</v>
      </c>
      <c r="AI34" s="36">
        <f t="shared" si="29"/>
        <v>272.79213077516397</v>
      </c>
      <c r="AJ34" s="36">
        <f t="shared" si="34"/>
        <v>108.73052632952297</v>
      </c>
      <c r="AK34" s="36">
        <f t="shared" si="37"/>
        <v>0</v>
      </c>
      <c r="AM34" s="36">
        <f t="shared" si="6"/>
        <v>201.18007908514218</v>
      </c>
      <c r="AN34" s="36">
        <f t="shared" si="7"/>
        <v>254.02211642011721</v>
      </c>
      <c r="AO34" s="36">
        <f t="shared" si="19"/>
        <v>157.41434205830529</v>
      </c>
      <c r="AP34" s="36">
        <f t="shared" si="24"/>
        <v>470.5391463740803</v>
      </c>
      <c r="AQ34" s="36">
        <f t="shared" si="30"/>
        <v>187.54928486579416</v>
      </c>
      <c r="AR34" s="36">
        <f t="shared" si="35"/>
        <v>0</v>
      </c>
      <c r="AS34" s="36">
        <f t="shared" si="0"/>
        <v>1270.704968803439</v>
      </c>
      <c r="AU34" s="36">
        <f t="shared" si="8"/>
        <v>2.0118007908514217</v>
      </c>
      <c r="AV34" s="36">
        <f t="shared" si="8"/>
        <v>2.5402211642011721</v>
      </c>
      <c r="AW34" s="36">
        <f t="shared" si="8"/>
        <v>1.5741434205830529</v>
      </c>
      <c r="AX34" s="36">
        <f t="shared" si="8"/>
        <v>4.7053914637408027</v>
      </c>
      <c r="AY34" s="36">
        <f t="shared" si="8"/>
        <v>1.8754928486579416</v>
      </c>
      <c r="AZ34" s="36">
        <f t="shared" si="8"/>
        <v>0</v>
      </c>
      <c r="BA34" s="36">
        <f t="shared" si="1"/>
        <v>12.707049688034392</v>
      </c>
      <c r="BC34" s="36">
        <f t="shared" si="9"/>
        <v>2.0118007908514217</v>
      </c>
      <c r="BD34" s="36">
        <f t="shared" si="20"/>
        <v>2.5402211642011721</v>
      </c>
      <c r="BE34" s="36">
        <f t="shared" si="25"/>
        <v>1.5741434205830529</v>
      </c>
      <c r="BF34" s="36">
        <f t="shared" si="31"/>
        <v>4.7053914637408027</v>
      </c>
      <c r="BG34" s="36">
        <f t="shared" si="36"/>
        <v>1.8754928486579416</v>
      </c>
      <c r="BH34" s="36">
        <f t="shared" si="38"/>
        <v>0</v>
      </c>
      <c r="BI34" s="36">
        <f t="shared" si="2"/>
        <v>12.707049688034392</v>
      </c>
      <c r="BK34" s="36">
        <f t="shared" si="10"/>
        <v>1296.1190681795078</v>
      </c>
      <c r="BL34" s="36">
        <f t="shared" si="26"/>
        <v>5544.9639049773059</v>
      </c>
    </row>
    <row r="35" spans="2:64" x14ac:dyDescent="0.25">
      <c r="B35" s="67">
        <v>2039</v>
      </c>
      <c r="C35" s="36">
        <v>0</v>
      </c>
      <c r="D35" s="67"/>
      <c r="E35" s="67">
        <v>0</v>
      </c>
      <c r="F35" s="67">
        <v>0</v>
      </c>
      <c r="G35" s="67">
        <v>0</v>
      </c>
      <c r="I35" s="67">
        <v>22</v>
      </c>
      <c r="J35" s="67" t="str">
        <f>'Mangifera indica'!Z35</f>
        <v>2039-2040</v>
      </c>
      <c r="K35" s="73">
        <f t="shared" si="39"/>
        <v>6.49</v>
      </c>
      <c r="L35" s="73"/>
      <c r="M35" s="36">
        <f t="shared" si="13"/>
        <v>25.110156446200378</v>
      </c>
      <c r="N35" s="36">
        <f t="shared" si="14"/>
        <v>2.6666979655968852</v>
      </c>
      <c r="O35" s="19"/>
      <c r="P35" s="67">
        <v>22</v>
      </c>
      <c r="Q35" s="67" t="s">
        <v>111</v>
      </c>
      <c r="R35" s="36">
        <f t="shared" si="4"/>
        <v>63.135477018636159</v>
      </c>
      <c r="S35" s="36">
        <f t="shared" si="15"/>
        <v>118.18405991658209</v>
      </c>
      <c r="T35" s="36">
        <f t="shared" si="21"/>
        <v>86.181078630095996</v>
      </c>
      <c r="U35" s="36">
        <f t="shared" si="27"/>
        <v>219.37327606008526</v>
      </c>
      <c r="V35" s="36">
        <f t="shared" si="32"/>
        <v>156.12943608514846</v>
      </c>
      <c r="W35" s="36"/>
      <c r="Y35" s="36">
        <f t="shared" si="5"/>
        <v>15.78386925465904</v>
      </c>
      <c r="Z35" s="36">
        <f t="shared" si="16"/>
        <v>29.546014979145522</v>
      </c>
      <c r="AA35" s="36">
        <f t="shared" si="22"/>
        <v>21.545269657523999</v>
      </c>
      <c r="AB35" s="36">
        <f t="shared" si="28"/>
        <v>54.843319015021315</v>
      </c>
      <c r="AC35" s="36">
        <f t="shared" si="33"/>
        <v>39.032359021287114</v>
      </c>
      <c r="AD35" s="36"/>
      <c r="AF35" s="36">
        <f t="shared" si="17"/>
        <v>78.919346273295204</v>
      </c>
      <c r="AG35" s="36">
        <f t="shared" si="18"/>
        <v>147.7300748957276</v>
      </c>
      <c r="AH35" s="36">
        <f t="shared" si="23"/>
        <v>107.72634828762</v>
      </c>
      <c r="AI35" s="36">
        <f t="shared" si="29"/>
        <v>274.21659507510657</v>
      </c>
      <c r="AJ35" s="36">
        <f t="shared" si="34"/>
        <v>195.16179510643556</v>
      </c>
      <c r="AK35" s="36">
        <f t="shared" si="37"/>
        <v>0</v>
      </c>
      <c r="AM35" s="36">
        <f t="shared" si="6"/>
        <v>136.12798038680688</v>
      </c>
      <c r="AN35" s="36">
        <f t="shared" si="7"/>
        <v>254.81960618764052</v>
      </c>
      <c r="AO35" s="36">
        <f t="shared" si="19"/>
        <v>185.81717816131572</v>
      </c>
      <c r="AP35" s="36">
        <f t="shared" si="24"/>
        <v>472.9962048450513</v>
      </c>
      <c r="AQ35" s="36">
        <f t="shared" si="30"/>
        <v>336.63458037909066</v>
      </c>
      <c r="AR35" s="36">
        <f t="shared" si="35"/>
        <v>0</v>
      </c>
      <c r="AS35" s="36">
        <f t="shared" si="0"/>
        <v>1386.3955499599051</v>
      </c>
      <c r="AU35" s="36">
        <f t="shared" si="8"/>
        <v>1.3612798038680689</v>
      </c>
      <c r="AV35" s="36">
        <f t="shared" si="8"/>
        <v>2.5481960618764052</v>
      </c>
      <c r="AW35" s="36">
        <f t="shared" si="8"/>
        <v>1.8581717816131573</v>
      </c>
      <c r="AX35" s="36">
        <f t="shared" si="8"/>
        <v>4.7299620484505134</v>
      </c>
      <c r="AY35" s="36">
        <f t="shared" si="8"/>
        <v>3.3663458037909066</v>
      </c>
      <c r="AZ35" s="36">
        <f t="shared" si="8"/>
        <v>0</v>
      </c>
      <c r="BA35" s="36">
        <f t="shared" si="1"/>
        <v>13.863955499599051</v>
      </c>
      <c r="BC35" s="36">
        <f t="shared" si="9"/>
        <v>1.3612798038680689</v>
      </c>
      <c r="BD35" s="36">
        <f t="shared" si="20"/>
        <v>2.5481960618764052</v>
      </c>
      <c r="BE35" s="36">
        <f t="shared" si="25"/>
        <v>1.8581717816131573</v>
      </c>
      <c r="BF35" s="36">
        <f t="shared" si="31"/>
        <v>4.7299620484505134</v>
      </c>
      <c r="BG35" s="36">
        <f t="shared" si="36"/>
        <v>3.3663458037909066</v>
      </c>
      <c r="BH35" s="36">
        <f t="shared" si="38"/>
        <v>0</v>
      </c>
      <c r="BI35" s="36">
        <f t="shared" si="2"/>
        <v>13.863955499599051</v>
      </c>
      <c r="BK35" s="36">
        <f t="shared" si="10"/>
        <v>1414.1234609591033</v>
      </c>
      <c r="BL35" s="36">
        <f t="shared" si="26"/>
        <v>6959.0873659364097</v>
      </c>
    </row>
    <row r="36" spans="2:64" x14ac:dyDescent="0.25">
      <c r="B36" s="67">
        <v>2040</v>
      </c>
      <c r="C36" s="36">
        <v>0</v>
      </c>
      <c r="D36" s="67"/>
      <c r="E36" s="67">
        <v>0</v>
      </c>
      <c r="F36" s="67">
        <v>0</v>
      </c>
      <c r="G36" s="67">
        <v>0</v>
      </c>
      <c r="I36" s="67">
        <v>23</v>
      </c>
      <c r="J36" s="67" t="str">
        <f>'Mangifera indica'!Z36</f>
        <v>2040-2041</v>
      </c>
      <c r="K36" s="73">
        <f t="shared" si="39"/>
        <v>7.28</v>
      </c>
      <c r="L36" s="73"/>
      <c r="M36" s="36">
        <f t="shared" si="13"/>
        <v>27.780762159913728</v>
      </c>
      <c r="N36" s="36">
        <f t="shared" si="14"/>
        <v>2.6706057137133499</v>
      </c>
      <c r="O36" s="19"/>
      <c r="P36" s="67">
        <v>23</v>
      </c>
      <c r="Q36" s="67" t="s">
        <v>112</v>
      </c>
      <c r="R36" s="36">
        <f t="shared" si="4"/>
        <v>63.227995010768964</v>
      </c>
      <c r="S36" s="36">
        <f t="shared" si="15"/>
        <v>79.96893859231939</v>
      </c>
      <c r="T36" s="36">
        <f t="shared" si="21"/>
        <v>86.451639828979793</v>
      </c>
      <c r="U36" s="36">
        <f t="shared" si="27"/>
        <v>258.95558554880517</v>
      </c>
      <c r="V36" s="36">
        <f t="shared" si="32"/>
        <v>156.94471183097545</v>
      </c>
      <c r="W36" s="36"/>
      <c r="Y36" s="36">
        <f>R36*$P$4</f>
        <v>15.806998752692241</v>
      </c>
      <c r="Z36" s="36">
        <f t="shared" si="16"/>
        <v>19.992234648079847</v>
      </c>
      <c r="AA36" s="36">
        <f t="shared" si="22"/>
        <v>21.612909957244948</v>
      </c>
      <c r="AB36" s="36">
        <f t="shared" si="28"/>
        <v>64.738896387201294</v>
      </c>
      <c r="AC36" s="36">
        <f t="shared" si="33"/>
        <v>39.236177957743863</v>
      </c>
      <c r="AD36" s="36"/>
      <c r="AF36" s="36">
        <f t="shared" si="17"/>
        <v>79.034993763461202</v>
      </c>
      <c r="AG36" s="36">
        <f t="shared" si="18"/>
        <v>99.961173240399233</v>
      </c>
      <c r="AH36" s="36">
        <f t="shared" si="23"/>
        <v>108.06454978622475</v>
      </c>
      <c r="AI36" s="36">
        <f t="shared" si="29"/>
        <v>323.69448193600647</v>
      </c>
      <c r="AJ36" s="36">
        <f t="shared" si="34"/>
        <v>196.1808897887193</v>
      </c>
      <c r="AK36" s="36">
        <f t="shared" si="37"/>
        <v>0</v>
      </c>
      <c r="AM36" s="36">
        <f t="shared" si="6"/>
        <v>136.32746074259421</v>
      </c>
      <c r="AN36" s="36">
        <f t="shared" si="7"/>
        <v>172.42302772236462</v>
      </c>
      <c r="AO36" s="36">
        <f t="shared" si="19"/>
        <v>186.40054192625905</v>
      </c>
      <c r="AP36" s="36">
        <f t="shared" si="24"/>
        <v>558.34061189141755</v>
      </c>
      <c r="AQ36" s="36">
        <f t="shared" si="30"/>
        <v>338.39241679656186</v>
      </c>
      <c r="AR36" s="36">
        <f t="shared" si="35"/>
        <v>0</v>
      </c>
      <c r="AS36" s="36">
        <f t="shared" si="0"/>
        <v>1391.8840590791974</v>
      </c>
      <c r="AU36" s="36">
        <f t="shared" si="8"/>
        <v>1.3632746074259421</v>
      </c>
      <c r="AV36" s="36">
        <f t="shared" si="8"/>
        <v>1.7242302772236462</v>
      </c>
      <c r="AW36" s="36">
        <f t="shared" si="8"/>
        <v>1.8640054192625906</v>
      </c>
      <c r="AX36" s="36">
        <f t="shared" si="8"/>
        <v>5.5834061189141755</v>
      </c>
      <c r="AY36" s="36">
        <f t="shared" si="8"/>
        <v>3.3839241679656187</v>
      </c>
      <c r="AZ36" s="36">
        <f t="shared" si="8"/>
        <v>0</v>
      </c>
      <c r="BA36" s="36">
        <f t="shared" si="1"/>
        <v>13.918840590791973</v>
      </c>
      <c r="BC36" s="36">
        <f t="shared" si="9"/>
        <v>1.3632746074259421</v>
      </c>
      <c r="BD36" s="36">
        <f t="shared" si="20"/>
        <v>1.7242302772236462</v>
      </c>
      <c r="BE36" s="36">
        <f t="shared" si="25"/>
        <v>1.8640054192625906</v>
      </c>
      <c r="BF36" s="36">
        <f t="shared" si="31"/>
        <v>5.5834061189141755</v>
      </c>
      <c r="BG36" s="36">
        <f t="shared" si="36"/>
        <v>3.3839241679656187</v>
      </c>
      <c r="BH36" s="36">
        <f t="shared" si="38"/>
        <v>0</v>
      </c>
      <c r="BI36" s="36">
        <f t="shared" si="2"/>
        <v>13.918840590791973</v>
      </c>
      <c r="BK36" s="36">
        <f t="shared" si="10"/>
        <v>1419.7217402607812</v>
      </c>
      <c r="BL36" s="36">
        <f t="shared" si="26"/>
        <v>8378.80910619719</v>
      </c>
    </row>
    <row r="37" spans="2:64" x14ac:dyDescent="0.25">
      <c r="B37" s="67">
        <v>2041</v>
      </c>
      <c r="C37" s="36">
        <v>0</v>
      </c>
      <c r="D37" s="67"/>
      <c r="E37" s="67">
        <v>0</v>
      </c>
      <c r="F37" s="67">
        <v>0</v>
      </c>
      <c r="G37" s="67">
        <v>0</v>
      </c>
      <c r="I37" s="67">
        <v>24</v>
      </c>
      <c r="J37" s="67" t="str">
        <f>'Mangifera indica'!Z37</f>
        <v>2041-2042</v>
      </c>
      <c r="K37" s="73">
        <f t="shared" si="39"/>
        <v>8.5549999999999997</v>
      </c>
      <c r="L37" s="73"/>
      <c r="M37" s="36">
        <f t="shared" si="13"/>
        <v>32.098122819409049</v>
      </c>
      <c r="N37" s="36">
        <f t="shared" si="14"/>
        <v>4.3173606594953213</v>
      </c>
      <c r="O37" s="19"/>
      <c r="P37" s="67">
        <v>24</v>
      </c>
      <c r="Q37" s="67" t="s">
        <v>113</v>
      </c>
      <c r="R37" s="36">
        <f t="shared" si="4"/>
        <v>102.21578454525861</v>
      </c>
      <c r="S37" s="36">
        <f t="shared" si="15"/>
        <v>80.086124142835942</v>
      </c>
      <c r="T37" s="36">
        <f t="shared" si="21"/>
        <v>58.497278580281645</v>
      </c>
      <c r="U37" s="36">
        <f t="shared" si="27"/>
        <v>259.76856369664739</v>
      </c>
      <c r="V37" s="36">
        <f t="shared" si="32"/>
        <v>185.26281086237316</v>
      </c>
      <c r="W37" s="36"/>
      <c r="Y37" s="36">
        <f t="shared" si="5"/>
        <v>25.553946136314654</v>
      </c>
      <c r="Z37" s="36">
        <f t="shared" si="16"/>
        <v>20.021531035708986</v>
      </c>
      <c r="AA37" s="36">
        <f t="shared" si="22"/>
        <v>14.624319645070411</v>
      </c>
      <c r="AB37" s="36">
        <f t="shared" si="28"/>
        <v>64.942140924161848</v>
      </c>
      <c r="AC37" s="36">
        <f t="shared" si="33"/>
        <v>46.315702715593289</v>
      </c>
      <c r="AD37" s="36"/>
      <c r="AF37" s="36">
        <f t="shared" si="17"/>
        <v>127.76973068157326</v>
      </c>
      <c r="AG37" s="36">
        <f t="shared" si="18"/>
        <v>100.10765517854493</v>
      </c>
      <c r="AH37" s="36">
        <f t="shared" si="23"/>
        <v>73.121598225352059</v>
      </c>
      <c r="AI37" s="36">
        <f t="shared" si="29"/>
        <v>324.71070462080922</v>
      </c>
      <c r="AJ37" s="36">
        <f t="shared" si="34"/>
        <v>231.57851357796645</v>
      </c>
      <c r="AK37" s="36">
        <f t="shared" si="37"/>
        <v>0</v>
      </c>
      <c r="AM37" s="36">
        <f t="shared" si="6"/>
        <v>220.3900084526457</v>
      </c>
      <c r="AN37" s="36">
        <f t="shared" si="7"/>
        <v>172.67569441747213</v>
      </c>
      <c r="AO37" s="36">
        <f t="shared" si="19"/>
        <v>126.12744477890976</v>
      </c>
      <c r="AP37" s="36">
        <f t="shared" si="24"/>
        <v>560.09349440043388</v>
      </c>
      <c r="AQ37" s="36">
        <f t="shared" si="30"/>
        <v>399.4497780706343</v>
      </c>
      <c r="AR37" s="36">
        <f t="shared" si="35"/>
        <v>0</v>
      </c>
      <c r="AS37" s="36">
        <f t="shared" si="0"/>
        <v>1478.7364201200958</v>
      </c>
      <c r="AU37" s="36">
        <f t="shared" si="8"/>
        <v>2.2039000845264569</v>
      </c>
      <c r="AV37" s="36">
        <f t="shared" si="8"/>
        <v>1.7267569441747213</v>
      </c>
      <c r="AW37" s="36">
        <f t="shared" si="8"/>
        <v>1.2612744477890976</v>
      </c>
      <c r="AX37" s="36">
        <f t="shared" si="8"/>
        <v>5.6009349440043392</v>
      </c>
      <c r="AY37" s="36">
        <f t="shared" si="8"/>
        <v>3.9944977807063431</v>
      </c>
      <c r="AZ37" s="36">
        <f t="shared" si="8"/>
        <v>0</v>
      </c>
      <c r="BA37" s="36">
        <f t="shared" si="1"/>
        <v>14.787364201200958</v>
      </c>
      <c r="BC37" s="36">
        <f t="shared" si="9"/>
        <v>2.2039000845264569</v>
      </c>
      <c r="BD37" s="36">
        <f t="shared" si="20"/>
        <v>1.7267569441747213</v>
      </c>
      <c r="BE37" s="36">
        <f t="shared" si="25"/>
        <v>1.2612744477890976</v>
      </c>
      <c r="BF37" s="36">
        <f t="shared" si="31"/>
        <v>5.6009349440043392</v>
      </c>
      <c r="BG37" s="36">
        <f t="shared" si="36"/>
        <v>3.9944977807063431</v>
      </c>
      <c r="BH37" s="36">
        <f t="shared" si="38"/>
        <v>0</v>
      </c>
      <c r="BI37" s="36">
        <f t="shared" si="2"/>
        <v>14.787364201200958</v>
      </c>
      <c r="BK37" s="36">
        <f t="shared" si="10"/>
        <v>1508.3111485224977</v>
      </c>
      <c r="BL37" s="36">
        <f t="shared" si="26"/>
        <v>9887.1202547196881</v>
      </c>
    </row>
    <row r="38" spans="2:64" x14ac:dyDescent="0.25">
      <c r="B38" s="67">
        <v>2042</v>
      </c>
      <c r="C38" s="36">
        <v>0</v>
      </c>
      <c r="D38" s="67"/>
      <c r="E38" s="67">
        <v>0</v>
      </c>
      <c r="F38" s="67">
        <v>0</v>
      </c>
      <c r="G38" s="67">
        <v>0</v>
      </c>
      <c r="I38" s="67">
        <v>25</v>
      </c>
      <c r="J38" s="67" t="str">
        <f>'Mangifera indica'!Z38</f>
        <v>2042-2043</v>
      </c>
      <c r="K38" s="73">
        <f t="shared" si="39"/>
        <v>9.83</v>
      </c>
      <c r="L38" s="73"/>
      <c r="M38" s="36">
        <f t="shared" si="13"/>
        <v>36.423240393234849</v>
      </c>
      <c r="N38" s="36">
        <f t="shared" si="14"/>
        <v>4.3251175738257999</v>
      </c>
      <c r="O38" s="19"/>
      <c r="P38" s="67">
        <v>25</v>
      </c>
      <c r="Q38" s="67" t="s">
        <v>114</v>
      </c>
      <c r="R38" s="36">
        <f t="shared" si="4"/>
        <v>102.39943357216964</v>
      </c>
      <c r="S38" s="36">
        <f t="shared" si="15"/>
        <v>129.46901145694568</v>
      </c>
      <c r="T38" s="36">
        <f t="shared" si="21"/>
        <v>58.582999810484495</v>
      </c>
      <c r="U38" s="36">
        <f t="shared" si="27"/>
        <v>175.77172702591801</v>
      </c>
      <c r="V38" s="36">
        <f t="shared" si="32"/>
        <v>185.84443421882531</v>
      </c>
      <c r="W38" s="36"/>
      <c r="Y38" s="36">
        <f>R38*$P$4</f>
        <v>25.59985839304241</v>
      </c>
      <c r="Z38" s="36">
        <f t="shared" si="16"/>
        <v>32.36725286423642</v>
      </c>
      <c r="AA38" s="36">
        <f t="shared" si="22"/>
        <v>14.645749952621124</v>
      </c>
      <c r="AB38" s="36">
        <f t="shared" si="28"/>
        <v>43.942931756479503</v>
      </c>
      <c r="AC38" s="36">
        <f t="shared" si="33"/>
        <v>46.461108554706328</v>
      </c>
      <c r="AD38" s="36"/>
      <c r="AF38" s="36">
        <f t="shared" si="17"/>
        <v>127.99929196521205</v>
      </c>
      <c r="AG38" s="36">
        <f t="shared" si="18"/>
        <v>161.83626432118211</v>
      </c>
      <c r="AH38" s="36">
        <f t="shared" si="23"/>
        <v>73.228749763105611</v>
      </c>
      <c r="AI38" s="36">
        <f t="shared" si="29"/>
        <v>219.71465878239752</v>
      </c>
      <c r="AJ38" s="36">
        <f t="shared" si="34"/>
        <v>232.30554277353164</v>
      </c>
      <c r="AK38" s="36">
        <f t="shared" si="37"/>
        <v>0</v>
      </c>
      <c r="AM38" s="36">
        <f t="shared" si="6"/>
        <v>220.78597871079427</v>
      </c>
      <c r="AN38" s="36">
        <f t="shared" si="7"/>
        <v>279.15137232760696</v>
      </c>
      <c r="AO38" s="36">
        <f t="shared" si="19"/>
        <v>126.31227046638087</v>
      </c>
      <c r="AP38" s="36">
        <f t="shared" si="24"/>
        <v>378.98581493375747</v>
      </c>
      <c r="AQ38" s="36">
        <f t="shared" si="30"/>
        <v>400.70383073006474</v>
      </c>
      <c r="AR38" s="36">
        <f t="shared" si="35"/>
        <v>0</v>
      </c>
      <c r="AS38" s="36">
        <f t="shared" si="0"/>
        <v>1405.9392671686044</v>
      </c>
      <c r="AU38" s="36">
        <f t="shared" si="8"/>
        <v>2.2078597871079428</v>
      </c>
      <c r="AV38" s="36">
        <f t="shared" si="8"/>
        <v>2.7915137232760698</v>
      </c>
      <c r="AW38" s="36">
        <f t="shared" si="8"/>
        <v>1.2631227046638087</v>
      </c>
      <c r="AX38" s="36">
        <f t="shared" si="8"/>
        <v>3.7898581493375749</v>
      </c>
      <c r="AY38" s="36">
        <f t="shared" si="8"/>
        <v>4.0070383073006477</v>
      </c>
      <c r="AZ38" s="36">
        <f t="shared" si="8"/>
        <v>0</v>
      </c>
      <c r="BA38" s="36">
        <f t="shared" si="1"/>
        <v>14.059392671686044</v>
      </c>
      <c r="BC38" s="36">
        <f t="shared" si="9"/>
        <v>2.2078597871079428</v>
      </c>
      <c r="BD38" s="36">
        <f t="shared" si="20"/>
        <v>2.7915137232760698</v>
      </c>
      <c r="BE38" s="36">
        <f t="shared" si="25"/>
        <v>1.2631227046638087</v>
      </c>
      <c r="BF38" s="36">
        <f t="shared" si="31"/>
        <v>3.7898581493375749</v>
      </c>
      <c r="BG38" s="36">
        <f t="shared" si="36"/>
        <v>4.0070383073006477</v>
      </c>
      <c r="BH38" s="36">
        <f t="shared" si="38"/>
        <v>0</v>
      </c>
      <c r="BI38" s="36">
        <f t="shared" si="2"/>
        <v>14.059392671686044</v>
      </c>
      <c r="BK38" s="36">
        <f t="shared" si="10"/>
        <v>1434.0580525119765</v>
      </c>
      <c r="BL38" s="36">
        <f t="shared" si="26"/>
        <v>11321.178307231665</v>
      </c>
    </row>
    <row r="39" spans="2:64" x14ac:dyDescent="0.25">
      <c r="B39" s="67">
        <v>2043</v>
      </c>
      <c r="C39" s="36">
        <v>0</v>
      </c>
      <c r="D39" s="67"/>
      <c r="E39" s="67">
        <v>0</v>
      </c>
      <c r="F39" s="67">
        <v>0</v>
      </c>
      <c r="G39" s="67">
        <v>0</v>
      </c>
      <c r="I39" s="67">
        <v>26</v>
      </c>
      <c r="J39" s="67" t="str">
        <f>'Mangifera indica'!Z39</f>
        <v>2043-2044</v>
      </c>
      <c r="K39" s="73">
        <f t="shared" si="39"/>
        <v>11.105</v>
      </c>
      <c r="L39" s="73"/>
      <c r="M39" s="36">
        <f t="shared" si="13"/>
        <v>40.755113998881782</v>
      </c>
      <c r="N39" s="36">
        <f t="shared" si="14"/>
        <v>4.3318736056469334</v>
      </c>
      <c r="O39" s="19"/>
      <c r="P39" s="67">
        <v>26</v>
      </c>
      <c r="Q39" s="67" t="s">
        <v>115</v>
      </c>
      <c r="R39" s="36">
        <f t="shared" si="4"/>
        <v>102.55938617920771</v>
      </c>
      <c r="S39" s="36">
        <f t="shared" si="15"/>
        <v>129.70162580388808</v>
      </c>
      <c r="T39" s="36">
        <f t="shared" si="21"/>
        <v>94.706581880755778</v>
      </c>
      <c r="U39" s="36">
        <f t="shared" si="27"/>
        <v>176.02930086595339</v>
      </c>
      <c r="V39" s="36">
        <f t="shared" si="32"/>
        <v>125.75115593642224</v>
      </c>
      <c r="W39" s="36"/>
      <c r="Y39" s="36">
        <f t="shared" si="5"/>
        <v>25.639846544801927</v>
      </c>
      <c r="Z39" s="36">
        <f t="shared" si="16"/>
        <v>32.425406450972019</v>
      </c>
      <c r="AA39" s="36">
        <f t="shared" si="22"/>
        <v>23.676645470188944</v>
      </c>
      <c r="AB39" s="36">
        <f t="shared" si="28"/>
        <v>44.007325216488347</v>
      </c>
      <c r="AC39" s="36">
        <f t="shared" si="33"/>
        <v>31.437788984105559</v>
      </c>
      <c r="AD39" s="36"/>
      <c r="AF39" s="36">
        <f t="shared" si="17"/>
        <v>128.19923272400962</v>
      </c>
      <c r="AG39" s="36">
        <f t="shared" si="18"/>
        <v>162.1270322548601</v>
      </c>
      <c r="AH39" s="36">
        <f t="shared" si="23"/>
        <v>118.38322735094472</v>
      </c>
      <c r="AI39" s="36">
        <f t="shared" si="29"/>
        <v>220.03662608244173</v>
      </c>
      <c r="AJ39" s="36">
        <f t="shared" si="34"/>
        <v>157.1889449205278</v>
      </c>
      <c r="AK39" s="36">
        <f t="shared" si="37"/>
        <v>0</v>
      </c>
      <c r="AM39" s="36">
        <f t="shared" si="6"/>
        <v>221.13085652564419</v>
      </c>
      <c r="AN39" s="36">
        <f t="shared" si="7"/>
        <v>279.65291793640819</v>
      </c>
      <c r="AO39" s="36">
        <f t="shared" si="19"/>
        <v>204.19922885764456</v>
      </c>
      <c r="AP39" s="36">
        <f t="shared" si="24"/>
        <v>379.54117632960373</v>
      </c>
      <c r="AQ39" s="36">
        <f t="shared" si="30"/>
        <v>271.13521109341843</v>
      </c>
      <c r="AR39" s="36">
        <f t="shared" si="35"/>
        <v>0</v>
      </c>
      <c r="AS39" s="36">
        <f t="shared" si="0"/>
        <v>1355.6593907427191</v>
      </c>
      <c r="AU39" s="36">
        <f t="shared" si="8"/>
        <v>2.2113085652564419</v>
      </c>
      <c r="AV39" s="36">
        <f t="shared" si="8"/>
        <v>2.7965291793640819</v>
      </c>
      <c r="AW39" s="36">
        <f t="shared" si="8"/>
        <v>2.0419922885764454</v>
      </c>
      <c r="AX39" s="36">
        <f t="shared" si="8"/>
        <v>3.7954117632960376</v>
      </c>
      <c r="AY39" s="36">
        <f t="shared" si="8"/>
        <v>2.7113521109341843</v>
      </c>
      <c r="AZ39" s="36">
        <f t="shared" si="8"/>
        <v>0</v>
      </c>
      <c r="BA39" s="36">
        <f t="shared" si="1"/>
        <v>13.556593907427191</v>
      </c>
      <c r="BC39" s="36">
        <f t="shared" si="9"/>
        <v>2.2113085652564419</v>
      </c>
      <c r="BD39" s="36">
        <f t="shared" si="20"/>
        <v>2.7965291793640819</v>
      </c>
      <c r="BE39" s="36">
        <f t="shared" si="25"/>
        <v>2.0419922885764454</v>
      </c>
      <c r="BF39" s="36">
        <f t="shared" si="31"/>
        <v>3.7954117632960376</v>
      </c>
      <c r="BG39" s="36">
        <f t="shared" si="36"/>
        <v>2.7113521109341843</v>
      </c>
      <c r="BH39" s="36">
        <f t="shared" si="38"/>
        <v>0</v>
      </c>
      <c r="BI39" s="36">
        <f t="shared" si="2"/>
        <v>13.556593907427191</v>
      </c>
      <c r="BK39" s="36">
        <f t="shared" si="10"/>
        <v>1382.7725785575735</v>
      </c>
      <c r="BL39" s="36">
        <f t="shared" si="26"/>
        <v>12703.950885789238</v>
      </c>
    </row>
    <row r="40" spans="2:64" x14ac:dyDescent="0.25">
      <c r="B40" s="67">
        <v>2044</v>
      </c>
      <c r="C40" s="36">
        <v>0</v>
      </c>
      <c r="D40" s="67"/>
      <c r="E40" s="67">
        <v>0</v>
      </c>
      <c r="F40" s="67">
        <v>0</v>
      </c>
      <c r="G40" s="67">
        <v>0</v>
      </c>
      <c r="I40" s="67">
        <v>27</v>
      </c>
      <c r="J40" s="67" t="str">
        <f>'Mangifera indica'!Z40</f>
        <v>2044-2045</v>
      </c>
      <c r="K40" s="73">
        <f t="shared" si="39"/>
        <v>12.38</v>
      </c>
      <c r="L40" s="73"/>
      <c r="M40" s="36">
        <f t="shared" si="13"/>
        <v>45.092973110967151</v>
      </c>
      <c r="N40" s="36">
        <f t="shared" si="14"/>
        <v>4.3378591120853685</v>
      </c>
      <c r="O40" s="19"/>
      <c r="P40" s="67">
        <v>27</v>
      </c>
      <c r="Q40" s="67" t="s">
        <v>116</v>
      </c>
      <c r="R40" s="36">
        <f t="shared" si="4"/>
        <v>102.70109619251404</v>
      </c>
      <c r="S40" s="36">
        <f t="shared" si="15"/>
        <v>129.90422568614025</v>
      </c>
      <c r="T40" s="36">
        <f t="shared" si="21"/>
        <v>94.876739275544139</v>
      </c>
      <c r="U40" s="36">
        <f t="shared" si="27"/>
        <v>284.57288718236663</v>
      </c>
      <c r="V40" s="36">
        <f t="shared" si="32"/>
        <v>125.9354302146095</v>
      </c>
      <c r="W40" s="36"/>
      <c r="Y40" s="36">
        <f t="shared" si="5"/>
        <v>25.675274048128511</v>
      </c>
      <c r="Z40" s="36">
        <f t="shared" si="16"/>
        <v>32.476056421535063</v>
      </c>
      <c r="AA40" s="36">
        <f t="shared" si="22"/>
        <v>23.719184818886035</v>
      </c>
      <c r="AB40" s="36">
        <f t="shared" si="28"/>
        <v>71.143221795591657</v>
      </c>
      <c r="AC40" s="36">
        <f t="shared" si="33"/>
        <v>31.483857553652374</v>
      </c>
      <c r="AD40" s="36"/>
      <c r="AF40" s="36">
        <f t="shared" si="17"/>
        <v>128.37637024064256</v>
      </c>
      <c r="AG40" s="36">
        <f t="shared" si="18"/>
        <v>162.38028210767533</v>
      </c>
      <c r="AH40" s="36">
        <f t="shared" si="23"/>
        <v>118.59592409443017</v>
      </c>
      <c r="AI40" s="36">
        <f t="shared" si="29"/>
        <v>355.7161089779583</v>
      </c>
      <c r="AJ40" s="36">
        <f t="shared" si="34"/>
        <v>157.41928776826188</v>
      </c>
      <c r="AK40" s="36">
        <f t="shared" si="37"/>
        <v>0</v>
      </c>
      <c r="AM40" s="36">
        <f t="shared" si="6"/>
        <v>221.43640102808433</v>
      </c>
      <c r="AN40" s="36">
        <f t="shared" si="7"/>
        <v>280.08974860752915</v>
      </c>
      <c r="AO40" s="36">
        <f t="shared" si="19"/>
        <v>204.56610947048259</v>
      </c>
      <c r="AP40" s="36">
        <f t="shared" si="24"/>
        <v>613.57471637608023</v>
      </c>
      <c r="AQ40" s="36">
        <f t="shared" si="30"/>
        <v>271.5325294714749</v>
      </c>
      <c r="AR40" s="36">
        <f t="shared" si="35"/>
        <v>0</v>
      </c>
      <c r="AS40" s="36">
        <f t="shared" si="0"/>
        <v>1591.1995049536513</v>
      </c>
      <c r="AU40" s="36">
        <f t="shared" si="8"/>
        <v>2.2143640102808435</v>
      </c>
      <c r="AV40" s="36">
        <f t="shared" si="8"/>
        <v>2.8008974860752915</v>
      </c>
      <c r="AW40" s="36">
        <f t="shared" si="8"/>
        <v>2.0456610947048257</v>
      </c>
      <c r="AX40" s="36">
        <f t="shared" si="8"/>
        <v>6.1357471637608025</v>
      </c>
      <c r="AY40" s="36">
        <f t="shared" si="8"/>
        <v>2.715325294714749</v>
      </c>
      <c r="AZ40" s="36">
        <f t="shared" si="8"/>
        <v>0</v>
      </c>
      <c r="BA40" s="36">
        <f t="shared" si="1"/>
        <v>15.911995049536513</v>
      </c>
      <c r="BC40" s="36">
        <f t="shared" si="9"/>
        <v>2.2143640102808435</v>
      </c>
      <c r="BD40" s="36">
        <f t="shared" si="20"/>
        <v>2.8008974860752915</v>
      </c>
      <c r="BE40" s="36">
        <f t="shared" si="25"/>
        <v>2.0456610947048257</v>
      </c>
      <c r="BF40" s="36">
        <f t="shared" si="31"/>
        <v>6.1357471637608025</v>
      </c>
      <c r="BG40" s="36">
        <f t="shared" si="36"/>
        <v>2.715325294714749</v>
      </c>
      <c r="BH40" s="36">
        <f t="shared" si="38"/>
        <v>0</v>
      </c>
      <c r="BI40" s="36">
        <f t="shared" si="2"/>
        <v>15.911995049536513</v>
      </c>
      <c r="BK40" s="36">
        <f t="shared" si="10"/>
        <v>1623.0234950527242</v>
      </c>
      <c r="BL40" s="36">
        <f t="shared" si="26"/>
        <v>14326.974380841963</v>
      </c>
    </row>
    <row r="41" spans="2:64" x14ac:dyDescent="0.25">
      <c r="B41" s="67">
        <v>2045</v>
      </c>
      <c r="C41" s="36">
        <v>0</v>
      </c>
      <c r="D41" s="67"/>
      <c r="E41" s="67">
        <v>0</v>
      </c>
      <c r="F41" s="67">
        <v>0</v>
      </c>
      <c r="G41" s="67">
        <v>0</v>
      </c>
      <c r="I41" s="67">
        <v>28</v>
      </c>
      <c r="J41" s="67" t="str">
        <f>'Mangifera indica'!Z41</f>
        <v>2045-2046</v>
      </c>
      <c r="K41" s="73">
        <f t="shared" si="39"/>
        <v>13.654999999999999</v>
      </c>
      <c r="L41" s="73"/>
      <c r="M41" s="36">
        <f t="shared" si="13"/>
        <v>49.436206014267071</v>
      </c>
      <c r="N41" s="36">
        <f t="shared" si="14"/>
        <v>4.3432329032999206</v>
      </c>
      <c r="O41" s="19"/>
      <c r="P41" s="67">
        <v>28</v>
      </c>
      <c r="Q41" s="67" t="s">
        <v>117</v>
      </c>
      <c r="R41" s="36">
        <f t="shared" si="4"/>
        <v>102.82832352613275</v>
      </c>
      <c r="S41" s="36">
        <f t="shared" si="15"/>
        <v>130.08371905321604</v>
      </c>
      <c r="T41" s="36">
        <f t="shared" si="21"/>
        <v>95.024941089411584</v>
      </c>
      <c r="U41" s="36">
        <f t="shared" si="27"/>
        <v>285.08417351694595</v>
      </c>
      <c r="V41" s="36">
        <f t="shared" si="32"/>
        <v>203.5900205160471</v>
      </c>
      <c r="W41" s="36"/>
      <c r="Y41" s="36">
        <f t="shared" si="5"/>
        <v>25.707080881533187</v>
      </c>
      <c r="Z41" s="36">
        <f t="shared" si="16"/>
        <v>32.520929763304011</v>
      </c>
      <c r="AA41" s="36">
        <f t="shared" si="22"/>
        <v>23.756235272352896</v>
      </c>
      <c r="AB41" s="36">
        <f t="shared" si="28"/>
        <v>71.271043379236488</v>
      </c>
      <c r="AC41" s="36">
        <f t="shared" si="33"/>
        <v>50.897505129011776</v>
      </c>
      <c r="AD41" s="36"/>
      <c r="AF41" s="36">
        <f t="shared" si="17"/>
        <v>128.53540440766594</v>
      </c>
      <c r="AG41" s="36">
        <f t="shared" si="18"/>
        <v>162.60464881652007</v>
      </c>
      <c r="AH41" s="36">
        <f t="shared" si="23"/>
        <v>118.78117636176448</v>
      </c>
      <c r="AI41" s="36">
        <f t="shared" si="29"/>
        <v>356.35521689618247</v>
      </c>
      <c r="AJ41" s="36">
        <f t="shared" si="34"/>
        <v>254.48752564505889</v>
      </c>
      <c r="AK41" s="36">
        <f t="shared" si="37"/>
        <v>0</v>
      </c>
      <c r="AM41" s="36">
        <f t="shared" si="6"/>
        <v>221.71071906278297</v>
      </c>
      <c r="AN41" s="36">
        <f t="shared" si="7"/>
        <v>280.47675874361545</v>
      </c>
      <c r="AO41" s="36">
        <f t="shared" si="19"/>
        <v>204.88565110640755</v>
      </c>
      <c r="AP41" s="36">
        <f t="shared" si="24"/>
        <v>614.67711362422506</v>
      </c>
      <c r="AQ41" s="36">
        <f t="shared" si="30"/>
        <v>438.96553298516204</v>
      </c>
      <c r="AR41" s="36">
        <f t="shared" si="35"/>
        <v>0</v>
      </c>
      <c r="AS41" s="36">
        <f t="shared" si="0"/>
        <v>1760.7157755221931</v>
      </c>
      <c r="AU41" s="36">
        <f t="shared" si="8"/>
        <v>2.2171071906278299</v>
      </c>
      <c r="AV41" s="36">
        <f t="shared" si="8"/>
        <v>2.8047675874361544</v>
      </c>
      <c r="AW41" s="36">
        <f t="shared" si="8"/>
        <v>2.0488565110640757</v>
      </c>
      <c r="AX41" s="36">
        <f t="shared" si="8"/>
        <v>6.1467711362422506</v>
      </c>
      <c r="AY41" s="36">
        <f t="shared" si="8"/>
        <v>4.3896553298516201</v>
      </c>
      <c r="AZ41" s="36">
        <f t="shared" si="8"/>
        <v>0</v>
      </c>
      <c r="BA41" s="36">
        <f t="shared" si="1"/>
        <v>17.60715775522193</v>
      </c>
      <c r="BC41" s="36">
        <f t="shared" si="9"/>
        <v>2.2171071906278299</v>
      </c>
      <c r="BD41" s="36">
        <f t="shared" si="20"/>
        <v>2.8047675874361544</v>
      </c>
      <c r="BE41" s="36">
        <f t="shared" si="25"/>
        <v>2.0488565110640757</v>
      </c>
      <c r="BF41" s="36">
        <f t="shared" si="31"/>
        <v>6.1467711362422506</v>
      </c>
      <c r="BG41" s="36">
        <f t="shared" si="36"/>
        <v>4.3896553298516201</v>
      </c>
      <c r="BH41" s="36">
        <f t="shared" si="38"/>
        <v>0</v>
      </c>
      <c r="BI41" s="36">
        <f t="shared" si="2"/>
        <v>17.60715775522193</v>
      </c>
      <c r="BK41" s="36">
        <f t="shared" si="10"/>
        <v>1795.9300910326372</v>
      </c>
      <c r="BL41" s="36">
        <f t="shared" si="26"/>
        <v>16122.904471874599</v>
      </c>
    </row>
    <row r="42" spans="2:64" x14ac:dyDescent="0.25">
      <c r="B42" s="67">
        <v>2046</v>
      </c>
      <c r="C42" s="36">
        <v>0</v>
      </c>
      <c r="D42" s="67"/>
      <c r="E42" s="67">
        <v>0</v>
      </c>
      <c r="F42" s="67">
        <v>0</v>
      </c>
      <c r="G42" s="67">
        <v>0</v>
      </c>
      <c r="I42" s="67">
        <v>29</v>
      </c>
      <c r="J42" s="67" t="str">
        <f>'Mangifera indica'!Z42</f>
        <v>2046-2047</v>
      </c>
      <c r="K42" s="73">
        <f t="shared" si="39"/>
        <v>14.93</v>
      </c>
      <c r="L42" s="73"/>
      <c r="M42" s="36">
        <f t="shared" si="13"/>
        <v>53.784315162712517</v>
      </c>
      <c r="N42" s="36">
        <f t="shared" si="14"/>
        <v>4.3481091484454453</v>
      </c>
      <c r="O42" s="19"/>
      <c r="P42" s="67">
        <v>29</v>
      </c>
      <c r="Q42" s="67" t="s">
        <v>118</v>
      </c>
      <c r="R42" s="36">
        <f t="shared" si="4"/>
        <v>102.943771194858</v>
      </c>
      <c r="S42" s="36">
        <f t="shared" si="15"/>
        <v>130.24486830415802</v>
      </c>
      <c r="T42" s="36">
        <f t="shared" si="21"/>
        <v>95.156240487427539</v>
      </c>
      <c r="U42" s="36">
        <f t="shared" si="27"/>
        <v>285.52948805813628</v>
      </c>
      <c r="V42" s="36">
        <f t="shared" si="32"/>
        <v>203.95580657661401</v>
      </c>
      <c r="W42" s="36"/>
      <c r="Y42" s="36">
        <f t="shared" si="5"/>
        <v>25.7359427987145</v>
      </c>
      <c r="Z42" s="36">
        <f t="shared" si="16"/>
        <v>32.561217076039505</v>
      </c>
      <c r="AA42" s="36">
        <f t="shared" si="22"/>
        <v>23.789060121856885</v>
      </c>
      <c r="AB42" s="36">
        <f t="shared" si="28"/>
        <v>71.38237201453407</v>
      </c>
      <c r="AC42" s="36">
        <f t="shared" si="33"/>
        <v>50.988951644153502</v>
      </c>
      <c r="AD42" s="36"/>
      <c r="AF42" s="36">
        <f t="shared" si="17"/>
        <v>128.67971399357251</v>
      </c>
      <c r="AG42" s="36">
        <f t="shared" si="18"/>
        <v>162.80608538019752</v>
      </c>
      <c r="AH42" s="36">
        <f t="shared" si="23"/>
        <v>118.94530060928443</v>
      </c>
      <c r="AI42" s="36">
        <f t="shared" si="29"/>
        <v>356.91186007267038</v>
      </c>
      <c r="AJ42" s="36">
        <f t="shared" si="34"/>
        <v>254.94475822076751</v>
      </c>
      <c r="AK42" s="36">
        <f t="shared" si="37"/>
        <v>0</v>
      </c>
      <c r="AM42" s="36">
        <f t="shared" si="6"/>
        <v>221.95963866751319</v>
      </c>
      <c r="AN42" s="36">
        <f t="shared" si="7"/>
        <v>280.82421667230267</v>
      </c>
      <c r="AO42" s="36">
        <f t="shared" si="19"/>
        <v>205.16874902095469</v>
      </c>
      <c r="AP42" s="36">
        <f t="shared" si="24"/>
        <v>615.6372674393491</v>
      </c>
      <c r="AQ42" s="36">
        <f t="shared" si="30"/>
        <v>439.75421345500183</v>
      </c>
      <c r="AR42" s="36">
        <f t="shared" si="35"/>
        <v>0</v>
      </c>
      <c r="AS42" s="36">
        <f t="shared" si="0"/>
        <v>1763.3440852551216</v>
      </c>
      <c r="AU42" s="36">
        <f t="shared" si="8"/>
        <v>2.219596386675132</v>
      </c>
      <c r="AV42" s="36">
        <f t="shared" si="8"/>
        <v>2.8082421667230268</v>
      </c>
      <c r="AW42" s="36">
        <f t="shared" si="8"/>
        <v>2.051687490209547</v>
      </c>
      <c r="AX42" s="36">
        <f t="shared" si="8"/>
        <v>6.1563726743934915</v>
      </c>
      <c r="AY42" s="36">
        <f t="shared" si="8"/>
        <v>4.3975421345500187</v>
      </c>
      <c r="AZ42" s="36">
        <f t="shared" si="8"/>
        <v>0</v>
      </c>
      <c r="BA42" s="36">
        <f t="shared" si="1"/>
        <v>17.633440852551217</v>
      </c>
      <c r="BC42" s="36">
        <f t="shared" si="9"/>
        <v>2.219596386675132</v>
      </c>
      <c r="BD42" s="36">
        <f t="shared" si="20"/>
        <v>2.8082421667230268</v>
      </c>
      <c r="BE42" s="36">
        <f t="shared" si="25"/>
        <v>2.051687490209547</v>
      </c>
      <c r="BF42" s="36">
        <f t="shared" si="31"/>
        <v>6.1563726743934915</v>
      </c>
      <c r="BG42" s="36">
        <f t="shared" si="36"/>
        <v>4.3975421345500187</v>
      </c>
      <c r="BH42" s="36">
        <f t="shared" si="38"/>
        <v>0</v>
      </c>
      <c r="BI42" s="36">
        <f t="shared" si="2"/>
        <v>17.633440852551217</v>
      </c>
      <c r="BK42" s="36">
        <f t="shared" si="10"/>
        <v>1798.6109669602242</v>
      </c>
      <c r="BL42" s="36">
        <f t="shared" si="26"/>
        <v>17921.515438834824</v>
      </c>
    </row>
    <row r="43" spans="2:64" x14ac:dyDescent="0.25">
      <c r="B43" s="67">
        <v>2047</v>
      </c>
      <c r="C43" s="36">
        <v>0</v>
      </c>
      <c r="D43" s="67"/>
      <c r="E43" s="67">
        <v>0</v>
      </c>
      <c r="F43" s="67">
        <v>0</v>
      </c>
      <c r="G43" s="67">
        <v>0</v>
      </c>
      <c r="I43" s="67">
        <v>30</v>
      </c>
      <c r="J43" s="67" t="str">
        <f>'Mangifera indica'!Z43</f>
        <v>2047-2048</v>
      </c>
      <c r="K43" s="79">
        <f t="shared" si="39"/>
        <v>16.204999999999998</v>
      </c>
      <c r="L43" s="79"/>
      <c r="M43" s="36">
        <f t="shared" si="13"/>
        <v>58.136887865220103</v>
      </c>
      <c r="N43" s="36">
        <f t="shared" si="14"/>
        <v>4.3525727025075867</v>
      </c>
      <c r="O43" s="19"/>
      <c r="P43" s="67">
        <v>30</v>
      </c>
      <c r="Q43" s="67" t="s">
        <v>119</v>
      </c>
      <c r="R43" s="36">
        <f>(N43*$G$14)/1000</f>
        <v>103.04944818510863</v>
      </c>
      <c r="S43" s="36">
        <f>(N42*$G$15)/1000</f>
        <v>130.39109714358202</v>
      </c>
      <c r="T43" s="36">
        <f t="shared" si="21"/>
        <v>95.274121164491604</v>
      </c>
      <c r="U43" s="36">
        <f t="shared" si="27"/>
        <v>285.92401447896879</v>
      </c>
      <c r="V43" s="36">
        <f t="shared" si="32"/>
        <v>204.2743948914555</v>
      </c>
      <c r="W43" s="36"/>
      <c r="Y43" s="36">
        <f t="shared" si="5"/>
        <v>25.762362046277158</v>
      </c>
      <c r="Z43" s="36">
        <f t="shared" si="16"/>
        <v>32.597774285895504</v>
      </c>
      <c r="AA43" s="36">
        <f t="shared" si="22"/>
        <v>23.818530291122901</v>
      </c>
      <c r="AB43" s="36">
        <f t="shared" si="28"/>
        <v>71.481003619742197</v>
      </c>
      <c r="AC43" s="36">
        <f t="shared" si="33"/>
        <v>51.068598722863875</v>
      </c>
      <c r="AD43" s="36"/>
      <c r="AF43" s="36">
        <f t="shared" si="17"/>
        <v>128.81181023138578</v>
      </c>
      <c r="AG43" s="36">
        <f t="shared" si="18"/>
        <v>162.98887142947751</v>
      </c>
      <c r="AH43" s="36">
        <f t="shared" si="23"/>
        <v>119.0926514556145</v>
      </c>
      <c r="AI43" s="36">
        <f t="shared" si="29"/>
        <v>357.40501809871097</v>
      </c>
      <c r="AJ43" s="36">
        <f t="shared" si="34"/>
        <v>255.34299361431937</v>
      </c>
      <c r="AK43" s="36">
        <f t="shared" si="37"/>
        <v>0</v>
      </c>
      <c r="AM43" s="36">
        <f t="shared" si="6"/>
        <v>222.18749146811732</v>
      </c>
      <c r="AN43" s="36">
        <f t="shared" si="7"/>
        <v>281.13950432870575</v>
      </c>
      <c r="AO43" s="36">
        <f t="shared" si="19"/>
        <v>205.42291449578943</v>
      </c>
      <c r="AP43" s="36">
        <f t="shared" si="24"/>
        <v>616.48791571846652</v>
      </c>
      <c r="AQ43" s="36">
        <f t="shared" si="30"/>
        <v>440.44112968533949</v>
      </c>
      <c r="AR43" s="36">
        <f t="shared" si="35"/>
        <v>0</v>
      </c>
      <c r="AS43" s="36">
        <f t="shared" si="0"/>
        <v>1765.6789556964186</v>
      </c>
      <c r="AU43" s="36">
        <f t="shared" si="8"/>
        <v>2.2218749146811732</v>
      </c>
      <c r="AV43" s="36">
        <f t="shared" si="8"/>
        <v>2.8113950432870576</v>
      </c>
      <c r="AW43" s="36">
        <f t="shared" si="8"/>
        <v>2.0542291449578944</v>
      </c>
      <c r="AX43" s="36">
        <f t="shared" si="8"/>
        <v>6.1648791571846653</v>
      </c>
      <c r="AY43" s="36">
        <f t="shared" si="8"/>
        <v>4.4044112968533948</v>
      </c>
      <c r="AZ43" s="36">
        <f t="shared" si="8"/>
        <v>0</v>
      </c>
      <c r="BA43" s="36">
        <f t="shared" si="1"/>
        <v>17.656789556964185</v>
      </c>
      <c r="BC43" s="36">
        <f t="shared" si="9"/>
        <v>2.2218749146811732</v>
      </c>
      <c r="BD43" s="36">
        <f t="shared" si="20"/>
        <v>2.8113950432870576</v>
      </c>
      <c r="BE43" s="36">
        <f t="shared" si="25"/>
        <v>2.0542291449578944</v>
      </c>
      <c r="BF43" s="36">
        <f t="shared" si="31"/>
        <v>6.1648791571846653</v>
      </c>
      <c r="BG43" s="36">
        <f t="shared" si="36"/>
        <v>4.4044112968533948</v>
      </c>
      <c r="BH43" s="36">
        <f t="shared" si="38"/>
        <v>0</v>
      </c>
      <c r="BI43" s="36">
        <f t="shared" si="2"/>
        <v>17.656789556964185</v>
      </c>
      <c r="BK43" s="36">
        <f t="shared" si="10"/>
        <v>1800.992534810347</v>
      </c>
      <c r="BL43" s="36">
        <f t="shared" si="26"/>
        <v>19722.50797364517</v>
      </c>
    </row>
    <row r="44" spans="2:64" x14ac:dyDescent="0.25">
      <c r="I44" s="67">
        <v>31</v>
      </c>
      <c r="J44" s="67" t="str">
        <f>'Mangifera indica'!Z44</f>
        <v>2048-2049</v>
      </c>
      <c r="K44" s="67"/>
      <c r="L44" s="79"/>
      <c r="M44" s="79">
        <f>M29</f>
        <v>6.09</v>
      </c>
      <c r="N44" s="36">
        <f t="shared" si="14"/>
        <v>-52.0468878652201</v>
      </c>
      <c r="P44" s="67">
        <v>31</v>
      </c>
      <c r="Q44" s="67" t="s">
        <v>120</v>
      </c>
      <c r="R44" s="36">
        <f t="shared" si="4"/>
        <v>-1232.2374468721027</v>
      </c>
      <c r="S44" s="36">
        <f>(N43*$G$15)/1000</f>
        <v>130.5249502027975</v>
      </c>
      <c r="T44" s="36">
        <f t="shared" si="21"/>
        <v>95.381087560530247</v>
      </c>
      <c r="U44" s="36">
        <f t="shared" si="27"/>
        <v>286.27822053253931</v>
      </c>
      <c r="V44" s="36">
        <f t="shared" si="32"/>
        <v>204.55664821118219</v>
      </c>
      <c r="W44" s="36"/>
      <c r="Y44" s="36">
        <f t="shared" si="5"/>
        <v>-308.05936171802568</v>
      </c>
      <c r="Z44" s="36">
        <f t="shared" si="16"/>
        <v>32.631237550699375</v>
      </c>
      <c r="AA44" s="36">
        <f t="shared" si="22"/>
        <v>23.845271890132562</v>
      </c>
      <c r="AB44" s="36">
        <f t="shared" si="28"/>
        <v>71.569555133134827</v>
      </c>
      <c r="AC44" s="36">
        <f t="shared" si="33"/>
        <v>51.139162052795548</v>
      </c>
      <c r="AD44" s="36"/>
      <c r="AF44" s="36">
        <f t="shared" si="17"/>
        <v>-1540.2968085901284</v>
      </c>
      <c r="AG44" s="36">
        <f t="shared" si="18"/>
        <v>163.15618775349688</v>
      </c>
      <c r="AH44" s="36">
        <f t="shared" si="23"/>
        <v>119.22635945066281</v>
      </c>
      <c r="AI44" s="36">
        <f t="shared" si="29"/>
        <v>357.84777566567413</v>
      </c>
      <c r="AJ44" s="36">
        <f t="shared" si="34"/>
        <v>255.69581026397773</v>
      </c>
      <c r="AK44" s="36">
        <f t="shared" si="37"/>
        <v>0</v>
      </c>
      <c r="AM44" s="36">
        <f t="shared" si="6"/>
        <v>-2656.8579651371124</v>
      </c>
      <c r="AN44" s="36">
        <f t="shared" si="7"/>
        <v>281.42810825600679</v>
      </c>
      <c r="AO44" s="36">
        <f t="shared" si="19"/>
        <v>205.65354741644825</v>
      </c>
      <c r="AP44" s="36">
        <f t="shared" si="24"/>
        <v>617.25162824572124</v>
      </c>
      <c r="AQ44" s="36">
        <f t="shared" si="30"/>
        <v>441.04970312433517</v>
      </c>
      <c r="AR44" s="36">
        <f t="shared" si="35"/>
        <v>0</v>
      </c>
      <c r="AS44" s="36">
        <f t="shared" si="0"/>
        <v>-1111.4749780946006</v>
      </c>
      <c r="AU44" s="36">
        <f t="shared" si="8"/>
        <v>-26.568579651371124</v>
      </c>
      <c r="AV44" s="36">
        <f t="shared" si="8"/>
        <v>2.8142810825600679</v>
      </c>
      <c r="AW44" s="36">
        <f t="shared" si="8"/>
        <v>2.0565354741644826</v>
      </c>
      <c r="AX44" s="36">
        <f t="shared" si="8"/>
        <v>6.1725162824572122</v>
      </c>
      <c r="AY44" s="36">
        <f t="shared" si="8"/>
        <v>4.4104970312433514</v>
      </c>
      <c r="AZ44" s="36">
        <f t="shared" si="8"/>
        <v>0</v>
      </c>
      <c r="BA44" s="36">
        <f t="shared" si="1"/>
        <v>-11.114749780946006</v>
      </c>
      <c r="BC44" s="36">
        <f t="shared" si="9"/>
        <v>-26.568579651371124</v>
      </c>
      <c r="BD44" s="36">
        <f t="shared" si="20"/>
        <v>2.8142810825600679</v>
      </c>
      <c r="BE44" s="36">
        <f t="shared" si="25"/>
        <v>2.0565354741644826</v>
      </c>
      <c r="BF44" s="36">
        <f t="shared" si="31"/>
        <v>6.1725162824572122</v>
      </c>
      <c r="BG44" s="36">
        <f t="shared" si="36"/>
        <v>4.4104970312433514</v>
      </c>
      <c r="BH44" s="36">
        <f t="shared" si="38"/>
        <v>0</v>
      </c>
      <c r="BI44" s="36">
        <f t="shared" si="2"/>
        <v>-11.114749780946006</v>
      </c>
      <c r="BK44" s="36">
        <f t="shared" si="10"/>
        <v>-1133.7044776564928</v>
      </c>
      <c r="BL44" s="36">
        <f t="shared" si="26"/>
        <v>18588.803495988675</v>
      </c>
    </row>
    <row r="45" spans="2:64" x14ac:dyDescent="0.25">
      <c r="I45" s="67">
        <v>32</v>
      </c>
      <c r="J45" s="67" t="str">
        <f>'Mangifera indica'!Z45</f>
        <v>2049-2050</v>
      </c>
      <c r="K45" s="67">
        <f t="shared" ref="K45:K48" si="40">K30</f>
        <v>1.37</v>
      </c>
      <c r="L45" s="79"/>
      <c r="M45" s="79">
        <f t="shared" ref="M45:M48" si="41">M30</f>
        <v>7.9346047430868136</v>
      </c>
      <c r="N45" s="36">
        <f t="shared" si="14"/>
        <v>1.8446047430868138</v>
      </c>
      <c r="P45" s="67">
        <v>32</v>
      </c>
      <c r="Q45" s="67" t="s">
        <v>121</v>
      </c>
      <c r="R45" s="36">
        <f t="shared" si="4"/>
        <v>43.671987554675177</v>
      </c>
      <c r="S45" s="36">
        <f t="shared" ref="S45:S48" si="42">(N44*$G$15)/1000</f>
        <v>-1560.7820733022204</v>
      </c>
      <c r="T45" s="36">
        <f>(N43*$G$16)/1000</f>
        <v>95.479001073346382</v>
      </c>
      <c r="U45" s="36">
        <f t="shared" si="27"/>
        <v>286.59963152159327</v>
      </c>
      <c r="V45" s="36">
        <f t="shared" si="32"/>
        <v>204.81005540828846</v>
      </c>
      <c r="W45" s="36"/>
      <c r="Y45" s="36">
        <f t="shared" si="5"/>
        <v>10.917996888668794</v>
      </c>
      <c r="Z45" s="36">
        <f t="shared" si="16"/>
        <v>-390.1955183255551</v>
      </c>
      <c r="AA45" s="36">
        <f t="shared" si="22"/>
        <v>23.869750268336595</v>
      </c>
      <c r="AB45" s="36">
        <f t="shared" si="28"/>
        <v>71.649907880398317</v>
      </c>
      <c r="AC45" s="36">
        <f t="shared" si="33"/>
        <v>51.202513852072116</v>
      </c>
      <c r="AD45" s="36"/>
      <c r="AF45" s="36">
        <f t="shared" si="17"/>
        <v>54.589984443343972</v>
      </c>
      <c r="AG45" s="36">
        <f t="shared" si="18"/>
        <v>-1950.9775916277754</v>
      </c>
      <c r="AH45" s="36">
        <f t="shared" si="23"/>
        <v>119.34875134168297</v>
      </c>
      <c r="AI45" s="36">
        <f t="shared" si="29"/>
        <v>358.24953940199157</v>
      </c>
      <c r="AJ45" s="36">
        <f t="shared" si="34"/>
        <v>256.01256926036058</v>
      </c>
      <c r="AK45" s="36">
        <f t="shared" si="37"/>
        <v>0</v>
      </c>
      <c r="AM45" s="36">
        <f t="shared" si="6"/>
        <v>94.162264166324007</v>
      </c>
      <c r="AN45" s="36">
        <f t="shared" si="7"/>
        <v>-3365.2412477987496</v>
      </c>
      <c r="AO45" s="36">
        <f t="shared" si="19"/>
        <v>205.86466118926893</v>
      </c>
      <c r="AP45" s="36">
        <f t="shared" si="24"/>
        <v>617.9446305144952</v>
      </c>
      <c r="AQ45" s="36">
        <f t="shared" si="30"/>
        <v>441.59608071719595</v>
      </c>
      <c r="AR45" s="36">
        <f t="shared" si="35"/>
        <v>0</v>
      </c>
      <c r="AS45" s="36">
        <f t="shared" si="0"/>
        <v>-2005.6736112114654</v>
      </c>
      <c r="AU45" s="36">
        <f t="shared" si="8"/>
        <v>0.94162264166324006</v>
      </c>
      <c r="AV45" s="36">
        <f t="shared" si="8"/>
        <v>-33.652412477987497</v>
      </c>
      <c r="AW45" s="36">
        <f t="shared" si="8"/>
        <v>2.0586466118926894</v>
      </c>
      <c r="AX45" s="36">
        <f t="shared" si="8"/>
        <v>6.1794463051449524</v>
      </c>
      <c r="AY45" s="36">
        <f t="shared" si="8"/>
        <v>4.4159608071719596</v>
      </c>
      <c r="AZ45" s="36">
        <f t="shared" si="8"/>
        <v>0</v>
      </c>
      <c r="BA45" s="36">
        <f t="shared" si="1"/>
        <v>-20.056736112114656</v>
      </c>
      <c r="BC45" s="36">
        <f t="shared" si="9"/>
        <v>0.94162264166324006</v>
      </c>
      <c r="BD45" s="36">
        <f t="shared" si="20"/>
        <v>-33.652412477987497</v>
      </c>
      <c r="BE45" s="36">
        <f t="shared" si="25"/>
        <v>2.0586466118926894</v>
      </c>
      <c r="BF45" s="36">
        <f t="shared" si="31"/>
        <v>6.1794463051449524</v>
      </c>
      <c r="BG45" s="36">
        <f t="shared" si="36"/>
        <v>4.4159608071719596</v>
      </c>
      <c r="BH45" s="36">
        <f t="shared" si="38"/>
        <v>0</v>
      </c>
      <c r="BI45" s="36">
        <f t="shared" si="2"/>
        <v>-20.056736112114656</v>
      </c>
      <c r="BK45" s="36">
        <f t="shared" si="10"/>
        <v>-2045.7870834356945</v>
      </c>
      <c r="BL45" s="36">
        <f t="shared" si="26"/>
        <v>16543.016412552981</v>
      </c>
    </row>
    <row r="46" spans="2:64" x14ac:dyDescent="0.25">
      <c r="I46" s="67">
        <v>33</v>
      </c>
      <c r="J46" s="67" t="str">
        <f>'Mangifera indica'!Z46</f>
        <v>2050-2051</v>
      </c>
      <c r="K46" s="67">
        <f t="shared" si="40"/>
        <v>2.3650000000000002</v>
      </c>
      <c r="L46" s="79"/>
      <c r="M46" s="79">
        <f t="shared" si="41"/>
        <v>11.245509096034107</v>
      </c>
      <c r="N46" s="36">
        <f t="shared" si="14"/>
        <v>3.3109043529472935</v>
      </c>
      <c r="P46" s="67">
        <v>33</v>
      </c>
      <c r="Q46" s="67" t="s">
        <v>130</v>
      </c>
      <c r="R46" s="36">
        <f t="shared" si="4"/>
        <v>78.387402091716822</v>
      </c>
      <c r="S46" s="36">
        <f t="shared" si="42"/>
        <v>55.31600703568737</v>
      </c>
      <c r="T46" s="36">
        <f t="shared" si="21"/>
        <v>-1141.7120866205744</v>
      </c>
      <c r="U46" s="36">
        <f>($G$17*N43)/1000</f>
        <v>286.8938405457489</v>
      </c>
      <c r="V46" s="36">
        <f t="shared" si="32"/>
        <v>205.0400002582827</v>
      </c>
      <c r="W46" s="36"/>
      <c r="Y46" s="36">
        <f t="shared" si="5"/>
        <v>19.596850522929206</v>
      </c>
      <c r="Z46" s="36">
        <f t="shared" si="16"/>
        <v>13.829001758921843</v>
      </c>
      <c r="AA46" s="36">
        <f t="shared" si="22"/>
        <v>-285.4280216551436</v>
      </c>
      <c r="AB46" s="36">
        <f t="shared" si="28"/>
        <v>71.723460136437225</v>
      </c>
      <c r="AC46" s="36">
        <f t="shared" si="33"/>
        <v>51.260000064570676</v>
      </c>
      <c r="AD46" s="36"/>
      <c r="AF46" s="36">
        <f t="shared" si="17"/>
        <v>97.984252614646024</v>
      </c>
      <c r="AG46" s="36">
        <f t="shared" si="18"/>
        <v>69.145008794609211</v>
      </c>
      <c r="AH46" s="36">
        <f t="shared" si="23"/>
        <v>-1427.1401082757179</v>
      </c>
      <c r="AI46" s="36">
        <f t="shared" si="29"/>
        <v>358.61730068218611</v>
      </c>
      <c r="AJ46" s="36">
        <f t="shared" si="34"/>
        <v>256.30000032285341</v>
      </c>
      <c r="AK46" s="36">
        <f t="shared" si="37"/>
        <v>0</v>
      </c>
      <c r="AM46" s="36">
        <f t="shared" si="6"/>
        <v>169.01303733500293</v>
      </c>
      <c r="AN46" s="36">
        <f t="shared" si="7"/>
        <v>119.26822566982142</v>
      </c>
      <c r="AO46" s="36">
        <f t="shared" si="19"/>
        <v>-2461.6739727647855</v>
      </c>
      <c r="AP46" s="36">
        <f t="shared" si="24"/>
        <v>618.57898194670281</v>
      </c>
      <c r="AQ46" s="36">
        <f t="shared" si="30"/>
        <v>442.09187055688977</v>
      </c>
      <c r="AR46" s="36">
        <f t="shared" si="35"/>
        <v>0</v>
      </c>
      <c r="AS46" s="36">
        <f t="shared" si="0"/>
        <v>-1112.7218572563688</v>
      </c>
      <c r="AU46" s="36">
        <f t="shared" si="8"/>
        <v>1.6901303733500295</v>
      </c>
      <c r="AV46" s="36">
        <f t="shared" si="8"/>
        <v>1.1926822566982143</v>
      </c>
      <c r="AW46" s="36">
        <f t="shared" si="8"/>
        <v>-24.616739727647854</v>
      </c>
      <c r="AX46" s="36">
        <f t="shared" si="8"/>
        <v>6.1857898194670282</v>
      </c>
      <c r="AY46" s="36">
        <f t="shared" si="8"/>
        <v>4.4209187055688979</v>
      </c>
      <c r="AZ46" s="36">
        <f t="shared" si="8"/>
        <v>0</v>
      </c>
      <c r="BA46" s="36">
        <f t="shared" si="1"/>
        <v>-11.127218572563685</v>
      </c>
      <c r="BC46" s="36">
        <f t="shared" si="9"/>
        <v>1.6901303733500295</v>
      </c>
      <c r="BD46" s="36">
        <f t="shared" si="20"/>
        <v>1.1926822566982143</v>
      </c>
      <c r="BE46" s="36">
        <f t="shared" si="25"/>
        <v>-24.616739727647854</v>
      </c>
      <c r="BF46" s="36">
        <f t="shared" si="31"/>
        <v>6.1857898194670282</v>
      </c>
      <c r="BG46" s="36">
        <f t="shared" si="36"/>
        <v>4.4209187055688979</v>
      </c>
      <c r="BH46" s="36">
        <f t="shared" si="38"/>
        <v>0</v>
      </c>
      <c r="BI46" s="36">
        <f t="shared" si="2"/>
        <v>-11.127218572563685</v>
      </c>
      <c r="BK46" s="36">
        <f t="shared" si="10"/>
        <v>-1134.976294401496</v>
      </c>
      <c r="BL46" s="36">
        <f t="shared" si="26"/>
        <v>15408.040118151484</v>
      </c>
    </row>
    <row r="47" spans="2:64" x14ac:dyDescent="0.25">
      <c r="I47" s="67">
        <v>34</v>
      </c>
      <c r="J47" s="67" t="str">
        <f>'Mangifera indica'!Z47</f>
        <v>2051-2052</v>
      </c>
      <c r="K47" s="67">
        <f t="shared" si="40"/>
        <v>3.3600000000000003</v>
      </c>
      <c r="L47" s="79"/>
      <c r="M47" s="79">
        <f t="shared" si="41"/>
        <v>14.573702309323142</v>
      </c>
      <c r="N47" s="36">
        <f t="shared" si="14"/>
        <v>3.3281932132890351</v>
      </c>
      <c r="P47" s="67">
        <v>34</v>
      </c>
      <c r="Q47" s="67" t="s">
        <v>123</v>
      </c>
      <c r="R47" s="36">
        <f t="shared" si="4"/>
        <v>78.796724954248091</v>
      </c>
      <c r="S47" s="36">
        <f t="shared" si="42"/>
        <v>99.287399736183431</v>
      </c>
      <c r="T47" s="36">
        <f t="shared" si="21"/>
        <v>40.463659146605316</v>
      </c>
      <c r="U47" s="36">
        <f>($G$17*N44)/1000</f>
        <v>-3430.5989971182803</v>
      </c>
      <c r="V47" s="36">
        <f>(N43*$G$18)/1000</f>
        <v>205.25048419389907</v>
      </c>
      <c r="W47" s="36"/>
      <c r="Y47" s="36">
        <f t="shared" si="5"/>
        <v>19.699181238562023</v>
      </c>
      <c r="Z47" s="36">
        <f t="shared" si="16"/>
        <v>24.821849934045858</v>
      </c>
      <c r="AA47" s="36">
        <f t="shared" si="22"/>
        <v>10.115914786651329</v>
      </c>
      <c r="AB47" s="36">
        <f t="shared" si="28"/>
        <v>-857.64974927957007</v>
      </c>
      <c r="AC47" s="36">
        <f t="shared" si="33"/>
        <v>51.312621048474767</v>
      </c>
      <c r="AD47" s="36"/>
      <c r="AF47" s="36">
        <f t="shared" si="17"/>
        <v>98.495906192810111</v>
      </c>
      <c r="AG47" s="36">
        <f t="shared" si="18"/>
        <v>124.10924967022929</v>
      </c>
      <c r="AH47" s="36">
        <f t="shared" si="23"/>
        <v>50.579573933256647</v>
      </c>
      <c r="AI47" s="36">
        <f t="shared" si="29"/>
        <v>-4288.2487463978505</v>
      </c>
      <c r="AJ47" s="36">
        <f t="shared" si="34"/>
        <v>256.56310524237381</v>
      </c>
      <c r="AK47" s="36">
        <f t="shared" si="37"/>
        <v>0</v>
      </c>
      <c r="AM47" s="36">
        <f t="shared" si="6"/>
        <v>169.89558859197814</v>
      </c>
      <c r="AN47" s="36">
        <f t="shared" si="7"/>
        <v>214.07604475617848</v>
      </c>
      <c r="AO47" s="36">
        <f t="shared" si="19"/>
        <v>87.244707077474388</v>
      </c>
      <c r="AP47" s="36">
        <f t="shared" si="24"/>
        <v>-7396.8002626616517</v>
      </c>
      <c r="AQ47" s="36">
        <f t="shared" si="30"/>
        <v>442.54570023257054</v>
      </c>
      <c r="AR47" s="36">
        <f t="shared" si="35"/>
        <v>0</v>
      </c>
      <c r="AS47" s="36">
        <f t="shared" si="0"/>
        <v>-6483.0382220034508</v>
      </c>
      <c r="AU47" s="36">
        <f t="shared" si="8"/>
        <v>1.6989558859197815</v>
      </c>
      <c r="AV47" s="36">
        <f t="shared" si="8"/>
        <v>2.1407604475617847</v>
      </c>
      <c r="AW47" s="36">
        <f t="shared" si="8"/>
        <v>0.87244707077474393</v>
      </c>
      <c r="AX47" s="36">
        <f t="shared" si="8"/>
        <v>-73.968002626616524</v>
      </c>
      <c r="AY47" s="36">
        <f t="shared" si="8"/>
        <v>4.4254570023257056</v>
      </c>
      <c r="AZ47" s="36">
        <f t="shared" si="8"/>
        <v>0</v>
      </c>
      <c r="BA47" s="36">
        <f t="shared" si="1"/>
        <v>-64.830382220034508</v>
      </c>
      <c r="BC47" s="36">
        <f t="shared" si="9"/>
        <v>1.6989558859197815</v>
      </c>
      <c r="BD47" s="36">
        <f t="shared" si="20"/>
        <v>2.1407604475617847</v>
      </c>
      <c r="BE47" s="36">
        <f t="shared" si="25"/>
        <v>0.87244707077474393</v>
      </c>
      <c r="BF47" s="36">
        <f t="shared" si="31"/>
        <v>-73.968002626616524</v>
      </c>
      <c r="BG47" s="36">
        <f t="shared" si="36"/>
        <v>4.4254570023257056</v>
      </c>
      <c r="BH47" s="36">
        <f t="shared" si="38"/>
        <v>0</v>
      </c>
      <c r="BI47" s="36">
        <f t="shared" si="2"/>
        <v>-64.830382220034508</v>
      </c>
      <c r="BK47" s="36">
        <f t="shared" si="10"/>
        <v>-6612.6989864435191</v>
      </c>
      <c r="BL47" s="36">
        <f t="shared" si="26"/>
        <v>8795.3411317079663</v>
      </c>
    </row>
    <row r="48" spans="2:64" x14ac:dyDescent="0.25">
      <c r="I48" s="67">
        <v>35</v>
      </c>
      <c r="J48" s="67" t="str">
        <f>'Mangifera indica'!Z48</f>
        <v>2052-2053</v>
      </c>
      <c r="K48" s="67">
        <f t="shared" si="40"/>
        <v>4.53</v>
      </c>
      <c r="L48" s="79"/>
      <c r="M48" s="79">
        <f t="shared" si="41"/>
        <v>18.502413398684656</v>
      </c>
      <c r="N48" s="36">
        <f t="shared" si="14"/>
        <v>3.9287110893615136</v>
      </c>
      <c r="P48" s="67">
        <v>34</v>
      </c>
      <c r="Q48" s="67" t="s">
        <v>124</v>
      </c>
      <c r="R48" s="36">
        <f t="shared" si="4"/>
        <v>93.014301542666828</v>
      </c>
      <c r="S48" s="36">
        <f t="shared" si="42"/>
        <v>99.805858080111591</v>
      </c>
      <c r="T48" s="36">
        <f t="shared" si="21"/>
        <v>72.62873290701819</v>
      </c>
      <c r="U48" s="36">
        <f>($G$17*N45)/1000</f>
        <v>121.58458346444083</v>
      </c>
      <c r="V48" s="36">
        <f>(N44*$G$18)/1000</f>
        <v>-2454.3298102677413</v>
      </c>
      <c r="W48" s="36"/>
      <c r="Y48" s="36">
        <f t="shared" si="5"/>
        <v>23.253575385666707</v>
      </c>
      <c r="Z48" s="36">
        <f t="shared" si="16"/>
        <v>24.951464520027898</v>
      </c>
      <c r="AA48" s="36">
        <f t="shared" si="22"/>
        <v>18.157183226754547</v>
      </c>
      <c r="AB48" s="36">
        <f t="shared" si="28"/>
        <v>30.396145866110206</v>
      </c>
      <c r="AC48" s="36">
        <f t="shared" si="33"/>
        <v>-613.58245256693533</v>
      </c>
      <c r="AD48" s="36"/>
      <c r="AF48" s="36">
        <f t="shared" si="17"/>
        <v>116.26787692833354</v>
      </c>
      <c r="AG48" s="36">
        <f t="shared" si="18"/>
        <v>124.75732260013949</v>
      </c>
      <c r="AH48" s="36">
        <f t="shared" si="23"/>
        <v>90.78591613377273</v>
      </c>
      <c r="AI48" s="36">
        <f t="shared" si="29"/>
        <v>151.98072933055104</v>
      </c>
      <c r="AJ48" s="36">
        <f t="shared" si="34"/>
        <v>-3067.9122628346768</v>
      </c>
      <c r="AK48" s="36">
        <f t="shared" si="37"/>
        <v>0</v>
      </c>
      <c r="AM48" s="36">
        <f t="shared" si="6"/>
        <v>200.55046091368249</v>
      </c>
      <c r="AN48" s="36">
        <f t="shared" si="7"/>
        <v>215.19390575298058</v>
      </c>
      <c r="AO48" s="36">
        <f t="shared" si="19"/>
        <v>156.59662673914457</v>
      </c>
      <c r="AP48" s="36">
        <f t="shared" si="24"/>
        <v>262.15156002226746</v>
      </c>
      <c r="AQ48" s="36">
        <f t="shared" si="30"/>
        <v>-5291.8418621635337</v>
      </c>
      <c r="AR48" s="36">
        <f t="shared" si="35"/>
        <v>0</v>
      </c>
      <c r="AS48" s="36">
        <f t="shared" si="0"/>
        <v>-4457.3493087354582</v>
      </c>
      <c r="AU48" s="36">
        <f t="shared" si="8"/>
        <v>2.0055046091368247</v>
      </c>
      <c r="AV48" s="36">
        <f t="shared" si="8"/>
        <v>2.1519390575298059</v>
      </c>
      <c r="AW48" s="36">
        <f t="shared" si="8"/>
        <v>1.5659662673914456</v>
      </c>
      <c r="AX48" s="36">
        <f t="shared" si="8"/>
        <v>2.6215156002226747</v>
      </c>
      <c r="AY48" s="36">
        <f t="shared" si="8"/>
        <v>-52.91841862163534</v>
      </c>
      <c r="AZ48" s="36">
        <f t="shared" si="8"/>
        <v>0</v>
      </c>
      <c r="BA48" s="36">
        <f t="shared" si="1"/>
        <v>-44.573493087354592</v>
      </c>
      <c r="BC48" s="36">
        <f t="shared" si="9"/>
        <v>2.0055046091368247</v>
      </c>
      <c r="BD48" s="36">
        <f t="shared" si="20"/>
        <v>2.1519390575298059</v>
      </c>
      <c r="BE48" s="36">
        <f t="shared" si="25"/>
        <v>1.5659662673914456</v>
      </c>
      <c r="BF48" s="36">
        <f t="shared" si="31"/>
        <v>2.6215156002226747</v>
      </c>
      <c r="BG48" s="36">
        <f t="shared" si="36"/>
        <v>-52.91841862163534</v>
      </c>
      <c r="BH48" s="36">
        <f t="shared" si="38"/>
        <v>0</v>
      </c>
      <c r="BI48" s="36">
        <f t="shared" si="2"/>
        <v>-44.573493087354592</v>
      </c>
      <c r="BK48" s="36">
        <f t="shared" si="10"/>
        <v>-4546.4962949101682</v>
      </c>
      <c r="BL48" s="36">
        <f t="shared" si="26"/>
        <v>4248.8448367977981</v>
      </c>
    </row>
  </sheetData>
  <mergeCells count="60">
    <mergeCell ref="BH12:BH13"/>
    <mergeCell ref="BC12:BC13"/>
    <mergeCell ref="BD12:BD13"/>
    <mergeCell ref="BE12:BE13"/>
    <mergeCell ref="BF12:BF13"/>
    <mergeCell ref="BG12:BG13"/>
    <mergeCell ref="BI11:BI13"/>
    <mergeCell ref="BK11:BK13"/>
    <mergeCell ref="BL11:BL13"/>
    <mergeCell ref="R12:R13"/>
    <mergeCell ref="S12:S13"/>
    <mergeCell ref="T12:T13"/>
    <mergeCell ref="U12:U13"/>
    <mergeCell ref="V12:V13"/>
    <mergeCell ref="W12:W13"/>
    <mergeCell ref="Y12:Y13"/>
    <mergeCell ref="Z12:Z13"/>
    <mergeCell ref="AA12:AA13"/>
    <mergeCell ref="AB12:AB13"/>
    <mergeCell ref="AC12:AC13"/>
    <mergeCell ref="AD12:AD13"/>
    <mergeCell ref="AY12:AY13"/>
    <mergeCell ref="AM11:AR11"/>
    <mergeCell ref="AS11:AS13"/>
    <mergeCell ref="AU11:AZ11"/>
    <mergeCell ref="BA11:BA13"/>
    <mergeCell ref="BC11:BH11"/>
    <mergeCell ref="AM12:AM13"/>
    <mergeCell ref="AN12:AN13"/>
    <mergeCell ref="AO12:AO13"/>
    <mergeCell ref="AP12:AP13"/>
    <mergeCell ref="AQ12:AQ13"/>
    <mergeCell ref="AR12:AR13"/>
    <mergeCell ref="AU12:AU13"/>
    <mergeCell ref="AV12:AV13"/>
    <mergeCell ref="AW12:AW13"/>
    <mergeCell ref="AX12:AX13"/>
    <mergeCell ref="AZ12:AZ13"/>
    <mergeCell ref="Y11:AD11"/>
    <mergeCell ref="AF11:AK11"/>
    <mergeCell ref="AF12:AF13"/>
    <mergeCell ref="AG12:AG13"/>
    <mergeCell ref="AH12:AH13"/>
    <mergeCell ref="AI12:AI13"/>
    <mergeCell ref="AJ12:AJ13"/>
    <mergeCell ref="AK12:AK13"/>
    <mergeCell ref="M3:R3"/>
    <mergeCell ref="I10:N10"/>
    <mergeCell ref="B11:B13"/>
    <mergeCell ref="E11:E13"/>
    <mergeCell ref="F11:F13"/>
    <mergeCell ref="G11:G13"/>
    <mergeCell ref="I11:I13"/>
    <mergeCell ref="J11:J13"/>
    <mergeCell ref="K11:K13"/>
    <mergeCell ref="M11:M13"/>
    <mergeCell ref="N11:N13"/>
    <mergeCell ref="P11:P13"/>
    <mergeCell ref="Q11:Q13"/>
    <mergeCell ref="R11:W11"/>
  </mergeCells>
  <phoneticPr fontId="9" type="noConversion"/>
  <hyperlinks>
    <hyperlink ref="L17" r:id="rId1" xr:uid="{D4C46360-C63E-481D-9B59-74DE9CC93A90}"/>
    <hyperlink ref="L15" r:id="rId2" xr:uid="{CD49706D-99B1-4DE7-A5DB-61C9B9B1EEDF}"/>
    <hyperlink ref="L19" r:id="rId3" xr:uid="{DA5C940B-0771-4FBF-B1FD-A57020962FFB}"/>
    <hyperlink ref="L21" r:id="rId4" xr:uid="{8AA30B13-7F68-4D76-A308-C576F6E2BFC0}"/>
    <hyperlink ref="L23" r:id="rId5" xr:uid="{3F64771D-AB58-4C2F-B254-2FD7053836B6}"/>
  </hyperlinks>
  <pageMargins left="0.7" right="0.7" top="0.75" bottom="0.75" header="0.3" footer="0.3"/>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008D-1CA9-40F9-947A-E754B8091A41}">
  <dimension ref="B3:BT48"/>
  <sheetViews>
    <sheetView topLeftCell="F2" workbookViewId="0">
      <selection activeCell="K11" sqref="K11:K13"/>
    </sheetView>
  </sheetViews>
  <sheetFormatPr defaultColWidth="9.140625" defaultRowHeight="14.25" x14ac:dyDescent="0.25"/>
  <cols>
    <col min="1" max="1" width="9.140625" style="45"/>
    <col min="2" max="2" width="9.42578125" style="45" bestFit="1" customWidth="1"/>
    <col min="3" max="3" width="13.140625" style="45" bestFit="1" customWidth="1"/>
    <col min="4" max="4" width="18.7109375" style="45" customWidth="1"/>
    <col min="5" max="5" width="11.7109375" style="45" customWidth="1"/>
    <col min="6" max="6" width="12.7109375" style="45" bestFit="1" customWidth="1"/>
    <col min="7" max="7" width="12.28515625" style="45" customWidth="1"/>
    <col min="8" max="8" width="9.140625" style="45"/>
    <col min="9" max="9" width="4.85546875" style="45" bestFit="1" customWidth="1"/>
    <col min="10" max="10" width="11.28515625" style="45" bestFit="1" customWidth="1"/>
    <col min="11" max="11" width="13.140625" style="45" bestFit="1" customWidth="1"/>
    <col min="12" max="12" width="18.28515625" style="45" customWidth="1"/>
    <col min="13" max="13" width="18.85546875" style="45" bestFit="1" customWidth="1"/>
    <col min="14" max="14" width="30.5703125" style="45" customWidth="1"/>
    <col min="15" max="15" width="13.5703125" style="45" bestFit="1" customWidth="1"/>
    <col min="16" max="16" width="5.42578125" style="45" bestFit="1" customWidth="1"/>
    <col min="17" max="17" width="14.140625" style="45" bestFit="1" customWidth="1"/>
    <col min="18" max="18" width="10.140625" style="45" bestFit="1" customWidth="1"/>
    <col min="19" max="19" width="9.5703125" style="45" bestFit="1" customWidth="1"/>
    <col min="20" max="20" width="9.28515625" style="45" customWidth="1"/>
    <col min="21" max="23" width="9.140625" style="45" bestFit="1" customWidth="1"/>
    <col min="24" max="24" width="8.85546875" style="45" customWidth="1"/>
    <col min="25" max="25" width="9.140625" style="45"/>
    <col min="26" max="31" width="9.42578125" style="45" bestFit="1" customWidth="1"/>
    <col min="32" max="32" width="9.140625" style="45"/>
    <col min="33" max="38" width="9.42578125" style="45" bestFit="1" customWidth="1"/>
    <col min="39" max="39" width="9.140625" style="45"/>
    <col min="40" max="40" width="10.7109375" style="45" bestFit="1" customWidth="1"/>
    <col min="41" max="45" width="9.42578125" style="45" bestFit="1" customWidth="1"/>
    <col min="46" max="46" width="9.140625" style="45"/>
    <col min="47" max="47" width="10.7109375" style="45" bestFit="1" customWidth="1"/>
    <col min="48" max="48" width="10.140625" style="45" bestFit="1" customWidth="1"/>
    <col min="49" max="49" width="9.42578125" style="45" bestFit="1" customWidth="1"/>
    <col min="50" max="51" width="10.140625" style="45" bestFit="1" customWidth="1"/>
    <col min="52" max="52" width="9.42578125" style="45" bestFit="1" customWidth="1"/>
    <col min="53" max="53" width="16" style="45" customWidth="1"/>
    <col min="54" max="54" width="9.140625" style="45"/>
    <col min="55" max="61" width="9.42578125" style="45" bestFit="1" customWidth="1"/>
    <col min="62" max="62" width="9.140625" style="45"/>
    <col min="63" max="69" width="9.42578125" style="45" bestFit="1" customWidth="1"/>
    <col min="70" max="70" width="9.140625" style="45"/>
    <col min="71" max="71" width="15.28515625" style="45" customWidth="1"/>
    <col min="72" max="72" width="13.85546875" style="45" customWidth="1"/>
    <col min="73" max="16384" width="9.140625" style="45"/>
  </cols>
  <sheetData>
    <row r="3" spans="2:72" ht="15" customHeight="1" x14ac:dyDescent="0.25">
      <c r="M3" s="218" t="s">
        <v>61</v>
      </c>
      <c r="N3" s="219"/>
      <c r="O3" s="219"/>
      <c r="P3" s="219"/>
      <c r="Q3" s="219"/>
      <c r="R3" s="219"/>
    </row>
    <row r="4" spans="2:72" ht="15.75" x14ac:dyDescent="0.3">
      <c r="M4" s="57" t="s">
        <v>62</v>
      </c>
      <c r="N4" s="58" t="str">
        <f>'General Information'!C10</f>
        <v xml:space="preserve">Red Sander </v>
      </c>
      <c r="O4" s="57" t="s">
        <v>63</v>
      </c>
      <c r="P4" s="58">
        <f>'General Information'!L10</f>
        <v>0.25</v>
      </c>
      <c r="Q4" s="57" t="s">
        <v>64</v>
      </c>
      <c r="R4" s="58">
        <f>'General Information'!P10</f>
        <v>3.67</v>
      </c>
    </row>
    <row r="5" spans="2:72" x14ac:dyDescent="0.25">
      <c r="M5" s="57" t="s">
        <v>65</v>
      </c>
      <c r="N5" s="59" t="str">
        <f>'General Information'!D10</f>
        <v>Pterocarpus santalinus</v>
      </c>
      <c r="O5" s="57" t="s">
        <v>66</v>
      </c>
      <c r="P5" s="60">
        <f>'General Information'!M10</f>
        <v>0.01</v>
      </c>
      <c r="Q5" s="57" t="s">
        <v>131</v>
      </c>
      <c r="R5" s="58">
        <f>'General Information'!J10</f>
        <v>0.44</v>
      </c>
    </row>
    <row r="6" spans="2:72" x14ac:dyDescent="0.25">
      <c r="M6" s="57" t="s">
        <v>132</v>
      </c>
      <c r="N6" s="58" t="str">
        <f>'General Information'!E10</f>
        <v>v^1/2=-0.144504+2.943115*D</v>
      </c>
      <c r="O6" s="57" t="s">
        <v>8</v>
      </c>
      <c r="P6" s="58">
        <f>'General Information'!N10</f>
        <v>0.37</v>
      </c>
      <c r="Q6" s="57" t="s">
        <v>133</v>
      </c>
      <c r="R6" s="58">
        <f>'General Information'!G10</f>
        <v>1.59</v>
      </c>
    </row>
    <row r="7" spans="2:72" x14ac:dyDescent="0.25">
      <c r="M7" s="57" t="s">
        <v>21</v>
      </c>
      <c r="N7" s="58">
        <f>'General Information'!I10</f>
        <v>0.47</v>
      </c>
      <c r="O7" s="57" t="s">
        <v>68</v>
      </c>
      <c r="P7" s="60">
        <f>'General Information'!O10</f>
        <v>0.01</v>
      </c>
      <c r="Q7" s="57"/>
      <c r="R7" s="57"/>
    </row>
    <row r="10" spans="2:72" ht="15.75" customHeight="1" x14ac:dyDescent="0.25">
      <c r="I10" s="220" t="s">
        <v>134</v>
      </c>
      <c r="J10" s="220"/>
      <c r="K10" s="220"/>
      <c r="L10" s="220"/>
      <c r="M10" s="220"/>
      <c r="N10" s="220"/>
      <c r="O10" s="19"/>
      <c r="P10" s="19"/>
    </row>
    <row r="11" spans="2:72" ht="15.75" customHeight="1" x14ac:dyDescent="0.25">
      <c r="B11" s="225" t="s">
        <v>30</v>
      </c>
      <c r="C11" s="80" t="s">
        <v>53</v>
      </c>
      <c r="D11" s="80" t="s">
        <v>135</v>
      </c>
      <c r="E11" s="225" t="s">
        <v>70</v>
      </c>
      <c r="F11" s="225" t="s">
        <v>71</v>
      </c>
      <c r="G11" s="225" t="s">
        <v>72</v>
      </c>
      <c r="I11" s="220" t="s">
        <v>73</v>
      </c>
      <c r="J11" s="220" t="s">
        <v>30</v>
      </c>
      <c r="K11" s="220" t="s">
        <v>136</v>
      </c>
      <c r="L11" s="61"/>
      <c r="M11" s="215" t="s">
        <v>137</v>
      </c>
      <c r="N11" s="215" t="s">
        <v>138</v>
      </c>
      <c r="O11" s="19"/>
      <c r="P11" s="220" t="s">
        <v>73</v>
      </c>
      <c r="Q11" s="220" t="s">
        <v>30</v>
      </c>
      <c r="R11" s="221" t="s">
        <v>139</v>
      </c>
      <c r="S11" s="222"/>
      <c r="T11" s="222"/>
      <c r="U11" s="222"/>
      <c r="V11" s="222"/>
      <c r="W11" s="223"/>
      <c r="X11" s="83"/>
      <c r="Z11" s="217" t="s">
        <v>140</v>
      </c>
      <c r="AA11" s="217"/>
      <c r="AB11" s="217"/>
      <c r="AC11" s="217"/>
      <c r="AD11" s="217"/>
      <c r="AE11" s="217"/>
      <c r="AG11" s="217" t="s">
        <v>78</v>
      </c>
      <c r="AH11" s="217"/>
      <c r="AI11" s="217"/>
      <c r="AJ11" s="217"/>
      <c r="AK11" s="217"/>
      <c r="AL11" s="217"/>
      <c r="AN11" s="217" t="s">
        <v>79</v>
      </c>
      <c r="AO11" s="217"/>
      <c r="AP11" s="217"/>
      <c r="AQ11" s="217"/>
      <c r="AR11" s="217"/>
      <c r="AS11" s="217"/>
      <c r="AU11" s="217" t="s">
        <v>80</v>
      </c>
      <c r="AV11" s="217"/>
      <c r="AW11" s="217"/>
      <c r="AX11" s="217"/>
      <c r="AY11" s="217"/>
      <c r="AZ11" s="217"/>
      <c r="BA11" s="217" t="s">
        <v>81</v>
      </c>
      <c r="BC11" s="217" t="s">
        <v>82</v>
      </c>
      <c r="BD11" s="217"/>
      <c r="BE11" s="217"/>
      <c r="BF11" s="217"/>
      <c r="BG11" s="217"/>
      <c r="BH11" s="217"/>
      <c r="BI11" s="217" t="s">
        <v>83</v>
      </c>
      <c r="BK11" s="217" t="s">
        <v>84</v>
      </c>
      <c r="BL11" s="217"/>
      <c r="BM11" s="217"/>
      <c r="BN11" s="217"/>
      <c r="BO11" s="217"/>
      <c r="BP11" s="217"/>
      <c r="BQ11" s="217" t="s">
        <v>85</v>
      </c>
      <c r="BS11" s="217" t="s">
        <v>86</v>
      </c>
      <c r="BT11" s="215" t="s">
        <v>87</v>
      </c>
    </row>
    <row r="12" spans="2:72" ht="15.75" customHeight="1" x14ac:dyDescent="0.25">
      <c r="B12" s="225"/>
      <c r="C12" s="80">
        <v>1111</v>
      </c>
      <c r="D12" s="80">
        <v>816</v>
      </c>
      <c r="E12" s="225"/>
      <c r="F12" s="225"/>
      <c r="G12" s="225"/>
      <c r="I12" s="220"/>
      <c r="J12" s="220"/>
      <c r="K12" s="220"/>
      <c r="L12" s="61"/>
      <c r="M12" s="215"/>
      <c r="N12" s="215"/>
      <c r="O12" s="19"/>
      <c r="P12" s="220"/>
      <c r="Q12" s="220"/>
      <c r="R12" s="214">
        <v>2018</v>
      </c>
      <c r="S12" s="214">
        <v>2019</v>
      </c>
      <c r="T12" s="214">
        <v>2020</v>
      </c>
      <c r="U12" s="214">
        <v>2021</v>
      </c>
      <c r="V12" s="214">
        <v>2022</v>
      </c>
      <c r="W12" s="214">
        <v>2023</v>
      </c>
      <c r="X12" s="230"/>
      <c r="Z12" s="214">
        <v>2018</v>
      </c>
      <c r="AA12" s="214">
        <v>2019</v>
      </c>
      <c r="AB12" s="214">
        <v>2020</v>
      </c>
      <c r="AC12" s="214">
        <v>2021</v>
      </c>
      <c r="AD12" s="214">
        <v>2022</v>
      </c>
      <c r="AE12" s="214">
        <v>2023</v>
      </c>
      <c r="AG12" s="214">
        <v>2018</v>
      </c>
      <c r="AH12" s="214">
        <v>2019</v>
      </c>
      <c r="AI12" s="214">
        <v>2020</v>
      </c>
      <c r="AJ12" s="214">
        <v>2021</v>
      </c>
      <c r="AK12" s="214">
        <v>2022</v>
      </c>
      <c r="AL12" s="214">
        <v>2023</v>
      </c>
      <c r="AN12" s="214">
        <v>2018</v>
      </c>
      <c r="AO12" s="214">
        <v>2019</v>
      </c>
      <c r="AP12" s="214">
        <v>2020</v>
      </c>
      <c r="AQ12" s="214">
        <v>2021</v>
      </c>
      <c r="AR12" s="214">
        <v>2022</v>
      </c>
      <c r="AS12" s="214">
        <v>2023</v>
      </c>
      <c r="AU12" s="214">
        <v>2018</v>
      </c>
      <c r="AV12" s="214">
        <v>2019</v>
      </c>
      <c r="AW12" s="214">
        <v>2020</v>
      </c>
      <c r="AX12" s="214">
        <v>2021</v>
      </c>
      <c r="AY12" s="214">
        <v>2022</v>
      </c>
      <c r="AZ12" s="214">
        <v>2023</v>
      </c>
      <c r="BA12" s="217"/>
      <c r="BC12" s="214">
        <v>2018</v>
      </c>
      <c r="BD12" s="214">
        <v>2019</v>
      </c>
      <c r="BE12" s="214">
        <v>2020</v>
      </c>
      <c r="BF12" s="214">
        <v>2021</v>
      </c>
      <c r="BG12" s="214">
        <v>2022</v>
      </c>
      <c r="BH12" s="214">
        <v>2023</v>
      </c>
      <c r="BI12" s="217"/>
      <c r="BK12" s="214">
        <v>2018</v>
      </c>
      <c r="BL12" s="214">
        <v>2019</v>
      </c>
      <c r="BM12" s="214">
        <v>2020</v>
      </c>
      <c r="BN12" s="214">
        <v>2021</v>
      </c>
      <c r="BO12" s="214">
        <v>2022</v>
      </c>
      <c r="BP12" s="214">
        <v>2023</v>
      </c>
      <c r="BQ12" s="217"/>
      <c r="BS12" s="217"/>
      <c r="BT12" s="215"/>
    </row>
    <row r="13" spans="2:72" ht="33" customHeight="1" x14ac:dyDescent="0.25">
      <c r="B13" s="225"/>
      <c r="C13" s="80" t="s">
        <v>88</v>
      </c>
      <c r="D13" s="80" t="s">
        <v>88</v>
      </c>
      <c r="E13" s="225"/>
      <c r="F13" s="225"/>
      <c r="G13" s="225"/>
      <c r="I13" s="220"/>
      <c r="J13" s="220"/>
      <c r="K13" s="220"/>
      <c r="L13" s="61"/>
      <c r="M13" s="215"/>
      <c r="N13" s="215"/>
      <c r="O13" s="19"/>
      <c r="P13" s="220"/>
      <c r="Q13" s="220"/>
      <c r="R13" s="214"/>
      <c r="S13" s="214"/>
      <c r="T13" s="214"/>
      <c r="U13" s="214"/>
      <c r="V13" s="214"/>
      <c r="W13" s="214"/>
      <c r="X13" s="230"/>
      <c r="Z13" s="214"/>
      <c r="AA13" s="214"/>
      <c r="AB13" s="214"/>
      <c r="AC13" s="214"/>
      <c r="AD13" s="214"/>
      <c r="AE13" s="214"/>
      <c r="AG13" s="214"/>
      <c r="AH13" s="214"/>
      <c r="AI13" s="214"/>
      <c r="AJ13" s="214"/>
      <c r="AK13" s="214"/>
      <c r="AL13" s="214"/>
      <c r="AN13" s="214"/>
      <c r="AO13" s="214"/>
      <c r="AP13" s="214"/>
      <c r="AQ13" s="214"/>
      <c r="AR13" s="214"/>
      <c r="AS13" s="214"/>
      <c r="AU13" s="214"/>
      <c r="AV13" s="214"/>
      <c r="AW13" s="214"/>
      <c r="AX13" s="214"/>
      <c r="AY13" s="214"/>
      <c r="AZ13" s="214"/>
      <c r="BA13" s="217"/>
      <c r="BC13" s="214"/>
      <c r="BD13" s="214"/>
      <c r="BE13" s="214"/>
      <c r="BF13" s="214"/>
      <c r="BG13" s="214"/>
      <c r="BH13" s="214"/>
      <c r="BI13" s="217"/>
      <c r="BK13" s="214"/>
      <c r="BL13" s="214"/>
      <c r="BM13" s="214"/>
      <c r="BN13" s="214"/>
      <c r="BO13" s="214"/>
      <c r="BP13" s="214"/>
      <c r="BQ13" s="217"/>
      <c r="BS13" s="217"/>
      <c r="BT13" s="215"/>
    </row>
    <row r="14" spans="2:72" x14ac:dyDescent="0.25">
      <c r="B14" s="65">
        <v>2018</v>
      </c>
      <c r="C14" s="67">
        <f>'General Information'!C46</f>
        <v>0</v>
      </c>
      <c r="D14" s="67">
        <f>'General Information'!D46</f>
        <v>0</v>
      </c>
      <c r="E14" s="67">
        <f>(C14*$C$12)+(D14*$D$12)</f>
        <v>0</v>
      </c>
      <c r="F14" s="67">
        <f>E14*10%</f>
        <v>0</v>
      </c>
      <c r="G14" s="67">
        <f>E14-F14</f>
        <v>0</v>
      </c>
      <c r="I14" s="67">
        <v>1</v>
      </c>
      <c r="J14" s="67" t="str">
        <f>Gauva!Q14</f>
        <v>2018 -2019</v>
      </c>
      <c r="K14" s="36">
        <f>5/3.14/100</f>
        <v>1.5923566878980892E-2</v>
      </c>
      <c r="L14" s="227" t="s">
        <v>141</v>
      </c>
      <c r="M14" s="36">
        <f t="shared" ref="M14:M48" si="0">(0.144504+2.943115*K14)^2</f>
        <v>3.6622051499133439E-2</v>
      </c>
      <c r="N14" s="36">
        <f>M14-0</f>
        <v>3.6622051499133439E-2</v>
      </c>
      <c r="O14" s="19"/>
      <c r="P14" s="67">
        <v>1</v>
      </c>
      <c r="Q14" s="67" t="s">
        <v>89</v>
      </c>
      <c r="R14" s="36">
        <f>(N14*$G$14)</f>
        <v>0</v>
      </c>
      <c r="S14" s="68">
        <v>0</v>
      </c>
      <c r="T14" s="68">
        <v>0</v>
      </c>
      <c r="U14" s="68">
        <v>0</v>
      </c>
      <c r="V14" s="68">
        <v>0</v>
      </c>
      <c r="W14" s="68">
        <v>0</v>
      </c>
      <c r="Z14" s="36">
        <f>R14*$R$5*$R$6</f>
        <v>0</v>
      </c>
      <c r="AA14" s="68">
        <v>0</v>
      </c>
      <c r="AB14" s="68">
        <v>0</v>
      </c>
      <c r="AC14" s="68">
        <v>0</v>
      </c>
      <c r="AD14" s="68">
        <v>0</v>
      </c>
      <c r="AE14" s="68">
        <v>0</v>
      </c>
      <c r="AG14" s="36">
        <f t="shared" ref="AG14:AG48" si="1">Z14*$P$4</f>
        <v>0</v>
      </c>
      <c r="AH14" s="68">
        <v>0</v>
      </c>
      <c r="AI14" s="68">
        <v>0</v>
      </c>
      <c r="AJ14" s="68">
        <v>0</v>
      </c>
      <c r="AK14" s="68">
        <v>0</v>
      </c>
      <c r="AL14" s="68">
        <v>0</v>
      </c>
      <c r="AN14" s="36">
        <f t="shared" ref="AN14:AN48" si="2">Z14+AG14</f>
        <v>0</v>
      </c>
      <c r="AO14" s="68">
        <v>0</v>
      </c>
      <c r="AP14" s="68">
        <v>0</v>
      </c>
      <c r="AQ14" s="68">
        <v>0</v>
      </c>
      <c r="AR14" s="68">
        <v>0</v>
      </c>
      <c r="AS14" s="68">
        <v>0</v>
      </c>
      <c r="AU14" s="36">
        <f>AN14*$N$7*$R$4</f>
        <v>0</v>
      </c>
      <c r="AV14" s="68">
        <v>0</v>
      </c>
      <c r="AW14" s="68">
        <v>0</v>
      </c>
      <c r="AX14" s="68">
        <v>0</v>
      </c>
      <c r="AY14" s="68">
        <v>0</v>
      </c>
      <c r="AZ14" s="68">
        <v>0</v>
      </c>
      <c r="BA14" s="36">
        <f t="shared" ref="BA14:BA48" si="3">SUM(AU14:AZ14)</f>
        <v>0</v>
      </c>
      <c r="BC14" s="36">
        <f>AU14*$P$5</f>
        <v>0</v>
      </c>
      <c r="BD14" s="68">
        <v>0</v>
      </c>
      <c r="BE14" s="68">
        <v>0</v>
      </c>
      <c r="BF14" s="68">
        <v>0</v>
      </c>
      <c r="BG14" s="68">
        <v>0</v>
      </c>
      <c r="BH14" s="68">
        <v>0</v>
      </c>
      <c r="BI14" s="36">
        <f t="shared" ref="BI14:BI48" si="4">SUM(BC14:BH14)</f>
        <v>0</v>
      </c>
      <c r="BK14" s="36">
        <f>AU14*$P$7</f>
        <v>0</v>
      </c>
      <c r="BL14" s="68">
        <v>0</v>
      </c>
      <c r="BM14" s="68">
        <v>0</v>
      </c>
      <c r="BN14" s="68">
        <v>0</v>
      </c>
      <c r="BO14" s="68">
        <v>0</v>
      </c>
      <c r="BP14" s="68">
        <v>0</v>
      </c>
      <c r="BQ14" s="36">
        <f t="shared" ref="BQ14:BQ48" si="5">SUM(BK14:BP14)</f>
        <v>0</v>
      </c>
      <c r="BS14" s="36">
        <f t="shared" ref="BS14:BS48" si="6">BA14+BI14+BQ14</f>
        <v>0</v>
      </c>
      <c r="BT14" s="36">
        <f>BS14</f>
        <v>0</v>
      </c>
    </row>
    <row r="15" spans="2:72" x14ac:dyDescent="0.25">
      <c r="B15" s="65">
        <v>2019</v>
      </c>
      <c r="C15" s="67">
        <f>'General Information'!C47</f>
        <v>16.75</v>
      </c>
      <c r="D15" s="67">
        <f>'General Information'!D47</f>
        <v>5.34</v>
      </c>
      <c r="E15" s="66">
        <f t="shared" ref="E15:E43" si="7">(C15*$C$12)+(D15*$D$12)</f>
        <v>22966.69</v>
      </c>
      <c r="F15" s="66">
        <f>E15*10%</f>
        <v>2296.6689999999999</v>
      </c>
      <c r="G15" s="66">
        <f>E15-F15</f>
        <v>20670.021000000001</v>
      </c>
      <c r="I15" s="67">
        <v>2</v>
      </c>
      <c r="J15" s="67" t="str">
        <f>Gauva!Q15</f>
        <v>2019-2020</v>
      </c>
      <c r="K15" s="36">
        <f>16.2/3.14/100</f>
        <v>5.1592356687898085E-2</v>
      </c>
      <c r="L15" s="228"/>
      <c r="M15" s="36">
        <f t="shared" si="0"/>
        <v>8.7821093282617571E-2</v>
      </c>
      <c r="N15" s="36">
        <f>M15-M14</f>
        <v>5.1199041783484132E-2</v>
      </c>
      <c r="O15" s="19"/>
      <c r="P15" s="67">
        <v>2</v>
      </c>
      <c r="Q15" s="67" t="s">
        <v>90</v>
      </c>
      <c r="R15" s="36">
        <f t="shared" ref="R15:R42" si="8">(N15*$G$14)</f>
        <v>0</v>
      </c>
      <c r="S15" s="36">
        <f>N14*$G$15</f>
        <v>756.9785735501697</v>
      </c>
      <c r="T15" s="68">
        <v>0</v>
      </c>
      <c r="U15" s="68">
        <v>0</v>
      </c>
      <c r="V15" s="68">
        <v>0</v>
      </c>
      <c r="W15" s="68">
        <v>0</v>
      </c>
      <c r="Z15" s="36">
        <f t="shared" ref="Z15:AE44" si="9">R15*$R$5*$R$6</f>
        <v>0</v>
      </c>
      <c r="AA15" s="36">
        <f>S15*$R$5*$R$6</f>
        <v>529.58221005569874</v>
      </c>
      <c r="AB15" s="68">
        <v>0</v>
      </c>
      <c r="AC15" s="68">
        <v>0</v>
      </c>
      <c r="AD15" s="68">
        <v>0</v>
      </c>
      <c r="AE15" s="68">
        <v>0</v>
      </c>
      <c r="AG15" s="36">
        <f t="shared" si="1"/>
        <v>0</v>
      </c>
      <c r="AH15" s="36">
        <f t="shared" ref="AH15:AH48" si="10">AA15*$P$4</f>
        <v>132.39555251392468</v>
      </c>
      <c r="AI15" s="68">
        <v>0</v>
      </c>
      <c r="AJ15" s="68">
        <v>0</v>
      </c>
      <c r="AK15" s="68">
        <v>0</v>
      </c>
      <c r="AL15" s="68">
        <v>0</v>
      </c>
      <c r="AN15" s="36">
        <f t="shared" si="2"/>
        <v>0</v>
      </c>
      <c r="AO15" s="36">
        <f t="shared" ref="AO15:AO48" si="11">AA15+AH15</f>
        <v>661.97776256962345</v>
      </c>
      <c r="AP15" s="68">
        <v>0</v>
      </c>
      <c r="AQ15" s="68">
        <v>0</v>
      </c>
      <c r="AR15" s="68">
        <v>0</v>
      </c>
      <c r="AS15" s="68">
        <v>0</v>
      </c>
      <c r="AU15" s="36">
        <f>AN15*$N$7*$R$4</f>
        <v>0</v>
      </c>
      <c r="AV15" s="36">
        <f t="shared" ref="AV15:AV48" si="12">AO15*$N$7*$R$4</f>
        <v>1141.8454426563435</v>
      </c>
      <c r="AW15" s="68">
        <v>0</v>
      </c>
      <c r="AX15" s="68">
        <v>0</v>
      </c>
      <c r="AY15" s="68">
        <v>0</v>
      </c>
      <c r="AZ15" s="68">
        <v>0</v>
      </c>
      <c r="BA15" s="36">
        <f t="shared" si="3"/>
        <v>1141.8454426563435</v>
      </c>
      <c r="BC15" s="36">
        <f t="shared" ref="BC15:BC48" si="13">AU15*$P$5</f>
        <v>0</v>
      </c>
      <c r="BD15" s="36">
        <f>AV15*$P$5</f>
        <v>11.418454426563436</v>
      </c>
      <c r="BE15" s="68">
        <v>0</v>
      </c>
      <c r="BF15" s="68">
        <v>0</v>
      </c>
      <c r="BG15" s="68">
        <v>0</v>
      </c>
      <c r="BH15" s="68">
        <v>0</v>
      </c>
      <c r="BI15" s="36">
        <f t="shared" si="4"/>
        <v>11.418454426563436</v>
      </c>
      <c r="BK15" s="36">
        <f t="shared" ref="BK15:BK48" si="14">AU15*$P$7</f>
        <v>0</v>
      </c>
      <c r="BL15" s="36">
        <f>AV15*$P$7</f>
        <v>11.418454426563436</v>
      </c>
      <c r="BM15" s="68">
        <v>0</v>
      </c>
      <c r="BN15" s="68">
        <v>0</v>
      </c>
      <c r="BO15" s="68">
        <v>0</v>
      </c>
      <c r="BP15" s="68">
        <v>0</v>
      </c>
      <c r="BQ15" s="36">
        <f t="shared" si="5"/>
        <v>11.418454426563436</v>
      </c>
      <c r="BS15" s="36">
        <f t="shared" si="6"/>
        <v>1164.6823515094702</v>
      </c>
      <c r="BT15" s="36">
        <f>BS15+BT14</f>
        <v>1164.6823515094702</v>
      </c>
    </row>
    <row r="16" spans="2:72" x14ac:dyDescent="0.25">
      <c r="B16" s="65">
        <v>2020</v>
      </c>
      <c r="C16" s="67">
        <f>'General Information'!C48</f>
        <v>19</v>
      </c>
      <c r="D16" s="67">
        <f>'General Information'!D48</f>
        <v>0</v>
      </c>
      <c r="E16" s="66">
        <f t="shared" si="7"/>
        <v>21109</v>
      </c>
      <c r="F16" s="66">
        <f t="shared" ref="F16:F43" si="15">E16*10%</f>
        <v>2110.9</v>
      </c>
      <c r="G16" s="66">
        <f t="shared" ref="G16:G43" si="16">E16-F16</f>
        <v>18998.099999999999</v>
      </c>
      <c r="I16" s="67">
        <v>3</v>
      </c>
      <c r="J16" s="67" t="str">
        <f>Gauva!Q16</f>
        <v>2020-2021</v>
      </c>
      <c r="K16" s="36">
        <f>23.8/3.14/100</f>
        <v>7.5796178343949042E-2</v>
      </c>
      <c r="L16" s="228"/>
      <c r="M16" s="36">
        <f t="shared" si="0"/>
        <v>0.13511569556852662</v>
      </c>
      <c r="N16" s="36">
        <f t="shared" ref="N16:N48" si="17">M16-M15</f>
        <v>4.7294602285909051E-2</v>
      </c>
      <c r="O16" s="19"/>
      <c r="P16" s="67">
        <v>3</v>
      </c>
      <c r="Q16" s="67" t="s">
        <v>91</v>
      </c>
      <c r="R16" s="36">
        <f t="shared" si="8"/>
        <v>0</v>
      </c>
      <c r="S16" s="36">
        <f t="shared" ref="S16:S42" si="18">N15*$G$15</f>
        <v>1058.2852688444946</v>
      </c>
      <c r="T16" s="36">
        <f>(N14*$G$16)</f>
        <v>695.7493965856869</v>
      </c>
      <c r="U16" s="68">
        <v>0</v>
      </c>
      <c r="V16" s="68">
        <v>0</v>
      </c>
      <c r="W16" s="68">
        <v>0</v>
      </c>
      <c r="Z16" s="36">
        <f t="shared" si="9"/>
        <v>0</v>
      </c>
      <c r="AA16" s="36">
        <f t="shared" si="9"/>
        <v>740.37637408360843</v>
      </c>
      <c r="AB16" s="36">
        <f>T16*$R$5*$R$6</f>
        <v>486.74627785134663</v>
      </c>
      <c r="AC16" s="68">
        <v>0</v>
      </c>
      <c r="AD16" s="68">
        <v>0</v>
      </c>
      <c r="AE16" s="68">
        <v>0</v>
      </c>
      <c r="AG16" s="36">
        <f t="shared" si="1"/>
        <v>0</v>
      </c>
      <c r="AH16" s="36">
        <f t="shared" si="10"/>
        <v>185.09409352090211</v>
      </c>
      <c r="AI16" s="36">
        <f t="shared" ref="AI16:AI48" si="19">AB16*$P$4</f>
        <v>121.68656946283666</v>
      </c>
      <c r="AJ16" s="68">
        <v>0</v>
      </c>
      <c r="AK16" s="68">
        <v>0</v>
      </c>
      <c r="AL16" s="68">
        <v>0</v>
      </c>
      <c r="AN16" s="36">
        <f t="shared" si="2"/>
        <v>0</v>
      </c>
      <c r="AO16" s="36">
        <f t="shared" si="11"/>
        <v>925.47046760451053</v>
      </c>
      <c r="AP16" s="36">
        <f t="shared" ref="AP16:AP48" si="20">AC17+AI16</f>
        <v>431.66709377869421</v>
      </c>
      <c r="AQ16" s="68">
        <v>0</v>
      </c>
      <c r="AR16" s="68">
        <v>0</v>
      </c>
      <c r="AS16" s="68">
        <v>0</v>
      </c>
      <c r="AU16" s="36">
        <f t="shared" ref="AU16:AU48" si="21">AN16*$N$7*$R$4</f>
        <v>0</v>
      </c>
      <c r="AV16" s="36">
        <f t="shared" si="12"/>
        <v>1596.34400957102</v>
      </c>
      <c r="AW16" s="36">
        <f t="shared" ref="AW16:AW48" si="22">AP16*$N$7*$R$4</f>
        <v>744.58257005886958</v>
      </c>
      <c r="AX16" s="68">
        <v>0</v>
      </c>
      <c r="AY16" s="68">
        <v>0</v>
      </c>
      <c r="AZ16" s="68">
        <v>0</v>
      </c>
      <c r="BA16" s="36">
        <f t="shared" si="3"/>
        <v>2340.9265796298896</v>
      </c>
      <c r="BC16" s="36">
        <f t="shared" si="13"/>
        <v>0</v>
      </c>
      <c r="BD16" s="36">
        <f t="shared" ref="BD16:BD48" si="23">AV16*$P$5</f>
        <v>15.963440095710201</v>
      </c>
      <c r="BE16" s="36">
        <f>AW16*$P$5</f>
        <v>7.4458257005886956</v>
      </c>
      <c r="BF16" s="68">
        <v>0</v>
      </c>
      <c r="BG16" s="68">
        <v>0</v>
      </c>
      <c r="BH16" s="68">
        <v>0</v>
      </c>
      <c r="BI16" s="36">
        <f t="shared" si="4"/>
        <v>23.409265796298897</v>
      </c>
      <c r="BK16" s="36">
        <f t="shared" si="14"/>
        <v>0</v>
      </c>
      <c r="BL16" s="36">
        <f t="shared" ref="BL16:BL48" si="24">AV16*$P$7</f>
        <v>15.963440095710201</v>
      </c>
      <c r="BM16" s="36">
        <f>AW16*$P$7</f>
        <v>7.4458257005886956</v>
      </c>
      <c r="BN16" s="68">
        <v>0</v>
      </c>
      <c r="BO16" s="68">
        <v>0</v>
      </c>
      <c r="BP16" s="68">
        <v>0</v>
      </c>
      <c r="BQ16" s="36">
        <f t="shared" si="5"/>
        <v>23.409265796298897</v>
      </c>
      <c r="BS16" s="36">
        <f t="shared" si="6"/>
        <v>2387.7451112224871</v>
      </c>
      <c r="BT16" s="36">
        <f t="shared" ref="BT16:BT48" si="25">BS16+BT15</f>
        <v>3552.4274627319573</v>
      </c>
    </row>
    <row r="17" spans="2:72" x14ac:dyDescent="0.25">
      <c r="B17" s="65">
        <v>2021</v>
      </c>
      <c r="C17" s="67">
        <f>'General Information'!C49</f>
        <v>12.1</v>
      </c>
      <c r="D17" s="67">
        <f>'General Information'!D49</f>
        <v>0</v>
      </c>
      <c r="E17" s="66">
        <f t="shared" si="7"/>
        <v>13443.1</v>
      </c>
      <c r="F17" s="66">
        <f t="shared" si="15"/>
        <v>1344.3100000000002</v>
      </c>
      <c r="G17" s="66">
        <f t="shared" si="16"/>
        <v>12098.79</v>
      </c>
      <c r="I17" s="67">
        <v>4</v>
      </c>
      <c r="J17" s="67" t="str">
        <f>Gauva!Q17</f>
        <v>2021-2022</v>
      </c>
      <c r="K17" s="36">
        <f>25.9/3.14/100</f>
        <v>8.2484076433121001E-2</v>
      </c>
      <c r="L17" s="228"/>
      <c r="M17" s="36">
        <f t="shared" si="0"/>
        <v>0.14997350066202775</v>
      </c>
      <c r="N17" s="36">
        <f t="shared" si="17"/>
        <v>1.4857805093501125E-2</v>
      </c>
      <c r="O17" s="19"/>
      <c r="P17" s="67">
        <v>4</v>
      </c>
      <c r="Q17" s="67" t="s">
        <v>92</v>
      </c>
      <c r="R17" s="36">
        <f t="shared" si="8"/>
        <v>0</v>
      </c>
      <c r="S17" s="36">
        <f t="shared" si="18"/>
        <v>977.58042243638818</v>
      </c>
      <c r="T17" s="36">
        <f t="shared" ref="T17:T48" si="26">(N15*$G$16)</f>
        <v>972.68451570680986</v>
      </c>
      <c r="U17" s="36">
        <f>N14*G$17</f>
        <v>443.08251045720067</v>
      </c>
      <c r="V17" s="68">
        <v>0</v>
      </c>
      <c r="W17" s="68">
        <v>0</v>
      </c>
      <c r="Z17" s="36">
        <f t="shared" si="9"/>
        <v>0</v>
      </c>
      <c r="AA17" s="36">
        <f t="shared" si="9"/>
        <v>683.91526353649715</v>
      </c>
      <c r="AB17" s="36">
        <f t="shared" si="9"/>
        <v>680.49008718848415</v>
      </c>
      <c r="AC17" s="36">
        <f t="shared" si="9"/>
        <v>309.98052431585756</v>
      </c>
      <c r="AD17" s="68">
        <v>0</v>
      </c>
      <c r="AE17" s="68">
        <v>0</v>
      </c>
      <c r="AG17" s="36">
        <f t="shared" si="1"/>
        <v>0</v>
      </c>
      <c r="AH17" s="36">
        <f t="shared" si="10"/>
        <v>170.97881588412429</v>
      </c>
      <c r="AI17" s="36">
        <f t="shared" si="19"/>
        <v>170.12252179712104</v>
      </c>
      <c r="AJ17" s="36">
        <f t="shared" ref="AJ17:AJ48" si="27">AC17*$P$4</f>
        <v>77.495131078964391</v>
      </c>
      <c r="AK17" s="68">
        <v>0</v>
      </c>
      <c r="AL17" s="68">
        <v>0</v>
      </c>
      <c r="AN17" s="36">
        <f t="shared" si="2"/>
        <v>0</v>
      </c>
      <c r="AO17" s="36">
        <f t="shared" si="11"/>
        <v>854.89407942062144</v>
      </c>
      <c r="AP17" s="36">
        <f t="shared" si="20"/>
        <v>603.48726153294524</v>
      </c>
      <c r="AQ17" s="36">
        <f t="shared" ref="AQ17:AQ48" si="28">AD18+AJ17</f>
        <v>788.91324349643276</v>
      </c>
      <c r="AR17" s="68">
        <v>0</v>
      </c>
      <c r="AS17" s="68">
        <v>0</v>
      </c>
      <c r="AU17" s="36">
        <f t="shared" si="21"/>
        <v>0</v>
      </c>
      <c r="AV17" s="36">
        <f t="shared" si="12"/>
        <v>1474.6067975926298</v>
      </c>
      <c r="AW17" s="36">
        <f t="shared" si="22"/>
        <v>1040.9551774181771</v>
      </c>
      <c r="AX17" s="36">
        <f t="shared" ref="AX17:AX48" si="29">AQ17*$N$7*$R$4</f>
        <v>1360.7964537069968</v>
      </c>
      <c r="AY17" s="68">
        <v>0</v>
      </c>
      <c r="AZ17" s="68">
        <v>0</v>
      </c>
      <c r="BA17" s="36">
        <f t="shared" si="3"/>
        <v>3876.3584287178037</v>
      </c>
      <c r="BC17" s="36">
        <f t="shared" si="13"/>
        <v>0</v>
      </c>
      <c r="BD17" s="36">
        <f t="shared" si="23"/>
        <v>14.746067975926298</v>
      </c>
      <c r="BE17" s="36">
        <f t="shared" ref="BE17:BE48" si="30">AW17*$P$5</f>
        <v>10.409551774181772</v>
      </c>
      <c r="BF17" s="36">
        <f>AX17*$P$5</f>
        <v>13.607964537069968</v>
      </c>
      <c r="BG17" s="68">
        <v>0</v>
      </c>
      <c r="BH17" s="68">
        <v>0</v>
      </c>
      <c r="BI17" s="36">
        <f t="shared" si="4"/>
        <v>38.763584287178034</v>
      </c>
      <c r="BK17" s="36">
        <f t="shared" si="14"/>
        <v>0</v>
      </c>
      <c r="BL17" s="36">
        <f t="shared" si="24"/>
        <v>14.746067975926298</v>
      </c>
      <c r="BM17" s="36">
        <f t="shared" ref="BM17:BM48" si="31">AW17*$P$7</f>
        <v>10.409551774181772</v>
      </c>
      <c r="BN17" s="36">
        <f>AX17*$P$7</f>
        <v>13.607964537069968</v>
      </c>
      <c r="BO17" s="68">
        <v>0</v>
      </c>
      <c r="BP17" s="68">
        <v>0</v>
      </c>
      <c r="BQ17" s="36">
        <f t="shared" si="5"/>
        <v>38.763584287178034</v>
      </c>
      <c r="BS17" s="36">
        <f t="shared" si="6"/>
        <v>3953.8855972921601</v>
      </c>
      <c r="BT17" s="36">
        <f t="shared" si="25"/>
        <v>7506.3130600241175</v>
      </c>
    </row>
    <row r="18" spans="2:72" x14ac:dyDescent="0.25">
      <c r="B18" s="65">
        <v>2022</v>
      </c>
      <c r="C18" s="67">
        <f>'General Information'!C50</f>
        <v>27.77</v>
      </c>
      <c r="D18" s="67">
        <f>'General Information'!D50</f>
        <v>0</v>
      </c>
      <c r="E18" s="66">
        <f t="shared" si="7"/>
        <v>30852.47</v>
      </c>
      <c r="F18" s="66">
        <f t="shared" si="15"/>
        <v>3085.2470000000003</v>
      </c>
      <c r="G18" s="66">
        <f t="shared" si="16"/>
        <v>27767.223000000002</v>
      </c>
      <c r="I18" s="67">
        <v>5</v>
      </c>
      <c r="J18" s="67" t="str">
        <f>Gauva!Q18</f>
        <v>2022-2023</v>
      </c>
      <c r="K18" s="36">
        <f>28/3.14/100</f>
        <v>8.9171974522292988E-2</v>
      </c>
      <c r="L18" s="228"/>
      <c r="M18" s="36">
        <f t="shared" si="0"/>
        <v>0.165606166667396</v>
      </c>
      <c r="N18" s="36">
        <f t="shared" si="17"/>
        <v>1.5632666005368251E-2</v>
      </c>
      <c r="O18" s="19"/>
      <c r="P18" s="67">
        <v>5</v>
      </c>
      <c r="Q18" s="67" t="s">
        <v>93</v>
      </c>
      <c r="R18" s="36">
        <f t="shared" si="8"/>
        <v>0</v>
      </c>
      <c r="S18" s="36">
        <f t="shared" si="18"/>
        <v>307.11114329657522</v>
      </c>
      <c r="T18" s="36">
        <f t="shared" si="26"/>
        <v>898.50758368792867</v>
      </c>
      <c r="U18" s="36">
        <f t="shared" ref="U18:U48" si="32">N15*G$17</f>
        <v>619.44645473960009</v>
      </c>
      <c r="V18" s="36">
        <f>N14*$G$18</f>
        <v>1016.8926706939226</v>
      </c>
      <c r="W18" s="68">
        <v>0</v>
      </c>
      <c r="Z18" s="36">
        <f t="shared" si="9"/>
        <v>0</v>
      </c>
      <c r="AA18" s="36">
        <f t="shared" si="9"/>
        <v>214.85495585028406</v>
      </c>
      <c r="AB18" s="36">
        <f t="shared" si="9"/>
        <v>628.59590554807494</v>
      </c>
      <c r="AC18" s="36">
        <f t="shared" si="9"/>
        <v>433.36473973582423</v>
      </c>
      <c r="AD18" s="36">
        <f t="shared" si="9"/>
        <v>711.41811241746836</v>
      </c>
      <c r="AE18" s="68">
        <v>0</v>
      </c>
      <c r="AG18" s="36">
        <f t="shared" si="1"/>
        <v>0</v>
      </c>
      <c r="AH18" s="36">
        <f t="shared" si="10"/>
        <v>53.713738962571014</v>
      </c>
      <c r="AI18" s="36">
        <f t="shared" si="19"/>
        <v>157.14897638701873</v>
      </c>
      <c r="AJ18" s="36">
        <f t="shared" si="27"/>
        <v>108.34118493395606</v>
      </c>
      <c r="AK18" s="36">
        <f t="shared" ref="AK18:AK48" si="33">AD18*$P$4</f>
        <v>177.85452810436709</v>
      </c>
      <c r="AL18" s="68">
        <v>0</v>
      </c>
      <c r="AN18" s="36">
        <f t="shared" si="2"/>
        <v>0</v>
      </c>
      <c r="AO18" s="36">
        <f t="shared" si="11"/>
        <v>268.56869481285509</v>
      </c>
      <c r="AP18" s="36">
        <f t="shared" si="20"/>
        <v>557.46531623605597</v>
      </c>
      <c r="AQ18" s="36">
        <f t="shared" si="28"/>
        <v>1102.931170261546</v>
      </c>
      <c r="AR18" s="36">
        <f t="shared" ref="AR18:AR48" si="34">AD18+AK18</f>
        <v>889.27264052183546</v>
      </c>
      <c r="AS18" s="68">
        <v>0</v>
      </c>
      <c r="AU18" s="36">
        <f t="shared" si="21"/>
        <v>0</v>
      </c>
      <c r="AV18" s="36">
        <f t="shared" si="12"/>
        <v>463.25414168269373</v>
      </c>
      <c r="AW18" s="36">
        <f t="shared" si="22"/>
        <v>961.57192397557287</v>
      </c>
      <c r="AX18" s="36">
        <f t="shared" si="29"/>
        <v>1902.4459755841403</v>
      </c>
      <c r="AY18" s="36">
        <f t="shared" ref="AY18:AY48" si="35">AR18*$N$7*$R$4</f>
        <v>1533.906377636114</v>
      </c>
      <c r="AZ18" s="68">
        <v>0</v>
      </c>
      <c r="BA18" s="36">
        <f t="shared" si="3"/>
        <v>4861.1784188785205</v>
      </c>
      <c r="BC18" s="36">
        <f t="shared" si="13"/>
        <v>0</v>
      </c>
      <c r="BD18" s="36">
        <f t="shared" si="23"/>
        <v>4.6325414168269372</v>
      </c>
      <c r="BE18" s="36">
        <f t="shared" si="30"/>
        <v>9.6157192397557285</v>
      </c>
      <c r="BF18" s="36">
        <f t="shared" ref="BF18:BF48" si="36">AX18*$P$5</f>
        <v>19.024459755841402</v>
      </c>
      <c r="BG18" s="36">
        <f>AY18*$P$5</f>
        <v>15.33906377636114</v>
      </c>
      <c r="BH18" s="68">
        <v>0</v>
      </c>
      <c r="BI18" s="36">
        <f t="shared" si="4"/>
        <v>48.611784188785208</v>
      </c>
      <c r="BK18" s="36">
        <f t="shared" si="14"/>
        <v>0</v>
      </c>
      <c r="BL18" s="36">
        <f t="shared" si="24"/>
        <v>4.6325414168269372</v>
      </c>
      <c r="BM18" s="36">
        <f t="shared" si="31"/>
        <v>9.6157192397557285</v>
      </c>
      <c r="BN18" s="36">
        <f t="shared" ref="BN18:BN48" si="37">AX18*$P$7</f>
        <v>19.024459755841402</v>
      </c>
      <c r="BO18" s="36">
        <f>AY18*$P$7</f>
        <v>15.33906377636114</v>
      </c>
      <c r="BP18" s="68">
        <v>0</v>
      </c>
      <c r="BQ18" s="36">
        <f t="shared" si="5"/>
        <v>48.611784188785208</v>
      </c>
      <c r="BS18" s="36">
        <f t="shared" si="6"/>
        <v>4958.4019872560912</v>
      </c>
      <c r="BT18" s="36">
        <f t="shared" si="25"/>
        <v>12464.71504728021</v>
      </c>
    </row>
    <row r="19" spans="2:72" x14ac:dyDescent="0.25">
      <c r="B19" s="65">
        <v>2023</v>
      </c>
      <c r="C19" s="67">
        <f>'General Information'!C51</f>
        <v>0</v>
      </c>
      <c r="D19" s="67">
        <f>'General Information'!D51</f>
        <v>0</v>
      </c>
      <c r="E19" s="67">
        <f t="shared" si="7"/>
        <v>0</v>
      </c>
      <c r="F19" s="67">
        <f t="shared" si="15"/>
        <v>0</v>
      </c>
      <c r="G19" s="67">
        <f t="shared" si="16"/>
        <v>0</v>
      </c>
      <c r="I19" s="67">
        <v>6</v>
      </c>
      <c r="J19" s="67" t="str">
        <f>Gauva!Q19</f>
        <v>2023-2024</v>
      </c>
      <c r="K19" s="36">
        <f>30.1/3.14/100</f>
        <v>9.5859872611464975E-2</v>
      </c>
      <c r="L19" s="228"/>
      <c r="M19" s="36">
        <f t="shared" si="0"/>
        <v>0.18201369358463132</v>
      </c>
      <c r="N19" s="36">
        <f t="shared" si="17"/>
        <v>1.6407526917235321E-2</v>
      </c>
      <c r="O19" s="19"/>
      <c r="P19" s="67">
        <v>6</v>
      </c>
      <c r="Q19" s="67" t="s">
        <v>94</v>
      </c>
      <c r="R19" s="36">
        <f t="shared" si="8"/>
        <v>0</v>
      </c>
      <c r="S19" s="36">
        <f t="shared" si="18"/>
        <v>323.12753461694786</v>
      </c>
      <c r="T19" s="36">
        <f t="shared" si="26"/>
        <v>282.27006694684371</v>
      </c>
      <c r="U19" s="36">
        <f t="shared" si="32"/>
        <v>572.20746119073362</v>
      </c>
      <c r="V19" s="36">
        <f t="shared" ref="V19:V48" si="38">N15*$G$18</f>
        <v>1421.6552105883218</v>
      </c>
      <c r="W19" s="36">
        <f>N14*$G$19</f>
        <v>0</v>
      </c>
      <c r="Z19" s="36">
        <f t="shared" si="9"/>
        <v>0</v>
      </c>
      <c r="AA19" s="36">
        <f t="shared" si="9"/>
        <v>226.06002321801674</v>
      </c>
      <c r="AB19" s="36">
        <f t="shared" si="9"/>
        <v>197.47613883601187</v>
      </c>
      <c r="AC19" s="36">
        <f t="shared" si="9"/>
        <v>400.31633984903726</v>
      </c>
      <c r="AD19" s="36">
        <f t="shared" si="9"/>
        <v>994.58998532758994</v>
      </c>
      <c r="AE19" s="36">
        <f t="shared" si="9"/>
        <v>0</v>
      </c>
      <c r="AG19" s="36">
        <f t="shared" si="1"/>
        <v>0</v>
      </c>
      <c r="AH19" s="36">
        <f t="shared" si="10"/>
        <v>56.515005804504185</v>
      </c>
      <c r="AI19" s="36">
        <f t="shared" si="19"/>
        <v>49.369034709002968</v>
      </c>
      <c r="AJ19" s="36">
        <f t="shared" si="27"/>
        <v>100.07908496225932</v>
      </c>
      <c r="AK19" s="36">
        <f t="shared" si="33"/>
        <v>248.64749633189749</v>
      </c>
      <c r="AL19" s="36">
        <f t="shared" ref="AL19:AL48" si="39">AE19*$P$4</f>
        <v>0</v>
      </c>
      <c r="AN19" s="36">
        <f t="shared" si="2"/>
        <v>0</v>
      </c>
      <c r="AO19" s="36">
        <f t="shared" si="11"/>
        <v>282.57502902252094</v>
      </c>
      <c r="AP19" s="36">
        <f t="shared" si="20"/>
        <v>175.13015470456844</v>
      </c>
      <c r="AQ19" s="36">
        <f t="shared" si="28"/>
        <v>1018.8216269133143</v>
      </c>
      <c r="AR19" s="36">
        <f t="shared" si="34"/>
        <v>1243.2374816594875</v>
      </c>
      <c r="AS19" s="36">
        <f t="shared" ref="AS19:AS48" si="40">AE19+AL19</f>
        <v>0</v>
      </c>
      <c r="AU19" s="36">
        <f t="shared" si="21"/>
        <v>0</v>
      </c>
      <c r="AV19" s="36">
        <f t="shared" si="12"/>
        <v>487.41366756094629</v>
      </c>
      <c r="AW19" s="36">
        <f t="shared" si="22"/>
        <v>302.08200384991011</v>
      </c>
      <c r="AX19" s="36">
        <f t="shared" si="29"/>
        <v>1757.3654242627756</v>
      </c>
      <c r="AY19" s="36">
        <f t="shared" si="35"/>
        <v>2144.46033211445</v>
      </c>
      <c r="AZ19" s="36">
        <f t="shared" ref="AZ19:AZ48" si="41">AS19*$N$7*$R$4</f>
        <v>0</v>
      </c>
      <c r="BA19" s="36">
        <f t="shared" si="3"/>
        <v>4691.3214277880816</v>
      </c>
      <c r="BC19" s="36">
        <f t="shared" si="13"/>
        <v>0</v>
      </c>
      <c r="BD19" s="36">
        <f t="shared" si="23"/>
        <v>4.8741366756094626</v>
      </c>
      <c r="BE19" s="36">
        <f t="shared" si="30"/>
        <v>3.0208200384991013</v>
      </c>
      <c r="BF19" s="36">
        <f t="shared" si="36"/>
        <v>17.573654242627757</v>
      </c>
      <c r="BG19" s="36">
        <f t="shared" ref="BG19:BG48" si="42">AY19*$P$5</f>
        <v>21.444603321144502</v>
      </c>
      <c r="BH19" s="36">
        <f>AZ19*$P$5</f>
        <v>0</v>
      </c>
      <c r="BI19" s="36">
        <f t="shared" si="4"/>
        <v>46.913214277880826</v>
      </c>
      <c r="BK19" s="36">
        <f t="shared" si="14"/>
        <v>0</v>
      </c>
      <c r="BL19" s="36">
        <f t="shared" si="24"/>
        <v>4.8741366756094626</v>
      </c>
      <c r="BM19" s="36">
        <f t="shared" si="31"/>
        <v>3.0208200384991013</v>
      </c>
      <c r="BN19" s="36">
        <f t="shared" si="37"/>
        <v>17.573654242627757</v>
      </c>
      <c r="BO19" s="36">
        <f t="shared" ref="BO19:BO48" si="43">AY19*$P$7</f>
        <v>21.444603321144502</v>
      </c>
      <c r="BP19" s="36">
        <f>AZ19*$P$7</f>
        <v>0</v>
      </c>
      <c r="BQ19" s="36">
        <f t="shared" si="5"/>
        <v>46.913214277880826</v>
      </c>
      <c r="BS19" s="36">
        <f t="shared" si="6"/>
        <v>4785.1478563438432</v>
      </c>
      <c r="BT19" s="36">
        <f t="shared" si="25"/>
        <v>17249.862903624053</v>
      </c>
    </row>
    <row r="20" spans="2:72" x14ac:dyDescent="0.25">
      <c r="B20" s="65">
        <v>2024</v>
      </c>
      <c r="C20" s="67">
        <v>0</v>
      </c>
      <c r="D20" s="67">
        <v>0</v>
      </c>
      <c r="E20" s="67">
        <f t="shared" si="7"/>
        <v>0</v>
      </c>
      <c r="F20" s="67">
        <f t="shared" si="15"/>
        <v>0</v>
      </c>
      <c r="G20" s="67">
        <f t="shared" si="16"/>
        <v>0</v>
      </c>
      <c r="I20" s="67">
        <v>7</v>
      </c>
      <c r="J20" s="67" t="str">
        <f>Gauva!Q20</f>
        <v>2024-2025</v>
      </c>
      <c r="K20" s="36">
        <f>32.4/3.14/100</f>
        <v>0.10318471337579617</v>
      </c>
      <c r="L20" s="228"/>
      <c r="M20" s="36">
        <f t="shared" si="0"/>
        <v>0.20087291154932368</v>
      </c>
      <c r="N20" s="36">
        <f t="shared" si="17"/>
        <v>1.8859217964692365E-2</v>
      </c>
      <c r="O20" s="19"/>
      <c r="P20" s="67">
        <v>7</v>
      </c>
      <c r="Q20" s="67" t="s">
        <v>96</v>
      </c>
      <c r="R20" s="36">
        <f t="shared" si="8"/>
        <v>0</v>
      </c>
      <c r="S20" s="36">
        <f t="shared" si="18"/>
        <v>339.14392593731935</v>
      </c>
      <c r="T20" s="36">
        <f t="shared" si="26"/>
        <v>296.99095203658652</v>
      </c>
      <c r="U20" s="36">
        <f t="shared" si="32"/>
        <v>179.76146368720049</v>
      </c>
      <c r="V20" s="36">
        <f t="shared" si="38"/>
        <v>1313.2397683691465</v>
      </c>
      <c r="W20" s="36">
        <f t="shared" ref="W20:W48" si="44">N15*$G$19</f>
        <v>0</v>
      </c>
      <c r="X20" s="51"/>
      <c r="Z20" s="36">
        <f t="shared" si="9"/>
        <v>0</v>
      </c>
      <c r="AA20" s="36">
        <f t="shared" si="9"/>
        <v>237.26509058574862</v>
      </c>
      <c r="AB20" s="36">
        <f t="shared" si="9"/>
        <v>207.77487004479593</v>
      </c>
      <c r="AC20" s="36">
        <f t="shared" si="9"/>
        <v>125.76111999556547</v>
      </c>
      <c r="AD20" s="36">
        <f t="shared" si="9"/>
        <v>918.74254195105493</v>
      </c>
      <c r="AE20" s="36">
        <f t="shared" si="9"/>
        <v>0</v>
      </c>
      <c r="AG20" s="36">
        <f t="shared" si="1"/>
        <v>0</v>
      </c>
      <c r="AH20" s="36">
        <f t="shared" si="10"/>
        <v>59.316272646437156</v>
      </c>
      <c r="AI20" s="36">
        <f t="shared" si="19"/>
        <v>51.943717511198983</v>
      </c>
      <c r="AJ20" s="36">
        <f t="shared" si="27"/>
        <v>31.440279998891366</v>
      </c>
      <c r="AK20" s="36">
        <f t="shared" si="33"/>
        <v>229.68563548776373</v>
      </c>
      <c r="AL20" s="36">
        <f t="shared" si="39"/>
        <v>0</v>
      </c>
      <c r="AN20" s="36">
        <f t="shared" si="2"/>
        <v>0</v>
      </c>
      <c r="AO20" s="36">
        <f t="shared" si="11"/>
        <v>296.58136323218577</v>
      </c>
      <c r="AP20" s="36">
        <f t="shared" si="20"/>
        <v>184.2635031713059</v>
      </c>
      <c r="AQ20" s="36">
        <f t="shared" si="28"/>
        <v>320.06724712920982</v>
      </c>
      <c r="AR20" s="36">
        <f t="shared" si="34"/>
        <v>1148.4281774388187</v>
      </c>
      <c r="AS20" s="36">
        <f t="shared" si="40"/>
        <v>0</v>
      </c>
      <c r="AU20" s="36">
        <f t="shared" si="21"/>
        <v>0</v>
      </c>
      <c r="AV20" s="36">
        <f t="shared" si="12"/>
        <v>511.57319343919721</v>
      </c>
      <c r="AW20" s="36">
        <f t="shared" si="22"/>
        <v>317.83611662018552</v>
      </c>
      <c r="AX20" s="36">
        <f t="shared" si="29"/>
        <v>552.08399457317398</v>
      </c>
      <c r="AY20" s="36">
        <f t="shared" si="35"/>
        <v>1980.923763264218</v>
      </c>
      <c r="AZ20" s="36">
        <f t="shared" si="41"/>
        <v>0</v>
      </c>
      <c r="BA20" s="36">
        <f t="shared" si="3"/>
        <v>3362.4170678967748</v>
      </c>
      <c r="BC20" s="36">
        <f t="shared" si="13"/>
        <v>0</v>
      </c>
      <c r="BD20" s="36">
        <f t="shared" si="23"/>
        <v>5.115731934391972</v>
      </c>
      <c r="BE20" s="36">
        <f t="shared" si="30"/>
        <v>3.1783611662018552</v>
      </c>
      <c r="BF20" s="36">
        <f t="shared" si="36"/>
        <v>5.5208399457317396</v>
      </c>
      <c r="BG20" s="36">
        <f t="shared" si="42"/>
        <v>19.80923763264218</v>
      </c>
      <c r="BH20" s="36">
        <f t="shared" ref="BH20:BH48" si="45">AZ20*$P$5</f>
        <v>0</v>
      </c>
      <c r="BI20" s="36">
        <f t="shared" si="4"/>
        <v>33.624170678967744</v>
      </c>
      <c r="BK20" s="36">
        <f t="shared" si="14"/>
        <v>0</v>
      </c>
      <c r="BL20" s="36">
        <f t="shared" si="24"/>
        <v>5.115731934391972</v>
      </c>
      <c r="BM20" s="36">
        <f t="shared" si="31"/>
        <v>3.1783611662018552</v>
      </c>
      <c r="BN20" s="36">
        <f t="shared" si="37"/>
        <v>5.5208399457317396</v>
      </c>
      <c r="BO20" s="36">
        <f t="shared" si="43"/>
        <v>19.80923763264218</v>
      </c>
      <c r="BP20" s="36">
        <f t="shared" ref="BP20:BP48" si="46">AZ20*$P$7</f>
        <v>0</v>
      </c>
      <c r="BQ20" s="36">
        <f t="shared" si="5"/>
        <v>33.624170678967744</v>
      </c>
      <c r="BS20" s="36">
        <f t="shared" si="6"/>
        <v>3429.6654092547105</v>
      </c>
      <c r="BT20" s="36">
        <f t="shared" si="25"/>
        <v>20679.528312878763</v>
      </c>
    </row>
    <row r="21" spans="2:72" x14ac:dyDescent="0.25">
      <c r="B21" s="67">
        <v>2025</v>
      </c>
      <c r="C21" s="67">
        <v>0</v>
      </c>
      <c r="D21" s="67">
        <v>0</v>
      </c>
      <c r="E21" s="67">
        <f t="shared" si="7"/>
        <v>0</v>
      </c>
      <c r="F21" s="67">
        <f t="shared" si="15"/>
        <v>0</v>
      </c>
      <c r="G21" s="67">
        <f t="shared" si="16"/>
        <v>0</v>
      </c>
      <c r="I21" s="67">
        <v>8</v>
      </c>
      <c r="J21" s="67" t="str">
        <f>Gauva!Q21</f>
        <v>2025-2026</v>
      </c>
      <c r="K21" s="36">
        <f>34.5/3.14/100</f>
        <v>0.10987261146496814</v>
      </c>
      <c r="L21" s="228"/>
      <c r="M21" s="36">
        <f t="shared" si="0"/>
        <v>0.21890395656761383</v>
      </c>
      <c r="N21" s="36">
        <f t="shared" si="17"/>
        <v>1.8031045018290143E-2</v>
      </c>
      <c r="O21" s="19"/>
      <c r="P21" s="67">
        <v>8</v>
      </c>
      <c r="Q21" s="67" t="s">
        <v>97</v>
      </c>
      <c r="R21" s="36">
        <f t="shared" si="8"/>
        <v>0</v>
      </c>
      <c r="S21" s="36">
        <f t="shared" si="18"/>
        <v>389.82043137376849</v>
      </c>
      <c r="T21" s="36">
        <f t="shared" si="26"/>
        <v>311.71183712632831</v>
      </c>
      <c r="U21" s="36">
        <f t="shared" si="32"/>
        <v>189.13634313908935</v>
      </c>
      <c r="V21" s="36">
        <f t="shared" si="38"/>
        <v>412.55998732178165</v>
      </c>
      <c r="W21" s="36">
        <f t="shared" si="44"/>
        <v>0</v>
      </c>
      <c r="X21" s="51"/>
      <c r="Z21" s="36">
        <f t="shared" si="9"/>
        <v>0</v>
      </c>
      <c r="AA21" s="36">
        <f t="shared" si="9"/>
        <v>272.71837378908845</v>
      </c>
      <c r="AB21" s="36">
        <f t="shared" si="9"/>
        <v>218.07360125357928</v>
      </c>
      <c r="AC21" s="36">
        <f t="shared" si="9"/>
        <v>132.31978566010693</v>
      </c>
      <c r="AD21" s="36">
        <f t="shared" si="9"/>
        <v>288.62696713031846</v>
      </c>
      <c r="AE21" s="36">
        <f t="shared" si="9"/>
        <v>0</v>
      </c>
      <c r="AG21" s="36">
        <f t="shared" si="1"/>
        <v>0</v>
      </c>
      <c r="AH21" s="36">
        <f t="shared" si="10"/>
        <v>68.179593447272111</v>
      </c>
      <c r="AI21" s="36">
        <f t="shared" si="19"/>
        <v>54.518400313394821</v>
      </c>
      <c r="AJ21" s="36">
        <f t="shared" si="27"/>
        <v>33.079946415026733</v>
      </c>
      <c r="AK21" s="36">
        <f t="shared" si="33"/>
        <v>72.156741782579616</v>
      </c>
      <c r="AL21" s="36">
        <f t="shared" si="39"/>
        <v>0</v>
      </c>
      <c r="AN21" s="36">
        <f t="shared" si="2"/>
        <v>0</v>
      </c>
      <c r="AO21" s="36">
        <f t="shared" si="11"/>
        <v>340.89796723636056</v>
      </c>
      <c r="AP21" s="36">
        <f t="shared" si="20"/>
        <v>193.39685163804273</v>
      </c>
      <c r="AQ21" s="36">
        <f t="shared" si="28"/>
        <v>336.75932226471008</v>
      </c>
      <c r="AR21" s="36">
        <f t="shared" si="34"/>
        <v>360.78370891289808</v>
      </c>
      <c r="AS21" s="36">
        <f t="shared" si="40"/>
        <v>0</v>
      </c>
      <c r="AU21" s="36">
        <f t="shared" si="21"/>
        <v>0</v>
      </c>
      <c r="AV21" s="36">
        <f t="shared" si="12"/>
        <v>588.01490368599832</v>
      </c>
      <c r="AW21" s="36">
        <f t="shared" si="22"/>
        <v>333.59022939045991</v>
      </c>
      <c r="AX21" s="36">
        <f t="shared" si="29"/>
        <v>580.87615497439833</v>
      </c>
      <c r="AY21" s="36">
        <f t="shared" si="35"/>
        <v>622.31581950385782</v>
      </c>
      <c r="AZ21" s="36">
        <f t="shared" si="41"/>
        <v>0</v>
      </c>
      <c r="BA21" s="36">
        <f t="shared" si="3"/>
        <v>2124.7971075547143</v>
      </c>
      <c r="BC21" s="36">
        <f t="shared" si="13"/>
        <v>0</v>
      </c>
      <c r="BD21" s="36">
        <f t="shared" si="23"/>
        <v>5.8801490368599829</v>
      </c>
      <c r="BE21" s="36">
        <f t="shared" si="30"/>
        <v>3.3359022939045992</v>
      </c>
      <c r="BF21" s="36">
        <f t="shared" si="36"/>
        <v>5.8087615497439833</v>
      </c>
      <c r="BG21" s="36">
        <f t="shared" si="42"/>
        <v>6.2231581950385788</v>
      </c>
      <c r="BH21" s="36">
        <f t="shared" si="45"/>
        <v>0</v>
      </c>
      <c r="BI21" s="36">
        <f t="shared" si="4"/>
        <v>21.247971075547145</v>
      </c>
      <c r="BK21" s="36">
        <f t="shared" si="14"/>
        <v>0</v>
      </c>
      <c r="BL21" s="36">
        <f t="shared" si="24"/>
        <v>5.8801490368599829</v>
      </c>
      <c r="BM21" s="36">
        <f t="shared" si="31"/>
        <v>3.3359022939045992</v>
      </c>
      <c r="BN21" s="36">
        <f t="shared" si="37"/>
        <v>5.8087615497439833</v>
      </c>
      <c r="BO21" s="36">
        <f t="shared" si="43"/>
        <v>6.2231581950385788</v>
      </c>
      <c r="BP21" s="36">
        <f t="shared" si="46"/>
        <v>0</v>
      </c>
      <c r="BQ21" s="36">
        <f t="shared" si="5"/>
        <v>21.247971075547145</v>
      </c>
      <c r="BS21" s="36">
        <f t="shared" si="6"/>
        <v>2167.2930497058082</v>
      </c>
      <c r="BT21" s="36">
        <f t="shared" si="25"/>
        <v>22846.821362584571</v>
      </c>
    </row>
    <row r="22" spans="2:72" x14ac:dyDescent="0.25">
      <c r="B22" s="67">
        <v>2026</v>
      </c>
      <c r="C22" s="67">
        <v>0</v>
      </c>
      <c r="D22" s="67">
        <v>0</v>
      </c>
      <c r="E22" s="67">
        <f t="shared" si="7"/>
        <v>0</v>
      </c>
      <c r="F22" s="67">
        <f t="shared" si="15"/>
        <v>0</v>
      </c>
      <c r="G22" s="67">
        <f t="shared" si="16"/>
        <v>0</v>
      </c>
      <c r="I22" s="67">
        <v>9</v>
      </c>
      <c r="J22" s="67" t="str">
        <f>Gauva!Q22</f>
        <v>2026-2027</v>
      </c>
      <c r="K22" s="36">
        <f>36.1/3.14/100</f>
        <v>0.11496815286624203</v>
      </c>
      <c r="L22" s="228"/>
      <c r="M22" s="36">
        <f t="shared" si="0"/>
        <v>0.23316198367885674</v>
      </c>
      <c r="N22" s="36">
        <f t="shared" si="17"/>
        <v>1.425802711124291E-2</v>
      </c>
      <c r="O22" s="19"/>
      <c r="P22" s="67">
        <v>9</v>
      </c>
      <c r="Q22" s="67" t="s">
        <v>98</v>
      </c>
      <c r="R22" s="36">
        <f t="shared" si="8"/>
        <v>0</v>
      </c>
      <c r="S22" s="36">
        <f t="shared" si="18"/>
        <v>372.70207918000267</v>
      </c>
      <c r="T22" s="36">
        <f t="shared" si="26"/>
        <v>358.28930881502197</v>
      </c>
      <c r="U22" s="36">
        <f t="shared" si="32"/>
        <v>198.51122259097755</v>
      </c>
      <c r="V22" s="36">
        <f t="shared" si="38"/>
        <v>434.07572305557943</v>
      </c>
      <c r="W22" s="36">
        <f t="shared" si="44"/>
        <v>0</v>
      </c>
      <c r="X22" s="51"/>
      <c r="Z22" s="36">
        <f t="shared" si="9"/>
        <v>0</v>
      </c>
      <c r="AA22" s="36">
        <f t="shared" si="9"/>
        <v>260.74237459432987</v>
      </c>
      <c r="AB22" s="36">
        <f t="shared" si="9"/>
        <v>250.65920044698939</v>
      </c>
      <c r="AC22" s="36">
        <f t="shared" si="9"/>
        <v>138.8784513246479</v>
      </c>
      <c r="AD22" s="36">
        <f t="shared" si="9"/>
        <v>303.67937584968337</v>
      </c>
      <c r="AE22" s="36">
        <f t="shared" si="9"/>
        <v>0</v>
      </c>
      <c r="AG22" s="36">
        <f t="shared" si="1"/>
        <v>0</v>
      </c>
      <c r="AH22" s="36">
        <f t="shared" si="10"/>
        <v>65.185593648582469</v>
      </c>
      <c r="AI22" s="36">
        <f t="shared" si="19"/>
        <v>62.664800111747347</v>
      </c>
      <c r="AJ22" s="36">
        <f t="shared" si="27"/>
        <v>34.719612831161974</v>
      </c>
      <c r="AK22" s="36">
        <f t="shared" si="33"/>
        <v>75.919843962420842</v>
      </c>
      <c r="AL22" s="36">
        <f t="shared" si="39"/>
        <v>0</v>
      </c>
      <c r="AN22" s="36">
        <f t="shared" si="2"/>
        <v>0</v>
      </c>
      <c r="AO22" s="36">
        <f t="shared" si="11"/>
        <v>325.92796824291236</v>
      </c>
      <c r="AP22" s="36">
        <f t="shared" si="20"/>
        <v>222.29513302798799</v>
      </c>
      <c r="AQ22" s="36">
        <f t="shared" si="28"/>
        <v>353.45139740020926</v>
      </c>
      <c r="AR22" s="36">
        <f t="shared" si="34"/>
        <v>379.5992198121042</v>
      </c>
      <c r="AS22" s="36">
        <f t="shared" si="40"/>
        <v>0</v>
      </c>
      <c r="AU22" s="36">
        <f t="shared" si="21"/>
        <v>0</v>
      </c>
      <c r="AV22" s="36">
        <f t="shared" si="12"/>
        <v>562.19315242219943</v>
      </c>
      <c r="AW22" s="36">
        <f t="shared" si="22"/>
        <v>383.43687495997642</v>
      </c>
      <c r="AX22" s="36">
        <f t="shared" si="29"/>
        <v>609.66831537562086</v>
      </c>
      <c r="AY22" s="36">
        <f t="shared" si="35"/>
        <v>654.77069425389857</v>
      </c>
      <c r="AZ22" s="36">
        <f t="shared" si="41"/>
        <v>0</v>
      </c>
      <c r="BA22" s="36">
        <f t="shared" si="3"/>
        <v>2210.0690370116954</v>
      </c>
      <c r="BC22" s="36">
        <f t="shared" si="13"/>
        <v>0</v>
      </c>
      <c r="BD22" s="36">
        <f t="shared" si="23"/>
        <v>5.6219315242219947</v>
      </c>
      <c r="BE22" s="36">
        <f t="shared" si="30"/>
        <v>3.8343687495997645</v>
      </c>
      <c r="BF22" s="36">
        <f t="shared" si="36"/>
        <v>6.0966831537562092</v>
      </c>
      <c r="BG22" s="36">
        <f t="shared" si="42"/>
        <v>6.5477069425389862</v>
      </c>
      <c r="BH22" s="36">
        <f t="shared" si="45"/>
        <v>0</v>
      </c>
      <c r="BI22" s="36">
        <f t="shared" si="4"/>
        <v>22.100690370116954</v>
      </c>
      <c r="BK22" s="36">
        <f t="shared" si="14"/>
        <v>0</v>
      </c>
      <c r="BL22" s="36">
        <f t="shared" si="24"/>
        <v>5.6219315242219947</v>
      </c>
      <c r="BM22" s="36">
        <f t="shared" si="31"/>
        <v>3.8343687495997645</v>
      </c>
      <c r="BN22" s="36">
        <f t="shared" si="37"/>
        <v>6.0966831537562092</v>
      </c>
      <c r="BO22" s="36">
        <f t="shared" si="43"/>
        <v>6.5477069425389862</v>
      </c>
      <c r="BP22" s="36">
        <f t="shared" si="46"/>
        <v>0</v>
      </c>
      <c r="BQ22" s="36">
        <f t="shared" si="5"/>
        <v>22.100690370116954</v>
      </c>
      <c r="BS22" s="36">
        <f t="shared" si="6"/>
        <v>2254.270417751929</v>
      </c>
      <c r="BT22" s="36">
        <f t="shared" si="25"/>
        <v>25101.091780336501</v>
      </c>
    </row>
    <row r="23" spans="2:72" x14ac:dyDescent="0.25">
      <c r="B23" s="67">
        <v>2027</v>
      </c>
      <c r="C23" s="67">
        <v>0</v>
      </c>
      <c r="D23" s="67">
        <v>0</v>
      </c>
      <c r="E23" s="67">
        <f t="shared" si="7"/>
        <v>0</v>
      </c>
      <c r="F23" s="67">
        <f t="shared" si="15"/>
        <v>0</v>
      </c>
      <c r="G23" s="67">
        <f t="shared" si="16"/>
        <v>0</v>
      </c>
      <c r="I23" s="67">
        <v>10</v>
      </c>
      <c r="J23" s="67" t="str">
        <f>Gauva!Q23</f>
        <v>2027-2028</v>
      </c>
      <c r="K23" s="36">
        <f>37.7/3.14/100</f>
        <v>0.12006369426751594</v>
      </c>
      <c r="L23" s="228"/>
      <c r="M23" s="36">
        <f t="shared" si="0"/>
        <v>0.24786981667091137</v>
      </c>
      <c r="N23" s="36">
        <f t="shared" si="17"/>
        <v>1.4707832992054637E-2</v>
      </c>
      <c r="O23" s="19"/>
      <c r="P23" s="67">
        <v>10</v>
      </c>
      <c r="Q23" s="67" t="s">
        <v>99</v>
      </c>
      <c r="R23" s="36">
        <f t="shared" si="8"/>
        <v>0</v>
      </c>
      <c r="S23" s="36">
        <f t="shared" si="18"/>
        <v>294.71371980796027</v>
      </c>
      <c r="T23" s="36">
        <f t="shared" si="26"/>
        <v>342.55559636197796</v>
      </c>
      <c r="U23" s="36">
        <f t="shared" si="32"/>
        <v>228.17371771904035</v>
      </c>
      <c r="V23" s="36">
        <f t="shared" si="38"/>
        <v>455.59145878937574</v>
      </c>
      <c r="W23" s="36">
        <f t="shared" si="44"/>
        <v>0</v>
      </c>
      <c r="X23" s="51"/>
      <c r="Z23" s="36">
        <f t="shared" si="9"/>
        <v>0</v>
      </c>
      <c r="AA23" s="36">
        <f t="shared" si="9"/>
        <v>206.18171837764902</v>
      </c>
      <c r="AB23" s="36">
        <f t="shared" si="9"/>
        <v>239.65189521483978</v>
      </c>
      <c r="AC23" s="36">
        <f t="shared" si="9"/>
        <v>159.63033291624063</v>
      </c>
      <c r="AD23" s="36">
        <f t="shared" si="9"/>
        <v>318.73178456904731</v>
      </c>
      <c r="AE23" s="36">
        <f t="shared" si="9"/>
        <v>0</v>
      </c>
      <c r="AG23" s="36">
        <f t="shared" si="1"/>
        <v>0</v>
      </c>
      <c r="AH23" s="36">
        <f t="shared" si="10"/>
        <v>51.545429594412255</v>
      </c>
      <c r="AI23" s="36">
        <f t="shared" si="19"/>
        <v>59.912973803709946</v>
      </c>
      <c r="AJ23" s="36">
        <f t="shared" si="27"/>
        <v>39.907583229060158</v>
      </c>
      <c r="AK23" s="36">
        <f t="shared" si="33"/>
        <v>79.682946142261827</v>
      </c>
      <c r="AL23" s="36">
        <f t="shared" si="39"/>
        <v>0</v>
      </c>
      <c r="AN23" s="36">
        <f t="shared" si="2"/>
        <v>0</v>
      </c>
      <c r="AO23" s="36">
        <f t="shared" si="11"/>
        <v>257.72714797206129</v>
      </c>
      <c r="AP23" s="36">
        <f t="shared" si="20"/>
        <v>212.53339128263426</v>
      </c>
      <c r="AQ23" s="36">
        <f t="shared" si="28"/>
        <v>406.26579356658107</v>
      </c>
      <c r="AR23" s="36">
        <f t="shared" si="34"/>
        <v>398.41473071130912</v>
      </c>
      <c r="AS23" s="36">
        <f t="shared" si="40"/>
        <v>0</v>
      </c>
      <c r="AU23" s="36">
        <f t="shared" si="21"/>
        <v>0</v>
      </c>
      <c r="AV23" s="36">
        <f t="shared" si="12"/>
        <v>444.55355753700849</v>
      </c>
      <c r="AW23" s="36">
        <f t="shared" si="22"/>
        <v>366.5988466234158</v>
      </c>
      <c r="AX23" s="36">
        <f t="shared" si="29"/>
        <v>700.7678673229957</v>
      </c>
      <c r="AY23" s="36">
        <f t="shared" si="35"/>
        <v>687.22556900393704</v>
      </c>
      <c r="AZ23" s="36">
        <f t="shared" si="41"/>
        <v>0</v>
      </c>
      <c r="BA23" s="36">
        <f t="shared" si="3"/>
        <v>2199.145840487357</v>
      </c>
      <c r="BC23" s="36">
        <f t="shared" si="13"/>
        <v>0</v>
      </c>
      <c r="BD23" s="36">
        <f t="shared" si="23"/>
        <v>4.4455355753700854</v>
      </c>
      <c r="BE23" s="36">
        <f t="shared" si="30"/>
        <v>3.665988466234158</v>
      </c>
      <c r="BF23" s="36">
        <f t="shared" si="36"/>
        <v>7.0076786732299574</v>
      </c>
      <c r="BG23" s="36">
        <f t="shared" si="42"/>
        <v>6.8722556900393705</v>
      </c>
      <c r="BH23" s="36">
        <f t="shared" si="45"/>
        <v>0</v>
      </c>
      <c r="BI23" s="36">
        <f t="shared" si="4"/>
        <v>21.991458404873569</v>
      </c>
      <c r="BK23" s="36">
        <f t="shared" si="14"/>
        <v>0</v>
      </c>
      <c r="BL23" s="36">
        <f t="shared" si="24"/>
        <v>4.4455355753700854</v>
      </c>
      <c r="BM23" s="36">
        <f t="shared" si="31"/>
        <v>3.665988466234158</v>
      </c>
      <c r="BN23" s="36">
        <f t="shared" si="37"/>
        <v>7.0076786732299574</v>
      </c>
      <c r="BO23" s="36">
        <f t="shared" si="43"/>
        <v>6.8722556900393705</v>
      </c>
      <c r="BP23" s="36">
        <f t="shared" si="46"/>
        <v>0</v>
      </c>
      <c r="BQ23" s="36">
        <f t="shared" si="5"/>
        <v>21.991458404873569</v>
      </c>
      <c r="BS23" s="36">
        <f t="shared" si="6"/>
        <v>2243.1287572971037</v>
      </c>
      <c r="BT23" s="36">
        <f t="shared" si="25"/>
        <v>27344.220537633606</v>
      </c>
    </row>
    <row r="24" spans="2:72" x14ac:dyDescent="0.25">
      <c r="B24" s="67">
        <v>2028</v>
      </c>
      <c r="C24" s="67">
        <v>0</v>
      </c>
      <c r="D24" s="67">
        <v>0</v>
      </c>
      <c r="E24" s="67">
        <f t="shared" si="7"/>
        <v>0</v>
      </c>
      <c r="F24" s="67">
        <f t="shared" si="15"/>
        <v>0</v>
      </c>
      <c r="G24" s="67">
        <f t="shared" si="16"/>
        <v>0</v>
      </c>
      <c r="I24" s="67">
        <v>11</v>
      </c>
      <c r="J24" s="67" t="str">
        <f>Gauva!Q24</f>
        <v>2028-2029</v>
      </c>
      <c r="K24" s="36">
        <f>39.3/3.14/100</f>
        <v>0.12515923566878981</v>
      </c>
      <c r="L24" s="228"/>
      <c r="M24" s="36">
        <f t="shared" si="0"/>
        <v>0.2630274555437776</v>
      </c>
      <c r="N24" s="36">
        <f t="shared" si="17"/>
        <v>1.5157638872866225E-2</v>
      </c>
      <c r="O24" s="19"/>
      <c r="P24" s="67">
        <v>11</v>
      </c>
      <c r="Q24" s="67" t="s">
        <v>100</v>
      </c>
      <c r="R24" s="36">
        <f t="shared" si="8"/>
        <v>0</v>
      </c>
      <c r="S24" s="36">
        <f t="shared" si="18"/>
        <v>304.01121681026217</v>
      </c>
      <c r="T24" s="36">
        <f t="shared" si="26"/>
        <v>270.8754248621039</v>
      </c>
      <c r="U24" s="36">
        <f t="shared" si="32"/>
        <v>218.15382715683862</v>
      </c>
      <c r="V24" s="36">
        <f t="shared" si="38"/>
        <v>523.66811083121911</v>
      </c>
      <c r="W24" s="36">
        <f t="shared" si="44"/>
        <v>0</v>
      </c>
      <c r="X24" s="51"/>
      <c r="Z24" s="36">
        <f t="shared" si="9"/>
        <v>0</v>
      </c>
      <c r="AA24" s="36">
        <f t="shared" si="9"/>
        <v>212.68624728045944</v>
      </c>
      <c r="AB24" s="36">
        <f t="shared" si="9"/>
        <v>189.50444723352791</v>
      </c>
      <c r="AC24" s="36">
        <f t="shared" si="9"/>
        <v>152.62041747892431</v>
      </c>
      <c r="AD24" s="36">
        <f t="shared" si="9"/>
        <v>366.35821033752092</v>
      </c>
      <c r="AE24" s="36">
        <f t="shared" si="9"/>
        <v>0</v>
      </c>
      <c r="AG24" s="36">
        <f t="shared" si="1"/>
        <v>0</v>
      </c>
      <c r="AH24" s="36">
        <f t="shared" si="10"/>
        <v>53.17156182011486</v>
      </c>
      <c r="AI24" s="36">
        <f t="shared" si="19"/>
        <v>47.376111808381978</v>
      </c>
      <c r="AJ24" s="36">
        <f t="shared" si="27"/>
        <v>38.155104369731077</v>
      </c>
      <c r="AK24" s="36">
        <f t="shared" si="33"/>
        <v>91.589552584380229</v>
      </c>
      <c r="AL24" s="36">
        <f t="shared" si="39"/>
        <v>0</v>
      </c>
      <c r="AN24" s="36">
        <f t="shared" si="2"/>
        <v>0</v>
      </c>
      <c r="AO24" s="36">
        <f t="shared" si="11"/>
        <v>265.85780910057429</v>
      </c>
      <c r="AP24" s="36">
        <f t="shared" si="20"/>
        <v>168.06052294131291</v>
      </c>
      <c r="AQ24" s="36">
        <f t="shared" si="28"/>
        <v>388.42526911268379</v>
      </c>
      <c r="AR24" s="36">
        <f t="shared" si="34"/>
        <v>457.94776292190113</v>
      </c>
      <c r="AS24" s="36">
        <f t="shared" si="40"/>
        <v>0</v>
      </c>
      <c r="AU24" s="36">
        <f t="shared" si="21"/>
        <v>0</v>
      </c>
      <c r="AV24" s="36">
        <f t="shared" si="12"/>
        <v>458.57813491758054</v>
      </c>
      <c r="AW24" s="36">
        <f t="shared" si="22"/>
        <v>289.88759602147059</v>
      </c>
      <c r="AX24" s="36">
        <f t="shared" si="29"/>
        <v>669.99474669246831</v>
      </c>
      <c r="AY24" s="36">
        <f t="shared" si="35"/>
        <v>789.91409626398718</v>
      </c>
      <c r="AZ24" s="36">
        <f t="shared" si="41"/>
        <v>0</v>
      </c>
      <c r="BA24" s="36">
        <f t="shared" si="3"/>
        <v>2208.3745738955067</v>
      </c>
      <c r="BC24" s="36">
        <f t="shared" si="13"/>
        <v>0</v>
      </c>
      <c r="BD24" s="36">
        <f t="shared" si="23"/>
        <v>4.5857813491758055</v>
      </c>
      <c r="BE24" s="36">
        <f t="shared" si="30"/>
        <v>2.8988759602147058</v>
      </c>
      <c r="BF24" s="36">
        <f t="shared" si="36"/>
        <v>6.6999474669246837</v>
      </c>
      <c r="BG24" s="36">
        <f t="shared" si="42"/>
        <v>7.8991409626398719</v>
      </c>
      <c r="BH24" s="36">
        <f t="shared" si="45"/>
        <v>0</v>
      </c>
      <c r="BI24" s="36">
        <f t="shared" si="4"/>
        <v>22.083745738955066</v>
      </c>
      <c r="BK24" s="36">
        <f t="shared" si="14"/>
        <v>0</v>
      </c>
      <c r="BL24" s="36">
        <f t="shared" si="24"/>
        <v>4.5857813491758055</v>
      </c>
      <c r="BM24" s="36">
        <f t="shared" si="31"/>
        <v>2.8988759602147058</v>
      </c>
      <c r="BN24" s="36">
        <f t="shared" si="37"/>
        <v>6.6999474669246837</v>
      </c>
      <c r="BO24" s="36">
        <f t="shared" si="43"/>
        <v>7.8991409626398719</v>
      </c>
      <c r="BP24" s="36">
        <f t="shared" si="46"/>
        <v>0</v>
      </c>
      <c r="BQ24" s="36">
        <f t="shared" si="5"/>
        <v>22.083745738955066</v>
      </c>
      <c r="BS24" s="36">
        <f t="shared" si="6"/>
        <v>2252.5420653734172</v>
      </c>
      <c r="BT24" s="36">
        <f t="shared" si="25"/>
        <v>29596.762603007024</v>
      </c>
    </row>
    <row r="25" spans="2:72" x14ac:dyDescent="0.25">
      <c r="B25" s="67">
        <v>2029</v>
      </c>
      <c r="C25" s="67">
        <v>0</v>
      </c>
      <c r="D25" s="67">
        <v>0</v>
      </c>
      <c r="E25" s="67">
        <f t="shared" si="7"/>
        <v>0</v>
      </c>
      <c r="F25" s="67">
        <f t="shared" si="15"/>
        <v>0</v>
      </c>
      <c r="G25" s="67">
        <f t="shared" si="16"/>
        <v>0</v>
      </c>
      <c r="I25" s="67">
        <v>12</v>
      </c>
      <c r="J25" s="67" t="str">
        <f>Gauva!Q25</f>
        <v>2029-2030</v>
      </c>
      <c r="K25" s="36">
        <f>40.9/3.14/100</f>
        <v>0.13025477707006369</v>
      </c>
      <c r="L25" s="228"/>
      <c r="M25" s="36">
        <f t="shared" si="0"/>
        <v>0.27863490029745569</v>
      </c>
      <c r="N25" s="36">
        <f t="shared" si="17"/>
        <v>1.560744475367809E-2</v>
      </c>
      <c r="O25" s="19"/>
      <c r="P25" s="67">
        <v>12</v>
      </c>
      <c r="Q25" s="67" t="s">
        <v>101</v>
      </c>
      <c r="R25" s="36">
        <f t="shared" si="8"/>
        <v>0</v>
      </c>
      <c r="S25" s="36">
        <f t="shared" si="18"/>
        <v>313.30871381256122</v>
      </c>
      <c r="T25" s="36">
        <f t="shared" si="26"/>
        <v>279.42088196635319</v>
      </c>
      <c r="U25" s="36">
        <f t="shared" si="32"/>
        <v>172.50487583323462</v>
      </c>
      <c r="V25" s="36">
        <f t="shared" si="38"/>
        <v>500.67204794590151</v>
      </c>
      <c r="W25" s="36">
        <f t="shared" si="44"/>
        <v>0</v>
      </c>
      <c r="X25" s="51"/>
      <c r="Z25" s="36">
        <f t="shared" si="9"/>
        <v>0</v>
      </c>
      <c r="AA25" s="36">
        <f t="shared" si="9"/>
        <v>219.19077618326784</v>
      </c>
      <c r="AB25" s="36">
        <f t="shared" si="9"/>
        <v>195.48284902366072</v>
      </c>
      <c r="AC25" s="36">
        <f t="shared" si="9"/>
        <v>120.68441113293095</v>
      </c>
      <c r="AD25" s="36">
        <f t="shared" si="9"/>
        <v>350.27016474295272</v>
      </c>
      <c r="AE25" s="36">
        <f t="shared" si="9"/>
        <v>0</v>
      </c>
      <c r="AG25" s="36">
        <f t="shared" si="1"/>
        <v>0</v>
      </c>
      <c r="AH25" s="36">
        <f t="shared" si="10"/>
        <v>54.797694045816961</v>
      </c>
      <c r="AI25" s="36">
        <f t="shared" si="19"/>
        <v>48.87071225591518</v>
      </c>
      <c r="AJ25" s="36">
        <f t="shared" si="27"/>
        <v>30.171102783232737</v>
      </c>
      <c r="AK25" s="36">
        <f t="shared" si="33"/>
        <v>87.567541185738179</v>
      </c>
      <c r="AL25" s="36">
        <f t="shared" si="39"/>
        <v>0</v>
      </c>
      <c r="AN25" s="36">
        <f t="shared" si="2"/>
        <v>0</v>
      </c>
      <c r="AO25" s="36">
        <f t="shared" si="11"/>
        <v>273.98847022908478</v>
      </c>
      <c r="AP25" s="36">
        <f t="shared" si="20"/>
        <v>173.36242137098333</v>
      </c>
      <c r="AQ25" s="36">
        <f t="shared" si="28"/>
        <v>307.14681329244695</v>
      </c>
      <c r="AR25" s="36">
        <f t="shared" si="34"/>
        <v>437.83770592869087</v>
      </c>
      <c r="AS25" s="36">
        <f t="shared" si="40"/>
        <v>0</v>
      </c>
      <c r="AU25" s="36">
        <f t="shared" si="21"/>
        <v>0</v>
      </c>
      <c r="AV25" s="36">
        <f t="shared" si="12"/>
        <v>472.60271229814828</v>
      </c>
      <c r="AW25" s="36">
        <f t="shared" si="22"/>
        <v>299.03284062280909</v>
      </c>
      <c r="AX25" s="36">
        <f t="shared" si="29"/>
        <v>529.79753824814168</v>
      </c>
      <c r="AY25" s="36">
        <f t="shared" si="35"/>
        <v>755.22625895639885</v>
      </c>
      <c r="AZ25" s="36">
        <f t="shared" si="41"/>
        <v>0</v>
      </c>
      <c r="BA25" s="36">
        <f t="shared" si="3"/>
        <v>2056.6593501254979</v>
      </c>
      <c r="BC25" s="36">
        <f t="shared" si="13"/>
        <v>0</v>
      </c>
      <c r="BD25" s="36">
        <f t="shared" si="23"/>
        <v>4.726027122981483</v>
      </c>
      <c r="BE25" s="36">
        <f t="shared" si="30"/>
        <v>2.990328406228091</v>
      </c>
      <c r="BF25" s="36">
        <f t="shared" si="36"/>
        <v>5.2979753824814173</v>
      </c>
      <c r="BG25" s="36">
        <f t="shared" si="42"/>
        <v>7.5522625895639885</v>
      </c>
      <c r="BH25" s="36">
        <f t="shared" si="45"/>
        <v>0</v>
      </c>
      <c r="BI25" s="36">
        <f t="shared" si="4"/>
        <v>20.566593501254978</v>
      </c>
      <c r="BK25" s="36">
        <f t="shared" si="14"/>
        <v>0</v>
      </c>
      <c r="BL25" s="36">
        <f t="shared" si="24"/>
        <v>4.726027122981483</v>
      </c>
      <c r="BM25" s="36">
        <f t="shared" si="31"/>
        <v>2.990328406228091</v>
      </c>
      <c r="BN25" s="36">
        <f t="shared" si="37"/>
        <v>5.2979753824814173</v>
      </c>
      <c r="BO25" s="36">
        <f t="shared" si="43"/>
        <v>7.5522625895639885</v>
      </c>
      <c r="BP25" s="36">
        <f t="shared" si="46"/>
        <v>0</v>
      </c>
      <c r="BQ25" s="36">
        <f t="shared" si="5"/>
        <v>20.566593501254978</v>
      </c>
      <c r="BS25" s="36">
        <f t="shared" si="6"/>
        <v>2097.7925371280076</v>
      </c>
      <c r="BT25" s="36">
        <f t="shared" si="25"/>
        <v>31694.555140135031</v>
      </c>
    </row>
    <row r="26" spans="2:72" x14ac:dyDescent="0.25">
      <c r="B26" s="67">
        <v>2030</v>
      </c>
      <c r="C26" s="67">
        <v>0</v>
      </c>
      <c r="D26" s="67">
        <v>0</v>
      </c>
      <c r="E26" s="67">
        <f t="shared" si="7"/>
        <v>0</v>
      </c>
      <c r="F26" s="67">
        <f t="shared" si="15"/>
        <v>0</v>
      </c>
      <c r="G26" s="67">
        <f t="shared" si="16"/>
        <v>0</v>
      </c>
      <c r="I26" s="67">
        <v>13</v>
      </c>
      <c r="J26" s="67" t="str">
        <f>Gauva!Q26</f>
        <v>2030-2031</v>
      </c>
      <c r="K26" s="36">
        <f>42.5/3.14/100</f>
        <v>0.13535031847133758</v>
      </c>
      <c r="L26" s="228"/>
      <c r="M26" s="36">
        <f t="shared" si="0"/>
        <v>0.29469215093194545</v>
      </c>
      <c r="N26" s="36">
        <f t="shared" si="17"/>
        <v>1.6057250634489761E-2</v>
      </c>
      <c r="O26" s="19"/>
      <c r="P26" s="67">
        <v>13</v>
      </c>
      <c r="Q26" s="67" t="s">
        <v>102</v>
      </c>
      <c r="R26" s="36">
        <f t="shared" si="8"/>
        <v>0</v>
      </c>
      <c r="S26" s="36">
        <f t="shared" si="18"/>
        <v>322.60621081486596</v>
      </c>
      <c r="T26" s="36">
        <f t="shared" si="26"/>
        <v>287.96633907059982</v>
      </c>
      <c r="U26" s="36">
        <f t="shared" si="32"/>
        <v>177.94698272594073</v>
      </c>
      <c r="V26" s="36">
        <f t="shared" si="38"/>
        <v>395.90581833792771</v>
      </c>
      <c r="W26" s="36">
        <f t="shared" si="44"/>
        <v>0</v>
      </c>
      <c r="X26" s="51"/>
      <c r="Z26" s="36">
        <f t="shared" si="9"/>
        <v>0</v>
      </c>
      <c r="AA26" s="36">
        <f t="shared" si="9"/>
        <v>225.69530508608025</v>
      </c>
      <c r="AB26" s="36">
        <f t="shared" si="9"/>
        <v>201.46125081379165</v>
      </c>
      <c r="AC26" s="36">
        <f t="shared" si="9"/>
        <v>124.49170911506815</v>
      </c>
      <c r="AD26" s="36">
        <f t="shared" si="9"/>
        <v>276.9757105092142</v>
      </c>
      <c r="AE26" s="36">
        <f t="shared" si="9"/>
        <v>0</v>
      </c>
      <c r="AG26" s="36">
        <f t="shared" si="1"/>
        <v>0</v>
      </c>
      <c r="AH26" s="36">
        <f t="shared" si="10"/>
        <v>56.423826271520063</v>
      </c>
      <c r="AI26" s="36">
        <f t="shared" si="19"/>
        <v>50.365312703447913</v>
      </c>
      <c r="AJ26" s="36">
        <f t="shared" si="27"/>
        <v>31.122927278767037</v>
      </c>
      <c r="AK26" s="36">
        <f t="shared" si="33"/>
        <v>69.243927627303549</v>
      </c>
      <c r="AL26" s="36">
        <f t="shared" si="39"/>
        <v>0</v>
      </c>
      <c r="AN26" s="36">
        <f t="shared" si="2"/>
        <v>0</v>
      </c>
      <c r="AO26" s="36">
        <f t="shared" si="11"/>
        <v>282.11913135760034</v>
      </c>
      <c r="AP26" s="36">
        <f t="shared" si="20"/>
        <v>178.66431980065209</v>
      </c>
      <c r="AQ26" s="36">
        <f t="shared" si="28"/>
        <v>316.83654398334897</v>
      </c>
      <c r="AR26" s="36">
        <f t="shared" si="34"/>
        <v>346.21963813651774</v>
      </c>
      <c r="AS26" s="36">
        <f t="shared" si="40"/>
        <v>0</v>
      </c>
      <c r="AU26" s="36">
        <f t="shared" si="21"/>
        <v>0</v>
      </c>
      <c r="AV26" s="36">
        <f t="shared" si="12"/>
        <v>486.62728967872476</v>
      </c>
      <c r="AW26" s="36">
        <f t="shared" si="22"/>
        <v>308.17808522414481</v>
      </c>
      <c r="AX26" s="36">
        <f t="shared" si="29"/>
        <v>546.5113547168786</v>
      </c>
      <c r="AY26" s="36">
        <f t="shared" si="35"/>
        <v>597.19425382167935</v>
      </c>
      <c r="AZ26" s="36">
        <f t="shared" si="41"/>
        <v>0</v>
      </c>
      <c r="BA26" s="36">
        <f t="shared" si="3"/>
        <v>1938.5109834414275</v>
      </c>
      <c r="BC26" s="36">
        <f t="shared" si="13"/>
        <v>0</v>
      </c>
      <c r="BD26" s="36">
        <f t="shared" si="23"/>
        <v>4.8662728967872475</v>
      </c>
      <c r="BE26" s="36">
        <f t="shared" si="30"/>
        <v>3.0817808522414483</v>
      </c>
      <c r="BF26" s="36">
        <f t="shared" si="36"/>
        <v>5.4651135471687864</v>
      </c>
      <c r="BG26" s="36">
        <f t="shared" si="42"/>
        <v>5.9719425382167941</v>
      </c>
      <c r="BH26" s="36">
        <f t="shared" si="45"/>
        <v>0</v>
      </c>
      <c r="BI26" s="36">
        <f t="shared" si="4"/>
        <v>19.385109834414276</v>
      </c>
      <c r="BK26" s="36">
        <f t="shared" si="14"/>
        <v>0</v>
      </c>
      <c r="BL26" s="36">
        <f t="shared" si="24"/>
        <v>4.8662728967872475</v>
      </c>
      <c r="BM26" s="36">
        <f t="shared" si="31"/>
        <v>3.0817808522414483</v>
      </c>
      <c r="BN26" s="36">
        <f t="shared" si="37"/>
        <v>5.4651135471687864</v>
      </c>
      <c r="BO26" s="36">
        <f t="shared" si="43"/>
        <v>5.9719425382167941</v>
      </c>
      <c r="BP26" s="36">
        <f t="shared" si="46"/>
        <v>0</v>
      </c>
      <c r="BQ26" s="36">
        <f t="shared" si="5"/>
        <v>19.385109834414276</v>
      </c>
      <c r="BS26" s="36">
        <f t="shared" si="6"/>
        <v>1977.2812031102562</v>
      </c>
      <c r="BT26" s="36">
        <f t="shared" si="25"/>
        <v>33671.83634324529</v>
      </c>
    </row>
    <row r="27" spans="2:72" x14ac:dyDescent="0.25">
      <c r="B27" s="67">
        <v>2031</v>
      </c>
      <c r="C27" s="67">
        <v>0</v>
      </c>
      <c r="D27" s="67">
        <v>0</v>
      </c>
      <c r="E27" s="67">
        <f t="shared" si="7"/>
        <v>0</v>
      </c>
      <c r="F27" s="67">
        <f t="shared" si="15"/>
        <v>0</v>
      </c>
      <c r="G27" s="67">
        <f t="shared" si="16"/>
        <v>0</v>
      </c>
      <c r="I27" s="67">
        <v>14</v>
      </c>
      <c r="J27" s="67" t="str">
        <f>Gauva!Q27</f>
        <v>2031-2032</v>
      </c>
      <c r="K27" s="36">
        <f>44.6/3.14/100</f>
        <v>0.14203821656050955</v>
      </c>
      <c r="L27" s="228"/>
      <c r="M27" s="36">
        <f t="shared" si="0"/>
        <v>0.31644990795492944</v>
      </c>
      <c r="N27" s="36">
        <f t="shared" si="17"/>
        <v>2.1757757022983992E-2</v>
      </c>
      <c r="O27" s="19"/>
      <c r="P27" s="67">
        <v>14</v>
      </c>
      <c r="Q27" s="67" t="s">
        <v>103</v>
      </c>
      <c r="R27" s="36">
        <f t="shared" si="8"/>
        <v>0</v>
      </c>
      <c r="S27" s="36">
        <f t="shared" si="18"/>
        <v>331.90370781716672</v>
      </c>
      <c r="T27" s="36">
        <f t="shared" si="26"/>
        <v>296.51179617485172</v>
      </c>
      <c r="U27" s="36">
        <f t="shared" si="32"/>
        <v>183.38908961864516</v>
      </c>
      <c r="V27" s="36">
        <f t="shared" si="38"/>
        <v>408.39567853713834</v>
      </c>
      <c r="W27" s="36">
        <f t="shared" si="44"/>
        <v>0</v>
      </c>
      <c r="X27" s="51"/>
      <c r="Z27" s="36">
        <f t="shared" si="9"/>
        <v>0</v>
      </c>
      <c r="AA27" s="36">
        <f t="shared" si="9"/>
        <v>232.19983398888985</v>
      </c>
      <c r="AB27" s="36">
        <f t="shared" si="9"/>
        <v>207.43965260392628</v>
      </c>
      <c r="AC27" s="36">
        <f t="shared" si="9"/>
        <v>128.29900709720417</v>
      </c>
      <c r="AD27" s="36">
        <f t="shared" si="9"/>
        <v>285.71361670458197</v>
      </c>
      <c r="AE27" s="36">
        <f t="shared" si="9"/>
        <v>0</v>
      </c>
      <c r="AG27" s="36">
        <f t="shared" si="1"/>
        <v>0</v>
      </c>
      <c r="AH27" s="36">
        <f t="shared" si="10"/>
        <v>58.049958497222462</v>
      </c>
      <c r="AI27" s="36">
        <f t="shared" si="19"/>
        <v>51.859913150981569</v>
      </c>
      <c r="AJ27" s="36">
        <f t="shared" si="27"/>
        <v>32.074751774301042</v>
      </c>
      <c r="AK27" s="36">
        <f t="shared" si="33"/>
        <v>71.428404176145492</v>
      </c>
      <c r="AL27" s="36">
        <f t="shared" si="39"/>
        <v>0</v>
      </c>
      <c r="AN27" s="36">
        <f t="shared" si="2"/>
        <v>0</v>
      </c>
      <c r="AO27" s="36">
        <f t="shared" si="11"/>
        <v>290.24979248611231</v>
      </c>
      <c r="AP27" s="36">
        <f t="shared" si="20"/>
        <v>183.9662182303241</v>
      </c>
      <c r="AQ27" s="36">
        <f t="shared" si="28"/>
        <v>326.5262746742481</v>
      </c>
      <c r="AR27" s="36">
        <f t="shared" si="34"/>
        <v>357.14202088072744</v>
      </c>
      <c r="AS27" s="36">
        <f t="shared" si="40"/>
        <v>0</v>
      </c>
      <c r="AU27" s="36">
        <f t="shared" si="21"/>
        <v>0</v>
      </c>
      <c r="AV27" s="36">
        <f t="shared" si="12"/>
        <v>500.65186705929506</v>
      </c>
      <c r="AW27" s="36">
        <f t="shared" si="22"/>
        <v>317.32332982548604</v>
      </c>
      <c r="AX27" s="36">
        <f t="shared" si="29"/>
        <v>563.22517118561052</v>
      </c>
      <c r="AY27" s="36">
        <f t="shared" si="35"/>
        <v>616.03427181716677</v>
      </c>
      <c r="AZ27" s="36">
        <f t="shared" si="41"/>
        <v>0</v>
      </c>
      <c r="BA27" s="36">
        <f t="shared" si="3"/>
        <v>1997.2346398875584</v>
      </c>
      <c r="BC27" s="36">
        <f t="shared" si="13"/>
        <v>0</v>
      </c>
      <c r="BD27" s="36">
        <f t="shared" si="23"/>
        <v>5.0065186705929507</v>
      </c>
      <c r="BE27" s="36">
        <f t="shared" si="30"/>
        <v>3.1732332982548606</v>
      </c>
      <c r="BF27" s="36">
        <f t="shared" si="36"/>
        <v>5.6322517118561057</v>
      </c>
      <c r="BG27" s="36">
        <f t="shared" si="42"/>
        <v>6.1603427181716679</v>
      </c>
      <c r="BH27" s="36">
        <f t="shared" si="45"/>
        <v>0</v>
      </c>
      <c r="BI27" s="36">
        <f t="shared" si="4"/>
        <v>19.972346398875587</v>
      </c>
      <c r="BK27" s="36">
        <f t="shared" si="14"/>
        <v>0</v>
      </c>
      <c r="BL27" s="36">
        <f t="shared" si="24"/>
        <v>5.0065186705929507</v>
      </c>
      <c r="BM27" s="36">
        <f t="shared" si="31"/>
        <v>3.1732332982548606</v>
      </c>
      <c r="BN27" s="36">
        <f t="shared" si="37"/>
        <v>5.6322517118561057</v>
      </c>
      <c r="BO27" s="36">
        <f t="shared" si="43"/>
        <v>6.1603427181716679</v>
      </c>
      <c r="BP27" s="36">
        <f t="shared" si="46"/>
        <v>0</v>
      </c>
      <c r="BQ27" s="36">
        <f t="shared" si="5"/>
        <v>19.972346398875587</v>
      </c>
      <c r="BS27" s="36">
        <f t="shared" si="6"/>
        <v>2037.1793326853094</v>
      </c>
      <c r="BT27" s="36">
        <f t="shared" si="25"/>
        <v>35709.015675930597</v>
      </c>
    </row>
    <row r="28" spans="2:72" x14ac:dyDescent="0.25">
      <c r="B28" s="67">
        <v>2032</v>
      </c>
      <c r="C28" s="67">
        <v>0</v>
      </c>
      <c r="D28" s="67">
        <v>0</v>
      </c>
      <c r="E28" s="67">
        <f t="shared" si="7"/>
        <v>0</v>
      </c>
      <c r="F28" s="67">
        <f t="shared" si="15"/>
        <v>0</v>
      </c>
      <c r="G28" s="67">
        <f t="shared" si="16"/>
        <v>0</v>
      </c>
      <c r="I28" s="67">
        <v>15</v>
      </c>
      <c r="J28" s="67" t="str">
        <f>Gauva!Q28</f>
        <v>2032-2033</v>
      </c>
      <c r="K28" s="36">
        <f>44.9/3.14/100</f>
        <v>0.1429936305732484</v>
      </c>
      <c r="L28" s="229"/>
      <c r="M28" s="36">
        <f t="shared" si="0"/>
        <v>0.31962141291020207</v>
      </c>
      <c r="N28" s="36">
        <f t="shared" si="17"/>
        <v>3.1715049552726304E-3</v>
      </c>
      <c r="O28" s="19"/>
      <c r="P28" s="67">
        <v>15</v>
      </c>
      <c r="Q28" s="67" t="s">
        <v>104</v>
      </c>
      <c r="R28" s="36">
        <f t="shared" si="8"/>
        <v>0</v>
      </c>
      <c r="S28" s="36">
        <f t="shared" si="18"/>
        <v>449.73329457797661</v>
      </c>
      <c r="T28" s="36">
        <f t="shared" si="26"/>
        <v>305.05725327909994</v>
      </c>
      <c r="U28" s="36">
        <f t="shared" si="32"/>
        <v>188.83119651135294</v>
      </c>
      <c r="V28" s="36">
        <f t="shared" si="38"/>
        <v>420.88553873634515</v>
      </c>
      <c r="W28" s="36">
        <f t="shared" si="44"/>
        <v>0</v>
      </c>
      <c r="X28" s="51"/>
      <c r="Z28" s="36">
        <f t="shared" si="9"/>
        <v>0</v>
      </c>
      <c r="AA28" s="36">
        <f t="shared" si="9"/>
        <v>314.63341288675247</v>
      </c>
      <c r="AB28" s="36">
        <f t="shared" si="9"/>
        <v>213.41805439405834</v>
      </c>
      <c r="AC28" s="36">
        <f t="shared" si="9"/>
        <v>132.10630507934252</v>
      </c>
      <c r="AD28" s="36">
        <f t="shared" si="9"/>
        <v>294.45152289994707</v>
      </c>
      <c r="AE28" s="36">
        <f t="shared" si="9"/>
        <v>0</v>
      </c>
      <c r="AG28" s="36">
        <f t="shared" si="1"/>
        <v>0</v>
      </c>
      <c r="AH28" s="36">
        <f t="shared" si="10"/>
        <v>78.658353221688117</v>
      </c>
      <c r="AI28" s="36">
        <f t="shared" si="19"/>
        <v>53.354513598514586</v>
      </c>
      <c r="AJ28" s="36">
        <f t="shared" si="27"/>
        <v>33.02657626983563</v>
      </c>
      <c r="AK28" s="36">
        <f t="shared" si="33"/>
        <v>73.612880724986766</v>
      </c>
      <c r="AL28" s="36">
        <f t="shared" si="39"/>
        <v>0</v>
      </c>
      <c r="AN28" s="36">
        <f t="shared" si="2"/>
        <v>0</v>
      </c>
      <c r="AO28" s="36">
        <f t="shared" si="11"/>
        <v>393.29176610844058</v>
      </c>
      <c r="AP28" s="36">
        <f t="shared" si="20"/>
        <v>189.26811665999384</v>
      </c>
      <c r="AQ28" s="36">
        <f t="shared" si="28"/>
        <v>336.21600536515319</v>
      </c>
      <c r="AR28" s="36">
        <f t="shared" si="34"/>
        <v>368.06440362493385</v>
      </c>
      <c r="AS28" s="36">
        <f t="shared" si="40"/>
        <v>0</v>
      </c>
      <c r="AU28" s="36">
        <f t="shared" si="21"/>
        <v>0</v>
      </c>
      <c r="AV28" s="36">
        <f t="shared" si="12"/>
        <v>678.3889673604491</v>
      </c>
      <c r="AW28" s="36">
        <f t="shared" si="22"/>
        <v>326.4685744268233</v>
      </c>
      <c r="AX28" s="36">
        <f t="shared" si="29"/>
        <v>579.93898765435267</v>
      </c>
      <c r="AY28" s="36">
        <f t="shared" si="35"/>
        <v>634.87428981264839</v>
      </c>
      <c r="AZ28" s="36">
        <f t="shared" si="41"/>
        <v>0</v>
      </c>
      <c r="BA28" s="36">
        <f t="shared" si="3"/>
        <v>2219.6708192542733</v>
      </c>
      <c r="BC28" s="36">
        <f t="shared" si="13"/>
        <v>0</v>
      </c>
      <c r="BD28" s="36">
        <f t="shared" si="23"/>
        <v>6.7838896736044916</v>
      </c>
      <c r="BE28" s="36">
        <f t="shared" si="30"/>
        <v>3.2646857442682329</v>
      </c>
      <c r="BF28" s="36">
        <f t="shared" si="36"/>
        <v>5.7993898765435272</v>
      </c>
      <c r="BG28" s="36">
        <f t="shared" si="42"/>
        <v>6.348742898126484</v>
      </c>
      <c r="BH28" s="36">
        <f t="shared" si="45"/>
        <v>0</v>
      </c>
      <c r="BI28" s="36">
        <f t="shared" si="4"/>
        <v>22.196708192542737</v>
      </c>
      <c r="BK28" s="36">
        <f t="shared" si="14"/>
        <v>0</v>
      </c>
      <c r="BL28" s="36">
        <f t="shared" si="24"/>
        <v>6.7838896736044916</v>
      </c>
      <c r="BM28" s="36">
        <f t="shared" si="31"/>
        <v>3.2646857442682329</v>
      </c>
      <c r="BN28" s="36">
        <f t="shared" si="37"/>
        <v>5.7993898765435272</v>
      </c>
      <c r="BO28" s="36">
        <f t="shared" si="43"/>
        <v>6.348742898126484</v>
      </c>
      <c r="BP28" s="36">
        <f t="shared" si="46"/>
        <v>0</v>
      </c>
      <c r="BQ28" s="36">
        <f t="shared" si="5"/>
        <v>22.196708192542737</v>
      </c>
      <c r="BS28" s="36">
        <f t="shared" si="6"/>
        <v>2264.0642356393587</v>
      </c>
      <c r="BT28" s="36">
        <f t="shared" si="25"/>
        <v>37973.079911569956</v>
      </c>
    </row>
    <row r="29" spans="2:72" x14ac:dyDescent="0.25">
      <c r="B29" s="67">
        <v>2033</v>
      </c>
      <c r="C29" s="67">
        <v>0</v>
      </c>
      <c r="D29" s="67">
        <v>0</v>
      </c>
      <c r="E29" s="67">
        <f t="shared" si="7"/>
        <v>0</v>
      </c>
      <c r="F29" s="67">
        <f t="shared" si="15"/>
        <v>0</v>
      </c>
      <c r="G29" s="67">
        <f t="shared" si="16"/>
        <v>0</v>
      </c>
      <c r="I29" s="84">
        <v>16</v>
      </c>
      <c r="J29" s="67" t="str">
        <f>Gauva!Q29</f>
        <v>2033-2034</v>
      </c>
      <c r="K29" s="85">
        <f>K14</f>
        <v>1.5923566878980892E-2</v>
      </c>
      <c r="L29" s="85"/>
      <c r="M29" s="85">
        <f t="shared" si="0"/>
        <v>3.6622051499133439E-2</v>
      </c>
      <c r="N29" s="85">
        <f t="shared" si="17"/>
        <v>-0.28299936141106863</v>
      </c>
      <c r="O29" s="19"/>
      <c r="P29" s="67">
        <v>16</v>
      </c>
      <c r="Q29" s="67" t="s">
        <v>105</v>
      </c>
      <c r="R29" s="36">
        <f t="shared" si="8"/>
        <v>0</v>
      </c>
      <c r="S29" s="36">
        <f t="shared" si="18"/>
        <v>65.555074027089333</v>
      </c>
      <c r="T29" s="36">
        <f t="shared" si="26"/>
        <v>413.35604369835215</v>
      </c>
      <c r="U29" s="36">
        <f t="shared" si="32"/>
        <v>194.2733034040584</v>
      </c>
      <c r="V29" s="36">
        <f t="shared" si="38"/>
        <v>433.37539893555964</v>
      </c>
      <c r="W29" s="36">
        <f t="shared" si="44"/>
        <v>0</v>
      </c>
      <c r="X29" s="51"/>
      <c r="Z29" s="36">
        <f t="shared" si="9"/>
        <v>0</v>
      </c>
      <c r="AA29" s="36">
        <f t="shared" si="9"/>
        <v>45.862329789351698</v>
      </c>
      <c r="AB29" s="36">
        <f t="shared" si="9"/>
        <v>289.18388817136719</v>
      </c>
      <c r="AC29" s="36">
        <f t="shared" si="9"/>
        <v>135.91360306147925</v>
      </c>
      <c r="AD29" s="36">
        <f t="shared" si="9"/>
        <v>303.18942909531756</v>
      </c>
      <c r="AE29" s="36">
        <f t="shared" si="9"/>
        <v>0</v>
      </c>
      <c r="AG29" s="36">
        <f t="shared" si="1"/>
        <v>0</v>
      </c>
      <c r="AH29" s="36">
        <f t="shared" si="10"/>
        <v>11.465582447337924</v>
      </c>
      <c r="AI29" s="36">
        <f t="shared" si="19"/>
        <v>72.295972042841797</v>
      </c>
      <c r="AJ29" s="36">
        <f t="shared" si="27"/>
        <v>33.978400765369813</v>
      </c>
      <c r="AK29" s="36">
        <f t="shared" si="33"/>
        <v>75.797357273829391</v>
      </c>
      <c r="AL29" s="36">
        <f t="shared" si="39"/>
        <v>0</v>
      </c>
      <c r="AN29" s="36">
        <f t="shared" si="2"/>
        <v>0</v>
      </c>
      <c r="AO29" s="36">
        <f t="shared" si="11"/>
        <v>57.32791223668962</v>
      </c>
      <c r="AP29" s="36">
        <f t="shared" si="20"/>
        <v>256.46044819408093</v>
      </c>
      <c r="AQ29" s="36">
        <f t="shared" si="28"/>
        <v>345.90573605605408</v>
      </c>
      <c r="AR29" s="36">
        <f t="shared" si="34"/>
        <v>378.98678636914696</v>
      </c>
      <c r="AS29" s="36">
        <f t="shared" si="40"/>
        <v>0</v>
      </c>
      <c r="AU29" s="36">
        <f t="shared" si="21"/>
        <v>0</v>
      </c>
      <c r="AV29" s="36">
        <f t="shared" si="12"/>
        <v>98.884915817065917</v>
      </c>
      <c r="AW29" s="36">
        <f t="shared" si="22"/>
        <v>442.36862708997018</v>
      </c>
      <c r="AX29" s="36">
        <f t="shared" si="29"/>
        <v>596.65280412308766</v>
      </c>
      <c r="AY29" s="36">
        <f t="shared" si="35"/>
        <v>653.71430780814148</v>
      </c>
      <c r="AZ29" s="36">
        <f t="shared" si="41"/>
        <v>0</v>
      </c>
      <c r="BA29" s="36">
        <f t="shared" si="3"/>
        <v>1791.6206548382652</v>
      </c>
      <c r="BC29" s="36">
        <f t="shared" si="13"/>
        <v>0</v>
      </c>
      <c r="BD29" s="36">
        <f t="shared" si="23"/>
        <v>0.98884915817065921</v>
      </c>
      <c r="BE29" s="36">
        <f t="shared" si="30"/>
        <v>4.4236862708997018</v>
      </c>
      <c r="BF29" s="36">
        <f t="shared" si="36"/>
        <v>5.9665280412308768</v>
      </c>
      <c r="BG29" s="36">
        <f t="shared" si="42"/>
        <v>6.5371430780814146</v>
      </c>
      <c r="BH29" s="36">
        <f t="shared" si="45"/>
        <v>0</v>
      </c>
      <c r="BI29" s="36">
        <f t="shared" si="4"/>
        <v>17.91620654838265</v>
      </c>
      <c r="BK29" s="36">
        <f t="shared" si="14"/>
        <v>0</v>
      </c>
      <c r="BL29" s="36">
        <f t="shared" si="24"/>
        <v>0.98884915817065921</v>
      </c>
      <c r="BM29" s="36">
        <f t="shared" si="31"/>
        <v>4.4236862708997018</v>
      </c>
      <c r="BN29" s="36">
        <f t="shared" si="37"/>
        <v>5.9665280412308768</v>
      </c>
      <c r="BO29" s="36">
        <f t="shared" si="43"/>
        <v>6.5371430780814146</v>
      </c>
      <c r="BP29" s="36">
        <f t="shared" si="46"/>
        <v>0</v>
      </c>
      <c r="BQ29" s="36">
        <f t="shared" si="5"/>
        <v>17.91620654838265</v>
      </c>
      <c r="BS29" s="36">
        <f t="shared" si="6"/>
        <v>1827.4530679350305</v>
      </c>
      <c r="BT29" s="36">
        <f t="shared" si="25"/>
        <v>39800.532979504984</v>
      </c>
    </row>
    <row r="30" spans="2:72" x14ac:dyDescent="0.25">
      <c r="B30" s="67">
        <v>2034</v>
      </c>
      <c r="C30" s="67">
        <v>0</v>
      </c>
      <c r="D30" s="67">
        <v>0</v>
      </c>
      <c r="E30" s="67">
        <f t="shared" si="7"/>
        <v>0</v>
      </c>
      <c r="F30" s="67">
        <f t="shared" si="15"/>
        <v>0</v>
      </c>
      <c r="G30" s="67">
        <f t="shared" si="16"/>
        <v>0</v>
      </c>
      <c r="I30" s="67">
        <v>17</v>
      </c>
      <c r="J30" s="67" t="str">
        <f>Gauva!Q30</f>
        <v>2034-2035</v>
      </c>
      <c r="K30" s="36">
        <f t="shared" ref="K30:K48" si="47">K15</f>
        <v>5.1592356687898085E-2</v>
      </c>
      <c r="L30" s="36"/>
      <c r="M30" s="36">
        <f t="shared" si="0"/>
        <v>8.7821093282617571E-2</v>
      </c>
      <c r="N30" s="36">
        <f t="shared" si="17"/>
        <v>5.1199041783484132E-2</v>
      </c>
      <c r="O30" s="19"/>
      <c r="P30" s="67">
        <v>17</v>
      </c>
      <c r="Q30" s="67" t="s">
        <v>106</v>
      </c>
      <c r="R30" s="36">
        <f t="shared" si="8"/>
        <v>0</v>
      </c>
      <c r="S30" s="36">
        <f t="shared" si="18"/>
        <v>-5849.6027433533782</v>
      </c>
      <c r="T30" s="36">
        <f t="shared" si="26"/>
        <v>60.252568290764955</v>
      </c>
      <c r="U30" s="36">
        <f t="shared" si="32"/>
        <v>263.24253309210849</v>
      </c>
      <c r="V30" s="36">
        <f t="shared" si="38"/>
        <v>445.86525913476873</v>
      </c>
      <c r="W30" s="36">
        <f t="shared" si="44"/>
        <v>0</v>
      </c>
      <c r="X30" s="51"/>
      <c r="Z30" s="36">
        <f t="shared" si="9"/>
        <v>0</v>
      </c>
      <c r="AA30" s="36">
        <f t="shared" si="9"/>
        <v>-4092.3820792500237</v>
      </c>
      <c r="AB30" s="36">
        <f t="shared" si="9"/>
        <v>42.152696776219159</v>
      </c>
      <c r="AC30" s="36">
        <f t="shared" si="9"/>
        <v>184.16447615123911</v>
      </c>
      <c r="AD30" s="36">
        <f t="shared" si="9"/>
        <v>311.92733529068425</v>
      </c>
      <c r="AE30" s="36">
        <f t="shared" si="9"/>
        <v>0</v>
      </c>
      <c r="AG30" s="36">
        <f t="shared" si="1"/>
        <v>0</v>
      </c>
      <c r="AH30" s="36">
        <f t="shared" si="10"/>
        <v>-1023.0955198125059</v>
      </c>
      <c r="AI30" s="36">
        <f t="shared" si="19"/>
        <v>10.53817419405479</v>
      </c>
      <c r="AJ30" s="36">
        <f t="shared" si="27"/>
        <v>46.041119037809779</v>
      </c>
      <c r="AK30" s="36">
        <f t="shared" si="33"/>
        <v>77.981833822671064</v>
      </c>
      <c r="AL30" s="36">
        <f t="shared" si="39"/>
        <v>0</v>
      </c>
      <c r="AN30" s="36">
        <f t="shared" si="2"/>
        <v>0</v>
      </c>
      <c r="AO30" s="36">
        <f t="shared" si="11"/>
        <v>-5115.4775990625294</v>
      </c>
      <c r="AP30" s="36">
        <f t="shared" si="20"/>
        <v>37.382786351541739</v>
      </c>
      <c r="AQ30" s="36">
        <f t="shared" si="28"/>
        <v>468.70620190722389</v>
      </c>
      <c r="AR30" s="36">
        <f t="shared" si="34"/>
        <v>389.90916911335535</v>
      </c>
      <c r="AS30" s="36">
        <f t="shared" si="40"/>
        <v>0</v>
      </c>
      <c r="AU30" s="36">
        <f t="shared" si="21"/>
        <v>0</v>
      </c>
      <c r="AV30" s="36">
        <f t="shared" si="12"/>
        <v>-8823.6873106229559</v>
      </c>
      <c r="AW30" s="36">
        <f t="shared" si="22"/>
        <v>64.481568177774349</v>
      </c>
      <c r="AX30" s="36">
        <f t="shared" si="29"/>
        <v>808.4713276697704</v>
      </c>
      <c r="AY30" s="36">
        <f t="shared" si="35"/>
        <v>672.55432580362663</v>
      </c>
      <c r="AZ30" s="36">
        <f t="shared" si="41"/>
        <v>0</v>
      </c>
      <c r="BA30" s="36">
        <f t="shared" si="3"/>
        <v>-7278.1800889717842</v>
      </c>
      <c r="BC30" s="36">
        <f t="shared" si="13"/>
        <v>0</v>
      </c>
      <c r="BD30" s="36">
        <f t="shared" si="23"/>
        <v>-88.236873106229567</v>
      </c>
      <c r="BE30" s="36">
        <f t="shared" si="30"/>
        <v>0.64481568177774351</v>
      </c>
      <c r="BF30" s="36">
        <f t="shared" si="36"/>
        <v>8.0847132766977037</v>
      </c>
      <c r="BG30" s="36">
        <f t="shared" si="42"/>
        <v>6.7255432580362662</v>
      </c>
      <c r="BH30" s="36">
        <f t="shared" si="45"/>
        <v>0</v>
      </c>
      <c r="BI30" s="36">
        <f t="shared" si="4"/>
        <v>-72.781800889717857</v>
      </c>
      <c r="BK30" s="36">
        <f t="shared" si="14"/>
        <v>0</v>
      </c>
      <c r="BL30" s="36">
        <f t="shared" si="24"/>
        <v>-88.236873106229567</v>
      </c>
      <c r="BM30" s="36">
        <f t="shared" si="31"/>
        <v>0.64481568177774351</v>
      </c>
      <c r="BN30" s="36">
        <f t="shared" si="37"/>
        <v>8.0847132766977037</v>
      </c>
      <c r="BO30" s="36">
        <f t="shared" si="43"/>
        <v>6.7255432580362662</v>
      </c>
      <c r="BP30" s="36">
        <f t="shared" si="46"/>
        <v>0</v>
      </c>
      <c r="BQ30" s="36">
        <f t="shared" si="5"/>
        <v>-72.781800889717857</v>
      </c>
      <c r="BS30" s="36">
        <f t="shared" si="6"/>
        <v>-7423.7436907512192</v>
      </c>
      <c r="BT30" s="36">
        <f t="shared" si="25"/>
        <v>32376.789288753764</v>
      </c>
    </row>
    <row r="31" spans="2:72" x14ac:dyDescent="0.25">
      <c r="B31" s="67">
        <v>2035</v>
      </c>
      <c r="C31" s="67">
        <v>0</v>
      </c>
      <c r="D31" s="67">
        <v>0</v>
      </c>
      <c r="E31" s="67">
        <f t="shared" si="7"/>
        <v>0</v>
      </c>
      <c r="F31" s="67">
        <f t="shared" si="15"/>
        <v>0</v>
      </c>
      <c r="G31" s="67">
        <f t="shared" si="16"/>
        <v>0</v>
      </c>
      <c r="I31" s="67">
        <v>18</v>
      </c>
      <c r="J31" s="67" t="str">
        <f>Gauva!Q31</f>
        <v>2035-2036</v>
      </c>
      <c r="K31" s="36">
        <f t="shared" si="47"/>
        <v>7.5796178343949042E-2</v>
      </c>
      <c r="L31" s="36"/>
      <c r="M31" s="36">
        <f t="shared" si="0"/>
        <v>0.13511569556852662</v>
      </c>
      <c r="N31" s="36">
        <f t="shared" si="17"/>
        <v>4.7294602285909051E-2</v>
      </c>
      <c r="O31" s="19"/>
      <c r="P31" s="67">
        <v>18</v>
      </c>
      <c r="Q31" s="67" t="s">
        <v>107</v>
      </c>
      <c r="R31" s="36">
        <f t="shared" si="8"/>
        <v>0</v>
      </c>
      <c r="S31" s="36">
        <f t="shared" si="18"/>
        <v>1058.2852688444946</v>
      </c>
      <c r="T31" s="36">
        <f t="shared" si="26"/>
        <v>-5376.4501680236226</v>
      </c>
      <c r="U31" s="36">
        <f t="shared" si="32"/>
        <v>38.371372437802954</v>
      </c>
      <c r="V31" s="36">
        <f t="shared" si="38"/>
        <v>604.15249123701267</v>
      </c>
      <c r="W31" s="36">
        <f t="shared" si="44"/>
        <v>0</v>
      </c>
      <c r="X31" s="51"/>
      <c r="Z31" s="36">
        <f t="shared" si="9"/>
        <v>0</v>
      </c>
      <c r="AA31" s="36">
        <f t="shared" si="9"/>
        <v>740.37637408360843</v>
      </c>
      <c r="AB31" s="36">
        <f t="shared" si="9"/>
        <v>-3761.3645375493265</v>
      </c>
      <c r="AC31" s="36">
        <f t="shared" si="9"/>
        <v>26.844612157486946</v>
      </c>
      <c r="AD31" s="36">
        <f t="shared" si="9"/>
        <v>422.66508286941411</v>
      </c>
      <c r="AE31" s="36">
        <f t="shared" si="9"/>
        <v>0</v>
      </c>
      <c r="AG31" s="36">
        <f t="shared" si="1"/>
        <v>0</v>
      </c>
      <c r="AH31" s="36">
        <f t="shared" si="10"/>
        <v>185.09409352090211</v>
      </c>
      <c r="AI31" s="36">
        <f t="shared" si="19"/>
        <v>-940.34113438733164</v>
      </c>
      <c r="AJ31" s="36">
        <f t="shared" si="27"/>
        <v>6.7111530393717365</v>
      </c>
      <c r="AK31" s="36">
        <f t="shared" si="33"/>
        <v>105.66627071735353</v>
      </c>
      <c r="AL31" s="36">
        <f t="shared" si="39"/>
        <v>0</v>
      </c>
      <c r="AN31" s="36">
        <f t="shared" si="2"/>
        <v>0</v>
      </c>
      <c r="AO31" s="36">
        <f t="shared" si="11"/>
        <v>925.47046760451053</v>
      </c>
      <c r="AP31" s="36">
        <f t="shared" si="20"/>
        <v>-3335.7364451424296</v>
      </c>
      <c r="AQ31" s="36">
        <f t="shared" si="28"/>
        <v>68.32064722229839</v>
      </c>
      <c r="AR31" s="36">
        <f t="shared" si="34"/>
        <v>528.33135358676759</v>
      </c>
      <c r="AS31" s="36">
        <f t="shared" si="40"/>
        <v>0</v>
      </c>
      <c r="AU31" s="36">
        <f t="shared" si="21"/>
        <v>0</v>
      </c>
      <c r="AV31" s="36">
        <f t="shared" si="12"/>
        <v>1596.34400957102</v>
      </c>
      <c r="AW31" s="36">
        <f t="shared" si="22"/>
        <v>-5753.8117942261761</v>
      </c>
      <c r="AX31" s="36">
        <f t="shared" si="29"/>
        <v>117.84628439374248</v>
      </c>
      <c r="AY31" s="36">
        <f t="shared" si="35"/>
        <v>911.31875180181544</v>
      </c>
      <c r="AZ31" s="36">
        <f t="shared" si="41"/>
        <v>0</v>
      </c>
      <c r="BA31" s="36">
        <f t="shared" si="3"/>
        <v>-3128.3027484595982</v>
      </c>
      <c r="BC31" s="36">
        <f t="shared" si="13"/>
        <v>0</v>
      </c>
      <c r="BD31" s="36">
        <f t="shared" si="23"/>
        <v>15.963440095710201</v>
      </c>
      <c r="BE31" s="36">
        <f t="shared" si="30"/>
        <v>-57.538117942261763</v>
      </c>
      <c r="BF31" s="36">
        <f t="shared" si="36"/>
        <v>1.1784628439374247</v>
      </c>
      <c r="BG31" s="36">
        <f t="shared" si="42"/>
        <v>9.1131875180181545</v>
      </c>
      <c r="BH31" s="36">
        <f t="shared" si="45"/>
        <v>0</v>
      </c>
      <c r="BI31" s="36">
        <f t="shared" si="4"/>
        <v>-31.283027484595987</v>
      </c>
      <c r="BK31" s="36">
        <f t="shared" si="14"/>
        <v>0</v>
      </c>
      <c r="BL31" s="36">
        <f t="shared" si="24"/>
        <v>15.963440095710201</v>
      </c>
      <c r="BM31" s="36">
        <f t="shared" si="31"/>
        <v>-57.538117942261763</v>
      </c>
      <c r="BN31" s="36">
        <f t="shared" si="37"/>
        <v>1.1784628439374247</v>
      </c>
      <c r="BO31" s="36">
        <f t="shared" si="43"/>
        <v>9.1131875180181545</v>
      </c>
      <c r="BP31" s="36">
        <f t="shared" si="46"/>
        <v>0</v>
      </c>
      <c r="BQ31" s="36">
        <f t="shared" si="5"/>
        <v>-31.283027484595987</v>
      </c>
      <c r="BS31" s="36">
        <f t="shared" si="6"/>
        <v>-3190.8688034287902</v>
      </c>
      <c r="BT31" s="36">
        <f t="shared" si="25"/>
        <v>29185.920485324972</v>
      </c>
    </row>
    <row r="32" spans="2:72" x14ac:dyDescent="0.25">
      <c r="B32" s="67">
        <v>2036</v>
      </c>
      <c r="C32" s="67">
        <v>0</v>
      </c>
      <c r="D32" s="67">
        <v>0</v>
      </c>
      <c r="E32" s="67">
        <f t="shared" si="7"/>
        <v>0</v>
      </c>
      <c r="F32" s="67">
        <f t="shared" si="15"/>
        <v>0</v>
      </c>
      <c r="G32" s="67">
        <f t="shared" si="16"/>
        <v>0</v>
      </c>
      <c r="I32" s="67">
        <v>19</v>
      </c>
      <c r="J32" s="67" t="str">
        <f>Gauva!Q32</f>
        <v>2036-2037</v>
      </c>
      <c r="K32" s="36">
        <f t="shared" si="47"/>
        <v>8.2484076433121001E-2</v>
      </c>
      <c r="L32" s="36"/>
      <c r="M32" s="36">
        <f t="shared" si="0"/>
        <v>0.14997350066202775</v>
      </c>
      <c r="N32" s="36">
        <f t="shared" si="17"/>
        <v>1.4857805093501125E-2</v>
      </c>
      <c r="O32" s="19"/>
      <c r="P32" s="67">
        <v>19</v>
      </c>
      <c r="Q32" s="67" t="s">
        <v>108</v>
      </c>
      <c r="R32" s="36">
        <f t="shared" si="8"/>
        <v>0</v>
      </c>
      <c r="S32" s="36">
        <f t="shared" si="18"/>
        <v>977.58042243638818</v>
      </c>
      <c r="T32" s="36">
        <f t="shared" si="26"/>
        <v>972.68451570680986</v>
      </c>
      <c r="U32" s="36">
        <f t="shared" si="32"/>
        <v>-3423.9498438466235</v>
      </c>
      <c r="V32" s="36">
        <f t="shared" si="38"/>
        <v>88.063885338660157</v>
      </c>
      <c r="W32" s="36">
        <f t="shared" si="44"/>
        <v>0</v>
      </c>
      <c r="X32" s="51"/>
      <c r="Z32" s="36">
        <f t="shared" si="9"/>
        <v>0</v>
      </c>
      <c r="AA32" s="36">
        <f t="shared" si="9"/>
        <v>683.91526353649715</v>
      </c>
      <c r="AB32" s="36">
        <f t="shared" si="9"/>
        <v>680.49008718848415</v>
      </c>
      <c r="AC32" s="36">
        <f t="shared" si="9"/>
        <v>-2395.3953107550979</v>
      </c>
      <c r="AD32" s="36">
        <f t="shared" si="9"/>
        <v>61.609494182926653</v>
      </c>
      <c r="AE32" s="36">
        <f t="shared" si="9"/>
        <v>0</v>
      </c>
      <c r="AG32" s="36">
        <f t="shared" si="1"/>
        <v>0</v>
      </c>
      <c r="AH32" s="36">
        <f t="shared" si="10"/>
        <v>170.97881588412429</v>
      </c>
      <c r="AI32" s="36">
        <f t="shared" si="19"/>
        <v>170.12252179712104</v>
      </c>
      <c r="AJ32" s="36">
        <f t="shared" si="27"/>
        <v>-598.84882768877446</v>
      </c>
      <c r="AK32" s="36">
        <f t="shared" si="33"/>
        <v>15.402373545731663</v>
      </c>
      <c r="AL32" s="36">
        <f t="shared" si="39"/>
        <v>0</v>
      </c>
      <c r="AN32" s="36">
        <f t="shared" si="2"/>
        <v>0</v>
      </c>
      <c r="AO32" s="36">
        <f t="shared" si="11"/>
        <v>854.89407942062144</v>
      </c>
      <c r="AP32" s="36">
        <f t="shared" si="20"/>
        <v>603.48726153294524</v>
      </c>
      <c r="AQ32" s="36">
        <f t="shared" si="28"/>
        <v>-6096.3800491490283</v>
      </c>
      <c r="AR32" s="36">
        <f t="shared" si="34"/>
        <v>77.011867728658316</v>
      </c>
      <c r="AS32" s="36">
        <f t="shared" si="40"/>
        <v>0</v>
      </c>
      <c r="AU32" s="36">
        <f t="shared" si="21"/>
        <v>0</v>
      </c>
      <c r="AV32" s="36">
        <f t="shared" si="12"/>
        <v>1474.6067975926298</v>
      </c>
      <c r="AW32" s="36">
        <f t="shared" si="22"/>
        <v>1040.9551774181771</v>
      </c>
      <c r="AX32" s="36">
        <f t="shared" si="29"/>
        <v>-10515.645946777158</v>
      </c>
      <c r="AY32" s="36">
        <f t="shared" si="35"/>
        <v>132.83777064516272</v>
      </c>
      <c r="AZ32" s="36">
        <f t="shared" si="41"/>
        <v>0</v>
      </c>
      <c r="BA32" s="36">
        <f t="shared" si="3"/>
        <v>-7867.2462011211883</v>
      </c>
      <c r="BC32" s="36">
        <f t="shared" si="13"/>
        <v>0</v>
      </c>
      <c r="BD32" s="36">
        <f t="shared" si="23"/>
        <v>14.746067975926298</v>
      </c>
      <c r="BE32" s="36">
        <f t="shared" si="30"/>
        <v>10.409551774181772</v>
      </c>
      <c r="BF32" s="36">
        <f t="shared" si="36"/>
        <v>-105.15645946777158</v>
      </c>
      <c r="BG32" s="36">
        <f t="shared" si="42"/>
        <v>1.3283777064516273</v>
      </c>
      <c r="BH32" s="36">
        <f t="shared" si="45"/>
        <v>0</v>
      </c>
      <c r="BI32" s="36">
        <f t="shared" si="4"/>
        <v>-78.672462011211877</v>
      </c>
      <c r="BK32" s="36">
        <f t="shared" si="14"/>
        <v>0</v>
      </c>
      <c r="BL32" s="36">
        <f t="shared" si="24"/>
        <v>14.746067975926298</v>
      </c>
      <c r="BM32" s="36">
        <f t="shared" si="31"/>
        <v>10.409551774181772</v>
      </c>
      <c r="BN32" s="36">
        <f t="shared" si="37"/>
        <v>-105.15645946777158</v>
      </c>
      <c r="BO32" s="36">
        <f t="shared" si="43"/>
        <v>1.3283777064516273</v>
      </c>
      <c r="BP32" s="36">
        <f t="shared" si="46"/>
        <v>0</v>
      </c>
      <c r="BQ32" s="36">
        <f t="shared" si="5"/>
        <v>-78.672462011211877</v>
      </c>
      <c r="BS32" s="36">
        <f t="shared" si="6"/>
        <v>-8024.5911251436119</v>
      </c>
      <c r="BT32" s="36">
        <f t="shared" si="25"/>
        <v>21161.32936018136</v>
      </c>
    </row>
    <row r="33" spans="2:72" x14ac:dyDescent="0.25">
      <c r="B33" s="67">
        <v>2037</v>
      </c>
      <c r="C33" s="67">
        <v>0</v>
      </c>
      <c r="D33" s="67">
        <v>0</v>
      </c>
      <c r="E33" s="67">
        <f t="shared" si="7"/>
        <v>0</v>
      </c>
      <c r="F33" s="67">
        <f t="shared" si="15"/>
        <v>0</v>
      </c>
      <c r="G33" s="67">
        <f t="shared" si="16"/>
        <v>0</v>
      </c>
      <c r="I33" s="67">
        <v>20</v>
      </c>
      <c r="J33" s="67" t="str">
        <f>Gauva!Q33</f>
        <v>2037-2038</v>
      </c>
      <c r="K33" s="36">
        <f t="shared" si="47"/>
        <v>8.9171974522292988E-2</v>
      </c>
      <c r="L33" s="36"/>
      <c r="M33" s="36">
        <f t="shared" si="0"/>
        <v>0.165606166667396</v>
      </c>
      <c r="N33" s="36">
        <f t="shared" si="17"/>
        <v>1.5632666005368251E-2</v>
      </c>
      <c r="O33" s="19"/>
      <c r="P33" s="67">
        <v>20</v>
      </c>
      <c r="Q33" s="67" t="s">
        <v>109</v>
      </c>
      <c r="R33" s="36">
        <f t="shared" si="8"/>
        <v>0</v>
      </c>
      <c r="S33" s="36">
        <f t="shared" si="18"/>
        <v>307.11114329657522</v>
      </c>
      <c r="T33" s="36">
        <f t="shared" si="26"/>
        <v>898.50758368792867</v>
      </c>
      <c r="U33" s="36">
        <f t="shared" si="32"/>
        <v>619.44645473960009</v>
      </c>
      <c r="V33" s="36">
        <f t="shared" si="38"/>
        <v>-7858.1063771587378</v>
      </c>
      <c r="W33" s="36">
        <f t="shared" si="44"/>
        <v>0</v>
      </c>
      <c r="X33" s="51"/>
      <c r="Z33" s="36">
        <f t="shared" si="9"/>
        <v>0</v>
      </c>
      <c r="AA33" s="36">
        <f t="shared" si="9"/>
        <v>214.85495585028406</v>
      </c>
      <c r="AB33" s="36">
        <f t="shared" si="9"/>
        <v>628.59590554807494</v>
      </c>
      <c r="AC33" s="36">
        <f t="shared" si="9"/>
        <v>433.36473973582423</v>
      </c>
      <c r="AD33" s="36">
        <f t="shared" si="9"/>
        <v>-5497.5312214602536</v>
      </c>
      <c r="AE33" s="36">
        <f t="shared" si="9"/>
        <v>0</v>
      </c>
      <c r="AG33" s="36">
        <f t="shared" si="1"/>
        <v>0</v>
      </c>
      <c r="AH33" s="36">
        <f t="shared" si="10"/>
        <v>53.713738962571014</v>
      </c>
      <c r="AI33" s="36">
        <f t="shared" si="19"/>
        <v>157.14897638701873</v>
      </c>
      <c r="AJ33" s="36">
        <f t="shared" si="27"/>
        <v>108.34118493395606</v>
      </c>
      <c r="AK33" s="36">
        <f t="shared" si="33"/>
        <v>-1374.3828053650634</v>
      </c>
      <c r="AL33" s="36">
        <f t="shared" si="39"/>
        <v>0</v>
      </c>
      <c r="AN33" s="36">
        <f t="shared" si="2"/>
        <v>0</v>
      </c>
      <c r="AO33" s="36">
        <f t="shared" si="11"/>
        <v>268.56869481285509</v>
      </c>
      <c r="AP33" s="36">
        <f t="shared" si="20"/>
        <v>557.46531623605597</v>
      </c>
      <c r="AQ33" s="36">
        <f t="shared" si="28"/>
        <v>1102.931170261546</v>
      </c>
      <c r="AR33" s="36">
        <f t="shared" si="34"/>
        <v>-6871.9140268253168</v>
      </c>
      <c r="AS33" s="36">
        <f t="shared" si="40"/>
        <v>0</v>
      </c>
      <c r="AU33" s="36">
        <f t="shared" si="21"/>
        <v>0</v>
      </c>
      <c r="AV33" s="36">
        <f t="shared" si="12"/>
        <v>463.25414168269373</v>
      </c>
      <c r="AW33" s="36">
        <f t="shared" si="22"/>
        <v>961.57192397557287</v>
      </c>
      <c r="AX33" s="36">
        <f t="shared" si="29"/>
        <v>1902.4459755841403</v>
      </c>
      <c r="AY33" s="36">
        <f t="shared" si="35"/>
        <v>-11853.364504870988</v>
      </c>
      <c r="AZ33" s="36">
        <f t="shared" si="41"/>
        <v>0</v>
      </c>
      <c r="BA33" s="36">
        <f t="shared" si="3"/>
        <v>-8526.0924636285818</v>
      </c>
      <c r="BC33" s="36">
        <f t="shared" si="13"/>
        <v>0</v>
      </c>
      <c r="BD33" s="36">
        <f t="shared" si="23"/>
        <v>4.6325414168269372</v>
      </c>
      <c r="BE33" s="36">
        <f t="shared" si="30"/>
        <v>9.6157192397557285</v>
      </c>
      <c r="BF33" s="36">
        <f t="shared" si="36"/>
        <v>19.024459755841402</v>
      </c>
      <c r="BG33" s="36">
        <f t="shared" si="42"/>
        <v>-118.53364504870989</v>
      </c>
      <c r="BH33" s="36">
        <f t="shared" si="45"/>
        <v>0</v>
      </c>
      <c r="BI33" s="36">
        <f t="shared" si="4"/>
        <v>-85.260924636285822</v>
      </c>
      <c r="BK33" s="36">
        <f t="shared" si="14"/>
        <v>0</v>
      </c>
      <c r="BL33" s="36">
        <f t="shared" si="24"/>
        <v>4.6325414168269372</v>
      </c>
      <c r="BM33" s="36">
        <f t="shared" si="31"/>
        <v>9.6157192397557285</v>
      </c>
      <c r="BN33" s="36">
        <f t="shared" si="37"/>
        <v>19.024459755841402</v>
      </c>
      <c r="BO33" s="36">
        <f t="shared" si="43"/>
        <v>-118.53364504870989</v>
      </c>
      <c r="BP33" s="36">
        <f t="shared" si="46"/>
        <v>0</v>
      </c>
      <c r="BQ33" s="36">
        <f t="shared" si="5"/>
        <v>-85.260924636285822</v>
      </c>
      <c r="BS33" s="36">
        <f t="shared" si="6"/>
        <v>-8696.6143129011543</v>
      </c>
      <c r="BT33" s="36">
        <f t="shared" si="25"/>
        <v>12464.715047280206</v>
      </c>
    </row>
    <row r="34" spans="2:72" x14ac:dyDescent="0.25">
      <c r="B34" s="67">
        <v>2038</v>
      </c>
      <c r="C34" s="67">
        <v>0</v>
      </c>
      <c r="D34" s="67">
        <v>0</v>
      </c>
      <c r="E34" s="67">
        <f t="shared" si="7"/>
        <v>0</v>
      </c>
      <c r="F34" s="67">
        <f t="shared" si="15"/>
        <v>0</v>
      </c>
      <c r="G34" s="67">
        <f t="shared" si="16"/>
        <v>0</v>
      </c>
      <c r="I34" s="67">
        <v>21</v>
      </c>
      <c r="J34" s="67" t="str">
        <f>Gauva!Q34</f>
        <v>2038-2039</v>
      </c>
      <c r="K34" s="36">
        <f t="shared" si="47"/>
        <v>9.5859872611464975E-2</v>
      </c>
      <c r="L34" s="36"/>
      <c r="M34" s="36">
        <f t="shared" si="0"/>
        <v>0.18201369358463132</v>
      </c>
      <c r="N34" s="36">
        <f t="shared" si="17"/>
        <v>1.6407526917235321E-2</v>
      </c>
      <c r="O34" s="19"/>
      <c r="P34" s="67">
        <v>21</v>
      </c>
      <c r="Q34" s="67" t="s">
        <v>110</v>
      </c>
      <c r="R34" s="36">
        <f t="shared" si="8"/>
        <v>0</v>
      </c>
      <c r="S34" s="36">
        <f t="shared" si="18"/>
        <v>323.12753461694786</v>
      </c>
      <c r="T34" s="36">
        <f t="shared" si="26"/>
        <v>282.27006694684371</v>
      </c>
      <c r="U34" s="36">
        <f t="shared" si="32"/>
        <v>572.20746119073362</v>
      </c>
      <c r="V34" s="36">
        <f t="shared" si="38"/>
        <v>1421.6552105883218</v>
      </c>
      <c r="W34" s="36">
        <f t="shared" si="44"/>
        <v>0</v>
      </c>
      <c r="X34" s="51"/>
      <c r="Z34" s="36">
        <f t="shared" si="9"/>
        <v>0</v>
      </c>
      <c r="AA34" s="36">
        <f t="shared" si="9"/>
        <v>226.06002321801674</v>
      </c>
      <c r="AB34" s="36">
        <f t="shared" si="9"/>
        <v>197.47613883601187</v>
      </c>
      <c r="AC34" s="36">
        <f t="shared" si="9"/>
        <v>400.31633984903726</v>
      </c>
      <c r="AD34" s="36">
        <f t="shared" si="9"/>
        <v>994.58998532758994</v>
      </c>
      <c r="AE34" s="36">
        <f t="shared" si="9"/>
        <v>0</v>
      </c>
      <c r="AG34" s="36">
        <f t="shared" si="1"/>
        <v>0</v>
      </c>
      <c r="AH34" s="36">
        <f t="shared" si="10"/>
        <v>56.515005804504185</v>
      </c>
      <c r="AI34" s="36">
        <f t="shared" si="19"/>
        <v>49.369034709002968</v>
      </c>
      <c r="AJ34" s="36">
        <f t="shared" si="27"/>
        <v>100.07908496225932</v>
      </c>
      <c r="AK34" s="36">
        <f t="shared" si="33"/>
        <v>248.64749633189749</v>
      </c>
      <c r="AL34" s="36">
        <f t="shared" si="39"/>
        <v>0</v>
      </c>
      <c r="AN34" s="36">
        <f t="shared" si="2"/>
        <v>0</v>
      </c>
      <c r="AO34" s="36">
        <f t="shared" si="11"/>
        <v>282.57502902252094</v>
      </c>
      <c r="AP34" s="36">
        <f t="shared" si="20"/>
        <v>175.13015470456844</v>
      </c>
      <c r="AQ34" s="36">
        <f t="shared" si="28"/>
        <v>1018.8216269133143</v>
      </c>
      <c r="AR34" s="36">
        <f t="shared" si="34"/>
        <v>1243.2374816594875</v>
      </c>
      <c r="AS34" s="36">
        <f t="shared" si="40"/>
        <v>0</v>
      </c>
      <c r="AU34" s="36">
        <f t="shared" si="21"/>
        <v>0</v>
      </c>
      <c r="AV34" s="36">
        <f t="shared" si="12"/>
        <v>487.41366756094629</v>
      </c>
      <c r="AW34" s="36">
        <f t="shared" si="22"/>
        <v>302.08200384991011</v>
      </c>
      <c r="AX34" s="36">
        <f t="shared" si="29"/>
        <v>1757.3654242627756</v>
      </c>
      <c r="AY34" s="36">
        <f t="shared" si="35"/>
        <v>2144.46033211445</v>
      </c>
      <c r="AZ34" s="36">
        <f t="shared" si="41"/>
        <v>0</v>
      </c>
      <c r="BA34" s="36">
        <f t="shared" si="3"/>
        <v>4691.3214277880816</v>
      </c>
      <c r="BC34" s="36">
        <f t="shared" si="13"/>
        <v>0</v>
      </c>
      <c r="BD34" s="36">
        <f t="shared" si="23"/>
        <v>4.8741366756094626</v>
      </c>
      <c r="BE34" s="36">
        <f t="shared" si="30"/>
        <v>3.0208200384991013</v>
      </c>
      <c r="BF34" s="36">
        <f t="shared" si="36"/>
        <v>17.573654242627757</v>
      </c>
      <c r="BG34" s="36">
        <f t="shared" si="42"/>
        <v>21.444603321144502</v>
      </c>
      <c r="BH34" s="36">
        <f t="shared" si="45"/>
        <v>0</v>
      </c>
      <c r="BI34" s="36">
        <f t="shared" si="4"/>
        <v>46.913214277880826</v>
      </c>
      <c r="BK34" s="36">
        <f t="shared" si="14"/>
        <v>0</v>
      </c>
      <c r="BL34" s="36">
        <f t="shared" si="24"/>
        <v>4.8741366756094626</v>
      </c>
      <c r="BM34" s="36">
        <f t="shared" si="31"/>
        <v>3.0208200384991013</v>
      </c>
      <c r="BN34" s="36">
        <f t="shared" si="37"/>
        <v>17.573654242627757</v>
      </c>
      <c r="BO34" s="36">
        <f t="shared" si="43"/>
        <v>21.444603321144502</v>
      </c>
      <c r="BP34" s="36">
        <f t="shared" si="46"/>
        <v>0</v>
      </c>
      <c r="BQ34" s="36">
        <f t="shared" si="5"/>
        <v>46.913214277880826</v>
      </c>
      <c r="BS34" s="36">
        <f t="shared" si="6"/>
        <v>4785.1478563438432</v>
      </c>
      <c r="BT34" s="36">
        <f t="shared" si="25"/>
        <v>17249.862903624049</v>
      </c>
    </row>
    <row r="35" spans="2:72" x14ac:dyDescent="0.25">
      <c r="B35" s="67">
        <v>2039</v>
      </c>
      <c r="C35" s="67">
        <v>0</v>
      </c>
      <c r="D35" s="67">
        <v>0</v>
      </c>
      <c r="E35" s="67">
        <f t="shared" si="7"/>
        <v>0</v>
      </c>
      <c r="F35" s="67">
        <f t="shared" si="15"/>
        <v>0</v>
      </c>
      <c r="G35" s="67">
        <f t="shared" si="16"/>
        <v>0</v>
      </c>
      <c r="I35" s="67">
        <v>22</v>
      </c>
      <c r="J35" s="67" t="str">
        <f>Gauva!Q35</f>
        <v>2039-2040</v>
      </c>
      <c r="K35" s="36">
        <f t="shared" si="47"/>
        <v>0.10318471337579617</v>
      </c>
      <c r="L35" s="36"/>
      <c r="M35" s="36">
        <f t="shared" si="0"/>
        <v>0.20087291154932368</v>
      </c>
      <c r="N35" s="36">
        <f t="shared" si="17"/>
        <v>1.8859217964692365E-2</v>
      </c>
      <c r="O35" s="19"/>
      <c r="P35" s="67">
        <v>22</v>
      </c>
      <c r="Q35" s="67" t="s">
        <v>111</v>
      </c>
      <c r="R35" s="36">
        <f t="shared" si="8"/>
        <v>0</v>
      </c>
      <c r="S35" s="36">
        <f t="shared" si="18"/>
        <v>339.14392593731935</v>
      </c>
      <c r="T35" s="36">
        <f t="shared" si="26"/>
        <v>296.99095203658652</v>
      </c>
      <c r="U35" s="36">
        <f t="shared" si="32"/>
        <v>179.76146368720049</v>
      </c>
      <c r="V35" s="36">
        <f t="shared" si="38"/>
        <v>1313.2397683691465</v>
      </c>
      <c r="W35" s="36">
        <f t="shared" si="44"/>
        <v>0</v>
      </c>
      <c r="X35" s="51"/>
      <c r="Z35" s="36">
        <f t="shared" si="9"/>
        <v>0</v>
      </c>
      <c r="AA35" s="36">
        <f t="shared" si="9"/>
        <v>237.26509058574862</v>
      </c>
      <c r="AB35" s="36">
        <f t="shared" si="9"/>
        <v>207.77487004479593</v>
      </c>
      <c r="AC35" s="36">
        <f t="shared" si="9"/>
        <v>125.76111999556547</v>
      </c>
      <c r="AD35" s="36">
        <f t="shared" si="9"/>
        <v>918.74254195105493</v>
      </c>
      <c r="AE35" s="36">
        <f t="shared" si="9"/>
        <v>0</v>
      </c>
      <c r="AG35" s="36">
        <f t="shared" si="1"/>
        <v>0</v>
      </c>
      <c r="AH35" s="36">
        <f t="shared" si="10"/>
        <v>59.316272646437156</v>
      </c>
      <c r="AI35" s="36">
        <f t="shared" si="19"/>
        <v>51.943717511198983</v>
      </c>
      <c r="AJ35" s="36">
        <f t="shared" si="27"/>
        <v>31.440279998891366</v>
      </c>
      <c r="AK35" s="36">
        <f t="shared" si="33"/>
        <v>229.68563548776373</v>
      </c>
      <c r="AL35" s="36">
        <f t="shared" si="39"/>
        <v>0</v>
      </c>
      <c r="AN35" s="36">
        <f t="shared" si="2"/>
        <v>0</v>
      </c>
      <c r="AO35" s="36">
        <f t="shared" si="11"/>
        <v>296.58136323218577</v>
      </c>
      <c r="AP35" s="36">
        <f t="shared" si="20"/>
        <v>184.2635031713059</v>
      </c>
      <c r="AQ35" s="36">
        <f t="shared" si="28"/>
        <v>320.06724712920982</v>
      </c>
      <c r="AR35" s="36">
        <f t="shared" si="34"/>
        <v>1148.4281774388187</v>
      </c>
      <c r="AS35" s="36">
        <f t="shared" si="40"/>
        <v>0</v>
      </c>
      <c r="AU35" s="36">
        <f t="shared" si="21"/>
        <v>0</v>
      </c>
      <c r="AV35" s="36">
        <f t="shared" si="12"/>
        <v>511.57319343919721</v>
      </c>
      <c r="AW35" s="36">
        <f t="shared" si="22"/>
        <v>317.83611662018552</v>
      </c>
      <c r="AX35" s="36">
        <f t="shared" si="29"/>
        <v>552.08399457317398</v>
      </c>
      <c r="AY35" s="36">
        <f t="shared" si="35"/>
        <v>1980.923763264218</v>
      </c>
      <c r="AZ35" s="36">
        <f t="shared" si="41"/>
        <v>0</v>
      </c>
      <c r="BA35" s="36">
        <f t="shared" si="3"/>
        <v>3362.4170678967748</v>
      </c>
      <c r="BC35" s="36">
        <f t="shared" si="13"/>
        <v>0</v>
      </c>
      <c r="BD35" s="36">
        <f t="shared" si="23"/>
        <v>5.115731934391972</v>
      </c>
      <c r="BE35" s="36">
        <f t="shared" si="30"/>
        <v>3.1783611662018552</v>
      </c>
      <c r="BF35" s="36">
        <f t="shared" si="36"/>
        <v>5.5208399457317396</v>
      </c>
      <c r="BG35" s="36">
        <f t="shared" si="42"/>
        <v>19.80923763264218</v>
      </c>
      <c r="BH35" s="36">
        <f t="shared" si="45"/>
        <v>0</v>
      </c>
      <c r="BI35" s="36">
        <f t="shared" si="4"/>
        <v>33.624170678967744</v>
      </c>
      <c r="BK35" s="36">
        <f t="shared" si="14"/>
        <v>0</v>
      </c>
      <c r="BL35" s="36">
        <f t="shared" si="24"/>
        <v>5.115731934391972</v>
      </c>
      <c r="BM35" s="36">
        <f t="shared" si="31"/>
        <v>3.1783611662018552</v>
      </c>
      <c r="BN35" s="36">
        <f t="shared" si="37"/>
        <v>5.5208399457317396</v>
      </c>
      <c r="BO35" s="36">
        <f t="shared" si="43"/>
        <v>19.80923763264218</v>
      </c>
      <c r="BP35" s="36">
        <f t="shared" si="46"/>
        <v>0</v>
      </c>
      <c r="BQ35" s="36">
        <f t="shared" si="5"/>
        <v>33.624170678967744</v>
      </c>
      <c r="BS35" s="36">
        <f t="shared" si="6"/>
        <v>3429.6654092547105</v>
      </c>
      <c r="BT35" s="36">
        <f t="shared" si="25"/>
        <v>20679.52831287876</v>
      </c>
    </row>
    <row r="36" spans="2:72" x14ac:dyDescent="0.25">
      <c r="B36" s="67">
        <v>2040</v>
      </c>
      <c r="C36" s="67">
        <v>0</v>
      </c>
      <c r="D36" s="67">
        <v>0</v>
      </c>
      <c r="E36" s="67">
        <f t="shared" si="7"/>
        <v>0</v>
      </c>
      <c r="F36" s="67">
        <f t="shared" si="15"/>
        <v>0</v>
      </c>
      <c r="G36" s="67">
        <f t="shared" si="16"/>
        <v>0</v>
      </c>
      <c r="I36" s="67">
        <v>23</v>
      </c>
      <c r="J36" s="67" t="str">
        <f>Gauva!Q36</f>
        <v>2040-2041</v>
      </c>
      <c r="K36" s="36">
        <f t="shared" si="47"/>
        <v>0.10987261146496814</v>
      </c>
      <c r="L36" s="36"/>
      <c r="M36" s="36">
        <f t="shared" si="0"/>
        <v>0.21890395656761383</v>
      </c>
      <c r="N36" s="36">
        <f t="shared" si="17"/>
        <v>1.8031045018290143E-2</v>
      </c>
      <c r="O36" s="19"/>
      <c r="P36" s="67">
        <v>23</v>
      </c>
      <c r="Q36" s="67" t="s">
        <v>112</v>
      </c>
      <c r="R36" s="36">
        <f t="shared" si="8"/>
        <v>0</v>
      </c>
      <c r="S36" s="36">
        <f t="shared" si="18"/>
        <v>389.82043137376849</v>
      </c>
      <c r="T36" s="36">
        <f t="shared" si="26"/>
        <v>311.71183712632831</v>
      </c>
      <c r="U36" s="36">
        <f t="shared" si="32"/>
        <v>189.13634313908935</v>
      </c>
      <c r="V36" s="36">
        <f t="shared" si="38"/>
        <v>412.55998732178165</v>
      </c>
      <c r="W36" s="36">
        <f t="shared" si="44"/>
        <v>0</v>
      </c>
      <c r="X36" s="51"/>
      <c r="Z36" s="36">
        <f t="shared" si="9"/>
        <v>0</v>
      </c>
      <c r="AA36" s="36">
        <f t="shared" si="9"/>
        <v>272.71837378908845</v>
      </c>
      <c r="AB36" s="36">
        <f t="shared" si="9"/>
        <v>218.07360125357928</v>
      </c>
      <c r="AC36" s="36">
        <f t="shared" si="9"/>
        <v>132.31978566010693</v>
      </c>
      <c r="AD36" s="36">
        <f t="shared" si="9"/>
        <v>288.62696713031846</v>
      </c>
      <c r="AE36" s="36">
        <f t="shared" si="9"/>
        <v>0</v>
      </c>
      <c r="AG36" s="36">
        <f t="shared" si="1"/>
        <v>0</v>
      </c>
      <c r="AH36" s="36">
        <f t="shared" si="10"/>
        <v>68.179593447272111</v>
      </c>
      <c r="AI36" s="36">
        <f t="shared" si="19"/>
        <v>54.518400313394821</v>
      </c>
      <c r="AJ36" s="36">
        <f t="shared" si="27"/>
        <v>33.079946415026733</v>
      </c>
      <c r="AK36" s="36">
        <f t="shared" si="33"/>
        <v>72.156741782579616</v>
      </c>
      <c r="AL36" s="36">
        <f t="shared" si="39"/>
        <v>0</v>
      </c>
      <c r="AN36" s="36">
        <f t="shared" si="2"/>
        <v>0</v>
      </c>
      <c r="AO36" s="36">
        <f t="shared" si="11"/>
        <v>340.89796723636056</v>
      </c>
      <c r="AP36" s="36">
        <f t="shared" si="20"/>
        <v>193.39685163804273</v>
      </c>
      <c r="AQ36" s="36">
        <f t="shared" si="28"/>
        <v>336.75932226471008</v>
      </c>
      <c r="AR36" s="36">
        <f t="shared" si="34"/>
        <v>360.78370891289808</v>
      </c>
      <c r="AS36" s="36">
        <f t="shared" si="40"/>
        <v>0</v>
      </c>
      <c r="AU36" s="36">
        <f t="shared" si="21"/>
        <v>0</v>
      </c>
      <c r="AV36" s="36">
        <f t="shared" si="12"/>
        <v>588.01490368599832</v>
      </c>
      <c r="AW36" s="36">
        <f t="shared" si="22"/>
        <v>333.59022939045991</v>
      </c>
      <c r="AX36" s="36">
        <f t="shared" si="29"/>
        <v>580.87615497439833</v>
      </c>
      <c r="AY36" s="36">
        <f t="shared" si="35"/>
        <v>622.31581950385782</v>
      </c>
      <c r="AZ36" s="36">
        <f t="shared" si="41"/>
        <v>0</v>
      </c>
      <c r="BA36" s="36">
        <f t="shared" si="3"/>
        <v>2124.7971075547143</v>
      </c>
      <c r="BC36" s="36">
        <f t="shared" si="13"/>
        <v>0</v>
      </c>
      <c r="BD36" s="36">
        <f t="shared" si="23"/>
        <v>5.8801490368599829</v>
      </c>
      <c r="BE36" s="36">
        <f t="shared" si="30"/>
        <v>3.3359022939045992</v>
      </c>
      <c r="BF36" s="36">
        <f t="shared" si="36"/>
        <v>5.8087615497439833</v>
      </c>
      <c r="BG36" s="36">
        <f t="shared" si="42"/>
        <v>6.2231581950385788</v>
      </c>
      <c r="BH36" s="36">
        <f t="shared" si="45"/>
        <v>0</v>
      </c>
      <c r="BI36" s="36">
        <f t="shared" si="4"/>
        <v>21.247971075547145</v>
      </c>
      <c r="BK36" s="36">
        <f t="shared" si="14"/>
        <v>0</v>
      </c>
      <c r="BL36" s="36">
        <f t="shared" si="24"/>
        <v>5.8801490368599829</v>
      </c>
      <c r="BM36" s="36">
        <f t="shared" si="31"/>
        <v>3.3359022939045992</v>
      </c>
      <c r="BN36" s="36">
        <f t="shared" si="37"/>
        <v>5.8087615497439833</v>
      </c>
      <c r="BO36" s="36">
        <f t="shared" si="43"/>
        <v>6.2231581950385788</v>
      </c>
      <c r="BP36" s="36">
        <f t="shared" si="46"/>
        <v>0</v>
      </c>
      <c r="BQ36" s="36">
        <f t="shared" si="5"/>
        <v>21.247971075547145</v>
      </c>
      <c r="BS36" s="36">
        <f t="shared" si="6"/>
        <v>2167.2930497058082</v>
      </c>
      <c r="BT36" s="36">
        <f t="shared" si="25"/>
        <v>22846.821362584567</v>
      </c>
    </row>
    <row r="37" spans="2:72" x14ac:dyDescent="0.25">
      <c r="B37" s="67">
        <v>2041</v>
      </c>
      <c r="C37" s="67">
        <v>0</v>
      </c>
      <c r="D37" s="67">
        <v>0</v>
      </c>
      <c r="E37" s="67">
        <f t="shared" si="7"/>
        <v>0</v>
      </c>
      <c r="F37" s="67">
        <f t="shared" si="15"/>
        <v>0</v>
      </c>
      <c r="G37" s="67">
        <f t="shared" si="16"/>
        <v>0</v>
      </c>
      <c r="I37" s="67">
        <v>24</v>
      </c>
      <c r="J37" s="67" t="str">
        <f>Gauva!Q37</f>
        <v>2041-2042</v>
      </c>
      <c r="K37" s="36">
        <f t="shared" si="47"/>
        <v>0.11496815286624203</v>
      </c>
      <c r="L37" s="36"/>
      <c r="M37" s="36">
        <f t="shared" si="0"/>
        <v>0.23316198367885674</v>
      </c>
      <c r="N37" s="36">
        <f t="shared" si="17"/>
        <v>1.425802711124291E-2</v>
      </c>
      <c r="O37" s="19"/>
      <c r="P37" s="67">
        <v>24</v>
      </c>
      <c r="Q37" s="67" t="s">
        <v>113</v>
      </c>
      <c r="R37" s="36">
        <f t="shared" si="8"/>
        <v>0</v>
      </c>
      <c r="S37" s="36">
        <f t="shared" si="18"/>
        <v>372.70207918000267</v>
      </c>
      <c r="T37" s="36">
        <f t="shared" si="26"/>
        <v>358.28930881502197</v>
      </c>
      <c r="U37" s="36">
        <f t="shared" si="32"/>
        <v>198.51122259097755</v>
      </c>
      <c r="V37" s="36">
        <f t="shared" si="38"/>
        <v>434.07572305557943</v>
      </c>
      <c r="W37" s="36">
        <f t="shared" si="44"/>
        <v>0</v>
      </c>
      <c r="X37" s="51"/>
      <c r="Z37" s="36">
        <f t="shared" si="9"/>
        <v>0</v>
      </c>
      <c r="AA37" s="36">
        <f t="shared" si="9"/>
        <v>260.74237459432987</v>
      </c>
      <c r="AB37" s="36">
        <f t="shared" si="9"/>
        <v>250.65920044698939</v>
      </c>
      <c r="AC37" s="36">
        <f t="shared" si="9"/>
        <v>138.8784513246479</v>
      </c>
      <c r="AD37" s="36">
        <f t="shared" si="9"/>
        <v>303.67937584968337</v>
      </c>
      <c r="AE37" s="36">
        <f t="shared" si="9"/>
        <v>0</v>
      </c>
      <c r="AG37" s="36">
        <f t="shared" si="1"/>
        <v>0</v>
      </c>
      <c r="AH37" s="36">
        <f t="shared" si="10"/>
        <v>65.185593648582469</v>
      </c>
      <c r="AI37" s="36">
        <f t="shared" si="19"/>
        <v>62.664800111747347</v>
      </c>
      <c r="AJ37" s="36">
        <f t="shared" si="27"/>
        <v>34.719612831161974</v>
      </c>
      <c r="AK37" s="36">
        <f t="shared" si="33"/>
        <v>75.919843962420842</v>
      </c>
      <c r="AL37" s="36">
        <f t="shared" si="39"/>
        <v>0</v>
      </c>
      <c r="AN37" s="36">
        <f t="shared" si="2"/>
        <v>0</v>
      </c>
      <c r="AO37" s="36">
        <f t="shared" si="11"/>
        <v>325.92796824291236</v>
      </c>
      <c r="AP37" s="36">
        <f t="shared" si="20"/>
        <v>222.29513302798799</v>
      </c>
      <c r="AQ37" s="36">
        <f t="shared" si="28"/>
        <v>353.45139740020926</v>
      </c>
      <c r="AR37" s="36">
        <f t="shared" si="34"/>
        <v>379.5992198121042</v>
      </c>
      <c r="AS37" s="36">
        <f t="shared" si="40"/>
        <v>0</v>
      </c>
      <c r="AU37" s="36">
        <f t="shared" si="21"/>
        <v>0</v>
      </c>
      <c r="AV37" s="36">
        <f t="shared" si="12"/>
        <v>562.19315242219943</v>
      </c>
      <c r="AW37" s="36">
        <f t="shared" si="22"/>
        <v>383.43687495997642</v>
      </c>
      <c r="AX37" s="36">
        <f t="shared" si="29"/>
        <v>609.66831537562086</v>
      </c>
      <c r="AY37" s="36">
        <f t="shared" si="35"/>
        <v>654.77069425389857</v>
      </c>
      <c r="AZ37" s="36">
        <f t="shared" si="41"/>
        <v>0</v>
      </c>
      <c r="BA37" s="36">
        <f t="shared" si="3"/>
        <v>2210.0690370116954</v>
      </c>
      <c r="BC37" s="36">
        <f t="shared" si="13"/>
        <v>0</v>
      </c>
      <c r="BD37" s="36">
        <f t="shared" si="23"/>
        <v>5.6219315242219947</v>
      </c>
      <c r="BE37" s="36">
        <f t="shared" si="30"/>
        <v>3.8343687495997645</v>
      </c>
      <c r="BF37" s="36">
        <f t="shared" si="36"/>
        <v>6.0966831537562092</v>
      </c>
      <c r="BG37" s="36">
        <f t="shared" si="42"/>
        <v>6.5477069425389862</v>
      </c>
      <c r="BH37" s="36">
        <f t="shared" si="45"/>
        <v>0</v>
      </c>
      <c r="BI37" s="36">
        <f t="shared" si="4"/>
        <v>22.100690370116954</v>
      </c>
      <c r="BK37" s="36">
        <f t="shared" si="14"/>
        <v>0</v>
      </c>
      <c r="BL37" s="36">
        <f t="shared" si="24"/>
        <v>5.6219315242219947</v>
      </c>
      <c r="BM37" s="36">
        <f t="shared" si="31"/>
        <v>3.8343687495997645</v>
      </c>
      <c r="BN37" s="36">
        <f t="shared" si="37"/>
        <v>6.0966831537562092</v>
      </c>
      <c r="BO37" s="36">
        <f t="shared" si="43"/>
        <v>6.5477069425389862</v>
      </c>
      <c r="BP37" s="36">
        <f t="shared" si="46"/>
        <v>0</v>
      </c>
      <c r="BQ37" s="36">
        <f t="shared" si="5"/>
        <v>22.100690370116954</v>
      </c>
      <c r="BS37" s="36">
        <f t="shared" si="6"/>
        <v>2254.270417751929</v>
      </c>
      <c r="BT37" s="36">
        <f t="shared" si="25"/>
        <v>25101.091780336497</v>
      </c>
    </row>
    <row r="38" spans="2:72" x14ac:dyDescent="0.25">
      <c r="B38" s="67">
        <v>2042</v>
      </c>
      <c r="C38" s="67">
        <v>0</v>
      </c>
      <c r="D38" s="67">
        <v>0</v>
      </c>
      <c r="E38" s="67">
        <f t="shared" si="7"/>
        <v>0</v>
      </c>
      <c r="F38" s="67">
        <f t="shared" si="15"/>
        <v>0</v>
      </c>
      <c r="G38" s="67">
        <f t="shared" si="16"/>
        <v>0</v>
      </c>
      <c r="I38" s="67">
        <v>25</v>
      </c>
      <c r="J38" s="67" t="str">
        <f>Gauva!Q38</f>
        <v>2042-2043</v>
      </c>
      <c r="K38" s="36">
        <f t="shared" si="47"/>
        <v>0.12006369426751594</v>
      </c>
      <c r="L38" s="36"/>
      <c r="M38" s="36">
        <f t="shared" si="0"/>
        <v>0.24786981667091137</v>
      </c>
      <c r="N38" s="36">
        <f t="shared" si="17"/>
        <v>1.4707832992054637E-2</v>
      </c>
      <c r="O38" s="19"/>
      <c r="P38" s="67">
        <v>25</v>
      </c>
      <c r="Q38" s="67" t="s">
        <v>114</v>
      </c>
      <c r="R38" s="36">
        <f t="shared" si="8"/>
        <v>0</v>
      </c>
      <c r="S38" s="36">
        <f t="shared" si="18"/>
        <v>294.71371980796027</v>
      </c>
      <c r="T38" s="36">
        <f t="shared" si="26"/>
        <v>342.55559636197796</v>
      </c>
      <c r="U38" s="36">
        <f t="shared" si="32"/>
        <v>228.17371771904035</v>
      </c>
      <c r="V38" s="36">
        <f t="shared" si="38"/>
        <v>455.59145878937574</v>
      </c>
      <c r="W38" s="36">
        <f t="shared" si="44"/>
        <v>0</v>
      </c>
      <c r="X38" s="51"/>
      <c r="Z38" s="36">
        <f t="shared" si="9"/>
        <v>0</v>
      </c>
      <c r="AA38" s="36">
        <f t="shared" si="9"/>
        <v>206.18171837764902</v>
      </c>
      <c r="AB38" s="36">
        <f t="shared" si="9"/>
        <v>239.65189521483978</v>
      </c>
      <c r="AC38" s="36">
        <f t="shared" si="9"/>
        <v>159.63033291624063</v>
      </c>
      <c r="AD38" s="36">
        <f t="shared" si="9"/>
        <v>318.73178456904731</v>
      </c>
      <c r="AE38" s="36">
        <f t="shared" si="9"/>
        <v>0</v>
      </c>
      <c r="AG38" s="36">
        <f t="shared" si="1"/>
        <v>0</v>
      </c>
      <c r="AH38" s="36">
        <f t="shared" si="10"/>
        <v>51.545429594412255</v>
      </c>
      <c r="AI38" s="36">
        <f t="shared" si="19"/>
        <v>59.912973803709946</v>
      </c>
      <c r="AJ38" s="36">
        <f t="shared" si="27"/>
        <v>39.907583229060158</v>
      </c>
      <c r="AK38" s="36">
        <f t="shared" si="33"/>
        <v>79.682946142261827</v>
      </c>
      <c r="AL38" s="36">
        <f t="shared" si="39"/>
        <v>0</v>
      </c>
      <c r="AN38" s="36">
        <f t="shared" si="2"/>
        <v>0</v>
      </c>
      <c r="AO38" s="36">
        <f t="shared" si="11"/>
        <v>257.72714797206129</v>
      </c>
      <c r="AP38" s="36">
        <f t="shared" si="20"/>
        <v>212.53339128263426</v>
      </c>
      <c r="AQ38" s="36">
        <f t="shared" si="28"/>
        <v>406.26579356658107</v>
      </c>
      <c r="AR38" s="36">
        <f t="shared" si="34"/>
        <v>398.41473071130912</v>
      </c>
      <c r="AS38" s="36">
        <f t="shared" si="40"/>
        <v>0</v>
      </c>
      <c r="AU38" s="36">
        <f t="shared" si="21"/>
        <v>0</v>
      </c>
      <c r="AV38" s="36">
        <f t="shared" si="12"/>
        <v>444.55355753700849</v>
      </c>
      <c r="AW38" s="36">
        <f t="shared" si="22"/>
        <v>366.5988466234158</v>
      </c>
      <c r="AX38" s="36">
        <f t="shared" si="29"/>
        <v>700.7678673229957</v>
      </c>
      <c r="AY38" s="36">
        <f t="shared" si="35"/>
        <v>687.22556900393704</v>
      </c>
      <c r="AZ38" s="36">
        <f t="shared" si="41"/>
        <v>0</v>
      </c>
      <c r="BA38" s="36">
        <f t="shared" si="3"/>
        <v>2199.145840487357</v>
      </c>
      <c r="BC38" s="36">
        <f t="shared" si="13"/>
        <v>0</v>
      </c>
      <c r="BD38" s="36">
        <f t="shared" si="23"/>
        <v>4.4455355753700854</v>
      </c>
      <c r="BE38" s="36">
        <f t="shared" si="30"/>
        <v>3.665988466234158</v>
      </c>
      <c r="BF38" s="36">
        <f t="shared" si="36"/>
        <v>7.0076786732299574</v>
      </c>
      <c r="BG38" s="36">
        <f t="shared" si="42"/>
        <v>6.8722556900393705</v>
      </c>
      <c r="BH38" s="36">
        <f t="shared" si="45"/>
        <v>0</v>
      </c>
      <c r="BI38" s="36">
        <f t="shared" si="4"/>
        <v>21.991458404873569</v>
      </c>
      <c r="BK38" s="36">
        <f t="shared" si="14"/>
        <v>0</v>
      </c>
      <c r="BL38" s="36">
        <f t="shared" si="24"/>
        <v>4.4455355753700854</v>
      </c>
      <c r="BM38" s="36">
        <f t="shared" si="31"/>
        <v>3.665988466234158</v>
      </c>
      <c r="BN38" s="36">
        <f t="shared" si="37"/>
        <v>7.0076786732299574</v>
      </c>
      <c r="BO38" s="36">
        <f t="shared" si="43"/>
        <v>6.8722556900393705</v>
      </c>
      <c r="BP38" s="36">
        <f t="shared" si="46"/>
        <v>0</v>
      </c>
      <c r="BQ38" s="36">
        <f t="shared" si="5"/>
        <v>21.991458404873569</v>
      </c>
      <c r="BS38" s="36">
        <f t="shared" si="6"/>
        <v>2243.1287572971037</v>
      </c>
      <c r="BT38" s="36">
        <f t="shared" si="25"/>
        <v>27344.220537633602</v>
      </c>
    </row>
    <row r="39" spans="2:72" x14ac:dyDescent="0.25">
      <c r="B39" s="67">
        <v>2043</v>
      </c>
      <c r="C39" s="67">
        <v>0</v>
      </c>
      <c r="D39" s="67">
        <v>0</v>
      </c>
      <c r="E39" s="67">
        <f t="shared" si="7"/>
        <v>0</v>
      </c>
      <c r="F39" s="67">
        <f t="shared" si="15"/>
        <v>0</v>
      </c>
      <c r="G39" s="67">
        <f t="shared" si="16"/>
        <v>0</v>
      </c>
      <c r="I39" s="67">
        <v>26</v>
      </c>
      <c r="J39" s="67" t="str">
        <f>Gauva!Q39</f>
        <v>2043-2044</v>
      </c>
      <c r="K39" s="36">
        <f t="shared" si="47"/>
        <v>0.12515923566878981</v>
      </c>
      <c r="L39" s="36"/>
      <c r="M39" s="36">
        <f t="shared" si="0"/>
        <v>0.2630274555437776</v>
      </c>
      <c r="N39" s="36">
        <f t="shared" si="17"/>
        <v>1.5157638872866225E-2</v>
      </c>
      <c r="O39" s="19"/>
      <c r="P39" s="67">
        <v>26</v>
      </c>
      <c r="Q39" s="67" t="s">
        <v>115</v>
      </c>
      <c r="R39" s="36">
        <f t="shared" si="8"/>
        <v>0</v>
      </c>
      <c r="S39" s="36">
        <f t="shared" si="18"/>
        <v>304.01121681026217</v>
      </c>
      <c r="T39" s="36">
        <f t="shared" si="26"/>
        <v>270.8754248621039</v>
      </c>
      <c r="U39" s="36">
        <f t="shared" si="32"/>
        <v>218.15382715683862</v>
      </c>
      <c r="V39" s="36">
        <f t="shared" si="38"/>
        <v>523.66811083121911</v>
      </c>
      <c r="W39" s="36">
        <f t="shared" si="44"/>
        <v>0</v>
      </c>
      <c r="X39" s="51"/>
      <c r="Z39" s="36">
        <f t="shared" si="9"/>
        <v>0</v>
      </c>
      <c r="AA39" s="36">
        <f t="shared" si="9"/>
        <v>212.68624728045944</v>
      </c>
      <c r="AB39" s="36">
        <f t="shared" si="9"/>
        <v>189.50444723352791</v>
      </c>
      <c r="AC39" s="36">
        <f t="shared" si="9"/>
        <v>152.62041747892431</v>
      </c>
      <c r="AD39" s="36">
        <f t="shared" si="9"/>
        <v>366.35821033752092</v>
      </c>
      <c r="AE39" s="36">
        <f t="shared" si="9"/>
        <v>0</v>
      </c>
      <c r="AG39" s="36">
        <f t="shared" si="1"/>
        <v>0</v>
      </c>
      <c r="AH39" s="36">
        <f t="shared" si="10"/>
        <v>53.17156182011486</v>
      </c>
      <c r="AI39" s="36">
        <f t="shared" si="19"/>
        <v>47.376111808381978</v>
      </c>
      <c r="AJ39" s="36">
        <f t="shared" si="27"/>
        <v>38.155104369731077</v>
      </c>
      <c r="AK39" s="36">
        <f t="shared" si="33"/>
        <v>91.589552584380229</v>
      </c>
      <c r="AL39" s="36">
        <f t="shared" si="39"/>
        <v>0</v>
      </c>
      <c r="AN39" s="36">
        <f t="shared" si="2"/>
        <v>0</v>
      </c>
      <c r="AO39" s="36">
        <f t="shared" si="11"/>
        <v>265.85780910057429</v>
      </c>
      <c r="AP39" s="36">
        <f t="shared" si="20"/>
        <v>168.06052294131291</v>
      </c>
      <c r="AQ39" s="36">
        <f t="shared" si="28"/>
        <v>388.42526911268379</v>
      </c>
      <c r="AR39" s="36">
        <f t="shared" si="34"/>
        <v>457.94776292190113</v>
      </c>
      <c r="AS39" s="36">
        <f t="shared" si="40"/>
        <v>0</v>
      </c>
      <c r="AU39" s="36">
        <f t="shared" si="21"/>
        <v>0</v>
      </c>
      <c r="AV39" s="36">
        <f t="shared" si="12"/>
        <v>458.57813491758054</v>
      </c>
      <c r="AW39" s="36">
        <f t="shared" si="22"/>
        <v>289.88759602147059</v>
      </c>
      <c r="AX39" s="36">
        <f t="shared" si="29"/>
        <v>669.99474669246831</v>
      </c>
      <c r="AY39" s="36">
        <f t="shared" si="35"/>
        <v>789.91409626398718</v>
      </c>
      <c r="AZ39" s="36">
        <f t="shared" si="41"/>
        <v>0</v>
      </c>
      <c r="BA39" s="36">
        <f t="shared" si="3"/>
        <v>2208.3745738955067</v>
      </c>
      <c r="BC39" s="36">
        <f t="shared" si="13"/>
        <v>0</v>
      </c>
      <c r="BD39" s="36">
        <f t="shared" si="23"/>
        <v>4.5857813491758055</v>
      </c>
      <c r="BE39" s="36">
        <f t="shared" si="30"/>
        <v>2.8988759602147058</v>
      </c>
      <c r="BF39" s="36">
        <f t="shared" si="36"/>
        <v>6.6999474669246837</v>
      </c>
      <c r="BG39" s="36">
        <f t="shared" si="42"/>
        <v>7.8991409626398719</v>
      </c>
      <c r="BH39" s="36">
        <f t="shared" si="45"/>
        <v>0</v>
      </c>
      <c r="BI39" s="36">
        <f t="shared" si="4"/>
        <v>22.083745738955066</v>
      </c>
      <c r="BK39" s="36">
        <f t="shared" si="14"/>
        <v>0</v>
      </c>
      <c r="BL39" s="36">
        <f t="shared" si="24"/>
        <v>4.5857813491758055</v>
      </c>
      <c r="BM39" s="36">
        <f t="shared" si="31"/>
        <v>2.8988759602147058</v>
      </c>
      <c r="BN39" s="36">
        <f t="shared" si="37"/>
        <v>6.6999474669246837</v>
      </c>
      <c r="BO39" s="36">
        <f t="shared" si="43"/>
        <v>7.8991409626398719</v>
      </c>
      <c r="BP39" s="36">
        <f t="shared" si="46"/>
        <v>0</v>
      </c>
      <c r="BQ39" s="36">
        <f t="shared" si="5"/>
        <v>22.083745738955066</v>
      </c>
      <c r="BS39" s="36">
        <f t="shared" si="6"/>
        <v>2252.5420653734172</v>
      </c>
      <c r="BT39" s="36">
        <f t="shared" si="25"/>
        <v>29596.762603007021</v>
      </c>
    </row>
    <row r="40" spans="2:72" x14ac:dyDescent="0.25">
      <c r="B40" s="67">
        <v>2044</v>
      </c>
      <c r="C40" s="67">
        <v>0</v>
      </c>
      <c r="D40" s="67">
        <v>0</v>
      </c>
      <c r="E40" s="67">
        <f t="shared" si="7"/>
        <v>0</v>
      </c>
      <c r="F40" s="67">
        <f t="shared" si="15"/>
        <v>0</v>
      </c>
      <c r="G40" s="67">
        <f t="shared" si="16"/>
        <v>0</v>
      </c>
      <c r="I40" s="67">
        <v>27</v>
      </c>
      <c r="J40" s="67" t="str">
        <f>Gauva!Q40</f>
        <v>2044-2045</v>
      </c>
      <c r="K40" s="36">
        <f t="shared" si="47"/>
        <v>0.13025477707006369</v>
      </c>
      <c r="L40" s="36"/>
      <c r="M40" s="36">
        <f t="shared" si="0"/>
        <v>0.27863490029745569</v>
      </c>
      <c r="N40" s="36">
        <f t="shared" si="17"/>
        <v>1.560744475367809E-2</v>
      </c>
      <c r="O40" s="19"/>
      <c r="P40" s="67">
        <v>27</v>
      </c>
      <c r="Q40" s="67" t="s">
        <v>116</v>
      </c>
      <c r="R40" s="36">
        <f t="shared" si="8"/>
        <v>0</v>
      </c>
      <c r="S40" s="36">
        <f t="shared" si="18"/>
        <v>313.30871381256122</v>
      </c>
      <c r="T40" s="36">
        <f t="shared" si="26"/>
        <v>279.42088196635319</v>
      </c>
      <c r="U40" s="36">
        <f t="shared" si="32"/>
        <v>172.50487583323462</v>
      </c>
      <c r="V40" s="36">
        <f t="shared" si="38"/>
        <v>500.67204794590151</v>
      </c>
      <c r="W40" s="36">
        <f t="shared" si="44"/>
        <v>0</v>
      </c>
      <c r="X40" s="51"/>
      <c r="Z40" s="36">
        <f t="shared" si="9"/>
        <v>0</v>
      </c>
      <c r="AA40" s="36">
        <f t="shared" si="9"/>
        <v>219.19077618326784</v>
      </c>
      <c r="AB40" s="36">
        <f t="shared" si="9"/>
        <v>195.48284902366072</v>
      </c>
      <c r="AC40" s="36">
        <f t="shared" si="9"/>
        <v>120.68441113293095</v>
      </c>
      <c r="AD40" s="36">
        <f t="shared" si="9"/>
        <v>350.27016474295272</v>
      </c>
      <c r="AE40" s="36">
        <f t="shared" si="9"/>
        <v>0</v>
      </c>
      <c r="AG40" s="36">
        <f t="shared" si="1"/>
        <v>0</v>
      </c>
      <c r="AH40" s="36">
        <f t="shared" si="10"/>
        <v>54.797694045816961</v>
      </c>
      <c r="AI40" s="36">
        <f t="shared" si="19"/>
        <v>48.87071225591518</v>
      </c>
      <c r="AJ40" s="36">
        <f t="shared" si="27"/>
        <v>30.171102783232737</v>
      </c>
      <c r="AK40" s="36">
        <f t="shared" si="33"/>
        <v>87.567541185738179</v>
      </c>
      <c r="AL40" s="36">
        <f t="shared" si="39"/>
        <v>0</v>
      </c>
      <c r="AN40" s="36">
        <f t="shared" si="2"/>
        <v>0</v>
      </c>
      <c r="AO40" s="36">
        <f t="shared" si="11"/>
        <v>273.98847022908478</v>
      </c>
      <c r="AP40" s="36">
        <f t="shared" si="20"/>
        <v>173.36242137098333</v>
      </c>
      <c r="AQ40" s="36">
        <f t="shared" si="28"/>
        <v>307.14681329244695</v>
      </c>
      <c r="AR40" s="36">
        <f t="shared" si="34"/>
        <v>437.83770592869087</v>
      </c>
      <c r="AS40" s="36">
        <f t="shared" si="40"/>
        <v>0</v>
      </c>
      <c r="AU40" s="36">
        <f t="shared" si="21"/>
        <v>0</v>
      </c>
      <c r="AV40" s="36">
        <f t="shared" si="12"/>
        <v>472.60271229814828</v>
      </c>
      <c r="AW40" s="36">
        <f t="shared" si="22"/>
        <v>299.03284062280909</v>
      </c>
      <c r="AX40" s="36">
        <f t="shared" si="29"/>
        <v>529.79753824814168</v>
      </c>
      <c r="AY40" s="36">
        <f t="shared" si="35"/>
        <v>755.22625895639885</v>
      </c>
      <c r="AZ40" s="36">
        <f t="shared" si="41"/>
        <v>0</v>
      </c>
      <c r="BA40" s="36">
        <f t="shared" si="3"/>
        <v>2056.6593501254979</v>
      </c>
      <c r="BC40" s="36">
        <f t="shared" si="13"/>
        <v>0</v>
      </c>
      <c r="BD40" s="36">
        <f t="shared" si="23"/>
        <v>4.726027122981483</v>
      </c>
      <c r="BE40" s="36">
        <f t="shared" si="30"/>
        <v>2.990328406228091</v>
      </c>
      <c r="BF40" s="36">
        <f t="shared" si="36"/>
        <v>5.2979753824814173</v>
      </c>
      <c r="BG40" s="36">
        <f t="shared" si="42"/>
        <v>7.5522625895639885</v>
      </c>
      <c r="BH40" s="36">
        <f t="shared" si="45"/>
        <v>0</v>
      </c>
      <c r="BI40" s="36">
        <f t="shared" si="4"/>
        <v>20.566593501254978</v>
      </c>
      <c r="BK40" s="36">
        <f t="shared" si="14"/>
        <v>0</v>
      </c>
      <c r="BL40" s="36">
        <f t="shared" si="24"/>
        <v>4.726027122981483</v>
      </c>
      <c r="BM40" s="36">
        <f t="shared" si="31"/>
        <v>2.990328406228091</v>
      </c>
      <c r="BN40" s="36">
        <f t="shared" si="37"/>
        <v>5.2979753824814173</v>
      </c>
      <c r="BO40" s="36">
        <f t="shared" si="43"/>
        <v>7.5522625895639885</v>
      </c>
      <c r="BP40" s="36">
        <f t="shared" si="46"/>
        <v>0</v>
      </c>
      <c r="BQ40" s="36">
        <f t="shared" si="5"/>
        <v>20.566593501254978</v>
      </c>
      <c r="BS40" s="36">
        <f t="shared" si="6"/>
        <v>2097.7925371280076</v>
      </c>
      <c r="BT40" s="36">
        <f t="shared" si="25"/>
        <v>31694.555140135028</v>
      </c>
    </row>
    <row r="41" spans="2:72" x14ac:dyDescent="0.25">
      <c r="B41" s="67">
        <v>2045</v>
      </c>
      <c r="C41" s="67">
        <v>0</v>
      </c>
      <c r="D41" s="67">
        <v>0</v>
      </c>
      <c r="E41" s="67">
        <f t="shared" si="7"/>
        <v>0</v>
      </c>
      <c r="F41" s="67">
        <f t="shared" si="15"/>
        <v>0</v>
      </c>
      <c r="G41" s="67">
        <f t="shared" si="16"/>
        <v>0</v>
      </c>
      <c r="I41" s="67">
        <v>28</v>
      </c>
      <c r="J41" s="67" t="str">
        <f>Gauva!Q41</f>
        <v>2045-2046</v>
      </c>
      <c r="K41" s="36">
        <f t="shared" si="47"/>
        <v>0.13535031847133758</v>
      </c>
      <c r="L41" s="36"/>
      <c r="M41" s="36">
        <f t="shared" si="0"/>
        <v>0.29469215093194545</v>
      </c>
      <c r="N41" s="36">
        <f t="shared" si="17"/>
        <v>1.6057250634489761E-2</v>
      </c>
      <c r="O41" s="19"/>
      <c r="P41" s="67">
        <v>28</v>
      </c>
      <c r="Q41" s="67" t="s">
        <v>117</v>
      </c>
      <c r="R41" s="36">
        <f t="shared" si="8"/>
        <v>0</v>
      </c>
      <c r="S41" s="36">
        <f t="shared" si="18"/>
        <v>322.60621081486596</v>
      </c>
      <c r="T41" s="36">
        <f t="shared" si="26"/>
        <v>287.96633907059982</v>
      </c>
      <c r="U41" s="36">
        <f t="shared" si="32"/>
        <v>177.94698272594073</v>
      </c>
      <c r="V41" s="36">
        <f t="shared" si="38"/>
        <v>395.90581833792771</v>
      </c>
      <c r="W41" s="36">
        <f t="shared" si="44"/>
        <v>0</v>
      </c>
      <c r="X41" s="51"/>
      <c r="Z41" s="36">
        <f t="shared" si="9"/>
        <v>0</v>
      </c>
      <c r="AA41" s="36">
        <f t="shared" si="9"/>
        <v>225.69530508608025</v>
      </c>
      <c r="AB41" s="36">
        <f t="shared" si="9"/>
        <v>201.46125081379165</v>
      </c>
      <c r="AC41" s="36">
        <f t="shared" si="9"/>
        <v>124.49170911506815</v>
      </c>
      <c r="AD41" s="36">
        <f t="shared" si="9"/>
        <v>276.9757105092142</v>
      </c>
      <c r="AE41" s="36">
        <f t="shared" si="9"/>
        <v>0</v>
      </c>
      <c r="AG41" s="36">
        <f t="shared" si="1"/>
        <v>0</v>
      </c>
      <c r="AH41" s="36">
        <f t="shared" si="10"/>
        <v>56.423826271520063</v>
      </c>
      <c r="AI41" s="36">
        <f t="shared" si="19"/>
        <v>50.365312703447913</v>
      </c>
      <c r="AJ41" s="36">
        <f t="shared" si="27"/>
        <v>31.122927278767037</v>
      </c>
      <c r="AK41" s="36">
        <f t="shared" si="33"/>
        <v>69.243927627303549</v>
      </c>
      <c r="AL41" s="36">
        <f t="shared" si="39"/>
        <v>0</v>
      </c>
      <c r="AN41" s="36">
        <f t="shared" si="2"/>
        <v>0</v>
      </c>
      <c r="AO41" s="36">
        <f t="shared" si="11"/>
        <v>282.11913135760034</v>
      </c>
      <c r="AP41" s="36">
        <f t="shared" si="20"/>
        <v>178.66431980065209</v>
      </c>
      <c r="AQ41" s="36">
        <f t="shared" si="28"/>
        <v>316.83654398334897</v>
      </c>
      <c r="AR41" s="36">
        <f t="shared" si="34"/>
        <v>346.21963813651774</v>
      </c>
      <c r="AS41" s="36">
        <f t="shared" si="40"/>
        <v>0</v>
      </c>
      <c r="AU41" s="36">
        <f t="shared" si="21"/>
        <v>0</v>
      </c>
      <c r="AV41" s="36">
        <f t="shared" si="12"/>
        <v>486.62728967872476</v>
      </c>
      <c r="AW41" s="36">
        <f t="shared" si="22"/>
        <v>308.17808522414481</v>
      </c>
      <c r="AX41" s="36">
        <f t="shared" si="29"/>
        <v>546.5113547168786</v>
      </c>
      <c r="AY41" s="36">
        <f t="shared" si="35"/>
        <v>597.19425382167935</v>
      </c>
      <c r="AZ41" s="36">
        <f t="shared" si="41"/>
        <v>0</v>
      </c>
      <c r="BA41" s="36">
        <f t="shared" si="3"/>
        <v>1938.5109834414275</v>
      </c>
      <c r="BC41" s="36">
        <f t="shared" si="13"/>
        <v>0</v>
      </c>
      <c r="BD41" s="36">
        <f t="shared" si="23"/>
        <v>4.8662728967872475</v>
      </c>
      <c r="BE41" s="36">
        <f t="shared" si="30"/>
        <v>3.0817808522414483</v>
      </c>
      <c r="BF41" s="36">
        <f t="shared" si="36"/>
        <v>5.4651135471687864</v>
      </c>
      <c r="BG41" s="36">
        <f t="shared" si="42"/>
        <v>5.9719425382167941</v>
      </c>
      <c r="BH41" s="36">
        <f t="shared" si="45"/>
        <v>0</v>
      </c>
      <c r="BI41" s="36">
        <f t="shared" si="4"/>
        <v>19.385109834414276</v>
      </c>
      <c r="BK41" s="36">
        <f t="shared" si="14"/>
        <v>0</v>
      </c>
      <c r="BL41" s="36">
        <f t="shared" si="24"/>
        <v>4.8662728967872475</v>
      </c>
      <c r="BM41" s="36">
        <f t="shared" si="31"/>
        <v>3.0817808522414483</v>
      </c>
      <c r="BN41" s="36">
        <f t="shared" si="37"/>
        <v>5.4651135471687864</v>
      </c>
      <c r="BO41" s="36">
        <f t="shared" si="43"/>
        <v>5.9719425382167941</v>
      </c>
      <c r="BP41" s="36">
        <f t="shared" si="46"/>
        <v>0</v>
      </c>
      <c r="BQ41" s="36">
        <f t="shared" si="5"/>
        <v>19.385109834414276</v>
      </c>
      <c r="BS41" s="36">
        <f t="shared" si="6"/>
        <v>1977.2812031102562</v>
      </c>
      <c r="BT41" s="36">
        <f t="shared" si="25"/>
        <v>33671.836343245282</v>
      </c>
    </row>
    <row r="42" spans="2:72" x14ac:dyDescent="0.25">
      <c r="B42" s="67">
        <v>2046</v>
      </c>
      <c r="C42" s="67">
        <v>0</v>
      </c>
      <c r="D42" s="67">
        <v>0</v>
      </c>
      <c r="E42" s="67">
        <f t="shared" si="7"/>
        <v>0</v>
      </c>
      <c r="F42" s="67">
        <f t="shared" si="15"/>
        <v>0</v>
      </c>
      <c r="G42" s="67">
        <f t="shared" si="16"/>
        <v>0</v>
      </c>
      <c r="I42" s="67">
        <v>29</v>
      </c>
      <c r="J42" s="67" t="str">
        <f>Gauva!Q42</f>
        <v>2046-2047</v>
      </c>
      <c r="K42" s="36">
        <f t="shared" si="47"/>
        <v>0.14203821656050955</v>
      </c>
      <c r="L42" s="36"/>
      <c r="M42" s="36">
        <f t="shared" si="0"/>
        <v>0.31644990795492944</v>
      </c>
      <c r="N42" s="36">
        <f t="shared" si="17"/>
        <v>2.1757757022983992E-2</v>
      </c>
      <c r="O42" s="19"/>
      <c r="P42" s="67">
        <v>29</v>
      </c>
      <c r="Q42" s="67" t="s">
        <v>118</v>
      </c>
      <c r="R42" s="36">
        <f t="shared" si="8"/>
        <v>0</v>
      </c>
      <c r="S42" s="36">
        <f t="shared" si="18"/>
        <v>331.90370781716672</v>
      </c>
      <c r="T42" s="36">
        <f t="shared" si="26"/>
        <v>296.51179617485172</v>
      </c>
      <c r="U42" s="36">
        <f t="shared" si="32"/>
        <v>183.38908961864516</v>
      </c>
      <c r="V42" s="36">
        <f t="shared" si="38"/>
        <v>408.39567853713834</v>
      </c>
      <c r="W42" s="36">
        <f t="shared" si="44"/>
        <v>0</v>
      </c>
      <c r="X42" s="51"/>
      <c r="Z42" s="36">
        <f t="shared" si="9"/>
        <v>0</v>
      </c>
      <c r="AA42" s="36">
        <f t="shared" si="9"/>
        <v>232.19983398888985</v>
      </c>
      <c r="AB42" s="36">
        <f t="shared" si="9"/>
        <v>207.43965260392628</v>
      </c>
      <c r="AC42" s="36">
        <f t="shared" si="9"/>
        <v>128.29900709720417</v>
      </c>
      <c r="AD42" s="36">
        <f t="shared" si="9"/>
        <v>285.71361670458197</v>
      </c>
      <c r="AE42" s="36">
        <f t="shared" si="9"/>
        <v>0</v>
      </c>
      <c r="AG42" s="36">
        <f t="shared" si="1"/>
        <v>0</v>
      </c>
      <c r="AH42" s="36">
        <f t="shared" si="10"/>
        <v>58.049958497222462</v>
      </c>
      <c r="AI42" s="36">
        <f t="shared" si="19"/>
        <v>51.859913150981569</v>
      </c>
      <c r="AJ42" s="36">
        <f t="shared" si="27"/>
        <v>32.074751774301042</v>
      </c>
      <c r="AK42" s="36">
        <f t="shared" si="33"/>
        <v>71.428404176145492</v>
      </c>
      <c r="AL42" s="36">
        <f t="shared" si="39"/>
        <v>0</v>
      </c>
      <c r="AN42" s="36">
        <f t="shared" si="2"/>
        <v>0</v>
      </c>
      <c r="AO42" s="36">
        <f t="shared" si="11"/>
        <v>290.24979248611231</v>
      </c>
      <c r="AP42" s="36">
        <f t="shared" si="20"/>
        <v>183.9662182303241</v>
      </c>
      <c r="AQ42" s="36">
        <f t="shared" si="28"/>
        <v>326.5262746742481</v>
      </c>
      <c r="AR42" s="36">
        <f t="shared" si="34"/>
        <v>357.14202088072744</v>
      </c>
      <c r="AS42" s="36">
        <f t="shared" si="40"/>
        <v>0</v>
      </c>
      <c r="AU42" s="36">
        <f t="shared" si="21"/>
        <v>0</v>
      </c>
      <c r="AV42" s="36">
        <f t="shared" si="12"/>
        <v>500.65186705929506</v>
      </c>
      <c r="AW42" s="36">
        <f t="shared" si="22"/>
        <v>317.32332982548604</v>
      </c>
      <c r="AX42" s="36">
        <f t="shared" si="29"/>
        <v>563.22517118561052</v>
      </c>
      <c r="AY42" s="36">
        <f t="shared" si="35"/>
        <v>616.03427181716677</v>
      </c>
      <c r="AZ42" s="36">
        <f t="shared" si="41"/>
        <v>0</v>
      </c>
      <c r="BA42" s="36">
        <f t="shared" si="3"/>
        <v>1997.2346398875584</v>
      </c>
      <c r="BC42" s="36">
        <f t="shared" si="13"/>
        <v>0</v>
      </c>
      <c r="BD42" s="36">
        <f t="shared" si="23"/>
        <v>5.0065186705929507</v>
      </c>
      <c r="BE42" s="36">
        <f t="shared" si="30"/>
        <v>3.1732332982548606</v>
      </c>
      <c r="BF42" s="36">
        <f t="shared" si="36"/>
        <v>5.6322517118561057</v>
      </c>
      <c r="BG42" s="36">
        <f t="shared" si="42"/>
        <v>6.1603427181716679</v>
      </c>
      <c r="BH42" s="36">
        <f t="shared" si="45"/>
        <v>0</v>
      </c>
      <c r="BI42" s="36">
        <f t="shared" si="4"/>
        <v>19.972346398875587</v>
      </c>
      <c r="BK42" s="36">
        <f t="shared" si="14"/>
        <v>0</v>
      </c>
      <c r="BL42" s="36">
        <f t="shared" si="24"/>
        <v>5.0065186705929507</v>
      </c>
      <c r="BM42" s="36">
        <f t="shared" si="31"/>
        <v>3.1732332982548606</v>
      </c>
      <c r="BN42" s="36">
        <f t="shared" si="37"/>
        <v>5.6322517118561057</v>
      </c>
      <c r="BO42" s="36">
        <f t="shared" si="43"/>
        <v>6.1603427181716679</v>
      </c>
      <c r="BP42" s="36">
        <f t="shared" si="46"/>
        <v>0</v>
      </c>
      <c r="BQ42" s="36">
        <f t="shared" si="5"/>
        <v>19.972346398875587</v>
      </c>
      <c r="BS42" s="36">
        <f t="shared" si="6"/>
        <v>2037.1793326853094</v>
      </c>
      <c r="BT42" s="36">
        <f t="shared" si="25"/>
        <v>35709.01567593059</v>
      </c>
    </row>
    <row r="43" spans="2:72" x14ac:dyDescent="0.25">
      <c r="B43" s="67">
        <v>2047</v>
      </c>
      <c r="C43" s="67">
        <v>0</v>
      </c>
      <c r="D43" s="67">
        <v>0</v>
      </c>
      <c r="E43" s="67">
        <f t="shared" si="7"/>
        <v>0</v>
      </c>
      <c r="F43" s="67">
        <f t="shared" si="15"/>
        <v>0</v>
      </c>
      <c r="G43" s="67">
        <f t="shared" si="16"/>
        <v>0</v>
      </c>
      <c r="I43" s="67">
        <v>30</v>
      </c>
      <c r="J43" s="67" t="str">
        <f>Gauva!Q43</f>
        <v>2047-2048</v>
      </c>
      <c r="K43" s="36">
        <f t="shared" si="47"/>
        <v>0.1429936305732484</v>
      </c>
      <c r="L43" s="36"/>
      <c r="M43" s="36">
        <f t="shared" si="0"/>
        <v>0.31962141291020207</v>
      </c>
      <c r="N43" s="36">
        <f t="shared" si="17"/>
        <v>3.1715049552726304E-3</v>
      </c>
      <c r="O43" s="19"/>
      <c r="P43" s="67">
        <v>30</v>
      </c>
      <c r="Q43" s="67" t="s">
        <v>119</v>
      </c>
      <c r="R43" s="36">
        <f>(N43*$G$14)</f>
        <v>0</v>
      </c>
      <c r="S43" s="36">
        <f>N42*$G$15</f>
        <v>449.73329457797661</v>
      </c>
      <c r="T43" s="36">
        <f t="shared" si="26"/>
        <v>305.05725327909994</v>
      </c>
      <c r="U43" s="36">
        <f t="shared" si="32"/>
        <v>188.83119651135294</v>
      </c>
      <c r="V43" s="36">
        <f t="shared" si="38"/>
        <v>420.88553873634515</v>
      </c>
      <c r="W43" s="36">
        <f t="shared" si="44"/>
        <v>0</v>
      </c>
      <c r="X43" s="51"/>
      <c r="Z43" s="36">
        <f t="shared" si="9"/>
        <v>0</v>
      </c>
      <c r="AA43" s="36">
        <f t="shared" si="9"/>
        <v>314.63341288675247</v>
      </c>
      <c r="AB43" s="36">
        <f t="shared" si="9"/>
        <v>213.41805439405834</v>
      </c>
      <c r="AC43" s="36">
        <f t="shared" si="9"/>
        <v>132.10630507934252</v>
      </c>
      <c r="AD43" s="36">
        <f t="shared" si="9"/>
        <v>294.45152289994707</v>
      </c>
      <c r="AE43" s="36">
        <f t="shared" si="9"/>
        <v>0</v>
      </c>
      <c r="AG43" s="36">
        <f t="shared" si="1"/>
        <v>0</v>
      </c>
      <c r="AH43" s="36">
        <f t="shared" si="10"/>
        <v>78.658353221688117</v>
      </c>
      <c r="AI43" s="36">
        <f t="shared" si="19"/>
        <v>53.354513598514586</v>
      </c>
      <c r="AJ43" s="36">
        <f t="shared" si="27"/>
        <v>33.02657626983563</v>
      </c>
      <c r="AK43" s="36">
        <f t="shared" si="33"/>
        <v>73.612880724986766</v>
      </c>
      <c r="AL43" s="36">
        <f t="shared" si="39"/>
        <v>0</v>
      </c>
      <c r="AN43" s="36">
        <f t="shared" si="2"/>
        <v>0</v>
      </c>
      <c r="AO43" s="36">
        <f t="shared" si="11"/>
        <v>393.29176610844058</v>
      </c>
      <c r="AP43" s="36">
        <f t="shared" si="20"/>
        <v>189.26811665999384</v>
      </c>
      <c r="AQ43" s="36">
        <f t="shared" si="28"/>
        <v>336.21600536515319</v>
      </c>
      <c r="AR43" s="36">
        <f t="shared" si="34"/>
        <v>368.06440362493385</v>
      </c>
      <c r="AS43" s="36">
        <f t="shared" si="40"/>
        <v>0</v>
      </c>
      <c r="AU43" s="36">
        <f t="shared" si="21"/>
        <v>0</v>
      </c>
      <c r="AV43" s="36">
        <f t="shared" si="12"/>
        <v>678.3889673604491</v>
      </c>
      <c r="AW43" s="36">
        <f t="shared" si="22"/>
        <v>326.4685744268233</v>
      </c>
      <c r="AX43" s="36">
        <f t="shared" si="29"/>
        <v>579.93898765435267</v>
      </c>
      <c r="AY43" s="36">
        <f t="shared" si="35"/>
        <v>634.87428981264839</v>
      </c>
      <c r="AZ43" s="36">
        <f t="shared" si="41"/>
        <v>0</v>
      </c>
      <c r="BA43" s="36">
        <f t="shared" si="3"/>
        <v>2219.6708192542733</v>
      </c>
      <c r="BC43" s="36">
        <f t="shared" si="13"/>
        <v>0</v>
      </c>
      <c r="BD43" s="36">
        <f t="shared" si="23"/>
        <v>6.7838896736044916</v>
      </c>
      <c r="BE43" s="36">
        <f t="shared" si="30"/>
        <v>3.2646857442682329</v>
      </c>
      <c r="BF43" s="36">
        <f t="shared" si="36"/>
        <v>5.7993898765435272</v>
      </c>
      <c r="BG43" s="36">
        <f t="shared" si="42"/>
        <v>6.348742898126484</v>
      </c>
      <c r="BH43" s="36">
        <f t="shared" si="45"/>
        <v>0</v>
      </c>
      <c r="BI43" s="36">
        <f t="shared" si="4"/>
        <v>22.196708192542737</v>
      </c>
      <c r="BK43" s="36">
        <f t="shared" si="14"/>
        <v>0</v>
      </c>
      <c r="BL43" s="36">
        <f t="shared" si="24"/>
        <v>6.7838896736044916</v>
      </c>
      <c r="BM43" s="36">
        <f t="shared" si="31"/>
        <v>3.2646857442682329</v>
      </c>
      <c r="BN43" s="36">
        <f t="shared" si="37"/>
        <v>5.7993898765435272</v>
      </c>
      <c r="BO43" s="36">
        <f t="shared" si="43"/>
        <v>6.348742898126484</v>
      </c>
      <c r="BP43" s="36">
        <f t="shared" si="46"/>
        <v>0</v>
      </c>
      <c r="BQ43" s="36">
        <f t="shared" si="5"/>
        <v>22.196708192542737</v>
      </c>
      <c r="BS43" s="36">
        <f t="shared" si="6"/>
        <v>2264.0642356393587</v>
      </c>
      <c r="BT43" s="36">
        <f t="shared" si="25"/>
        <v>37973.079911569948</v>
      </c>
    </row>
    <row r="44" spans="2:72" x14ac:dyDescent="0.25">
      <c r="I44" s="67">
        <v>31</v>
      </c>
      <c r="J44" s="67" t="str">
        <f>Gauva!Q44</f>
        <v>2048-2049</v>
      </c>
      <c r="K44" s="36">
        <f t="shared" si="47"/>
        <v>1.5923566878980892E-2</v>
      </c>
      <c r="L44" s="36"/>
      <c r="M44" s="36">
        <f t="shared" si="0"/>
        <v>3.6622051499133439E-2</v>
      </c>
      <c r="N44" s="36">
        <f t="shared" si="17"/>
        <v>-0.28299936141106863</v>
      </c>
      <c r="P44" s="67">
        <v>31</v>
      </c>
      <c r="Q44" s="67" t="s">
        <v>120</v>
      </c>
      <c r="R44" s="36">
        <f t="shared" ref="R44:R48" si="48">(N44*$G$14)</f>
        <v>0</v>
      </c>
      <c r="S44" s="36">
        <f t="shared" ref="S44:S48" si="49">N43*$G$15</f>
        <v>65.555074027089333</v>
      </c>
      <c r="T44" s="36">
        <f t="shared" si="26"/>
        <v>413.35604369835215</v>
      </c>
      <c r="U44" s="36">
        <f t="shared" si="32"/>
        <v>194.2733034040584</v>
      </c>
      <c r="V44" s="36">
        <f t="shared" si="38"/>
        <v>433.37539893555964</v>
      </c>
      <c r="W44" s="36">
        <f t="shared" si="44"/>
        <v>0</v>
      </c>
      <c r="X44" s="51"/>
      <c r="Z44" s="36">
        <f t="shared" si="9"/>
        <v>0</v>
      </c>
      <c r="AA44" s="36">
        <f t="shared" si="9"/>
        <v>45.862329789351698</v>
      </c>
      <c r="AB44" s="36">
        <f t="shared" si="9"/>
        <v>289.18388817136719</v>
      </c>
      <c r="AC44" s="36">
        <f t="shared" si="9"/>
        <v>135.91360306147925</v>
      </c>
      <c r="AD44" s="36">
        <f t="shared" si="9"/>
        <v>303.18942909531756</v>
      </c>
      <c r="AE44" s="36">
        <f t="shared" si="9"/>
        <v>0</v>
      </c>
      <c r="AG44" s="36">
        <f t="shared" si="1"/>
        <v>0</v>
      </c>
      <c r="AH44" s="36">
        <f t="shared" si="10"/>
        <v>11.465582447337924</v>
      </c>
      <c r="AI44" s="36">
        <f t="shared" si="19"/>
        <v>72.295972042841797</v>
      </c>
      <c r="AJ44" s="36">
        <f t="shared" si="27"/>
        <v>33.978400765369813</v>
      </c>
      <c r="AK44" s="36">
        <f t="shared" si="33"/>
        <v>75.797357273829391</v>
      </c>
      <c r="AL44" s="36">
        <f t="shared" si="39"/>
        <v>0</v>
      </c>
      <c r="AN44" s="36">
        <f t="shared" si="2"/>
        <v>0</v>
      </c>
      <c r="AO44" s="36">
        <f t="shared" si="11"/>
        <v>57.32791223668962</v>
      </c>
      <c r="AP44" s="36">
        <f t="shared" si="20"/>
        <v>256.46044819408093</v>
      </c>
      <c r="AQ44" s="36">
        <f t="shared" si="28"/>
        <v>345.90573605605408</v>
      </c>
      <c r="AR44" s="36">
        <f t="shared" si="34"/>
        <v>378.98678636914696</v>
      </c>
      <c r="AS44" s="36">
        <f t="shared" si="40"/>
        <v>0</v>
      </c>
      <c r="AU44" s="36">
        <f t="shared" si="21"/>
        <v>0</v>
      </c>
      <c r="AV44" s="36">
        <f t="shared" si="12"/>
        <v>98.884915817065917</v>
      </c>
      <c r="AW44" s="36">
        <f t="shared" si="22"/>
        <v>442.36862708997018</v>
      </c>
      <c r="AX44" s="36">
        <f t="shared" si="29"/>
        <v>596.65280412308766</v>
      </c>
      <c r="AY44" s="36">
        <f t="shared" si="35"/>
        <v>653.71430780814148</v>
      </c>
      <c r="AZ44" s="36">
        <f t="shared" si="41"/>
        <v>0</v>
      </c>
      <c r="BA44" s="36">
        <f t="shared" si="3"/>
        <v>1791.6206548382652</v>
      </c>
      <c r="BC44" s="36">
        <f t="shared" si="13"/>
        <v>0</v>
      </c>
      <c r="BD44" s="36">
        <f t="shared" si="23"/>
        <v>0.98884915817065921</v>
      </c>
      <c r="BE44" s="36">
        <f t="shared" si="30"/>
        <v>4.4236862708997018</v>
      </c>
      <c r="BF44" s="36">
        <f t="shared" si="36"/>
        <v>5.9665280412308768</v>
      </c>
      <c r="BG44" s="36">
        <f t="shared" si="42"/>
        <v>6.5371430780814146</v>
      </c>
      <c r="BH44" s="36">
        <f t="shared" si="45"/>
        <v>0</v>
      </c>
      <c r="BI44" s="36">
        <f t="shared" si="4"/>
        <v>17.91620654838265</v>
      </c>
      <c r="BK44" s="36">
        <f t="shared" si="14"/>
        <v>0</v>
      </c>
      <c r="BL44" s="36">
        <f t="shared" si="24"/>
        <v>0.98884915817065921</v>
      </c>
      <c r="BM44" s="36">
        <f t="shared" si="31"/>
        <v>4.4236862708997018</v>
      </c>
      <c r="BN44" s="36">
        <f t="shared" si="37"/>
        <v>5.9665280412308768</v>
      </c>
      <c r="BO44" s="36">
        <f t="shared" si="43"/>
        <v>6.5371430780814146</v>
      </c>
      <c r="BP44" s="36">
        <f t="shared" si="46"/>
        <v>0</v>
      </c>
      <c r="BQ44" s="36">
        <f t="shared" si="5"/>
        <v>17.91620654838265</v>
      </c>
      <c r="BS44" s="36">
        <f t="shared" si="6"/>
        <v>1827.4530679350305</v>
      </c>
      <c r="BT44" s="36">
        <f t="shared" si="25"/>
        <v>39800.532979504977</v>
      </c>
    </row>
    <row r="45" spans="2:72" x14ac:dyDescent="0.25">
      <c r="I45" s="67">
        <v>32</v>
      </c>
      <c r="J45" s="67" t="str">
        <f>Gauva!Q45</f>
        <v>2049-2050</v>
      </c>
      <c r="K45" s="36">
        <f t="shared" si="47"/>
        <v>5.1592356687898085E-2</v>
      </c>
      <c r="L45" s="36"/>
      <c r="M45" s="36">
        <f t="shared" si="0"/>
        <v>8.7821093282617571E-2</v>
      </c>
      <c r="N45" s="36">
        <f t="shared" si="17"/>
        <v>5.1199041783484132E-2</v>
      </c>
      <c r="P45" s="67">
        <v>32</v>
      </c>
      <c r="Q45" s="67" t="s">
        <v>121</v>
      </c>
      <c r="R45" s="36">
        <f t="shared" si="48"/>
        <v>0</v>
      </c>
      <c r="S45" s="36">
        <f t="shared" si="49"/>
        <v>-5849.6027433533782</v>
      </c>
      <c r="T45" s="36">
        <f t="shared" si="26"/>
        <v>60.252568290764955</v>
      </c>
      <c r="U45" s="36">
        <f t="shared" si="32"/>
        <v>263.24253309210849</v>
      </c>
      <c r="V45" s="36">
        <f t="shared" si="38"/>
        <v>445.86525913476873</v>
      </c>
      <c r="W45" s="36">
        <f t="shared" si="44"/>
        <v>0</v>
      </c>
      <c r="X45" s="51"/>
      <c r="Z45" s="36">
        <f t="shared" ref="Z45:AE48" si="50">R45*$R$5*$R$6</f>
        <v>0</v>
      </c>
      <c r="AA45" s="36">
        <f t="shared" si="50"/>
        <v>-4092.3820792500237</v>
      </c>
      <c r="AB45" s="36">
        <f t="shared" si="50"/>
        <v>42.152696776219159</v>
      </c>
      <c r="AC45" s="36">
        <f t="shared" si="50"/>
        <v>184.16447615123911</v>
      </c>
      <c r="AD45" s="36">
        <f t="shared" si="50"/>
        <v>311.92733529068425</v>
      </c>
      <c r="AE45" s="36">
        <f t="shared" si="50"/>
        <v>0</v>
      </c>
      <c r="AG45" s="36">
        <f t="shared" si="1"/>
        <v>0</v>
      </c>
      <c r="AH45" s="36">
        <f t="shared" si="10"/>
        <v>-1023.0955198125059</v>
      </c>
      <c r="AI45" s="36">
        <f t="shared" si="19"/>
        <v>10.53817419405479</v>
      </c>
      <c r="AJ45" s="36">
        <f t="shared" si="27"/>
        <v>46.041119037809779</v>
      </c>
      <c r="AK45" s="36">
        <f t="shared" si="33"/>
        <v>77.981833822671064</v>
      </c>
      <c r="AL45" s="36">
        <f t="shared" si="39"/>
        <v>0</v>
      </c>
      <c r="AN45" s="36">
        <f t="shared" si="2"/>
        <v>0</v>
      </c>
      <c r="AO45" s="36">
        <f t="shared" si="11"/>
        <v>-5115.4775990625294</v>
      </c>
      <c r="AP45" s="36">
        <f t="shared" si="20"/>
        <v>37.382786351541739</v>
      </c>
      <c r="AQ45" s="36">
        <f t="shared" si="28"/>
        <v>468.70620190722389</v>
      </c>
      <c r="AR45" s="36">
        <f t="shared" si="34"/>
        <v>389.90916911335535</v>
      </c>
      <c r="AS45" s="36">
        <f t="shared" si="40"/>
        <v>0</v>
      </c>
      <c r="AU45" s="36">
        <f t="shared" si="21"/>
        <v>0</v>
      </c>
      <c r="AV45" s="36">
        <f t="shared" si="12"/>
        <v>-8823.6873106229559</v>
      </c>
      <c r="AW45" s="36">
        <f t="shared" si="22"/>
        <v>64.481568177774349</v>
      </c>
      <c r="AX45" s="36">
        <f t="shared" si="29"/>
        <v>808.4713276697704</v>
      </c>
      <c r="AY45" s="36">
        <f t="shared" si="35"/>
        <v>672.55432580362663</v>
      </c>
      <c r="AZ45" s="36">
        <f t="shared" si="41"/>
        <v>0</v>
      </c>
      <c r="BA45" s="36">
        <f t="shared" si="3"/>
        <v>-7278.1800889717842</v>
      </c>
      <c r="BC45" s="36">
        <f t="shared" si="13"/>
        <v>0</v>
      </c>
      <c r="BD45" s="36">
        <f t="shared" si="23"/>
        <v>-88.236873106229567</v>
      </c>
      <c r="BE45" s="36">
        <f t="shared" si="30"/>
        <v>0.64481568177774351</v>
      </c>
      <c r="BF45" s="36">
        <f t="shared" si="36"/>
        <v>8.0847132766977037</v>
      </c>
      <c r="BG45" s="36">
        <f t="shared" si="42"/>
        <v>6.7255432580362662</v>
      </c>
      <c r="BH45" s="36">
        <f t="shared" si="45"/>
        <v>0</v>
      </c>
      <c r="BI45" s="36">
        <f t="shared" si="4"/>
        <v>-72.781800889717857</v>
      </c>
      <c r="BK45" s="36">
        <f t="shared" si="14"/>
        <v>0</v>
      </c>
      <c r="BL45" s="36">
        <f t="shared" si="24"/>
        <v>-88.236873106229567</v>
      </c>
      <c r="BM45" s="36">
        <f t="shared" si="31"/>
        <v>0.64481568177774351</v>
      </c>
      <c r="BN45" s="36">
        <f t="shared" si="37"/>
        <v>8.0847132766977037</v>
      </c>
      <c r="BO45" s="36">
        <f t="shared" si="43"/>
        <v>6.7255432580362662</v>
      </c>
      <c r="BP45" s="36">
        <f t="shared" si="46"/>
        <v>0</v>
      </c>
      <c r="BQ45" s="36">
        <f t="shared" si="5"/>
        <v>-72.781800889717857</v>
      </c>
      <c r="BS45" s="36">
        <f t="shared" si="6"/>
        <v>-7423.7436907512192</v>
      </c>
      <c r="BT45" s="36">
        <f t="shared" si="25"/>
        <v>32376.789288753756</v>
      </c>
    </row>
    <row r="46" spans="2:72" x14ac:dyDescent="0.25">
      <c r="I46" s="67">
        <v>33</v>
      </c>
      <c r="J46" s="67" t="str">
        <f>Gauva!Q46</f>
        <v>2051-2051</v>
      </c>
      <c r="K46" s="36">
        <f t="shared" si="47"/>
        <v>7.5796178343949042E-2</v>
      </c>
      <c r="L46" s="36"/>
      <c r="M46" s="36">
        <f t="shared" si="0"/>
        <v>0.13511569556852662</v>
      </c>
      <c r="N46" s="36">
        <f t="shared" si="17"/>
        <v>4.7294602285909051E-2</v>
      </c>
      <c r="P46" s="67">
        <v>33</v>
      </c>
      <c r="Q46" s="67" t="s">
        <v>130</v>
      </c>
      <c r="R46" s="36">
        <f t="shared" si="48"/>
        <v>0</v>
      </c>
      <c r="S46" s="36">
        <f t="shared" si="49"/>
        <v>1058.2852688444946</v>
      </c>
      <c r="T46" s="36">
        <f t="shared" si="26"/>
        <v>-5376.4501680236226</v>
      </c>
      <c r="U46" s="36">
        <f t="shared" si="32"/>
        <v>38.371372437802954</v>
      </c>
      <c r="V46" s="36">
        <f t="shared" si="38"/>
        <v>604.15249123701267</v>
      </c>
      <c r="W46" s="36">
        <f t="shared" si="44"/>
        <v>0</v>
      </c>
      <c r="X46" s="51"/>
      <c r="Z46" s="36">
        <f t="shared" si="50"/>
        <v>0</v>
      </c>
      <c r="AA46" s="36">
        <f t="shared" si="50"/>
        <v>740.37637408360843</v>
      </c>
      <c r="AB46" s="36">
        <f t="shared" si="50"/>
        <v>-3761.3645375493265</v>
      </c>
      <c r="AC46" s="36">
        <f t="shared" si="50"/>
        <v>26.844612157486946</v>
      </c>
      <c r="AD46" s="36">
        <f t="shared" si="50"/>
        <v>422.66508286941411</v>
      </c>
      <c r="AE46" s="36">
        <f t="shared" si="50"/>
        <v>0</v>
      </c>
      <c r="AG46" s="36">
        <f t="shared" si="1"/>
        <v>0</v>
      </c>
      <c r="AH46" s="36">
        <f t="shared" si="10"/>
        <v>185.09409352090211</v>
      </c>
      <c r="AI46" s="36">
        <f t="shared" si="19"/>
        <v>-940.34113438733164</v>
      </c>
      <c r="AJ46" s="36">
        <f t="shared" si="27"/>
        <v>6.7111530393717365</v>
      </c>
      <c r="AK46" s="36">
        <f t="shared" si="33"/>
        <v>105.66627071735353</v>
      </c>
      <c r="AL46" s="36">
        <f t="shared" si="39"/>
        <v>0</v>
      </c>
      <c r="AN46" s="36">
        <f t="shared" si="2"/>
        <v>0</v>
      </c>
      <c r="AO46" s="36">
        <f t="shared" si="11"/>
        <v>925.47046760451053</v>
      </c>
      <c r="AP46" s="36">
        <f t="shared" si="20"/>
        <v>-3335.7364451424296</v>
      </c>
      <c r="AQ46" s="36">
        <f t="shared" si="28"/>
        <v>68.32064722229839</v>
      </c>
      <c r="AR46" s="36">
        <f t="shared" si="34"/>
        <v>528.33135358676759</v>
      </c>
      <c r="AS46" s="36">
        <f t="shared" si="40"/>
        <v>0</v>
      </c>
      <c r="AU46" s="36">
        <f t="shared" si="21"/>
        <v>0</v>
      </c>
      <c r="AV46" s="36">
        <f t="shared" si="12"/>
        <v>1596.34400957102</v>
      </c>
      <c r="AW46" s="36">
        <f t="shared" si="22"/>
        <v>-5753.8117942261761</v>
      </c>
      <c r="AX46" s="36">
        <f t="shared" si="29"/>
        <v>117.84628439374248</v>
      </c>
      <c r="AY46" s="36">
        <f t="shared" si="35"/>
        <v>911.31875180181544</v>
      </c>
      <c r="AZ46" s="36">
        <f t="shared" si="41"/>
        <v>0</v>
      </c>
      <c r="BA46" s="36">
        <f t="shared" si="3"/>
        <v>-3128.3027484595982</v>
      </c>
      <c r="BC46" s="36">
        <f t="shared" si="13"/>
        <v>0</v>
      </c>
      <c r="BD46" s="36">
        <f t="shared" si="23"/>
        <v>15.963440095710201</v>
      </c>
      <c r="BE46" s="36">
        <f t="shared" si="30"/>
        <v>-57.538117942261763</v>
      </c>
      <c r="BF46" s="36">
        <f t="shared" si="36"/>
        <v>1.1784628439374247</v>
      </c>
      <c r="BG46" s="36">
        <f t="shared" si="42"/>
        <v>9.1131875180181545</v>
      </c>
      <c r="BH46" s="36">
        <f t="shared" si="45"/>
        <v>0</v>
      </c>
      <c r="BI46" s="36">
        <f t="shared" si="4"/>
        <v>-31.283027484595987</v>
      </c>
      <c r="BK46" s="36">
        <f t="shared" si="14"/>
        <v>0</v>
      </c>
      <c r="BL46" s="36">
        <f t="shared" si="24"/>
        <v>15.963440095710201</v>
      </c>
      <c r="BM46" s="36">
        <f t="shared" si="31"/>
        <v>-57.538117942261763</v>
      </c>
      <c r="BN46" s="36">
        <f t="shared" si="37"/>
        <v>1.1784628439374247</v>
      </c>
      <c r="BO46" s="36">
        <f t="shared" si="43"/>
        <v>9.1131875180181545</v>
      </c>
      <c r="BP46" s="36">
        <f t="shared" si="46"/>
        <v>0</v>
      </c>
      <c r="BQ46" s="36">
        <f t="shared" si="5"/>
        <v>-31.283027484595987</v>
      </c>
      <c r="BS46" s="36">
        <f t="shared" si="6"/>
        <v>-3190.8688034287902</v>
      </c>
      <c r="BT46" s="36">
        <f t="shared" si="25"/>
        <v>29185.920485324965</v>
      </c>
    </row>
    <row r="47" spans="2:72" x14ac:dyDescent="0.25">
      <c r="I47" s="67">
        <v>34</v>
      </c>
      <c r="J47" s="67" t="str">
        <f>Gauva!Q47</f>
        <v>2051-2052</v>
      </c>
      <c r="K47" s="36">
        <f t="shared" si="47"/>
        <v>8.2484076433121001E-2</v>
      </c>
      <c r="L47" s="36"/>
      <c r="M47" s="36">
        <f t="shared" si="0"/>
        <v>0.14997350066202775</v>
      </c>
      <c r="N47" s="36">
        <f t="shared" si="17"/>
        <v>1.4857805093501125E-2</v>
      </c>
      <c r="P47" s="67">
        <v>34</v>
      </c>
      <c r="Q47" s="67" t="s">
        <v>123</v>
      </c>
      <c r="R47" s="36">
        <f t="shared" si="48"/>
        <v>0</v>
      </c>
      <c r="S47" s="36">
        <f t="shared" si="49"/>
        <v>977.58042243638818</v>
      </c>
      <c r="T47" s="36">
        <f t="shared" si="26"/>
        <v>972.68451570680986</v>
      </c>
      <c r="U47" s="36">
        <f t="shared" si="32"/>
        <v>-3423.9498438466235</v>
      </c>
      <c r="V47" s="36">
        <f t="shared" si="38"/>
        <v>88.063885338660157</v>
      </c>
      <c r="W47" s="36">
        <f t="shared" si="44"/>
        <v>0</v>
      </c>
      <c r="X47" s="51"/>
      <c r="Z47" s="36">
        <f t="shared" si="50"/>
        <v>0</v>
      </c>
      <c r="AA47" s="36">
        <f t="shared" si="50"/>
        <v>683.91526353649715</v>
      </c>
      <c r="AB47" s="36">
        <f t="shared" si="50"/>
        <v>680.49008718848415</v>
      </c>
      <c r="AC47" s="36">
        <f t="shared" si="50"/>
        <v>-2395.3953107550979</v>
      </c>
      <c r="AD47" s="36">
        <f t="shared" si="50"/>
        <v>61.609494182926653</v>
      </c>
      <c r="AE47" s="36">
        <f t="shared" si="50"/>
        <v>0</v>
      </c>
      <c r="AG47" s="36">
        <f t="shared" si="1"/>
        <v>0</v>
      </c>
      <c r="AH47" s="36">
        <f t="shared" si="10"/>
        <v>170.97881588412429</v>
      </c>
      <c r="AI47" s="36">
        <f t="shared" si="19"/>
        <v>170.12252179712104</v>
      </c>
      <c r="AJ47" s="36">
        <f t="shared" si="27"/>
        <v>-598.84882768877446</v>
      </c>
      <c r="AK47" s="36">
        <f t="shared" si="33"/>
        <v>15.402373545731663</v>
      </c>
      <c r="AL47" s="36">
        <f t="shared" si="39"/>
        <v>0</v>
      </c>
      <c r="AN47" s="36">
        <f t="shared" si="2"/>
        <v>0</v>
      </c>
      <c r="AO47" s="36">
        <f t="shared" si="11"/>
        <v>854.89407942062144</v>
      </c>
      <c r="AP47" s="36">
        <f t="shared" si="20"/>
        <v>603.48726153294524</v>
      </c>
      <c r="AQ47" s="36">
        <f t="shared" si="28"/>
        <v>-6096.3800491490283</v>
      </c>
      <c r="AR47" s="36">
        <f t="shared" si="34"/>
        <v>77.011867728658316</v>
      </c>
      <c r="AS47" s="36">
        <f t="shared" si="40"/>
        <v>0</v>
      </c>
      <c r="AU47" s="36">
        <f t="shared" si="21"/>
        <v>0</v>
      </c>
      <c r="AV47" s="36">
        <f t="shared" si="12"/>
        <v>1474.6067975926298</v>
      </c>
      <c r="AW47" s="36">
        <f t="shared" si="22"/>
        <v>1040.9551774181771</v>
      </c>
      <c r="AX47" s="36">
        <f t="shared" si="29"/>
        <v>-10515.645946777158</v>
      </c>
      <c r="AY47" s="36">
        <f t="shared" si="35"/>
        <v>132.83777064516272</v>
      </c>
      <c r="AZ47" s="36">
        <f t="shared" si="41"/>
        <v>0</v>
      </c>
      <c r="BA47" s="36">
        <f t="shared" si="3"/>
        <v>-7867.2462011211883</v>
      </c>
      <c r="BC47" s="36">
        <f t="shared" si="13"/>
        <v>0</v>
      </c>
      <c r="BD47" s="36">
        <f t="shared" si="23"/>
        <v>14.746067975926298</v>
      </c>
      <c r="BE47" s="36">
        <f t="shared" si="30"/>
        <v>10.409551774181772</v>
      </c>
      <c r="BF47" s="36">
        <f t="shared" si="36"/>
        <v>-105.15645946777158</v>
      </c>
      <c r="BG47" s="36">
        <f t="shared" si="42"/>
        <v>1.3283777064516273</v>
      </c>
      <c r="BH47" s="36">
        <f t="shared" si="45"/>
        <v>0</v>
      </c>
      <c r="BI47" s="36">
        <f t="shared" si="4"/>
        <v>-78.672462011211877</v>
      </c>
      <c r="BK47" s="36">
        <f t="shared" si="14"/>
        <v>0</v>
      </c>
      <c r="BL47" s="36">
        <f t="shared" si="24"/>
        <v>14.746067975926298</v>
      </c>
      <c r="BM47" s="36">
        <f t="shared" si="31"/>
        <v>10.409551774181772</v>
      </c>
      <c r="BN47" s="36">
        <f t="shared" si="37"/>
        <v>-105.15645946777158</v>
      </c>
      <c r="BO47" s="36">
        <f t="shared" si="43"/>
        <v>1.3283777064516273</v>
      </c>
      <c r="BP47" s="36">
        <f t="shared" si="46"/>
        <v>0</v>
      </c>
      <c r="BQ47" s="36">
        <f t="shared" si="5"/>
        <v>-78.672462011211877</v>
      </c>
      <c r="BS47" s="36">
        <f t="shared" si="6"/>
        <v>-8024.5911251436119</v>
      </c>
      <c r="BT47" s="36">
        <f t="shared" si="25"/>
        <v>21161.329360181353</v>
      </c>
    </row>
    <row r="48" spans="2:72" x14ac:dyDescent="0.25">
      <c r="I48" s="67">
        <v>35</v>
      </c>
      <c r="J48" s="67" t="str">
        <f>Gauva!Q48</f>
        <v>2052-2053</v>
      </c>
      <c r="K48" s="36">
        <f t="shared" si="47"/>
        <v>8.9171974522292988E-2</v>
      </c>
      <c r="L48" s="36"/>
      <c r="M48" s="36">
        <f t="shared" si="0"/>
        <v>0.165606166667396</v>
      </c>
      <c r="N48" s="36">
        <f t="shared" si="17"/>
        <v>1.5632666005368251E-2</v>
      </c>
      <c r="P48" s="67">
        <v>35</v>
      </c>
      <c r="Q48" s="67" t="s">
        <v>142</v>
      </c>
      <c r="R48" s="36">
        <f t="shared" si="48"/>
        <v>0</v>
      </c>
      <c r="S48" s="36">
        <f t="shared" si="49"/>
        <v>307.11114329657522</v>
      </c>
      <c r="T48" s="36">
        <f t="shared" si="26"/>
        <v>898.50758368792867</v>
      </c>
      <c r="U48" s="36">
        <f t="shared" si="32"/>
        <v>619.44645473960009</v>
      </c>
      <c r="V48" s="36">
        <f t="shared" si="38"/>
        <v>-7858.1063771587378</v>
      </c>
      <c r="W48" s="36">
        <f t="shared" si="44"/>
        <v>0</v>
      </c>
      <c r="Z48" s="36">
        <f t="shared" si="50"/>
        <v>0</v>
      </c>
      <c r="AA48" s="36">
        <f t="shared" si="50"/>
        <v>214.85495585028406</v>
      </c>
      <c r="AB48" s="36">
        <f t="shared" si="50"/>
        <v>628.59590554807494</v>
      </c>
      <c r="AC48" s="36">
        <f t="shared" si="50"/>
        <v>433.36473973582423</v>
      </c>
      <c r="AD48" s="36">
        <f t="shared" si="50"/>
        <v>-5497.5312214602536</v>
      </c>
      <c r="AE48" s="36">
        <f t="shared" si="50"/>
        <v>0</v>
      </c>
      <c r="AG48" s="36">
        <f t="shared" si="1"/>
        <v>0</v>
      </c>
      <c r="AH48" s="36">
        <f t="shared" si="10"/>
        <v>53.713738962571014</v>
      </c>
      <c r="AI48" s="36">
        <f t="shared" si="19"/>
        <v>157.14897638701873</v>
      </c>
      <c r="AJ48" s="36">
        <f t="shared" si="27"/>
        <v>108.34118493395606</v>
      </c>
      <c r="AK48" s="36">
        <f t="shared" si="33"/>
        <v>-1374.3828053650634</v>
      </c>
      <c r="AL48" s="36">
        <f t="shared" si="39"/>
        <v>0</v>
      </c>
      <c r="AN48" s="36">
        <f t="shared" si="2"/>
        <v>0</v>
      </c>
      <c r="AO48" s="36">
        <f t="shared" si="11"/>
        <v>268.56869481285509</v>
      </c>
      <c r="AP48" s="36">
        <f t="shared" si="20"/>
        <v>157.14897638701873</v>
      </c>
      <c r="AQ48" s="36">
        <f t="shared" si="28"/>
        <v>108.34118493395606</v>
      </c>
      <c r="AR48" s="36">
        <f t="shared" si="34"/>
        <v>-6871.9140268253168</v>
      </c>
      <c r="AS48" s="36">
        <f t="shared" si="40"/>
        <v>0</v>
      </c>
      <c r="AU48" s="36">
        <f t="shared" si="21"/>
        <v>0</v>
      </c>
      <c r="AV48" s="36">
        <f t="shared" si="12"/>
        <v>463.25414168269373</v>
      </c>
      <c r="AW48" s="36">
        <f t="shared" si="22"/>
        <v>271.06626936996861</v>
      </c>
      <c r="AX48" s="36">
        <f t="shared" si="29"/>
        <v>186.87770989258078</v>
      </c>
      <c r="AY48" s="36">
        <f t="shared" si="35"/>
        <v>-11853.364504870988</v>
      </c>
      <c r="AZ48" s="36">
        <f t="shared" si="41"/>
        <v>0</v>
      </c>
      <c r="BA48" s="36">
        <f t="shared" si="3"/>
        <v>-10932.166383925745</v>
      </c>
      <c r="BC48" s="36">
        <f t="shared" si="13"/>
        <v>0</v>
      </c>
      <c r="BD48" s="36">
        <f t="shared" si="23"/>
        <v>4.6325414168269372</v>
      </c>
      <c r="BE48" s="36">
        <f t="shared" si="30"/>
        <v>2.7106626936996863</v>
      </c>
      <c r="BF48" s="36">
        <f t="shared" si="36"/>
        <v>1.8687770989258079</v>
      </c>
      <c r="BG48" s="36">
        <f t="shared" si="42"/>
        <v>-118.53364504870989</v>
      </c>
      <c r="BH48" s="36">
        <f t="shared" si="45"/>
        <v>0</v>
      </c>
      <c r="BI48" s="36">
        <f t="shared" si="4"/>
        <v>-109.32166383925745</v>
      </c>
      <c r="BK48" s="36">
        <f t="shared" si="14"/>
        <v>0</v>
      </c>
      <c r="BL48" s="36">
        <f t="shared" si="24"/>
        <v>4.6325414168269372</v>
      </c>
      <c r="BM48" s="36">
        <f t="shared" si="31"/>
        <v>2.7106626936996863</v>
      </c>
      <c r="BN48" s="36">
        <f t="shared" si="37"/>
        <v>1.8687770989258079</v>
      </c>
      <c r="BO48" s="36">
        <f t="shared" si="43"/>
        <v>-118.53364504870989</v>
      </c>
      <c r="BP48" s="36">
        <f t="shared" si="46"/>
        <v>0</v>
      </c>
      <c r="BQ48" s="36">
        <f t="shared" si="5"/>
        <v>-109.32166383925745</v>
      </c>
      <c r="BS48" s="36">
        <f t="shared" si="6"/>
        <v>-11150.809711604259</v>
      </c>
      <c r="BT48" s="36">
        <f t="shared" si="25"/>
        <v>10010.519648577094</v>
      </c>
    </row>
  </sheetData>
  <mergeCells count="69">
    <mergeCell ref="Z11:AE11"/>
    <mergeCell ref="Z12:Z13"/>
    <mergeCell ref="AA12:AA13"/>
    <mergeCell ref="AB12:AB13"/>
    <mergeCell ref="AC12:AC13"/>
    <mergeCell ref="AD12:AD13"/>
    <mergeCell ref="AE12:AE13"/>
    <mergeCell ref="AU12:AU13"/>
    <mergeCell ref="AV12:AV13"/>
    <mergeCell ref="AW12:AW13"/>
    <mergeCell ref="BC12:BC13"/>
    <mergeCell ref="BD12:BD13"/>
    <mergeCell ref="BS11:BS13"/>
    <mergeCell ref="BT11:BT13"/>
    <mergeCell ref="R12:R13"/>
    <mergeCell ref="S12:S13"/>
    <mergeCell ref="T12:T13"/>
    <mergeCell ref="U12:U13"/>
    <mergeCell ref="V12:V13"/>
    <mergeCell ref="W12:W13"/>
    <mergeCell ref="X12:X13"/>
    <mergeCell ref="AG12:AG13"/>
    <mergeCell ref="AU11:AZ11"/>
    <mergeCell ref="BA11:BA13"/>
    <mergeCell ref="BC11:BH11"/>
    <mergeCell ref="BI11:BI13"/>
    <mergeCell ref="BK11:BP11"/>
    <mergeCell ref="AL12:AL13"/>
    <mergeCell ref="BQ11:BQ13"/>
    <mergeCell ref="AX12:AX13"/>
    <mergeCell ref="AY12:AY13"/>
    <mergeCell ref="AZ12:AZ13"/>
    <mergeCell ref="BH12:BH13"/>
    <mergeCell ref="BE12:BE13"/>
    <mergeCell ref="BF12:BF13"/>
    <mergeCell ref="BG12:BG13"/>
    <mergeCell ref="BP12:BP13"/>
    <mergeCell ref="BK12:BK13"/>
    <mergeCell ref="BL12:BL13"/>
    <mergeCell ref="BM12:BM13"/>
    <mergeCell ref="BN12:BN13"/>
    <mergeCell ref="BO12:BO13"/>
    <mergeCell ref="AN11:AS11"/>
    <mergeCell ref="AH12:AH13"/>
    <mergeCell ref="AI12:AI13"/>
    <mergeCell ref="AJ12:AJ13"/>
    <mergeCell ref="AK12:AK13"/>
    <mergeCell ref="AG11:AL11"/>
    <mergeCell ref="AQ12:AQ13"/>
    <mergeCell ref="AN12:AN13"/>
    <mergeCell ref="AO12:AO13"/>
    <mergeCell ref="AP12:AP13"/>
    <mergeCell ref="AR12:AR13"/>
    <mergeCell ref="AS12:AS13"/>
    <mergeCell ref="L14:L28"/>
    <mergeCell ref="M3:R3"/>
    <mergeCell ref="I10:N10"/>
    <mergeCell ref="B11:B13"/>
    <mergeCell ref="E11:E13"/>
    <mergeCell ref="F11:F13"/>
    <mergeCell ref="G11:G13"/>
    <mergeCell ref="I11:I13"/>
    <mergeCell ref="J11:J13"/>
    <mergeCell ref="K11:K13"/>
    <mergeCell ref="M11:M13"/>
    <mergeCell ref="N11:N13"/>
    <mergeCell ref="P11:P13"/>
    <mergeCell ref="Q11:Q13"/>
    <mergeCell ref="R11:W11"/>
  </mergeCells>
  <phoneticPr fontId="9" type="noConversion"/>
  <hyperlinks>
    <hyperlink ref="L14" r:id="rId1" xr:uid="{565C1CFD-22DE-4DFC-B15C-7526A8F8A21F}"/>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5483E-7FCC-473B-8FDD-A807821FAE4F}">
  <dimension ref="B1:R45"/>
  <sheetViews>
    <sheetView tabSelected="1" zoomScale="66" zoomScaleNormal="148" workbookViewId="0">
      <selection activeCell="H9" sqref="H9"/>
    </sheetView>
  </sheetViews>
  <sheetFormatPr defaultColWidth="9.140625" defaultRowHeight="14.25" x14ac:dyDescent="0.25"/>
  <cols>
    <col min="1" max="1" width="9.140625" style="45"/>
    <col min="2" max="2" width="30.28515625" style="45" customWidth="1"/>
    <col min="3" max="3" width="12.140625" style="45" bestFit="1" customWidth="1"/>
    <col min="4" max="4" width="18" style="45" customWidth="1"/>
    <col min="5" max="5" width="38.140625" style="45" bestFit="1" customWidth="1"/>
    <col min="6" max="6" width="29.5703125" style="45" bestFit="1" customWidth="1"/>
    <col min="7" max="7" width="12.42578125" style="45" bestFit="1" customWidth="1"/>
    <col min="8" max="8" width="19.140625" style="45" customWidth="1"/>
    <col min="9" max="9" width="27.5703125" style="45" bestFit="1" customWidth="1"/>
    <col min="10" max="10" width="11.28515625" style="45" bestFit="1" customWidth="1"/>
    <col min="11" max="11" width="12.28515625" style="45" customWidth="1"/>
    <col min="12" max="12" width="41.140625" style="45" customWidth="1"/>
    <col min="13" max="13" width="29.5703125" style="45" bestFit="1" customWidth="1"/>
    <col min="14" max="14" width="12.42578125" style="45" bestFit="1" customWidth="1"/>
    <col min="15" max="15" width="16.140625" style="45" bestFit="1" customWidth="1"/>
    <col min="16" max="16" width="10.5703125" style="45" bestFit="1" customWidth="1"/>
    <col min="17" max="17" width="25.5703125" style="45" customWidth="1"/>
    <col min="18" max="18" width="32" style="45" bestFit="1" customWidth="1"/>
    <col min="19" max="16384" width="9.140625" style="45"/>
  </cols>
  <sheetData>
    <row r="1" spans="2:18" ht="15" thickBot="1" x14ac:dyDescent="0.3"/>
    <row r="2" spans="2:18" ht="15" thickBot="1" x14ac:dyDescent="0.3">
      <c r="B2" s="231" t="s">
        <v>143</v>
      </c>
      <c r="C2" s="232"/>
      <c r="D2" s="232"/>
      <c r="E2" s="232"/>
      <c r="F2" s="232"/>
      <c r="G2" s="233"/>
      <c r="I2" s="231" t="s">
        <v>144</v>
      </c>
      <c r="J2" s="232"/>
      <c r="K2" s="232"/>
      <c r="L2" s="232"/>
      <c r="M2" s="232"/>
      <c r="N2" s="233"/>
    </row>
    <row r="3" spans="2:18" ht="15.75" customHeight="1" thickBot="1" x14ac:dyDescent="0.3">
      <c r="B3" s="86" t="s">
        <v>145</v>
      </c>
      <c r="C3" s="87" t="s">
        <v>146</v>
      </c>
      <c r="D3" s="87" t="s">
        <v>147</v>
      </c>
      <c r="E3" s="87" t="s">
        <v>148</v>
      </c>
      <c r="F3" s="87"/>
      <c r="G3" s="88"/>
      <c r="I3" s="89" t="s">
        <v>145</v>
      </c>
      <c r="J3" s="90" t="s">
        <v>146</v>
      </c>
      <c r="K3" s="90" t="s">
        <v>147</v>
      </c>
      <c r="L3" s="90" t="s">
        <v>148</v>
      </c>
    </row>
    <row r="4" spans="2:18" x14ac:dyDescent="0.25">
      <c r="B4" s="91" t="s">
        <v>149</v>
      </c>
      <c r="C4" s="92" t="s">
        <v>150</v>
      </c>
      <c r="D4" s="93">
        <v>65</v>
      </c>
      <c r="E4" s="94" t="s">
        <v>151</v>
      </c>
      <c r="F4" s="93" t="s">
        <v>152</v>
      </c>
      <c r="G4" s="95">
        <v>3.67</v>
      </c>
      <c r="I4" s="53" t="s">
        <v>149</v>
      </c>
      <c r="J4" s="67" t="s">
        <v>150</v>
      </c>
      <c r="K4" s="53">
        <v>47</v>
      </c>
      <c r="L4" s="67" t="s">
        <v>153</v>
      </c>
      <c r="M4" s="53" t="s">
        <v>154</v>
      </c>
      <c r="N4" s="53">
        <v>3.67</v>
      </c>
    </row>
    <row r="5" spans="2:18" x14ac:dyDescent="0.25">
      <c r="B5" s="96" t="s">
        <v>155</v>
      </c>
      <c r="C5" s="97" t="s">
        <v>156</v>
      </c>
      <c r="D5" s="98">
        <v>0.48</v>
      </c>
      <c r="E5" s="99" t="s">
        <v>157</v>
      </c>
      <c r="F5" s="100" t="s">
        <v>158</v>
      </c>
      <c r="G5" s="101">
        <f>D4*D5*D6*D7</f>
        <v>31.2</v>
      </c>
      <c r="I5" s="53" t="s">
        <v>155</v>
      </c>
      <c r="J5" s="67" t="s">
        <v>156</v>
      </c>
      <c r="K5" s="98">
        <v>0.48</v>
      </c>
      <c r="L5" s="99" t="s">
        <v>157</v>
      </c>
      <c r="M5" s="53" t="s">
        <v>158</v>
      </c>
      <c r="N5" s="53">
        <f>K4*K5*K6*K7</f>
        <v>22.56</v>
      </c>
    </row>
    <row r="6" spans="2:18" x14ac:dyDescent="0.25">
      <c r="B6" s="102" t="s">
        <v>159</v>
      </c>
      <c r="C6" s="103" t="s">
        <v>160</v>
      </c>
      <c r="D6" s="104">
        <v>1</v>
      </c>
      <c r="E6" s="105" t="s">
        <v>161</v>
      </c>
      <c r="F6" s="106" t="s">
        <v>162</v>
      </c>
      <c r="G6" s="107">
        <v>0</v>
      </c>
      <c r="I6" s="53" t="s">
        <v>159</v>
      </c>
      <c r="J6" s="67" t="s">
        <v>160</v>
      </c>
      <c r="K6" s="104">
        <v>1</v>
      </c>
      <c r="L6" s="105" t="s">
        <v>161</v>
      </c>
      <c r="M6" s="53" t="s">
        <v>162</v>
      </c>
      <c r="N6" s="53">
        <v>0</v>
      </c>
    </row>
    <row r="7" spans="2:18" x14ac:dyDescent="0.25">
      <c r="B7" s="102" t="s">
        <v>163</v>
      </c>
      <c r="C7" s="103" t="s">
        <v>164</v>
      </c>
      <c r="D7" s="108">
        <v>1</v>
      </c>
      <c r="E7" s="109" t="s">
        <v>165</v>
      </c>
      <c r="F7" s="106" t="s">
        <v>166</v>
      </c>
      <c r="G7" s="110">
        <f>IF((($D$4-($G$5-$G$6))/20)&gt;0.8,0.8,(($D$4-($G$5-$G$6))/20))</f>
        <v>0.8</v>
      </c>
      <c r="I7" s="53" t="s">
        <v>163</v>
      </c>
      <c r="J7" s="67" t="s">
        <v>164</v>
      </c>
      <c r="K7" s="108">
        <v>1</v>
      </c>
      <c r="L7" s="109" t="s">
        <v>165</v>
      </c>
      <c r="M7" s="106" t="s">
        <v>166</v>
      </c>
      <c r="N7" s="108">
        <f>IF((($D$4-($N$5-$N$6))/20)&gt;0.8,0.8,(($D$4-($N$5-$G$6))/20))</f>
        <v>0.8</v>
      </c>
    </row>
    <row r="8" spans="2:18" ht="15" thickBot="1" x14ac:dyDescent="0.3">
      <c r="B8" s="111" t="s">
        <v>152</v>
      </c>
      <c r="C8" s="112"/>
      <c r="D8" s="113">
        <v>3.67</v>
      </c>
      <c r="E8" s="114"/>
      <c r="F8" s="115"/>
      <c r="G8" s="116"/>
      <c r="I8" s="67"/>
      <c r="J8" s="67"/>
      <c r="K8" s="67"/>
      <c r="L8" s="67"/>
      <c r="M8" s="67"/>
      <c r="N8" s="67"/>
    </row>
    <row r="9" spans="2:18" ht="15" thickBot="1" x14ac:dyDescent="0.3">
      <c r="P9" s="234" t="s">
        <v>50</v>
      </c>
      <c r="Q9" s="235"/>
      <c r="R9" s="235"/>
    </row>
    <row r="10" spans="2:18" ht="27" customHeight="1" thickBot="1" x14ac:dyDescent="0.3">
      <c r="B10" s="117" t="s">
        <v>73</v>
      </c>
      <c r="C10" s="118" t="s">
        <v>30</v>
      </c>
      <c r="D10" s="118" t="s">
        <v>88</v>
      </c>
      <c r="E10" s="118" t="s">
        <v>167</v>
      </c>
      <c r="F10" s="118" t="s">
        <v>168</v>
      </c>
      <c r="G10" s="119" t="s">
        <v>169</v>
      </c>
      <c r="I10" s="120" t="s">
        <v>73</v>
      </c>
      <c r="J10" s="121" t="s">
        <v>30</v>
      </c>
      <c r="K10" s="121" t="s">
        <v>88</v>
      </c>
      <c r="L10" s="121" t="s">
        <v>167</v>
      </c>
      <c r="M10" s="122" t="s">
        <v>168</v>
      </c>
      <c r="N10" s="123" t="s">
        <v>169</v>
      </c>
      <c r="P10" s="124" t="s">
        <v>30</v>
      </c>
      <c r="Q10" s="125" t="s">
        <v>170</v>
      </c>
      <c r="R10" s="125" t="s">
        <v>171</v>
      </c>
    </row>
    <row r="11" spans="2:18" x14ac:dyDescent="0.25">
      <c r="B11" s="67">
        <v>1</v>
      </c>
      <c r="C11" s="67" t="s">
        <v>89</v>
      </c>
      <c r="D11" s="69">
        <f>('General Information'!U16+'General Information'!E46)</f>
        <v>258.02</v>
      </c>
      <c r="E11" s="36">
        <f t="shared" ref="E11:E45" si="0">D11*$G$7</f>
        <v>206.416</v>
      </c>
      <c r="F11" s="36">
        <f>E11*$D$8</f>
        <v>757.54671999999994</v>
      </c>
      <c r="G11" s="36">
        <f>F11</f>
        <v>757.54671999999994</v>
      </c>
      <c r="I11" s="126">
        <f>B11</f>
        <v>1</v>
      </c>
      <c r="J11" s="127" t="str">
        <f>C11</f>
        <v>2018 -2019</v>
      </c>
      <c r="K11" s="71">
        <f>'General Information'!E31</f>
        <v>15.79</v>
      </c>
      <c r="L11" s="33">
        <f>$N$7*K11</f>
        <v>12.632</v>
      </c>
      <c r="M11" s="33">
        <f t="shared" ref="M11:M45" si="1">L11*$N$4</f>
        <v>46.359439999999999</v>
      </c>
      <c r="N11" s="128">
        <f>M11</f>
        <v>46.359439999999999</v>
      </c>
      <c r="P11" s="67" t="str">
        <f>J11</f>
        <v>2018 -2019</v>
      </c>
      <c r="Q11" s="54">
        <f>F11+M11</f>
        <v>803.90615999999989</v>
      </c>
      <c r="R11" s="54">
        <f>N11+G11</f>
        <v>803.90615999999989</v>
      </c>
    </row>
    <row r="12" spans="2:18" x14ac:dyDescent="0.25">
      <c r="B12" s="67">
        <v>2</v>
      </c>
      <c r="C12" s="67" t="s">
        <v>90</v>
      </c>
      <c r="D12" s="69">
        <f>SUM('General Information'!U16+'General Information'!U17+'General Information'!E46+'General Information'!E47)</f>
        <v>395.42999999999995</v>
      </c>
      <c r="E12" s="36">
        <f t="shared" si="0"/>
        <v>316.34399999999999</v>
      </c>
      <c r="F12" s="36">
        <f t="shared" ref="F12:F45" si="2">E12*$D$8</f>
        <v>1160.9824799999999</v>
      </c>
      <c r="G12" s="36">
        <f>G11+F12</f>
        <v>1918.5291999999999</v>
      </c>
      <c r="I12" s="126">
        <f t="shared" ref="I12:I45" si="3">B12</f>
        <v>2</v>
      </c>
      <c r="J12" s="127" t="str">
        <f t="shared" ref="J12:J45" si="4">C12</f>
        <v>2019-2020</v>
      </c>
      <c r="K12" s="69">
        <f>'General Information'!E32+K11</f>
        <v>35.79</v>
      </c>
      <c r="L12" s="33">
        <f t="shared" ref="L12:L45" si="5">$N$7*K12</f>
        <v>28.632000000000001</v>
      </c>
      <c r="M12" s="36">
        <f t="shared" si="1"/>
        <v>105.07944000000001</v>
      </c>
      <c r="N12" s="129">
        <f>N11+M12</f>
        <v>151.43888000000001</v>
      </c>
      <c r="P12" s="67" t="str">
        <f t="shared" ref="P12:P45" si="6">J12</f>
        <v>2019-2020</v>
      </c>
      <c r="Q12" s="54">
        <f t="shared" ref="Q12:Q45" si="7">F12+M12</f>
        <v>1266.0619199999999</v>
      </c>
      <c r="R12" s="54">
        <f t="shared" ref="R12:R45" si="8">N12+G12</f>
        <v>2069.9680800000001</v>
      </c>
    </row>
    <row r="13" spans="2:18" x14ac:dyDescent="0.25">
      <c r="B13" s="67">
        <v>3</v>
      </c>
      <c r="C13" s="67" t="s">
        <v>91</v>
      </c>
      <c r="D13" s="69">
        <f>SUM('General Information'!E46+'General Information'!E47+'General Information'!E48+'General Information'!U16+'General Information'!U17+'General Information'!U18)</f>
        <v>491.39</v>
      </c>
      <c r="E13" s="36">
        <f t="shared" si="0"/>
        <v>393.11200000000002</v>
      </c>
      <c r="F13" s="36">
        <f t="shared" si="2"/>
        <v>1442.7210400000001</v>
      </c>
      <c r="G13" s="36">
        <f>G12+F13</f>
        <v>3361.2502400000003</v>
      </c>
      <c r="I13" s="126">
        <f t="shared" si="3"/>
        <v>3</v>
      </c>
      <c r="J13" s="127" t="str">
        <f t="shared" si="4"/>
        <v>2020-2021</v>
      </c>
      <c r="K13" s="69">
        <f>'General Information'!E33+K12</f>
        <v>50.42</v>
      </c>
      <c r="L13" s="33">
        <f t="shared" si="5"/>
        <v>40.336000000000006</v>
      </c>
      <c r="M13" s="36">
        <f t="shared" si="1"/>
        <v>148.03312000000003</v>
      </c>
      <c r="N13" s="129">
        <f>N12+M13</f>
        <v>299.47200000000004</v>
      </c>
      <c r="P13" s="67" t="str">
        <f t="shared" si="6"/>
        <v>2020-2021</v>
      </c>
      <c r="Q13" s="54">
        <f t="shared" si="7"/>
        <v>1590.7541600000002</v>
      </c>
      <c r="R13" s="54">
        <f t="shared" si="8"/>
        <v>3660.7222400000005</v>
      </c>
    </row>
    <row r="14" spans="2:18" x14ac:dyDescent="0.25">
      <c r="B14" s="67">
        <v>4</v>
      </c>
      <c r="C14" s="67" t="s">
        <v>92</v>
      </c>
      <c r="D14" s="69">
        <f>SUM('General Information'!U16+'General Information'!U17+'General Information'!U18+'General Information'!U19+'General Information'!E46+'General Information'!E47+'General Information'!E48+'General Information'!E49)</f>
        <v>597.096</v>
      </c>
      <c r="E14" s="36">
        <f t="shared" si="0"/>
        <v>477.67680000000001</v>
      </c>
      <c r="F14" s="36">
        <f t="shared" si="2"/>
        <v>1753.073856</v>
      </c>
      <c r="G14" s="36">
        <f t="shared" ref="G14:G45" si="9">G13+F14</f>
        <v>5114.3240960000003</v>
      </c>
      <c r="I14" s="126">
        <f t="shared" si="3"/>
        <v>4</v>
      </c>
      <c r="J14" s="127" t="str">
        <f t="shared" si="4"/>
        <v>2021-2022</v>
      </c>
      <c r="K14" s="69">
        <f>'General Information'!E34+K13</f>
        <v>94.38</v>
      </c>
      <c r="L14" s="33">
        <f t="shared" si="5"/>
        <v>75.504000000000005</v>
      </c>
      <c r="M14" s="36">
        <f t="shared" si="1"/>
        <v>277.09968000000003</v>
      </c>
      <c r="N14" s="129">
        <f>N13+M14</f>
        <v>576.57168000000001</v>
      </c>
      <c r="P14" s="67" t="str">
        <f t="shared" si="6"/>
        <v>2021-2022</v>
      </c>
      <c r="Q14" s="54">
        <f t="shared" si="7"/>
        <v>2030.173536</v>
      </c>
      <c r="R14" s="54">
        <f t="shared" si="8"/>
        <v>5690.8957760000003</v>
      </c>
    </row>
    <row r="15" spans="2:18" x14ac:dyDescent="0.25">
      <c r="B15" s="67">
        <v>5</v>
      </c>
      <c r="C15" s="67" t="s">
        <v>93</v>
      </c>
      <c r="D15" s="69">
        <f>SUM('General Information'!E46+'General Information'!E47+'General Information'!E48+'General Information'!E49+'General Information'!E50+'General Information'!U16+'General Information'!U17+'General Information'!U18+'General Information'!U19+'General Information'!U20)</f>
        <v>699.726</v>
      </c>
      <c r="E15" s="36">
        <f t="shared" si="0"/>
        <v>559.7808</v>
      </c>
      <c r="F15" s="36">
        <f t="shared" si="2"/>
        <v>2054.395536</v>
      </c>
      <c r="G15" s="36">
        <f>G14+F15</f>
        <v>7168.7196320000003</v>
      </c>
      <c r="I15" s="126">
        <f t="shared" si="3"/>
        <v>5</v>
      </c>
      <c r="J15" s="127" t="str">
        <f t="shared" si="4"/>
        <v>2022-2023</v>
      </c>
      <c r="K15" s="69">
        <f>'General Information'!E35+K14</f>
        <v>125.83</v>
      </c>
      <c r="L15" s="33">
        <f t="shared" si="5"/>
        <v>100.664</v>
      </c>
      <c r="M15" s="36">
        <f t="shared" si="1"/>
        <v>369.43687999999997</v>
      </c>
      <c r="N15" s="129">
        <f>N14+M15</f>
        <v>946.00855999999999</v>
      </c>
      <c r="P15" s="67" t="str">
        <f t="shared" si="6"/>
        <v>2022-2023</v>
      </c>
      <c r="Q15" s="54">
        <f t="shared" si="7"/>
        <v>2423.8324160000002</v>
      </c>
      <c r="R15" s="54">
        <f t="shared" si="8"/>
        <v>8114.7281920000005</v>
      </c>
    </row>
    <row r="16" spans="2:18" x14ac:dyDescent="0.25">
      <c r="B16" s="67">
        <v>6</v>
      </c>
      <c r="C16" s="67" t="s">
        <v>94</v>
      </c>
      <c r="D16" s="69">
        <f>SUM('General Information'!E51+'General Information'!E50+'General Information'!E49+'General Information'!E48+'General Information'!E47+'General Information'!E46+'General Information'!U16+'General Information'!U17+'General Information'!U18+'General Information'!U19+'General Information'!U20+'General Information'!U21)</f>
        <v>768.226</v>
      </c>
      <c r="E16" s="36">
        <f>D16*$G$7</f>
        <v>614.58080000000007</v>
      </c>
      <c r="F16" s="36">
        <f t="shared" si="2"/>
        <v>2255.511536</v>
      </c>
      <c r="G16" s="36">
        <f t="shared" si="9"/>
        <v>9424.2311680000003</v>
      </c>
      <c r="I16" s="126">
        <f t="shared" si="3"/>
        <v>6</v>
      </c>
      <c r="J16" s="127" t="str">
        <f t="shared" si="4"/>
        <v>2023-2024</v>
      </c>
      <c r="K16" s="36">
        <f>'General Information'!E36+K15</f>
        <v>125.83</v>
      </c>
      <c r="L16" s="33">
        <f t="shared" si="5"/>
        <v>100.664</v>
      </c>
      <c r="M16" s="36">
        <f t="shared" si="1"/>
        <v>369.43687999999997</v>
      </c>
      <c r="N16" s="129">
        <f t="shared" ref="N16:N45" si="10">N15+M16</f>
        <v>1315.44544</v>
      </c>
      <c r="P16" s="67" t="str">
        <f t="shared" si="6"/>
        <v>2023-2024</v>
      </c>
      <c r="Q16" s="54">
        <f t="shared" si="7"/>
        <v>2624.9484160000002</v>
      </c>
      <c r="R16" s="54">
        <f t="shared" si="8"/>
        <v>10739.676608</v>
      </c>
    </row>
    <row r="17" spans="2:18" x14ac:dyDescent="0.25">
      <c r="B17" s="67">
        <v>7</v>
      </c>
      <c r="C17" s="67" t="s">
        <v>96</v>
      </c>
      <c r="D17" s="69">
        <f>D16+'General Information'!U22</f>
        <v>1274.1659999999999</v>
      </c>
      <c r="E17" s="36">
        <f t="shared" si="0"/>
        <v>1019.3328</v>
      </c>
      <c r="F17" s="36">
        <f t="shared" si="2"/>
        <v>3740.951376</v>
      </c>
      <c r="G17" s="36">
        <f t="shared" si="9"/>
        <v>13165.182543999999</v>
      </c>
      <c r="H17" s="51"/>
      <c r="I17" s="126">
        <f t="shared" si="3"/>
        <v>7</v>
      </c>
      <c r="J17" s="127" t="str">
        <f t="shared" si="4"/>
        <v>2024-2025</v>
      </c>
      <c r="K17" s="36">
        <f>K16</f>
        <v>125.83</v>
      </c>
      <c r="L17" s="33">
        <f t="shared" si="5"/>
        <v>100.664</v>
      </c>
      <c r="M17" s="36">
        <f t="shared" si="1"/>
        <v>369.43687999999997</v>
      </c>
      <c r="N17" s="129">
        <f t="shared" si="10"/>
        <v>1684.8823199999999</v>
      </c>
      <c r="P17" s="67" t="str">
        <f t="shared" si="6"/>
        <v>2024-2025</v>
      </c>
      <c r="Q17" s="54">
        <f t="shared" si="7"/>
        <v>4110.3882560000002</v>
      </c>
      <c r="R17" s="54">
        <f t="shared" si="8"/>
        <v>14850.064864</v>
      </c>
    </row>
    <row r="18" spans="2:18" x14ac:dyDescent="0.25">
      <c r="B18" s="67">
        <v>8</v>
      </c>
      <c r="C18" s="67" t="s">
        <v>97</v>
      </c>
      <c r="D18" s="69">
        <f>D17+'General Information'!U23</f>
        <v>1924.1659999999999</v>
      </c>
      <c r="E18" s="36">
        <f t="shared" si="0"/>
        <v>1539.3328000000001</v>
      </c>
      <c r="F18" s="36">
        <f t="shared" si="2"/>
        <v>5649.3513760000005</v>
      </c>
      <c r="G18" s="36">
        <f t="shared" si="9"/>
        <v>18814.533920000002</v>
      </c>
      <c r="I18" s="126">
        <f t="shared" si="3"/>
        <v>8</v>
      </c>
      <c r="J18" s="127" t="str">
        <f t="shared" si="4"/>
        <v>2025-2026</v>
      </c>
      <c r="K18" s="36">
        <f>'General Information'!E43+K17</f>
        <v>125.83</v>
      </c>
      <c r="L18" s="33">
        <f t="shared" si="5"/>
        <v>100.664</v>
      </c>
      <c r="M18" s="36">
        <f t="shared" si="1"/>
        <v>369.43687999999997</v>
      </c>
      <c r="N18" s="129">
        <f t="shared" si="10"/>
        <v>2054.3191999999999</v>
      </c>
      <c r="P18" s="67" t="str">
        <f t="shared" si="6"/>
        <v>2025-2026</v>
      </c>
      <c r="Q18" s="54">
        <f t="shared" si="7"/>
        <v>6018.7882560000007</v>
      </c>
      <c r="R18" s="54">
        <f t="shared" si="8"/>
        <v>20868.85312</v>
      </c>
    </row>
    <row r="19" spans="2:18" x14ac:dyDescent="0.25">
      <c r="B19" s="67">
        <v>9</v>
      </c>
      <c r="C19" s="67" t="s">
        <v>98</v>
      </c>
      <c r="D19" s="69">
        <f>D18+'General Information'!U24</f>
        <v>2574.1660000000002</v>
      </c>
      <c r="E19" s="36">
        <f t="shared" si="0"/>
        <v>2059.3328000000001</v>
      </c>
      <c r="F19" s="36">
        <f t="shared" si="2"/>
        <v>7557.7513760000002</v>
      </c>
      <c r="G19" s="36">
        <f t="shared" si="9"/>
        <v>26372.285296000002</v>
      </c>
      <c r="I19" s="126">
        <f t="shared" si="3"/>
        <v>9</v>
      </c>
      <c r="J19" s="127" t="str">
        <f t="shared" si="4"/>
        <v>2026-2027</v>
      </c>
      <c r="K19" s="36">
        <f t="shared" ref="K19:K30" si="11">K18</f>
        <v>125.83</v>
      </c>
      <c r="L19" s="33">
        <f t="shared" si="5"/>
        <v>100.664</v>
      </c>
      <c r="M19" s="36">
        <f t="shared" si="1"/>
        <v>369.43687999999997</v>
      </c>
      <c r="N19" s="129">
        <f t="shared" si="10"/>
        <v>2423.7560800000001</v>
      </c>
      <c r="P19" s="67" t="str">
        <f t="shared" si="6"/>
        <v>2026-2027</v>
      </c>
      <c r="Q19" s="54">
        <f t="shared" si="7"/>
        <v>7927.1882560000004</v>
      </c>
      <c r="R19" s="54">
        <f t="shared" si="8"/>
        <v>28796.041376000001</v>
      </c>
    </row>
    <row r="20" spans="2:18" x14ac:dyDescent="0.25">
      <c r="B20" s="67">
        <v>10</v>
      </c>
      <c r="C20" s="67" t="s">
        <v>99</v>
      </c>
      <c r="D20" s="69">
        <f>D19+'General Information'!U25</f>
        <v>3224.1660000000002</v>
      </c>
      <c r="E20" s="36">
        <f t="shared" si="0"/>
        <v>2579.3328000000001</v>
      </c>
      <c r="F20" s="36">
        <f t="shared" si="2"/>
        <v>9466.1513759999998</v>
      </c>
      <c r="G20" s="36">
        <f t="shared" si="9"/>
        <v>35838.436672000003</v>
      </c>
      <c r="I20" s="126">
        <f t="shared" si="3"/>
        <v>10</v>
      </c>
      <c r="J20" s="127" t="str">
        <f t="shared" si="4"/>
        <v>2027-2028</v>
      </c>
      <c r="K20" s="36">
        <f t="shared" si="11"/>
        <v>125.83</v>
      </c>
      <c r="L20" s="33">
        <f t="shared" si="5"/>
        <v>100.664</v>
      </c>
      <c r="M20" s="36">
        <f t="shared" si="1"/>
        <v>369.43687999999997</v>
      </c>
      <c r="N20" s="129">
        <f t="shared" si="10"/>
        <v>2793.1929600000003</v>
      </c>
      <c r="P20" s="67" t="str">
        <f t="shared" si="6"/>
        <v>2027-2028</v>
      </c>
      <c r="Q20" s="54">
        <f t="shared" si="7"/>
        <v>9835.5882559999991</v>
      </c>
      <c r="R20" s="54">
        <f t="shared" si="8"/>
        <v>38631.629632000004</v>
      </c>
    </row>
    <row r="21" spans="2:18" ht="15.75" customHeight="1" x14ac:dyDescent="0.25">
      <c r="B21" s="67">
        <v>11</v>
      </c>
      <c r="C21" s="67" t="s">
        <v>100</v>
      </c>
      <c r="D21" s="69">
        <f>D20+'General Information'!U26</f>
        <v>3874.1660000000002</v>
      </c>
      <c r="E21" s="36">
        <f t="shared" si="0"/>
        <v>3099.3328000000001</v>
      </c>
      <c r="F21" s="36">
        <f t="shared" si="2"/>
        <v>11374.551375999999</v>
      </c>
      <c r="G21" s="36">
        <f t="shared" si="9"/>
        <v>47212.988047999999</v>
      </c>
      <c r="I21" s="126">
        <f t="shared" si="3"/>
        <v>11</v>
      </c>
      <c r="J21" s="127" t="str">
        <f t="shared" si="4"/>
        <v>2028-2029</v>
      </c>
      <c r="K21" s="36">
        <f t="shared" si="11"/>
        <v>125.83</v>
      </c>
      <c r="L21" s="33">
        <f t="shared" si="5"/>
        <v>100.664</v>
      </c>
      <c r="M21" s="36">
        <f t="shared" si="1"/>
        <v>369.43687999999997</v>
      </c>
      <c r="N21" s="129">
        <f t="shared" si="10"/>
        <v>3162.6298400000005</v>
      </c>
      <c r="P21" s="67" t="str">
        <f t="shared" si="6"/>
        <v>2028-2029</v>
      </c>
      <c r="Q21" s="54">
        <f t="shared" si="7"/>
        <v>11743.988255999999</v>
      </c>
      <c r="R21" s="54">
        <f t="shared" si="8"/>
        <v>50375.617888000001</v>
      </c>
    </row>
    <row r="22" spans="2:18" x14ac:dyDescent="0.25">
      <c r="B22" s="67">
        <v>12</v>
      </c>
      <c r="C22" s="67" t="s">
        <v>101</v>
      </c>
      <c r="D22" s="36">
        <f t="shared" ref="D22:D30" si="12">D21</f>
        <v>3874.1660000000002</v>
      </c>
      <c r="E22" s="36">
        <f t="shared" si="0"/>
        <v>3099.3328000000001</v>
      </c>
      <c r="F22" s="36">
        <f t="shared" si="2"/>
        <v>11374.551375999999</v>
      </c>
      <c r="G22" s="36">
        <f t="shared" si="9"/>
        <v>58587.539424000002</v>
      </c>
      <c r="I22" s="126">
        <f t="shared" si="3"/>
        <v>12</v>
      </c>
      <c r="J22" s="127" t="str">
        <f t="shared" si="4"/>
        <v>2029-2030</v>
      </c>
      <c r="K22" s="36">
        <f t="shared" si="11"/>
        <v>125.83</v>
      </c>
      <c r="L22" s="33">
        <f t="shared" si="5"/>
        <v>100.664</v>
      </c>
      <c r="M22" s="36">
        <f t="shared" si="1"/>
        <v>369.43687999999997</v>
      </c>
      <c r="N22" s="129">
        <f t="shared" si="10"/>
        <v>3532.0667200000007</v>
      </c>
      <c r="P22" s="67" t="str">
        <f t="shared" si="6"/>
        <v>2029-2030</v>
      </c>
      <c r="Q22" s="54">
        <f t="shared" si="7"/>
        <v>11743.988255999999</v>
      </c>
      <c r="R22" s="54">
        <f t="shared" si="8"/>
        <v>62119.606144000005</v>
      </c>
    </row>
    <row r="23" spans="2:18" x14ac:dyDescent="0.25">
      <c r="B23" s="67">
        <v>13</v>
      </c>
      <c r="C23" s="67" t="s">
        <v>102</v>
      </c>
      <c r="D23" s="36">
        <f t="shared" si="12"/>
        <v>3874.1660000000002</v>
      </c>
      <c r="E23" s="36">
        <f t="shared" si="0"/>
        <v>3099.3328000000001</v>
      </c>
      <c r="F23" s="36">
        <f t="shared" si="2"/>
        <v>11374.551375999999</v>
      </c>
      <c r="G23" s="36">
        <f t="shared" si="9"/>
        <v>69962.090800000005</v>
      </c>
      <c r="I23" s="126">
        <f t="shared" si="3"/>
        <v>13</v>
      </c>
      <c r="J23" s="127" t="str">
        <f t="shared" si="4"/>
        <v>2030-2031</v>
      </c>
      <c r="K23" s="36">
        <f t="shared" si="11"/>
        <v>125.83</v>
      </c>
      <c r="L23" s="33">
        <f t="shared" si="5"/>
        <v>100.664</v>
      </c>
      <c r="M23" s="36">
        <f t="shared" si="1"/>
        <v>369.43687999999997</v>
      </c>
      <c r="N23" s="129">
        <f t="shared" si="10"/>
        <v>3901.5036000000009</v>
      </c>
      <c r="P23" s="67" t="str">
        <f t="shared" si="6"/>
        <v>2030-2031</v>
      </c>
      <c r="Q23" s="54">
        <f t="shared" si="7"/>
        <v>11743.988255999999</v>
      </c>
      <c r="R23" s="54">
        <f t="shared" si="8"/>
        <v>73863.594400000002</v>
      </c>
    </row>
    <row r="24" spans="2:18" x14ac:dyDescent="0.25">
      <c r="B24" s="67">
        <v>14</v>
      </c>
      <c r="C24" s="67" t="s">
        <v>103</v>
      </c>
      <c r="D24" s="36">
        <f t="shared" si="12"/>
        <v>3874.1660000000002</v>
      </c>
      <c r="E24" s="36">
        <f t="shared" si="0"/>
        <v>3099.3328000000001</v>
      </c>
      <c r="F24" s="36">
        <f t="shared" si="2"/>
        <v>11374.551375999999</v>
      </c>
      <c r="G24" s="36">
        <f t="shared" si="9"/>
        <v>81336.642176000008</v>
      </c>
      <c r="I24" s="126">
        <f t="shared" si="3"/>
        <v>14</v>
      </c>
      <c r="J24" s="127" t="str">
        <f t="shared" si="4"/>
        <v>2031-2032</v>
      </c>
      <c r="K24" s="36">
        <f t="shared" si="11"/>
        <v>125.83</v>
      </c>
      <c r="L24" s="33">
        <f t="shared" si="5"/>
        <v>100.664</v>
      </c>
      <c r="M24" s="36">
        <f t="shared" si="1"/>
        <v>369.43687999999997</v>
      </c>
      <c r="N24" s="129">
        <f t="shared" si="10"/>
        <v>4270.9404800000011</v>
      </c>
      <c r="P24" s="67" t="str">
        <f t="shared" si="6"/>
        <v>2031-2032</v>
      </c>
      <c r="Q24" s="54">
        <f t="shared" si="7"/>
        <v>11743.988255999999</v>
      </c>
      <c r="R24" s="54">
        <f t="shared" si="8"/>
        <v>85607.582656000013</v>
      </c>
    </row>
    <row r="25" spans="2:18" x14ac:dyDescent="0.25">
      <c r="B25" s="67">
        <v>15</v>
      </c>
      <c r="C25" s="67" t="s">
        <v>104</v>
      </c>
      <c r="D25" s="36">
        <f t="shared" si="12"/>
        <v>3874.1660000000002</v>
      </c>
      <c r="E25" s="36">
        <f t="shared" si="0"/>
        <v>3099.3328000000001</v>
      </c>
      <c r="F25" s="36">
        <f t="shared" si="2"/>
        <v>11374.551375999999</v>
      </c>
      <c r="G25" s="36">
        <f t="shared" si="9"/>
        <v>92711.193552000012</v>
      </c>
      <c r="I25" s="126">
        <f t="shared" si="3"/>
        <v>15</v>
      </c>
      <c r="J25" s="127" t="str">
        <f t="shared" si="4"/>
        <v>2032-2033</v>
      </c>
      <c r="K25" s="36">
        <f t="shared" si="11"/>
        <v>125.83</v>
      </c>
      <c r="L25" s="33">
        <f t="shared" si="5"/>
        <v>100.664</v>
      </c>
      <c r="M25" s="36">
        <f t="shared" si="1"/>
        <v>369.43687999999997</v>
      </c>
      <c r="N25" s="129">
        <f t="shared" si="10"/>
        <v>4640.3773600000013</v>
      </c>
      <c r="P25" s="67" t="str">
        <f t="shared" si="6"/>
        <v>2032-2033</v>
      </c>
      <c r="Q25" s="54">
        <f t="shared" si="7"/>
        <v>11743.988255999999</v>
      </c>
      <c r="R25" s="54">
        <f t="shared" si="8"/>
        <v>97351.57091200001</v>
      </c>
    </row>
    <row r="26" spans="2:18" x14ac:dyDescent="0.25">
      <c r="B26" s="67">
        <v>16</v>
      </c>
      <c r="C26" s="67" t="s">
        <v>105</v>
      </c>
      <c r="D26" s="36">
        <f t="shared" si="12"/>
        <v>3874.1660000000002</v>
      </c>
      <c r="E26" s="36">
        <f t="shared" si="0"/>
        <v>3099.3328000000001</v>
      </c>
      <c r="F26" s="36">
        <f t="shared" si="2"/>
        <v>11374.551375999999</v>
      </c>
      <c r="G26" s="36">
        <f t="shared" si="9"/>
        <v>104085.74492800001</v>
      </c>
      <c r="I26" s="126">
        <f t="shared" si="3"/>
        <v>16</v>
      </c>
      <c r="J26" s="127" t="str">
        <f t="shared" si="4"/>
        <v>2033-2034</v>
      </c>
      <c r="K26" s="36">
        <f t="shared" si="11"/>
        <v>125.83</v>
      </c>
      <c r="L26" s="33">
        <f t="shared" si="5"/>
        <v>100.664</v>
      </c>
      <c r="M26" s="36">
        <f t="shared" si="1"/>
        <v>369.43687999999997</v>
      </c>
      <c r="N26" s="129">
        <f t="shared" si="10"/>
        <v>5009.8142400000015</v>
      </c>
      <c r="P26" s="67" t="str">
        <f t="shared" si="6"/>
        <v>2033-2034</v>
      </c>
      <c r="Q26" s="54">
        <f t="shared" si="7"/>
        <v>11743.988255999999</v>
      </c>
      <c r="R26" s="54">
        <f t="shared" si="8"/>
        <v>109095.55916800002</v>
      </c>
    </row>
    <row r="27" spans="2:18" x14ac:dyDescent="0.25">
      <c r="B27" s="67">
        <v>17</v>
      </c>
      <c r="C27" s="67" t="s">
        <v>106</v>
      </c>
      <c r="D27" s="36">
        <f t="shared" si="12"/>
        <v>3874.1660000000002</v>
      </c>
      <c r="E27" s="36">
        <f t="shared" si="0"/>
        <v>3099.3328000000001</v>
      </c>
      <c r="F27" s="36">
        <f t="shared" si="2"/>
        <v>11374.551375999999</v>
      </c>
      <c r="G27" s="36">
        <f t="shared" si="9"/>
        <v>115460.29630400002</v>
      </c>
      <c r="I27" s="126">
        <f t="shared" si="3"/>
        <v>17</v>
      </c>
      <c r="J27" s="127" t="str">
        <f t="shared" si="4"/>
        <v>2034-2035</v>
      </c>
      <c r="K27" s="36">
        <f t="shared" si="11"/>
        <v>125.83</v>
      </c>
      <c r="L27" s="33">
        <f t="shared" si="5"/>
        <v>100.664</v>
      </c>
      <c r="M27" s="36">
        <f t="shared" si="1"/>
        <v>369.43687999999997</v>
      </c>
      <c r="N27" s="129">
        <f t="shared" si="10"/>
        <v>5379.2511200000017</v>
      </c>
      <c r="P27" s="67" t="str">
        <f t="shared" si="6"/>
        <v>2034-2035</v>
      </c>
      <c r="Q27" s="54">
        <f t="shared" si="7"/>
        <v>11743.988255999999</v>
      </c>
      <c r="R27" s="54">
        <f t="shared" si="8"/>
        <v>120839.54742400002</v>
      </c>
    </row>
    <row r="28" spans="2:18" x14ac:dyDescent="0.25">
      <c r="B28" s="67">
        <v>18</v>
      </c>
      <c r="C28" s="67" t="s">
        <v>107</v>
      </c>
      <c r="D28" s="36">
        <f t="shared" si="12"/>
        <v>3874.1660000000002</v>
      </c>
      <c r="E28" s="36">
        <f t="shared" si="0"/>
        <v>3099.3328000000001</v>
      </c>
      <c r="F28" s="36">
        <f t="shared" si="2"/>
        <v>11374.551375999999</v>
      </c>
      <c r="G28" s="36">
        <f t="shared" si="9"/>
        <v>126834.84768000002</v>
      </c>
      <c r="I28" s="126">
        <f t="shared" si="3"/>
        <v>18</v>
      </c>
      <c r="J28" s="127" t="str">
        <f t="shared" si="4"/>
        <v>2035-2036</v>
      </c>
      <c r="K28" s="36">
        <f t="shared" si="11"/>
        <v>125.83</v>
      </c>
      <c r="L28" s="33">
        <f t="shared" si="5"/>
        <v>100.664</v>
      </c>
      <c r="M28" s="36">
        <f t="shared" si="1"/>
        <v>369.43687999999997</v>
      </c>
      <c r="N28" s="129">
        <f t="shared" si="10"/>
        <v>5748.6880000000019</v>
      </c>
      <c r="P28" s="67" t="str">
        <f t="shared" si="6"/>
        <v>2035-2036</v>
      </c>
      <c r="Q28" s="54">
        <f t="shared" si="7"/>
        <v>11743.988255999999</v>
      </c>
      <c r="R28" s="54">
        <f t="shared" si="8"/>
        <v>132583.53568000003</v>
      </c>
    </row>
    <row r="29" spans="2:18" x14ac:dyDescent="0.25">
      <c r="B29" s="67">
        <v>19</v>
      </c>
      <c r="C29" s="67" t="s">
        <v>108</v>
      </c>
      <c r="D29" s="36">
        <f t="shared" si="12"/>
        <v>3874.1660000000002</v>
      </c>
      <c r="E29" s="36">
        <f t="shared" si="0"/>
        <v>3099.3328000000001</v>
      </c>
      <c r="F29" s="36">
        <f t="shared" si="2"/>
        <v>11374.551375999999</v>
      </c>
      <c r="G29" s="36">
        <f t="shared" si="9"/>
        <v>138209.39905600002</v>
      </c>
      <c r="I29" s="126">
        <f t="shared" si="3"/>
        <v>19</v>
      </c>
      <c r="J29" s="127" t="str">
        <f t="shared" si="4"/>
        <v>2036-2037</v>
      </c>
      <c r="K29" s="36">
        <f t="shared" si="11"/>
        <v>125.83</v>
      </c>
      <c r="L29" s="33">
        <f t="shared" si="5"/>
        <v>100.664</v>
      </c>
      <c r="M29" s="36">
        <f t="shared" si="1"/>
        <v>369.43687999999997</v>
      </c>
      <c r="N29" s="129">
        <f t="shared" si="10"/>
        <v>6118.1248800000021</v>
      </c>
      <c r="P29" s="67" t="str">
        <f t="shared" si="6"/>
        <v>2036-2037</v>
      </c>
      <c r="Q29" s="54">
        <f t="shared" si="7"/>
        <v>11743.988255999999</v>
      </c>
      <c r="R29" s="54">
        <f t="shared" si="8"/>
        <v>144327.52393600001</v>
      </c>
    </row>
    <row r="30" spans="2:18" x14ac:dyDescent="0.25">
      <c r="B30" s="67">
        <v>20</v>
      </c>
      <c r="C30" s="67" t="s">
        <v>109</v>
      </c>
      <c r="D30" s="36">
        <f t="shared" si="12"/>
        <v>3874.1660000000002</v>
      </c>
      <c r="E30" s="36">
        <f t="shared" si="0"/>
        <v>3099.3328000000001</v>
      </c>
      <c r="F30" s="36">
        <f t="shared" si="2"/>
        <v>11374.551375999999</v>
      </c>
      <c r="G30" s="36">
        <f t="shared" si="9"/>
        <v>149583.95043200001</v>
      </c>
      <c r="I30" s="126">
        <f t="shared" si="3"/>
        <v>20</v>
      </c>
      <c r="J30" s="127" t="str">
        <f t="shared" si="4"/>
        <v>2037-2038</v>
      </c>
      <c r="K30" s="36">
        <f t="shared" si="11"/>
        <v>125.83</v>
      </c>
      <c r="L30" s="33">
        <f t="shared" si="5"/>
        <v>100.664</v>
      </c>
      <c r="M30" s="36">
        <f t="shared" si="1"/>
        <v>369.43687999999997</v>
      </c>
      <c r="N30" s="129">
        <f t="shared" si="10"/>
        <v>6487.5617600000023</v>
      </c>
      <c r="P30" s="67" t="str">
        <f t="shared" si="6"/>
        <v>2037-2038</v>
      </c>
      <c r="Q30" s="54">
        <f t="shared" si="7"/>
        <v>11743.988255999999</v>
      </c>
      <c r="R30" s="54">
        <f t="shared" si="8"/>
        <v>156071.51219200002</v>
      </c>
    </row>
    <row r="31" spans="2:18" x14ac:dyDescent="0.25">
      <c r="B31" s="67">
        <v>21</v>
      </c>
      <c r="C31" s="67" t="s">
        <v>110</v>
      </c>
      <c r="D31" s="36">
        <f t="shared" ref="D31:D45" si="13">$D$30-D11</f>
        <v>3616.1460000000002</v>
      </c>
      <c r="E31" s="36">
        <f t="shared" si="0"/>
        <v>2892.9168000000004</v>
      </c>
      <c r="F31" s="36">
        <f t="shared" si="2"/>
        <v>10617.004656000001</v>
      </c>
      <c r="G31" s="36">
        <f t="shared" si="9"/>
        <v>160200.95508800002</v>
      </c>
      <c r="I31" s="126">
        <f t="shared" si="3"/>
        <v>21</v>
      </c>
      <c r="J31" s="127" t="str">
        <f t="shared" si="4"/>
        <v>2038-2039</v>
      </c>
      <c r="K31" s="36">
        <f>$K$30-K11</f>
        <v>110.03999999999999</v>
      </c>
      <c r="L31" s="33">
        <f t="shared" si="5"/>
        <v>88.031999999999996</v>
      </c>
      <c r="M31" s="36">
        <f t="shared" si="1"/>
        <v>323.07743999999997</v>
      </c>
      <c r="N31" s="129">
        <f t="shared" si="10"/>
        <v>6810.6392000000023</v>
      </c>
      <c r="P31" s="67" t="str">
        <f t="shared" si="6"/>
        <v>2038-2039</v>
      </c>
      <c r="Q31" s="54">
        <f t="shared" si="7"/>
        <v>10940.082096</v>
      </c>
      <c r="R31" s="54">
        <f t="shared" si="8"/>
        <v>167011.59428800002</v>
      </c>
    </row>
    <row r="32" spans="2:18" x14ac:dyDescent="0.25">
      <c r="B32" s="67">
        <v>22</v>
      </c>
      <c r="C32" s="67" t="s">
        <v>111</v>
      </c>
      <c r="D32" s="36">
        <f t="shared" si="13"/>
        <v>3478.7360000000003</v>
      </c>
      <c r="E32" s="36">
        <f t="shared" si="0"/>
        <v>2782.9888000000005</v>
      </c>
      <c r="F32" s="36">
        <f t="shared" si="2"/>
        <v>10213.568896000002</v>
      </c>
      <c r="G32" s="36">
        <f t="shared" si="9"/>
        <v>170414.52398400003</v>
      </c>
      <c r="I32" s="126">
        <f t="shared" si="3"/>
        <v>22</v>
      </c>
      <c r="J32" s="127" t="str">
        <f t="shared" si="4"/>
        <v>2039-2040</v>
      </c>
      <c r="K32" s="36">
        <f t="shared" ref="K32:K45" si="14">$K$30-K12</f>
        <v>90.039999999999992</v>
      </c>
      <c r="L32" s="33">
        <f t="shared" si="5"/>
        <v>72.031999999999996</v>
      </c>
      <c r="M32" s="36">
        <f t="shared" si="1"/>
        <v>264.35744</v>
      </c>
      <c r="N32" s="129">
        <f t="shared" si="10"/>
        <v>7074.9966400000021</v>
      </c>
      <c r="P32" s="67" t="str">
        <f t="shared" si="6"/>
        <v>2039-2040</v>
      </c>
      <c r="Q32" s="54">
        <f t="shared" si="7"/>
        <v>10477.926336000002</v>
      </c>
      <c r="R32" s="54">
        <f t="shared" si="8"/>
        <v>177489.52062400003</v>
      </c>
    </row>
    <row r="33" spans="2:18" x14ac:dyDescent="0.25">
      <c r="B33" s="67">
        <v>23</v>
      </c>
      <c r="C33" s="67" t="s">
        <v>112</v>
      </c>
      <c r="D33" s="36">
        <f t="shared" si="13"/>
        <v>3382.7760000000003</v>
      </c>
      <c r="E33" s="36">
        <f t="shared" si="0"/>
        <v>2706.2208000000005</v>
      </c>
      <c r="F33" s="36">
        <f t="shared" si="2"/>
        <v>9931.8303360000009</v>
      </c>
      <c r="G33" s="36">
        <f t="shared" si="9"/>
        <v>180346.35432000004</v>
      </c>
      <c r="I33" s="126">
        <f t="shared" si="3"/>
        <v>23</v>
      </c>
      <c r="J33" s="127" t="str">
        <f t="shared" si="4"/>
        <v>2040-2041</v>
      </c>
      <c r="K33" s="36">
        <f t="shared" si="14"/>
        <v>75.41</v>
      </c>
      <c r="L33" s="33">
        <f t="shared" si="5"/>
        <v>60.328000000000003</v>
      </c>
      <c r="M33" s="36">
        <f t="shared" si="1"/>
        <v>221.40376000000001</v>
      </c>
      <c r="N33" s="129">
        <f t="shared" si="10"/>
        <v>7296.4004000000023</v>
      </c>
      <c r="P33" s="67" t="str">
        <f t="shared" si="6"/>
        <v>2040-2041</v>
      </c>
      <c r="Q33" s="54">
        <f t="shared" si="7"/>
        <v>10153.234096</v>
      </c>
      <c r="R33" s="54">
        <f t="shared" si="8"/>
        <v>187642.75472000006</v>
      </c>
    </row>
    <row r="34" spans="2:18" x14ac:dyDescent="0.25">
      <c r="B34" s="67">
        <v>24</v>
      </c>
      <c r="C34" s="67" t="s">
        <v>113</v>
      </c>
      <c r="D34" s="36">
        <f t="shared" si="13"/>
        <v>3277.07</v>
      </c>
      <c r="E34" s="36">
        <f t="shared" si="0"/>
        <v>2621.6560000000004</v>
      </c>
      <c r="F34" s="36">
        <f t="shared" si="2"/>
        <v>9621.4775200000022</v>
      </c>
      <c r="G34" s="36">
        <f t="shared" si="9"/>
        <v>189967.83184000006</v>
      </c>
      <c r="I34" s="126">
        <f t="shared" si="3"/>
        <v>24</v>
      </c>
      <c r="J34" s="127" t="str">
        <f t="shared" si="4"/>
        <v>2041-2042</v>
      </c>
      <c r="K34" s="36">
        <f t="shared" si="14"/>
        <v>31.450000000000003</v>
      </c>
      <c r="L34" s="33">
        <f t="shared" si="5"/>
        <v>25.160000000000004</v>
      </c>
      <c r="M34" s="36">
        <f t="shared" si="1"/>
        <v>92.33720000000001</v>
      </c>
      <c r="N34" s="129">
        <f t="shared" si="10"/>
        <v>7388.7376000000022</v>
      </c>
      <c r="P34" s="67" t="str">
        <f t="shared" si="6"/>
        <v>2041-2042</v>
      </c>
      <c r="Q34" s="54">
        <f t="shared" si="7"/>
        <v>9713.8147200000021</v>
      </c>
      <c r="R34" s="54">
        <f t="shared" si="8"/>
        <v>197356.56944000005</v>
      </c>
    </row>
    <row r="35" spans="2:18" x14ac:dyDescent="0.25">
      <c r="B35" s="67">
        <v>25</v>
      </c>
      <c r="C35" s="67" t="s">
        <v>114</v>
      </c>
      <c r="D35" s="36">
        <f t="shared" si="13"/>
        <v>3174.44</v>
      </c>
      <c r="E35" s="36">
        <f t="shared" si="0"/>
        <v>2539.5520000000001</v>
      </c>
      <c r="F35" s="36">
        <f t="shared" si="2"/>
        <v>9320.1558399999994</v>
      </c>
      <c r="G35" s="36">
        <f t="shared" si="9"/>
        <v>199287.98768000005</v>
      </c>
      <c r="I35" s="126">
        <f t="shared" si="3"/>
        <v>25</v>
      </c>
      <c r="J35" s="127" t="str">
        <f t="shared" si="4"/>
        <v>2042-2043</v>
      </c>
      <c r="K35" s="36">
        <f t="shared" si="14"/>
        <v>0</v>
      </c>
      <c r="L35" s="33">
        <f t="shared" si="5"/>
        <v>0</v>
      </c>
      <c r="M35" s="36">
        <f t="shared" si="1"/>
        <v>0</v>
      </c>
      <c r="N35" s="129">
        <f t="shared" si="10"/>
        <v>7388.7376000000022</v>
      </c>
      <c r="P35" s="67" t="str">
        <f t="shared" si="6"/>
        <v>2042-2043</v>
      </c>
      <c r="Q35" s="54">
        <f t="shared" si="7"/>
        <v>9320.1558399999994</v>
      </c>
      <c r="R35" s="54">
        <f t="shared" si="8"/>
        <v>206676.72528000004</v>
      </c>
    </row>
    <row r="36" spans="2:18" x14ac:dyDescent="0.25">
      <c r="B36" s="67">
        <v>26</v>
      </c>
      <c r="C36" s="67" t="s">
        <v>115</v>
      </c>
      <c r="D36" s="36">
        <f t="shared" si="13"/>
        <v>3105.94</v>
      </c>
      <c r="E36" s="36">
        <f t="shared" si="0"/>
        <v>2484.7520000000004</v>
      </c>
      <c r="F36" s="36">
        <f t="shared" si="2"/>
        <v>9119.0398400000013</v>
      </c>
      <c r="G36" s="36">
        <f t="shared" si="9"/>
        <v>208407.02752000006</v>
      </c>
      <c r="I36" s="126">
        <f t="shared" si="3"/>
        <v>26</v>
      </c>
      <c r="J36" s="127" t="str">
        <f t="shared" si="4"/>
        <v>2043-2044</v>
      </c>
      <c r="K36" s="36">
        <f t="shared" si="14"/>
        <v>0</v>
      </c>
      <c r="L36" s="33">
        <f t="shared" si="5"/>
        <v>0</v>
      </c>
      <c r="M36" s="36">
        <f t="shared" si="1"/>
        <v>0</v>
      </c>
      <c r="N36" s="129">
        <f t="shared" si="10"/>
        <v>7388.7376000000022</v>
      </c>
      <c r="P36" s="67" t="str">
        <f t="shared" si="6"/>
        <v>2043-2044</v>
      </c>
      <c r="Q36" s="54">
        <f t="shared" si="7"/>
        <v>9119.0398400000013</v>
      </c>
      <c r="R36" s="54">
        <f t="shared" si="8"/>
        <v>215795.76512000005</v>
      </c>
    </row>
    <row r="37" spans="2:18" x14ac:dyDescent="0.25">
      <c r="B37" s="67">
        <v>27</v>
      </c>
      <c r="C37" s="67" t="s">
        <v>116</v>
      </c>
      <c r="D37" s="36">
        <f t="shared" si="13"/>
        <v>2600</v>
      </c>
      <c r="E37" s="36">
        <f t="shared" si="0"/>
        <v>2080</v>
      </c>
      <c r="F37" s="36">
        <f t="shared" si="2"/>
        <v>7633.5999999999995</v>
      </c>
      <c r="G37" s="36">
        <f t="shared" si="9"/>
        <v>216040.62752000007</v>
      </c>
      <c r="I37" s="126">
        <f t="shared" si="3"/>
        <v>27</v>
      </c>
      <c r="J37" s="127" t="str">
        <f t="shared" si="4"/>
        <v>2044-2045</v>
      </c>
      <c r="K37" s="36">
        <f t="shared" si="14"/>
        <v>0</v>
      </c>
      <c r="L37" s="33">
        <f t="shared" si="5"/>
        <v>0</v>
      </c>
      <c r="M37" s="36">
        <f t="shared" si="1"/>
        <v>0</v>
      </c>
      <c r="N37" s="129">
        <f t="shared" si="10"/>
        <v>7388.7376000000022</v>
      </c>
      <c r="P37" s="67" t="str">
        <f t="shared" si="6"/>
        <v>2044-2045</v>
      </c>
      <c r="Q37" s="54">
        <f t="shared" si="7"/>
        <v>7633.5999999999995</v>
      </c>
      <c r="R37" s="54">
        <f t="shared" si="8"/>
        <v>223429.36512000006</v>
      </c>
    </row>
    <row r="38" spans="2:18" x14ac:dyDescent="0.25">
      <c r="B38" s="67">
        <v>28</v>
      </c>
      <c r="C38" s="67" t="s">
        <v>117</v>
      </c>
      <c r="D38" s="36">
        <f t="shared" si="13"/>
        <v>1950.0000000000002</v>
      </c>
      <c r="E38" s="36">
        <f t="shared" si="0"/>
        <v>1560.0000000000002</v>
      </c>
      <c r="F38" s="36">
        <f t="shared" si="2"/>
        <v>5725.2000000000007</v>
      </c>
      <c r="G38" s="36">
        <f t="shared" si="9"/>
        <v>221765.82752000008</v>
      </c>
      <c r="I38" s="130">
        <f t="shared" si="3"/>
        <v>28</v>
      </c>
      <c r="J38" s="131" t="str">
        <f t="shared" si="4"/>
        <v>2045-2046</v>
      </c>
      <c r="K38" s="39">
        <f t="shared" si="14"/>
        <v>0</v>
      </c>
      <c r="L38" s="132">
        <f t="shared" si="5"/>
        <v>0</v>
      </c>
      <c r="M38" s="39">
        <f t="shared" si="1"/>
        <v>0</v>
      </c>
      <c r="N38" s="133">
        <f t="shared" si="10"/>
        <v>7388.7376000000022</v>
      </c>
      <c r="P38" s="67" t="str">
        <f t="shared" si="6"/>
        <v>2045-2046</v>
      </c>
      <c r="Q38" s="54">
        <f t="shared" si="7"/>
        <v>5725.2000000000007</v>
      </c>
      <c r="R38" s="54">
        <f t="shared" si="8"/>
        <v>229154.56512000007</v>
      </c>
    </row>
    <row r="39" spans="2:18" x14ac:dyDescent="0.25">
      <c r="B39" s="67">
        <v>29</v>
      </c>
      <c r="C39" s="67" t="s">
        <v>118</v>
      </c>
      <c r="D39" s="36">
        <f t="shared" si="13"/>
        <v>1300</v>
      </c>
      <c r="E39" s="36">
        <f t="shared" si="0"/>
        <v>1040</v>
      </c>
      <c r="F39" s="36">
        <f t="shared" si="2"/>
        <v>3816.7999999999997</v>
      </c>
      <c r="G39" s="36">
        <f t="shared" si="9"/>
        <v>225582.62752000007</v>
      </c>
      <c r="I39" s="67">
        <f t="shared" si="3"/>
        <v>29</v>
      </c>
      <c r="J39" s="67" t="str">
        <f t="shared" si="4"/>
        <v>2046-2047</v>
      </c>
      <c r="K39" s="36">
        <f t="shared" si="14"/>
        <v>0</v>
      </c>
      <c r="L39" s="36">
        <f t="shared" si="5"/>
        <v>0</v>
      </c>
      <c r="M39" s="36">
        <f t="shared" si="1"/>
        <v>0</v>
      </c>
      <c r="N39" s="36">
        <f t="shared" si="10"/>
        <v>7388.7376000000022</v>
      </c>
      <c r="P39" s="67" t="str">
        <f t="shared" si="6"/>
        <v>2046-2047</v>
      </c>
      <c r="Q39" s="54">
        <f t="shared" si="7"/>
        <v>3816.7999999999997</v>
      </c>
      <c r="R39" s="54">
        <f t="shared" si="8"/>
        <v>232971.36512000006</v>
      </c>
    </row>
    <row r="40" spans="2:18" x14ac:dyDescent="0.25">
      <c r="B40" s="67">
        <v>30</v>
      </c>
      <c r="C40" s="67" t="s">
        <v>119</v>
      </c>
      <c r="D40" s="36">
        <f t="shared" si="13"/>
        <v>650</v>
      </c>
      <c r="E40" s="36">
        <f t="shared" si="0"/>
        <v>520</v>
      </c>
      <c r="F40" s="36">
        <f t="shared" si="2"/>
        <v>1908.3999999999999</v>
      </c>
      <c r="G40" s="36">
        <f t="shared" si="9"/>
        <v>227491.02752000006</v>
      </c>
      <c r="I40" s="67">
        <f t="shared" si="3"/>
        <v>30</v>
      </c>
      <c r="J40" s="67" t="str">
        <f t="shared" si="4"/>
        <v>2047-2048</v>
      </c>
      <c r="K40" s="36">
        <f t="shared" si="14"/>
        <v>0</v>
      </c>
      <c r="L40" s="36">
        <f t="shared" si="5"/>
        <v>0</v>
      </c>
      <c r="M40" s="36">
        <f t="shared" si="1"/>
        <v>0</v>
      </c>
      <c r="N40" s="36">
        <f t="shared" si="10"/>
        <v>7388.7376000000022</v>
      </c>
      <c r="P40" s="67" t="str">
        <f t="shared" si="6"/>
        <v>2047-2048</v>
      </c>
      <c r="Q40" s="54">
        <f t="shared" si="7"/>
        <v>1908.3999999999999</v>
      </c>
      <c r="R40" s="54">
        <f t="shared" si="8"/>
        <v>234879.76512000005</v>
      </c>
    </row>
    <row r="41" spans="2:18" x14ac:dyDescent="0.25">
      <c r="B41" s="67">
        <v>31</v>
      </c>
      <c r="C41" s="67" t="s">
        <v>120</v>
      </c>
      <c r="D41" s="36">
        <f t="shared" si="13"/>
        <v>0</v>
      </c>
      <c r="E41" s="36">
        <f t="shared" si="0"/>
        <v>0</v>
      </c>
      <c r="F41" s="36">
        <f t="shared" si="2"/>
        <v>0</v>
      </c>
      <c r="G41" s="36">
        <f t="shared" si="9"/>
        <v>227491.02752000006</v>
      </c>
      <c r="I41" s="67">
        <f>B41</f>
        <v>31</v>
      </c>
      <c r="J41" s="67" t="str">
        <f>C41</f>
        <v>2048-2049</v>
      </c>
      <c r="K41" s="36">
        <f t="shared" si="14"/>
        <v>0</v>
      </c>
      <c r="L41" s="36">
        <f t="shared" si="5"/>
        <v>0</v>
      </c>
      <c r="M41" s="36">
        <f t="shared" si="1"/>
        <v>0</v>
      </c>
      <c r="N41" s="36">
        <f t="shared" si="10"/>
        <v>7388.7376000000022</v>
      </c>
      <c r="P41" s="67" t="str">
        <f t="shared" si="6"/>
        <v>2048-2049</v>
      </c>
      <c r="Q41" s="54">
        <f t="shared" si="7"/>
        <v>0</v>
      </c>
      <c r="R41" s="54">
        <f t="shared" si="8"/>
        <v>234879.76512000005</v>
      </c>
    </row>
    <row r="42" spans="2:18" x14ac:dyDescent="0.25">
      <c r="B42" s="67">
        <v>32</v>
      </c>
      <c r="C42" s="67" t="s">
        <v>121</v>
      </c>
      <c r="D42" s="36">
        <f t="shared" si="13"/>
        <v>0</v>
      </c>
      <c r="E42" s="36">
        <f t="shared" si="0"/>
        <v>0</v>
      </c>
      <c r="F42" s="36">
        <f t="shared" si="2"/>
        <v>0</v>
      </c>
      <c r="G42" s="36">
        <f t="shared" si="9"/>
        <v>227491.02752000006</v>
      </c>
      <c r="I42" s="67">
        <f t="shared" si="3"/>
        <v>32</v>
      </c>
      <c r="J42" s="67" t="str">
        <f t="shared" si="4"/>
        <v>2049-2050</v>
      </c>
      <c r="K42" s="36">
        <f t="shared" si="14"/>
        <v>0</v>
      </c>
      <c r="L42" s="36">
        <f t="shared" si="5"/>
        <v>0</v>
      </c>
      <c r="M42" s="36">
        <f t="shared" si="1"/>
        <v>0</v>
      </c>
      <c r="N42" s="36">
        <f t="shared" si="10"/>
        <v>7388.7376000000022</v>
      </c>
      <c r="P42" s="67" t="str">
        <f t="shared" si="6"/>
        <v>2049-2050</v>
      </c>
      <c r="Q42" s="54">
        <f t="shared" si="7"/>
        <v>0</v>
      </c>
      <c r="R42" s="54">
        <f t="shared" si="8"/>
        <v>234879.76512000005</v>
      </c>
    </row>
    <row r="43" spans="2:18" x14ac:dyDescent="0.25">
      <c r="B43" s="67">
        <v>33</v>
      </c>
      <c r="C43" s="67" t="s">
        <v>130</v>
      </c>
      <c r="D43" s="36">
        <f t="shared" si="13"/>
        <v>0</v>
      </c>
      <c r="E43" s="36">
        <f t="shared" si="0"/>
        <v>0</v>
      </c>
      <c r="F43" s="36">
        <f t="shared" si="2"/>
        <v>0</v>
      </c>
      <c r="G43" s="36">
        <f t="shared" si="9"/>
        <v>227491.02752000006</v>
      </c>
      <c r="I43" s="67">
        <f t="shared" si="3"/>
        <v>33</v>
      </c>
      <c r="J43" s="67" t="str">
        <f t="shared" si="4"/>
        <v>2051-2051</v>
      </c>
      <c r="K43" s="36">
        <f t="shared" si="14"/>
        <v>0</v>
      </c>
      <c r="L43" s="36">
        <f t="shared" si="5"/>
        <v>0</v>
      </c>
      <c r="M43" s="36">
        <f t="shared" si="1"/>
        <v>0</v>
      </c>
      <c r="N43" s="36">
        <f t="shared" si="10"/>
        <v>7388.7376000000022</v>
      </c>
      <c r="P43" s="67" t="str">
        <f t="shared" si="6"/>
        <v>2051-2051</v>
      </c>
      <c r="Q43" s="54">
        <f t="shared" si="7"/>
        <v>0</v>
      </c>
      <c r="R43" s="54">
        <f t="shared" si="8"/>
        <v>234879.76512000005</v>
      </c>
    </row>
    <row r="44" spans="2:18" x14ac:dyDescent="0.25">
      <c r="B44" s="67">
        <v>34</v>
      </c>
      <c r="C44" s="67" t="s">
        <v>123</v>
      </c>
      <c r="D44" s="36">
        <f t="shared" si="13"/>
        <v>0</v>
      </c>
      <c r="E44" s="36">
        <f t="shared" si="0"/>
        <v>0</v>
      </c>
      <c r="F44" s="36">
        <f t="shared" si="2"/>
        <v>0</v>
      </c>
      <c r="G44" s="36">
        <f t="shared" si="9"/>
        <v>227491.02752000006</v>
      </c>
      <c r="I44" s="67">
        <f t="shared" si="3"/>
        <v>34</v>
      </c>
      <c r="J44" s="67" t="str">
        <f t="shared" si="4"/>
        <v>2051-2052</v>
      </c>
      <c r="K44" s="36">
        <f t="shared" si="14"/>
        <v>0</v>
      </c>
      <c r="L44" s="36">
        <f t="shared" si="5"/>
        <v>0</v>
      </c>
      <c r="M44" s="36">
        <f t="shared" si="1"/>
        <v>0</v>
      </c>
      <c r="N44" s="36">
        <f t="shared" si="10"/>
        <v>7388.7376000000022</v>
      </c>
      <c r="P44" s="67" t="str">
        <f t="shared" si="6"/>
        <v>2051-2052</v>
      </c>
      <c r="Q44" s="54">
        <f t="shared" si="7"/>
        <v>0</v>
      </c>
      <c r="R44" s="54">
        <f t="shared" si="8"/>
        <v>234879.76512000005</v>
      </c>
    </row>
    <row r="45" spans="2:18" x14ac:dyDescent="0.25">
      <c r="B45" s="67">
        <v>35</v>
      </c>
      <c r="C45" s="67" t="s">
        <v>124</v>
      </c>
      <c r="D45" s="36">
        <f t="shared" si="13"/>
        <v>0</v>
      </c>
      <c r="E45" s="36">
        <f t="shared" si="0"/>
        <v>0</v>
      </c>
      <c r="F45" s="36">
        <f t="shared" si="2"/>
        <v>0</v>
      </c>
      <c r="G45" s="36">
        <f t="shared" si="9"/>
        <v>227491.02752000006</v>
      </c>
      <c r="I45" s="67">
        <f t="shared" si="3"/>
        <v>35</v>
      </c>
      <c r="J45" s="67" t="str">
        <f t="shared" si="4"/>
        <v>2052-2053</v>
      </c>
      <c r="K45" s="36">
        <f t="shared" si="14"/>
        <v>0</v>
      </c>
      <c r="L45" s="36">
        <f t="shared" si="5"/>
        <v>0</v>
      </c>
      <c r="M45" s="36">
        <f t="shared" si="1"/>
        <v>0</v>
      </c>
      <c r="N45" s="36">
        <f t="shared" si="10"/>
        <v>7388.7376000000022</v>
      </c>
      <c r="P45" s="67" t="str">
        <f t="shared" si="6"/>
        <v>2052-2053</v>
      </c>
      <c r="Q45" s="54">
        <f t="shared" si="7"/>
        <v>0</v>
      </c>
      <c r="R45" s="54">
        <f t="shared" si="8"/>
        <v>234879.76512000005</v>
      </c>
    </row>
  </sheetData>
  <mergeCells count="3">
    <mergeCell ref="B2:G2"/>
    <mergeCell ref="I2:N2"/>
    <mergeCell ref="P9:R9"/>
  </mergeCells>
  <phoneticPr fontId="9" type="noConversion"/>
  <dataValidations count="3">
    <dataValidation type="list" allowBlank="1" showInputMessage="1" showErrorMessage="1" sqref="E5 L5" xr:uid="{3790599C-0126-49A9-ACF9-6F6BB7ABF1AF}">
      <formula1>FLU</formula1>
    </dataValidation>
    <dataValidation type="list" allowBlank="1" showInputMessage="1" showErrorMessage="1" sqref="E6 L6" xr:uid="{CEB28E05-6C8D-4679-A1C3-0C4699BC860D}">
      <formula1>IF(#REF!&lt;&gt;"3. Grassland",FMG_Cropland,FMG_Grassland)</formula1>
    </dataValidation>
    <dataValidation type="list" allowBlank="1" showInputMessage="1" showErrorMessage="1" sqref="E7 L7" xr:uid="{0BE164AB-E821-40ED-8CF4-9ECF3BFC7996}">
      <formula1>IF(#REF!&lt;&gt;"3. Grassland",FI_Cropland,FI_Grassland)</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0913F-5063-4980-BD89-23FBF08ED781}">
  <dimension ref="B1:D37"/>
  <sheetViews>
    <sheetView workbookViewId="0">
      <selection activeCell="H8" sqref="H8"/>
    </sheetView>
  </sheetViews>
  <sheetFormatPr defaultColWidth="9.140625" defaultRowHeight="14.25" x14ac:dyDescent="0.25"/>
  <cols>
    <col min="1" max="1" width="9.140625" style="3"/>
    <col min="2" max="2" width="11.28515625" style="3" bestFit="1" customWidth="1"/>
    <col min="3" max="3" width="15.7109375" style="3" bestFit="1" customWidth="1"/>
    <col min="4" max="4" width="14" style="3" bestFit="1" customWidth="1"/>
    <col min="5" max="16384" width="9.140625" style="3"/>
  </cols>
  <sheetData>
    <row r="1" spans="2:4" ht="15" thickBot="1" x14ac:dyDescent="0.3"/>
    <row r="2" spans="2:4" ht="15" thickBot="1" x14ac:dyDescent="0.3">
      <c r="B2" s="134" t="s">
        <v>30</v>
      </c>
      <c r="C2" s="135" t="s">
        <v>172</v>
      </c>
      <c r="D2" s="136" t="s">
        <v>173</v>
      </c>
    </row>
    <row r="3" spans="2:4" x14ac:dyDescent="0.25">
      <c r="B3" s="126" t="str">
        <f>SOC!P11</f>
        <v>2018 -2019</v>
      </c>
      <c r="C3" s="137">
        <f>SOC!Q11+'Red Sander'!BS14+Gauva!BK14+'Mangifera indica'!DE14</f>
        <v>1531.4130976540655</v>
      </c>
      <c r="D3" s="138">
        <f>C3</f>
        <v>1531.4130976540655</v>
      </c>
    </row>
    <row r="4" spans="2:4" x14ac:dyDescent="0.25">
      <c r="B4" s="126" t="str">
        <f>SOC!P12</f>
        <v>2019-2020</v>
      </c>
      <c r="C4" s="137">
        <f>SOC!Q12+'Red Sander'!BS15+Gauva!BK15+'Mangifera indica'!DE15</f>
        <v>4180.7249241701629</v>
      </c>
      <c r="D4" s="138">
        <f>C4+D3</f>
        <v>5712.1380218242284</v>
      </c>
    </row>
    <row r="5" spans="2:4" x14ac:dyDescent="0.25">
      <c r="B5" s="126" t="str">
        <f>SOC!P13</f>
        <v>2020-2021</v>
      </c>
      <c r="C5" s="137">
        <f>SOC!Q13+'Red Sander'!BS16+Gauva!BK16+'Mangifera indica'!DE16</f>
        <v>6819.6707701364739</v>
      </c>
      <c r="D5" s="138">
        <f t="shared" ref="D5:D37" si="0">C5+D4</f>
        <v>12531.808791960702</v>
      </c>
    </row>
    <row r="6" spans="2:4" x14ac:dyDescent="0.25">
      <c r="B6" s="126" t="str">
        <f>SOC!P14</f>
        <v>2021-2022</v>
      </c>
      <c r="C6" s="137">
        <f>SOC!Q14+'Red Sander'!BS17+Gauva!BK17+'Mangifera indica'!DE17</f>
        <v>10752.497893536432</v>
      </c>
      <c r="D6" s="138">
        <f t="shared" si="0"/>
        <v>23284.306685497133</v>
      </c>
    </row>
    <row r="7" spans="2:4" x14ac:dyDescent="0.25">
      <c r="B7" s="126" t="str">
        <f>SOC!P15</f>
        <v>2022-2023</v>
      </c>
      <c r="C7" s="137">
        <f>SOC!Q15+'Red Sander'!BS18+Gauva!BK18+'Mangifera indica'!DE18</f>
        <v>13570.999859795269</v>
      </c>
      <c r="D7" s="138">
        <f t="shared" si="0"/>
        <v>36855.306545292406</v>
      </c>
    </row>
    <row r="8" spans="2:4" x14ac:dyDescent="0.25">
      <c r="B8" s="126" t="str">
        <f>SOC!P16</f>
        <v>2023-2024</v>
      </c>
      <c r="C8" s="137">
        <f>SOC!Q16+'Red Sander'!BS19+Gauva!BK19+'Mangifera indica'!DE19</f>
        <v>14831.189441687582</v>
      </c>
      <c r="D8" s="138">
        <f t="shared" si="0"/>
        <v>51686.495986979986</v>
      </c>
    </row>
    <row r="9" spans="2:4" x14ac:dyDescent="0.25">
      <c r="B9" s="126" t="str">
        <f>SOC!P17</f>
        <v>2024-2025</v>
      </c>
      <c r="C9" s="137">
        <f>SOC!Q17+'Red Sander'!BS20+Gauva!BK20+'Mangifera indica'!DE20</f>
        <v>15815.865297123441</v>
      </c>
      <c r="D9" s="138">
        <f t="shared" si="0"/>
        <v>67502.361284103419</v>
      </c>
    </row>
    <row r="10" spans="2:4" x14ac:dyDescent="0.25">
      <c r="B10" s="126" t="str">
        <f>SOC!P18</f>
        <v>2025-2026</v>
      </c>
      <c r="C10" s="137">
        <f>SOC!Q18+'Red Sander'!BS21+Gauva!BK21+'Mangifera indica'!DE21</f>
        <v>20690.07995213836</v>
      </c>
      <c r="D10" s="138">
        <f t="shared" si="0"/>
        <v>88192.441236241779</v>
      </c>
    </row>
    <row r="11" spans="2:4" x14ac:dyDescent="0.25">
      <c r="B11" s="126" t="str">
        <f>SOC!P19</f>
        <v>2026-2027</v>
      </c>
      <c r="C11" s="137">
        <f>SOC!Q19+'Red Sander'!BS22+Gauva!BK22+'Mangifera indica'!DE22</f>
        <v>29838.953588987351</v>
      </c>
      <c r="D11" s="138">
        <f t="shared" si="0"/>
        <v>118031.39482522913</v>
      </c>
    </row>
    <row r="12" spans="2:4" x14ac:dyDescent="0.25">
      <c r="B12" s="126" t="str">
        <f>SOC!P20</f>
        <v>2027-2028</v>
      </c>
      <c r="C12" s="137">
        <f>SOC!Q20+'Red Sander'!BS23+Gauva!BK23+'Mangifera indica'!DE23</f>
        <v>41008.217687843004</v>
      </c>
      <c r="D12" s="138">
        <f t="shared" si="0"/>
        <v>159039.61251307215</v>
      </c>
    </row>
    <row r="13" spans="2:4" x14ac:dyDescent="0.25">
      <c r="B13" s="126" t="str">
        <f>SOC!P21</f>
        <v>2028-2029</v>
      </c>
      <c r="C13" s="137">
        <f>SOC!Q21+'Red Sander'!BS24+Gauva!BK24+'Mangifera indica'!DE24</f>
        <v>54596.894440013719</v>
      </c>
      <c r="D13" s="138">
        <f t="shared" si="0"/>
        <v>213636.50695308586</v>
      </c>
    </row>
    <row r="14" spans="2:4" x14ac:dyDescent="0.25">
      <c r="B14" s="126" t="str">
        <f>SOC!P22</f>
        <v>2029-2030</v>
      </c>
      <c r="C14" s="137">
        <f>SOC!Q22+'Red Sander'!BS25+Gauva!BK25+'Mangifera indica'!DE25</f>
        <v>66816.45405907699</v>
      </c>
      <c r="D14" s="138">
        <f t="shared" si="0"/>
        <v>280452.96101216285</v>
      </c>
    </row>
    <row r="15" spans="2:4" x14ac:dyDescent="0.25">
      <c r="B15" s="126" t="str">
        <f>SOC!P23</f>
        <v>2030-2031</v>
      </c>
      <c r="C15" s="137">
        <f>SOC!Q23+'Red Sander'!BS26+Gauva!BK26+'Mangifera indica'!DE26</f>
        <v>71137.86198751624</v>
      </c>
      <c r="D15" s="138">
        <f t="shared" si="0"/>
        <v>351590.82299967908</v>
      </c>
    </row>
    <row r="16" spans="2:4" x14ac:dyDescent="0.25">
      <c r="B16" s="126" t="str">
        <f>SOC!P24</f>
        <v>2031-2032</v>
      </c>
      <c r="C16" s="137">
        <f>SOC!Q24+'Red Sander'!BS27+Gauva!BK27+'Mangifera indica'!DE27</f>
        <v>71484.837622065053</v>
      </c>
      <c r="D16" s="138">
        <f t="shared" si="0"/>
        <v>423075.66062174411</v>
      </c>
    </row>
    <row r="17" spans="2:4" x14ac:dyDescent="0.25">
      <c r="B17" s="126" t="str">
        <f>SOC!P25</f>
        <v>2032-2033</v>
      </c>
      <c r="C17" s="137">
        <f>SOC!Q25+'Red Sander'!BS28+Gauva!BK28+'Mangifera indica'!DE28</f>
        <v>69930.680178387134</v>
      </c>
      <c r="D17" s="138">
        <f t="shared" si="0"/>
        <v>493006.34080013126</v>
      </c>
    </row>
    <row r="18" spans="2:4" x14ac:dyDescent="0.25">
      <c r="B18" s="126" t="str">
        <f>SOC!P26</f>
        <v>2033-2034</v>
      </c>
      <c r="C18" s="137">
        <f>SOC!Q26+'Red Sander'!BS29+Gauva!BK29+'Mangifera indica'!DE29</f>
        <v>62811.368840767376</v>
      </c>
      <c r="D18" s="138">
        <f t="shared" si="0"/>
        <v>555817.70964089863</v>
      </c>
    </row>
    <row r="19" spans="2:4" x14ac:dyDescent="0.25">
      <c r="B19" s="126" t="str">
        <f>SOC!P27</f>
        <v>2034-2035</v>
      </c>
      <c r="C19" s="137">
        <f>SOC!Q27+'Red Sander'!BS30+Gauva!BK30+'Mangifera indica'!DE30</f>
        <v>47011.247704283065</v>
      </c>
      <c r="D19" s="138">
        <f t="shared" si="0"/>
        <v>602828.95734518173</v>
      </c>
    </row>
    <row r="20" spans="2:4" x14ac:dyDescent="0.25">
      <c r="B20" s="126" t="str">
        <f>SOC!P28</f>
        <v>2035-2036</v>
      </c>
      <c r="C20" s="137">
        <f>SOC!Q28+'Red Sander'!BS31+Gauva!BK31+'Mangifera indica'!DE31</f>
        <v>54432.317388393021</v>
      </c>
      <c r="D20" s="138">
        <f t="shared" si="0"/>
        <v>657261.27473357471</v>
      </c>
    </row>
    <row r="21" spans="2:4" x14ac:dyDescent="0.25">
      <c r="B21" s="126" t="str">
        <f>SOC!P29</f>
        <v>2036-2037</v>
      </c>
      <c r="C21" s="137">
        <f>SOC!Q29+'Red Sander'!BS32+Gauva!BK32+'Mangifera indica'!DE32</f>
        <v>46378.627581366396</v>
      </c>
      <c r="D21" s="138">
        <f t="shared" si="0"/>
        <v>703639.90231494117</v>
      </c>
    </row>
    <row r="22" spans="2:4" x14ac:dyDescent="0.25">
      <c r="B22" s="126" t="str">
        <f>SOC!P30</f>
        <v>2037-2038</v>
      </c>
      <c r="C22" s="137">
        <f>SOC!Q30+'Red Sander'!BS33+Gauva!BK33+'Mangifera indica'!DE33</f>
        <v>50012.17637531551</v>
      </c>
      <c r="D22" s="138">
        <f t="shared" si="0"/>
        <v>753652.07869025669</v>
      </c>
    </row>
    <row r="23" spans="2:4" x14ac:dyDescent="0.25">
      <c r="B23" s="126" t="str">
        <f>SOC!P31</f>
        <v>2038-2039</v>
      </c>
      <c r="C23" s="137">
        <f>SOC!Q31+'Red Sander'!BS34+Gauva!BK34+'Mangifera indica'!DE34</f>
        <v>70754.73307302277</v>
      </c>
      <c r="D23" s="138">
        <f t="shared" si="0"/>
        <v>824406.81176327949</v>
      </c>
    </row>
    <row r="24" spans="2:4" x14ac:dyDescent="0.25">
      <c r="B24" s="126" t="str">
        <f>SOC!P32</f>
        <v>2039-2040</v>
      </c>
      <c r="C24" s="137">
        <f>SOC!Q32+'Red Sander'!BS35+Gauva!BK35+'Mangifera indica'!DE35</f>
        <v>71260.884069591848</v>
      </c>
      <c r="D24" s="138">
        <f t="shared" si="0"/>
        <v>895667.69583287137</v>
      </c>
    </row>
    <row r="25" spans="2:4" x14ac:dyDescent="0.25">
      <c r="B25" s="126" t="str">
        <f>SOC!P33</f>
        <v>2040-2041</v>
      </c>
      <c r="C25" s="137">
        <f>SOC!Q33+'Red Sander'!BS36+Gauva!BK36+'Mangifera indica'!DE36</f>
        <v>71869.78491691481</v>
      </c>
      <c r="D25" s="138">
        <f t="shared" si="0"/>
        <v>967537.48074978613</v>
      </c>
    </row>
    <row r="26" spans="2:4" x14ac:dyDescent="0.25">
      <c r="B26" s="126" t="str">
        <f>SOC!P34</f>
        <v>2041-2042</v>
      </c>
      <c r="C26" s="137">
        <f>SOC!Q34+'Red Sander'!BS37+Gauva!BK37+'Mangifera indica'!DE37</f>
        <v>73781.678626011621</v>
      </c>
      <c r="D26" s="138">
        <f t="shared" si="0"/>
        <v>1041319.1593757977</v>
      </c>
    </row>
    <row r="27" spans="2:4" x14ac:dyDescent="0.25">
      <c r="B27" s="126" t="str">
        <f>SOC!P35</f>
        <v>2042-2043</v>
      </c>
      <c r="C27" s="137">
        <f>SOC!Q35+'Red Sander'!BS38+Gauva!BK38+'Mangifera indica'!DE38</f>
        <v>75464.472982948413</v>
      </c>
      <c r="D27" s="138">
        <f t="shared" si="0"/>
        <v>1116783.6323587461</v>
      </c>
    </row>
    <row r="28" spans="2:4" x14ac:dyDescent="0.25">
      <c r="B28" s="126" t="str">
        <f>SOC!P36</f>
        <v>2043-2044</v>
      </c>
      <c r="C28" s="137">
        <f>SOC!Q36+'Red Sander'!BS39+Gauva!BK39+'Mangifera indica'!DE39</f>
        <v>77370.092573544607</v>
      </c>
      <c r="D28" s="138">
        <f t="shared" si="0"/>
        <v>1194153.7249322908</v>
      </c>
    </row>
    <row r="29" spans="2:4" x14ac:dyDescent="0.25">
      <c r="B29" s="126" t="str">
        <f>SOC!P37</f>
        <v>2044-2045</v>
      </c>
      <c r="C29" s="137">
        <f>SOC!Q37+'Red Sander'!BS40+Gauva!BK40+'Mangifera indica'!DE40</f>
        <v>78106.123394311348</v>
      </c>
      <c r="D29" s="138">
        <f t="shared" si="0"/>
        <v>1272259.8483266023</v>
      </c>
    </row>
    <row r="30" spans="2:4" x14ac:dyDescent="0.25">
      <c r="B30" s="126" t="str">
        <f>SOC!P38</f>
        <v>2045-2046</v>
      </c>
      <c r="C30" s="137">
        <f>SOC!Q38+'Red Sander'!BS41+Gauva!BK41+'Mangifera indica'!DE41</f>
        <v>78374.001703380913</v>
      </c>
      <c r="D30" s="138">
        <f t="shared" si="0"/>
        <v>1350633.8500299831</v>
      </c>
    </row>
    <row r="31" spans="2:4" x14ac:dyDescent="0.25">
      <c r="B31" s="126" t="str">
        <f>SOC!P39</f>
        <v>2046-2047</v>
      </c>
      <c r="C31" s="137">
        <f>SOC!Q39+'Red Sander'!BS42+Gauva!BK42+'Mangifera indica'!DE42</f>
        <v>78640.486069744831</v>
      </c>
      <c r="D31" s="138">
        <f t="shared" si="0"/>
        <v>1429274.336099728</v>
      </c>
    </row>
    <row r="32" spans="2:4" x14ac:dyDescent="0.25">
      <c r="B32" s="126" t="str">
        <f>SOC!P40</f>
        <v>2047-2048</v>
      </c>
      <c r="C32" s="137">
        <f>SOC!Q40+'Red Sander'!BS43+Gauva!BK43+'Mangifera indica'!DE43</f>
        <v>79062.54995007113</v>
      </c>
      <c r="D32" s="138">
        <f t="shared" si="0"/>
        <v>1508336.8860497992</v>
      </c>
    </row>
    <row r="33" spans="2:4" x14ac:dyDescent="0.25">
      <c r="B33" s="126" t="str">
        <f>SOC!P41</f>
        <v>2048-2049</v>
      </c>
      <c r="C33" s="137">
        <f>SOC!Q41+'Red Sander'!BS44+Gauva!BK44+'Mangifera indica'!DE44</f>
        <v>75873.366367936789</v>
      </c>
      <c r="D33" s="138">
        <f t="shared" si="0"/>
        <v>1584210.252417736</v>
      </c>
    </row>
    <row r="34" spans="2:4" x14ac:dyDescent="0.25">
      <c r="B34" s="126" t="str">
        <f>SOC!P42</f>
        <v>2049-2050</v>
      </c>
      <c r="C34" s="137">
        <f>SOC!Q42+'Red Sander'!BS45+Gauva!BK45+'Mangifera indica'!DE45</f>
        <v>67790.342960167065</v>
      </c>
      <c r="D34" s="138">
        <f t="shared" si="0"/>
        <v>1652000.595377903</v>
      </c>
    </row>
    <row r="35" spans="2:4" x14ac:dyDescent="0.25">
      <c r="B35" s="126" t="str">
        <f>SOC!P43</f>
        <v>2051-2051</v>
      </c>
      <c r="C35" s="137">
        <f>SOC!Q43+'Red Sander'!BS46+Gauva!BK46+'Mangifera indica'!DE46</f>
        <v>75004.392291385389</v>
      </c>
      <c r="D35" s="138">
        <f t="shared" si="0"/>
        <v>1727004.9876692884</v>
      </c>
    </row>
    <row r="36" spans="2:4" x14ac:dyDescent="0.25">
      <c r="B36" s="126" t="str">
        <f>SOC!P44</f>
        <v>2051-2052</v>
      </c>
      <c r="C36" s="137">
        <f>SOC!Q44+'Red Sander'!BS47+Gauva!BK47+'Mangifera indica'!DE47</f>
        <v>66753.769870994991</v>
      </c>
      <c r="D36" s="138">
        <f t="shared" si="0"/>
        <v>1793758.7575402835</v>
      </c>
    </row>
    <row r="37" spans="2:4" x14ac:dyDescent="0.25">
      <c r="B37" s="126" t="str">
        <f>SOC!P45</f>
        <v>2052-2053</v>
      </c>
      <c r="C37" s="137">
        <f>SOC!Q45+'Red Sander'!BS48+Gauva!BK48+'Mangifera indica'!DE48</f>
        <v>67745.364036873318</v>
      </c>
      <c r="D37" s="138">
        <f t="shared" si="0"/>
        <v>1861504.1215771567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1E343-85AD-42EC-82FF-A561EE565F8D}">
  <dimension ref="B1:F37"/>
  <sheetViews>
    <sheetView topLeftCell="A10" workbookViewId="0">
      <selection activeCell="G6" sqref="G6"/>
    </sheetView>
  </sheetViews>
  <sheetFormatPr defaultColWidth="9.140625" defaultRowHeight="14.25" x14ac:dyDescent="0.25"/>
  <cols>
    <col min="1" max="3" width="9.140625" style="45"/>
    <col min="4" max="4" width="18" style="45" bestFit="1" customWidth="1"/>
    <col min="5" max="5" width="11.140625" style="45" bestFit="1" customWidth="1"/>
    <col min="6" max="6" width="33.28515625" style="45" bestFit="1" customWidth="1"/>
    <col min="7" max="16384" width="9.140625" style="45"/>
  </cols>
  <sheetData>
    <row r="1" spans="2:6" ht="15" thickBot="1" x14ac:dyDescent="0.3"/>
    <row r="2" spans="2:6" ht="43.5" customHeight="1" x14ac:dyDescent="0.25">
      <c r="B2" s="141" t="s">
        <v>73</v>
      </c>
      <c r="C2" s="142" t="s">
        <v>30</v>
      </c>
      <c r="D2" s="142" t="s">
        <v>174</v>
      </c>
      <c r="E2" s="142" t="s">
        <v>175</v>
      </c>
      <c r="F2" s="142" t="s">
        <v>176</v>
      </c>
    </row>
    <row r="3" spans="2:6" x14ac:dyDescent="0.25">
      <c r="B3" s="67">
        <v>1</v>
      </c>
      <c r="C3" s="67" t="str">
        <f>'Total ER'!B3</f>
        <v>2018 -2019</v>
      </c>
      <c r="D3" s="66">
        <f>'Total ER'!C3</f>
        <v>1531.4130976540655</v>
      </c>
      <c r="E3" s="66">
        <v>0</v>
      </c>
      <c r="F3" s="66">
        <f t="shared" ref="F3:F37" si="0">D3-E3</f>
        <v>1531.4130976540655</v>
      </c>
    </row>
    <row r="4" spans="2:6" x14ac:dyDescent="0.25">
      <c r="B4" s="67">
        <v>2</v>
      </c>
      <c r="C4" s="67" t="str">
        <f>'Total ER'!B4</f>
        <v>2019-2020</v>
      </c>
      <c r="D4" s="66">
        <f>'Total ER'!C4</f>
        <v>4180.7249241701629</v>
      </c>
      <c r="E4" s="66">
        <v>0</v>
      </c>
      <c r="F4" s="66">
        <f t="shared" si="0"/>
        <v>4180.7249241701629</v>
      </c>
    </row>
    <row r="5" spans="2:6" x14ac:dyDescent="0.25">
      <c r="B5" s="67">
        <v>3</v>
      </c>
      <c r="C5" s="67" t="str">
        <f>'Total ER'!B5</f>
        <v>2020-2021</v>
      </c>
      <c r="D5" s="66">
        <f>'Total ER'!C5</f>
        <v>6819.6707701364739</v>
      </c>
      <c r="E5" s="66">
        <v>0</v>
      </c>
      <c r="F5" s="66">
        <f t="shared" si="0"/>
        <v>6819.6707701364739</v>
      </c>
    </row>
    <row r="6" spans="2:6" x14ac:dyDescent="0.25">
      <c r="B6" s="67">
        <v>4</v>
      </c>
      <c r="C6" s="67" t="str">
        <f>'Total ER'!B6</f>
        <v>2021-2022</v>
      </c>
      <c r="D6" s="66">
        <f>'Total ER'!C6</f>
        <v>10752.497893536432</v>
      </c>
      <c r="E6" s="66">
        <v>0</v>
      </c>
      <c r="F6" s="66">
        <f t="shared" si="0"/>
        <v>10752.497893536432</v>
      </c>
    </row>
    <row r="7" spans="2:6" x14ac:dyDescent="0.25">
      <c r="B7" s="67">
        <v>5</v>
      </c>
      <c r="C7" s="67" t="str">
        <f>'Total ER'!B7</f>
        <v>2022-2023</v>
      </c>
      <c r="D7" s="66">
        <f>'Total ER'!C7</f>
        <v>13570.999859795269</v>
      </c>
      <c r="E7" s="66">
        <v>0</v>
      </c>
      <c r="F7" s="66">
        <f t="shared" si="0"/>
        <v>13570.999859795269</v>
      </c>
    </row>
    <row r="8" spans="2:6" x14ac:dyDescent="0.25">
      <c r="B8" s="67">
        <v>6</v>
      </c>
      <c r="C8" s="67" t="str">
        <f>'Total ER'!B8</f>
        <v>2023-2024</v>
      </c>
      <c r="D8" s="66">
        <f>'Total ER'!C8</f>
        <v>14831.189441687582</v>
      </c>
      <c r="E8" s="66">
        <v>0</v>
      </c>
      <c r="F8" s="66">
        <f t="shared" si="0"/>
        <v>14831.189441687582</v>
      </c>
    </row>
    <row r="9" spans="2:6" x14ac:dyDescent="0.25">
      <c r="B9" s="67">
        <v>7</v>
      </c>
      <c r="C9" s="67" t="str">
        <f>'Total ER'!B9</f>
        <v>2024-2025</v>
      </c>
      <c r="D9" s="66">
        <f>'Total ER'!C9</f>
        <v>15815.865297123441</v>
      </c>
      <c r="E9" s="66">
        <v>0</v>
      </c>
      <c r="F9" s="66">
        <f t="shared" si="0"/>
        <v>15815.865297123441</v>
      </c>
    </row>
    <row r="10" spans="2:6" x14ac:dyDescent="0.25">
      <c r="B10" s="67">
        <v>8</v>
      </c>
      <c r="C10" s="67" t="str">
        <f>'Total ER'!B10</f>
        <v>2025-2026</v>
      </c>
      <c r="D10" s="66">
        <f>'Total ER'!C10</f>
        <v>20690.07995213836</v>
      </c>
      <c r="E10" s="66">
        <v>0</v>
      </c>
      <c r="F10" s="66">
        <f t="shared" si="0"/>
        <v>20690.07995213836</v>
      </c>
    </row>
    <row r="11" spans="2:6" x14ac:dyDescent="0.25">
      <c r="B11" s="67">
        <v>9</v>
      </c>
      <c r="C11" s="67" t="str">
        <f>'Total ER'!B11</f>
        <v>2026-2027</v>
      </c>
      <c r="D11" s="66">
        <f>'Total ER'!C11</f>
        <v>29838.953588987351</v>
      </c>
      <c r="E11" s="66">
        <v>0</v>
      </c>
      <c r="F11" s="66">
        <f t="shared" si="0"/>
        <v>29838.953588987351</v>
      </c>
    </row>
    <row r="12" spans="2:6" x14ac:dyDescent="0.25">
      <c r="B12" s="67">
        <v>10</v>
      </c>
      <c r="C12" s="67" t="str">
        <f>'Total ER'!B12</f>
        <v>2027-2028</v>
      </c>
      <c r="D12" s="66">
        <f>'Total ER'!C12</f>
        <v>41008.217687843004</v>
      </c>
      <c r="E12" s="66">
        <v>0</v>
      </c>
      <c r="F12" s="66">
        <f t="shared" si="0"/>
        <v>41008.217687843004</v>
      </c>
    </row>
    <row r="13" spans="2:6" x14ac:dyDescent="0.25">
      <c r="B13" s="67">
        <v>11</v>
      </c>
      <c r="C13" s="67" t="str">
        <f>'Total ER'!B13</f>
        <v>2028-2029</v>
      </c>
      <c r="D13" s="66">
        <f>'Total ER'!C13</f>
        <v>54596.894440013719</v>
      </c>
      <c r="E13" s="66">
        <v>0</v>
      </c>
      <c r="F13" s="66">
        <f t="shared" si="0"/>
        <v>54596.894440013719</v>
      </c>
    </row>
    <row r="14" spans="2:6" x14ac:dyDescent="0.25">
      <c r="B14" s="67">
        <v>12</v>
      </c>
      <c r="C14" s="67" t="str">
        <f>'Total ER'!B14</f>
        <v>2029-2030</v>
      </c>
      <c r="D14" s="66">
        <f>'Total ER'!C14</f>
        <v>66816.45405907699</v>
      </c>
      <c r="E14" s="66">
        <v>0</v>
      </c>
      <c r="F14" s="66">
        <f t="shared" si="0"/>
        <v>66816.45405907699</v>
      </c>
    </row>
    <row r="15" spans="2:6" x14ac:dyDescent="0.25">
      <c r="B15" s="67">
        <v>13</v>
      </c>
      <c r="C15" s="67" t="str">
        <f>'Total ER'!B15</f>
        <v>2030-2031</v>
      </c>
      <c r="D15" s="66">
        <f>'Total ER'!C15</f>
        <v>71137.86198751624</v>
      </c>
      <c r="E15" s="66">
        <v>0</v>
      </c>
      <c r="F15" s="66">
        <f t="shared" si="0"/>
        <v>71137.86198751624</v>
      </c>
    </row>
    <row r="16" spans="2:6" x14ac:dyDescent="0.25">
      <c r="B16" s="67">
        <v>14</v>
      </c>
      <c r="C16" s="67" t="str">
        <f>'Total ER'!B16</f>
        <v>2031-2032</v>
      </c>
      <c r="D16" s="66">
        <f>'Total ER'!C16</f>
        <v>71484.837622065053</v>
      </c>
      <c r="E16" s="66">
        <v>0</v>
      </c>
      <c r="F16" s="66">
        <f t="shared" si="0"/>
        <v>71484.837622065053</v>
      </c>
    </row>
    <row r="17" spans="2:6" x14ac:dyDescent="0.25">
      <c r="B17" s="67">
        <v>15</v>
      </c>
      <c r="C17" s="67" t="str">
        <f>'Total ER'!B17</f>
        <v>2032-2033</v>
      </c>
      <c r="D17" s="66">
        <f>'Total ER'!C17</f>
        <v>69930.680178387134</v>
      </c>
      <c r="E17" s="66">
        <v>0</v>
      </c>
      <c r="F17" s="66">
        <f t="shared" si="0"/>
        <v>69930.680178387134</v>
      </c>
    </row>
    <row r="18" spans="2:6" x14ac:dyDescent="0.25">
      <c r="B18" s="67">
        <v>16</v>
      </c>
      <c r="C18" s="67" t="str">
        <f>'Total ER'!B18</f>
        <v>2033-2034</v>
      </c>
      <c r="D18" s="66">
        <f>'Total ER'!C18</f>
        <v>62811.368840767376</v>
      </c>
      <c r="E18" s="66">
        <v>0</v>
      </c>
      <c r="F18" s="66">
        <f t="shared" si="0"/>
        <v>62811.368840767376</v>
      </c>
    </row>
    <row r="19" spans="2:6" x14ac:dyDescent="0.25">
      <c r="B19" s="67">
        <v>17</v>
      </c>
      <c r="C19" s="67" t="str">
        <f>'Total ER'!B19</f>
        <v>2034-2035</v>
      </c>
      <c r="D19" s="66">
        <f>'Total ER'!C19</f>
        <v>47011.247704283065</v>
      </c>
      <c r="E19" s="66">
        <v>0</v>
      </c>
      <c r="F19" s="66">
        <f t="shared" si="0"/>
        <v>47011.247704283065</v>
      </c>
    </row>
    <row r="20" spans="2:6" x14ac:dyDescent="0.25">
      <c r="B20" s="67">
        <v>18</v>
      </c>
      <c r="C20" s="67" t="str">
        <f>'Total ER'!B20</f>
        <v>2035-2036</v>
      </c>
      <c r="D20" s="66">
        <f>'Total ER'!C20</f>
        <v>54432.317388393021</v>
      </c>
      <c r="E20" s="66">
        <v>0</v>
      </c>
      <c r="F20" s="66">
        <f t="shared" si="0"/>
        <v>54432.317388393021</v>
      </c>
    </row>
    <row r="21" spans="2:6" x14ac:dyDescent="0.25">
      <c r="B21" s="67">
        <v>19</v>
      </c>
      <c r="C21" s="67" t="str">
        <f>'Total ER'!B21</f>
        <v>2036-2037</v>
      </c>
      <c r="D21" s="66">
        <f>'Total ER'!C21</f>
        <v>46378.627581366396</v>
      </c>
      <c r="E21" s="66">
        <v>0</v>
      </c>
      <c r="F21" s="66">
        <f t="shared" si="0"/>
        <v>46378.627581366396</v>
      </c>
    </row>
    <row r="22" spans="2:6" x14ac:dyDescent="0.25">
      <c r="B22" s="67">
        <v>20</v>
      </c>
      <c r="C22" s="67" t="str">
        <f>'Total ER'!B22</f>
        <v>2037-2038</v>
      </c>
      <c r="D22" s="66">
        <f>'Total ER'!C22</f>
        <v>50012.17637531551</v>
      </c>
      <c r="E22" s="66">
        <v>0</v>
      </c>
      <c r="F22" s="66">
        <f t="shared" si="0"/>
        <v>50012.17637531551</v>
      </c>
    </row>
    <row r="23" spans="2:6" x14ac:dyDescent="0.25">
      <c r="B23" s="67">
        <v>21</v>
      </c>
      <c r="C23" s="67" t="str">
        <f>'Total ER'!B23</f>
        <v>2038-2039</v>
      </c>
      <c r="D23" s="66">
        <f>'Total ER'!C23</f>
        <v>70754.73307302277</v>
      </c>
      <c r="E23" s="66">
        <v>0</v>
      </c>
      <c r="F23" s="66">
        <f t="shared" si="0"/>
        <v>70754.73307302277</v>
      </c>
    </row>
    <row r="24" spans="2:6" x14ac:dyDescent="0.25">
      <c r="B24" s="67">
        <v>22</v>
      </c>
      <c r="C24" s="67" t="str">
        <f>'Total ER'!B24</f>
        <v>2039-2040</v>
      </c>
      <c r="D24" s="66">
        <f>'Total ER'!C24</f>
        <v>71260.884069591848</v>
      </c>
      <c r="E24" s="66">
        <v>0</v>
      </c>
      <c r="F24" s="66">
        <f t="shared" si="0"/>
        <v>71260.884069591848</v>
      </c>
    </row>
    <row r="25" spans="2:6" x14ac:dyDescent="0.25">
      <c r="B25" s="67">
        <v>23</v>
      </c>
      <c r="C25" s="67" t="str">
        <f>'Total ER'!B25</f>
        <v>2040-2041</v>
      </c>
      <c r="D25" s="66">
        <f>'Total ER'!C25</f>
        <v>71869.78491691481</v>
      </c>
      <c r="E25" s="66">
        <v>0</v>
      </c>
      <c r="F25" s="66">
        <f t="shared" si="0"/>
        <v>71869.78491691481</v>
      </c>
    </row>
    <row r="26" spans="2:6" x14ac:dyDescent="0.25">
      <c r="B26" s="67">
        <v>24</v>
      </c>
      <c r="C26" s="67" t="str">
        <f>'Total ER'!B26</f>
        <v>2041-2042</v>
      </c>
      <c r="D26" s="66">
        <f>'Total ER'!C26</f>
        <v>73781.678626011621</v>
      </c>
      <c r="E26" s="66">
        <v>0</v>
      </c>
      <c r="F26" s="66">
        <f t="shared" si="0"/>
        <v>73781.678626011621</v>
      </c>
    </row>
    <row r="27" spans="2:6" x14ac:dyDescent="0.25">
      <c r="B27" s="67">
        <v>25</v>
      </c>
      <c r="C27" s="67" t="str">
        <f>'Total ER'!B27</f>
        <v>2042-2043</v>
      </c>
      <c r="D27" s="66">
        <f>'Total ER'!C27</f>
        <v>75464.472982948413</v>
      </c>
      <c r="E27" s="66">
        <v>0</v>
      </c>
      <c r="F27" s="66">
        <f t="shared" si="0"/>
        <v>75464.472982948413</v>
      </c>
    </row>
    <row r="28" spans="2:6" x14ac:dyDescent="0.25">
      <c r="B28" s="67">
        <v>26</v>
      </c>
      <c r="C28" s="67" t="str">
        <f>'Total ER'!B28</f>
        <v>2043-2044</v>
      </c>
      <c r="D28" s="66">
        <f>'Total ER'!C28</f>
        <v>77370.092573544607</v>
      </c>
      <c r="E28" s="66">
        <v>0</v>
      </c>
      <c r="F28" s="66">
        <f t="shared" si="0"/>
        <v>77370.092573544607</v>
      </c>
    </row>
    <row r="29" spans="2:6" x14ac:dyDescent="0.25">
      <c r="B29" s="67">
        <v>27</v>
      </c>
      <c r="C29" s="67" t="str">
        <f>'Total ER'!B29</f>
        <v>2044-2045</v>
      </c>
      <c r="D29" s="66">
        <f>'Total ER'!C29</f>
        <v>78106.123394311348</v>
      </c>
      <c r="E29" s="66">
        <v>0</v>
      </c>
      <c r="F29" s="66">
        <f t="shared" si="0"/>
        <v>78106.123394311348</v>
      </c>
    </row>
    <row r="30" spans="2:6" x14ac:dyDescent="0.25">
      <c r="B30" s="67">
        <v>28</v>
      </c>
      <c r="C30" s="67" t="str">
        <f>'Total ER'!B30</f>
        <v>2045-2046</v>
      </c>
      <c r="D30" s="66">
        <f>'Total ER'!C30</f>
        <v>78374.001703380913</v>
      </c>
      <c r="E30" s="66">
        <v>0</v>
      </c>
      <c r="F30" s="66">
        <f t="shared" si="0"/>
        <v>78374.001703380913</v>
      </c>
    </row>
    <row r="31" spans="2:6" x14ac:dyDescent="0.25">
      <c r="B31" s="67">
        <v>29</v>
      </c>
      <c r="C31" s="67" t="str">
        <f>'Total ER'!B31</f>
        <v>2046-2047</v>
      </c>
      <c r="D31" s="66">
        <f>'Total ER'!C31</f>
        <v>78640.486069744831</v>
      </c>
      <c r="E31" s="66">
        <v>0</v>
      </c>
      <c r="F31" s="66">
        <f t="shared" si="0"/>
        <v>78640.486069744831</v>
      </c>
    </row>
    <row r="32" spans="2:6" x14ac:dyDescent="0.25">
      <c r="B32" s="67">
        <v>30</v>
      </c>
      <c r="C32" s="67" t="str">
        <f>'Total ER'!B32</f>
        <v>2047-2048</v>
      </c>
      <c r="D32" s="66">
        <f>'Total ER'!C32</f>
        <v>79062.54995007113</v>
      </c>
      <c r="E32" s="66">
        <v>0</v>
      </c>
      <c r="F32" s="66">
        <f t="shared" si="0"/>
        <v>79062.54995007113</v>
      </c>
    </row>
    <row r="33" spans="2:6" x14ac:dyDescent="0.25">
      <c r="B33" s="67">
        <v>31</v>
      </c>
      <c r="C33" s="67" t="str">
        <f>'Total ER'!B33</f>
        <v>2048-2049</v>
      </c>
      <c r="D33" s="66">
        <f>'Total ER'!C33</f>
        <v>75873.366367936789</v>
      </c>
      <c r="E33" s="66">
        <v>0</v>
      </c>
      <c r="F33" s="66">
        <f t="shared" si="0"/>
        <v>75873.366367936789</v>
      </c>
    </row>
    <row r="34" spans="2:6" x14ac:dyDescent="0.25">
      <c r="B34" s="67">
        <v>32</v>
      </c>
      <c r="C34" s="67" t="str">
        <f>'Total ER'!B34</f>
        <v>2049-2050</v>
      </c>
      <c r="D34" s="66">
        <f>'Total ER'!C34</f>
        <v>67790.342960167065</v>
      </c>
      <c r="E34" s="66">
        <v>0</v>
      </c>
      <c r="F34" s="66">
        <f t="shared" si="0"/>
        <v>67790.342960167065</v>
      </c>
    </row>
    <row r="35" spans="2:6" x14ac:dyDescent="0.25">
      <c r="B35" s="67">
        <v>33</v>
      </c>
      <c r="C35" s="67" t="str">
        <f>'Total ER'!B35</f>
        <v>2051-2051</v>
      </c>
      <c r="D35" s="66">
        <f>'Total ER'!C35</f>
        <v>75004.392291385389</v>
      </c>
      <c r="E35" s="66">
        <v>0</v>
      </c>
      <c r="F35" s="66">
        <f t="shared" si="0"/>
        <v>75004.392291385389</v>
      </c>
    </row>
    <row r="36" spans="2:6" x14ac:dyDescent="0.25">
      <c r="B36" s="67">
        <v>34</v>
      </c>
      <c r="C36" s="67" t="str">
        <f>'Total ER'!B36</f>
        <v>2051-2052</v>
      </c>
      <c r="D36" s="66">
        <f>'Total ER'!C36</f>
        <v>66753.769870994991</v>
      </c>
      <c r="E36" s="66">
        <v>0</v>
      </c>
      <c r="F36" s="66">
        <f t="shared" si="0"/>
        <v>66753.769870994991</v>
      </c>
    </row>
    <row r="37" spans="2:6" x14ac:dyDescent="0.25">
      <c r="B37" s="67">
        <v>35</v>
      </c>
      <c r="C37" s="67" t="str">
        <f>'Total ER'!B37</f>
        <v>2052-2053</v>
      </c>
      <c r="D37" s="66">
        <f>'Total ER'!C37</f>
        <v>67745.364036873318</v>
      </c>
      <c r="E37" s="66">
        <v>0</v>
      </c>
      <c r="F37" s="66">
        <f t="shared" si="0"/>
        <v>67745.364036873318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6EEB3-7B28-4CDD-9EB0-54085C1CBF7C}">
  <dimension ref="B1:S48"/>
  <sheetViews>
    <sheetView showGridLines="0" topLeftCell="C3" zoomScaleNormal="100" workbookViewId="0">
      <selection activeCell="F37" sqref="F37"/>
    </sheetView>
  </sheetViews>
  <sheetFormatPr defaultColWidth="10.140625" defaultRowHeight="13.5" x14ac:dyDescent="0.25"/>
  <cols>
    <col min="1" max="1" width="10.140625" style="56"/>
    <col min="2" max="2" width="4.5703125" style="56" bestFit="1" customWidth="1"/>
    <col min="3" max="3" width="11" style="56" bestFit="1" customWidth="1"/>
    <col min="4" max="4" width="24.85546875" style="56" bestFit="1" customWidth="1"/>
    <col min="5" max="5" width="16" style="56" bestFit="1" customWidth="1"/>
    <col min="6" max="6" width="16" style="56" customWidth="1"/>
    <col min="7" max="7" width="34.7109375" style="56" bestFit="1" customWidth="1"/>
    <col min="8" max="9" width="10.140625" style="56"/>
    <col min="10" max="10" width="9.7109375" style="56" bestFit="1" customWidth="1"/>
    <col min="11" max="11" width="6.42578125" style="56" bestFit="1" customWidth="1"/>
    <col min="12" max="12" width="8.85546875" style="56" bestFit="1" customWidth="1"/>
    <col min="13" max="13" width="6.42578125" style="56" bestFit="1" customWidth="1"/>
    <col min="14" max="14" width="10.140625" style="56"/>
    <col min="15" max="15" width="6.42578125" style="56" bestFit="1" customWidth="1"/>
    <col min="16" max="16" width="10.140625" style="56"/>
    <col min="17" max="17" width="13.7109375" style="56" bestFit="1" customWidth="1"/>
    <col min="18" max="18" width="5.85546875" style="56" customWidth="1"/>
    <col min="19" max="19" width="48.42578125" style="56" bestFit="1" customWidth="1"/>
    <col min="20" max="16384" width="10.140625" style="56"/>
  </cols>
  <sheetData>
    <row r="1" spans="2:19" ht="14.25" thickBot="1" x14ac:dyDescent="0.3"/>
    <row r="2" spans="2:19" ht="46.5" customHeight="1" x14ac:dyDescent="0.25">
      <c r="B2" s="139" t="s">
        <v>73</v>
      </c>
      <c r="C2" s="140" t="s">
        <v>30</v>
      </c>
      <c r="D2" s="140" t="s">
        <v>177</v>
      </c>
      <c r="E2" s="140" t="s">
        <v>178</v>
      </c>
      <c r="F2" s="140" t="s">
        <v>179</v>
      </c>
      <c r="G2" s="140" t="s">
        <v>180</v>
      </c>
    </row>
    <row r="3" spans="2:19" x14ac:dyDescent="0.25">
      <c r="B3" s="143">
        <f>Baseline!B3</f>
        <v>1</v>
      </c>
      <c r="C3" s="143" t="str">
        <f>Baseline!C3</f>
        <v>2018 -2019</v>
      </c>
      <c r="D3" s="144">
        <f>Baseline!F3</f>
        <v>1531.4130976540655</v>
      </c>
      <c r="E3" s="144">
        <f>44/12*(((1.1*$K$13*(1+$K$14)+$K$15*(1+$K$16))*$M$15*(P13*(3.141*0.5^2)/10000))+K$12)</f>
        <v>51.896772158238313</v>
      </c>
      <c r="F3" s="144">
        <f>E3</f>
        <v>51.896772158238313</v>
      </c>
      <c r="G3" s="144">
        <f t="shared" ref="G3:G37" si="0">D3-E3</f>
        <v>1479.5163254958272</v>
      </c>
      <c r="H3" s="145"/>
    </row>
    <row r="4" spans="2:19" x14ac:dyDescent="0.25">
      <c r="B4" s="143">
        <f>Baseline!B4</f>
        <v>2</v>
      </c>
      <c r="C4" s="143" t="str">
        <f>Baseline!C4</f>
        <v>2019-2020</v>
      </c>
      <c r="D4" s="144">
        <f>Baseline!F4</f>
        <v>4180.7249241701629</v>
      </c>
      <c r="E4" s="144">
        <f>E3+(44/12*(((1.1*$K$13*(1+$K$14)+$K$15*(1+$K$16))*$M$15*(P14*(3.141*0.5^2)/10000))+K$12))</f>
        <v>102.78259135164578</v>
      </c>
      <c r="F4" s="144">
        <f>E4+F3</f>
        <v>154.6793635098841</v>
      </c>
      <c r="G4" s="144">
        <f t="shared" si="0"/>
        <v>4077.9423328185171</v>
      </c>
      <c r="H4" s="145"/>
    </row>
    <row r="5" spans="2:19" x14ac:dyDescent="0.25">
      <c r="B5" s="143">
        <f>Baseline!B5</f>
        <v>3</v>
      </c>
      <c r="C5" s="143" t="str">
        <f>Baseline!C5</f>
        <v>2020-2021</v>
      </c>
      <c r="D5" s="144">
        <f>Baseline!F5</f>
        <v>6819.6707701364739</v>
      </c>
      <c r="E5" s="144">
        <f t="shared" ref="E5:E37" si="1">E4+(44/12*(((1.1*$K$13*(1+$K$14)+$K$15*(1+$K$16))*$M$15*(P15*(3.141*0.5^2)/10000))+K$12))</f>
        <v>141.75110737543173</v>
      </c>
      <c r="F5" s="144">
        <f t="shared" ref="F5:F37" si="2">E5+F4</f>
        <v>296.4304708853158</v>
      </c>
      <c r="G5" s="144">
        <f t="shared" si="0"/>
        <v>6677.9196627610418</v>
      </c>
      <c r="H5" s="145"/>
    </row>
    <row r="6" spans="2:19" x14ac:dyDescent="0.25">
      <c r="B6" s="143">
        <f>Baseline!B6</f>
        <v>4</v>
      </c>
      <c r="C6" s="143" t="str">
        <f>Baseline!C6</f>
        <v>2021-2022</v>
      </c>
      <c r="D6" s="144">
        <f>Baseline!F6</f>
        <v>10752.497893536432</v>
      </c>
      <c r="E6" s="144">
        <f t="shared" si="1"/>
        <v>208.26279822042176</v>
      </c>
      <c r="F6" s="144">
        <f t="shared" si="2"/>
        <v>504.69326910573756</v>
      </c>
      <c r="G6" s="144">
        <f t="shared" si="0"/>
        <v>10544.235095316011</v>
      </c>
      <c r="H6" s="145"/>
    </row>
    <row r="7" spans="2:19" x14ac:dyDescent="0.25">
      <c r="B7" s="143">
        <f>Baseline!B7</f>
        <v>5</v>
      </c>
      <c r="C7" s="143" t="str">
        <f>Baseline!C7</f>
        <v>2022-2023</v>
      </c>
      <c r="D7" s="144">
        <f>Baseline!F7</f>
        <v>13570.999859795269</v>
      </c>
      <c r="E7" s="144">
        <f t="shared" si="1"/>
        <v>270.75697807736549</v>
      </c>
      <c r="F7" s="144">
        <f t="shared" si="2"/>
        <v>775.4502471831031</v>
      </c>
      <c r="G7" s="144">
        <f t="shared" si="0"/>
        <v>13300.242881717904</v>
      </c>
      <c r="H7" s="145"/>
    </row>
    <row r="8" spans="2:19" x14ac:dyDescent="0.25">
      <c r="B8" s="143">
        <f>Baseline!B8</f>
        <v>6</v>
      </c>
      <c r="C8" s="143" t="str">
        <f>Baseline!C8</f>
        <v>2023-2024</v>
      </c>
      <c r="D8" s="144">
        <f>Baseline!F8</f>
        <v>14831.189441687582</v>
      </c>
      <c r="E8" s="144">
        <f t="shared" si="1"/>
        <v>280.14014064368416</v>
      </c>
      <c r="F8" s="144">
        <f t="shared" si="2"/>
        <v>1055.5903878267873</v>
      </c>
      <c r="G8" s="144">
        <f t="shared" si="0"/>
        <v>14551.049301043899</v>
      </c>
      <c r="H8" s="145"/>
    </row>
    <row r="9" spans="2:19" x14ac:dyDescent="0.25">
      <c r="B9" s="143">
        <f>Baseline!B9</f>
        <v>7</v>
      </c>
      <c r="C9" s="143" t="str">
        <f>Baseline!C9</f>
        <v>2024-2025</v>
      </c>
      <c r="D9" s="144">
        <f>Baseline!F9</f>
        <v>15815.865297123441</v>
      </c>
      <c r="E9" s="144">
        <f t="shared" si="1"/>
        <v>406.09056954967815</v>
      </c>
      <c r="F9" s="144">
        <f t="shared" si="2"/>
        <v>1461.6809573764654</v>
      </c>
      <c r="G9" s="144">
        <f t="shared" si="0"/>
        <v>15409.774727573762</v>
      </c>
      <c r="H9" s="145"/>
    </row>
    <row r="10" spans="2:19" x14ac:dyDescent="0.25">
      <c r="B10" s="143">
        <f>Baseline!B10</f>
        <v>8</v>
      </c>
      <c r="C10" s="143" t="str">
        <f>Baseline!C10</f>
        <v>2025-2026</v>
      </c>
      <c r="D10" s="144">
        <f>Baseline!F10</f>
        <v>20690.07995213836</v>
      </c>
      <c r="E10" s="144">
        <f t="shared" si="1"/>
        <v>567.90378611467816</v>
      </c>
      <c r="F10" s="144">
        <f t="shared" si="2"/>
        <v>2029.5847434911434</v>
      </c>
      <c r="G10" s="144">
        <f t="shared" si="0"/>
        <v>20122.176166023681</v>
      </c>
      <c r="H10" s="145"/>
    </row>
    <row r="11" spans="2:19" ht="14.25" thickBot="1" x14ac:dyDescent="0.3">
      <c r="B11" s="143">
        <f>Baseline!B11</f>
        <v>9</v>
      </c>
      <c r="C11" s="143" t="str">
        <f>Baseline!C11</f>
        <v>2026-2027</v>
      </c>
      <c r="D11" s="144">
        <f>Baseline!F11</f>
        <v>29838.953588987351</v>
      </c>
      <c r="E11" s="144">
        <f t="shared" si="1"/>
        <v>729.7170026796781</v>
      </c>
      <c r="F11" s="144">
        <f t="shared" si="2"/>
        <v>2759.3017461708214</v>
      </c>
      <c r="G11" s="144">
        <f t="shared" si="0"/>
        <v>29109.236586307674</v>
      </c>
      <c r="H11" s="145"/>
    </row>
    <row r="12" spans="2:19" ht="17.25" x14ac:dyDescent="0.35">
      <c r="B12" s="143">
        <f>Baseline!B12</f>
        <v>10</v>
      </c>
      <c r="C12" s="143" t="str">
        <f>Baseline!C12</f>
        <v>2027-2028</v>
      </c>
      <c r="D12" s="144">
        <f>Baseline!F12</f>
        <v>41008.217687843004</v>
      </c>
      <c r="E12" s="144">
        <f t="shared" si="1"/>
        <v>891.53021924467805</v>
      </c>
      <c r="F12" s="144">
        <f t="shared" si="2"/>
        <v>3650.8319654154993</v>
      </c>
      <c r="G12" s="144">
        <f t="shared" si="0"/>
        <v>40116.687468598328</v>
      </c>
      <c r="H12" s="145"/>
      <c r="J12" s="146" t="s">
        <v>181</v>
      </c>
      <c r="K12" s="147">
        <v>0</v>
      </c>
      <c r="L12" s="148" t="s">
        <v>182</v>
      </c>
      <c r="M12" s="149">
        <v>0.1</v>
      </c>
      <c r="N12" s="2"/>
      <c r="O12" s="143" t="s">
        <v>30</v>
      </c>
      <c r="P12" s="143" t="s">
        <v>183</v>
      </c>
      <c r="Q12" s="150" t="s">
        <v>184</v>
      </c>
      <c r="S12" s="143" t="s">
        <v>185</v>
      </c>
    </row>
    <row r="13" spans="2:19" ht="17.25" x14ac:dyDescent="0.35">
      <c r="B13" s="143">
        <f>Baseline!B13</f>
        <v>11</v>
      </c>
      <c r="C13" s="143" t="str">
        <f>Baseline!C13</f>
        <v>2028-2029</v>
      </c>
      <c r="D13" s="144">
        <f>Baseline!F13</f>
        <v>54596.894440013719</v>
      </c>
      <c r="E13" s="144">
        <f t="shared" si="1"/>
        <v>1053.3434358096781</v>
      </c>
      <c r="F13" s="144">
        <f t="shared" si="2"/>
        <v>4704.1754012251777</v>
      </c>
      <c r="G13" s="144">
        <f t="shared" si="0"/>
        <v>53543.551004204041</v>
      </c>
      <c r="H13" s="145"/>
      <c r="J13" s="151" t="s">
        <v>186</v>
      </c>
      <c r="K13" s="152">
        <v>0</v>
      </c>
      <c r="L13" s="152" t="s">
        <v>187</v>
      </c>
      <c r="M13" s="153">
        <v>73</v>
      </c>
      <c r="N13" s="2"/>
      <c r="O13" s="152">
        <v>2018</v>
      </c>
      <c r="P13" s="154">
        <f>'Mangifera indica'!W14+Gauva!G14+'Red Sander'!G14</f>
        <v>75048.534</v>
      </c>
      <c r="Q13" s="193">
        <f>P13*3.141*0.5*0.5/10000</f>
        <v>5.8931861323500003</v>
      </c>
      <c r="S13" s="236" t="s">
        <v>188</v>
      </c>
    </row>
    <row r="14" spans="2:19" ht="17.25" x14ac:dyDescent="0.35">
      <c r="B14" s="143">
        <f>Baseline!B14</f>
        <v>12</v>
      </c>
      <c r="C14" s="143" t="str">
        <f>Baseline!C14</f>
        <v>2029-2030</v>
      </c>
      <c r="D14" s="144">
        <f>Baseline!F14</f>
        <v>66816.45405907699</v>
      </c>
      <c r="E14" s="144">
        <f t="shared" si="1"/>
        <v>1053.3434358096781</v>
      </c>
      <c r="F14" s="144">
        <f t="shared" si="2"/>
        <v>5757.518837034856</v>
      </c>
      <c r="G14" s="144">
        <f t="shared" si="0"/>
        <v>65763.110623267319</v>
      </c>
      <c r="H14" s="145"/>
      <c r="J14" s="151" t="s">
        <v>189</v>
      </c>
      <c r="K14" s="152">
        <v>0.25</v>
      </c>
      <c r="L14" s="152" t="s">
        <v>190</v>
      </c>
      <c r="M14" s="153">
        <v>0.5</v>
      </c>
      <c r="N14" s="2"/>
      <c r="O14" s="152">
        <v>2019</v>
      </c>
      <c r="P14" s="154">
        <f>'Mangifera indica'!W15+Gauva!G15+'Red Sander'!G15</f>
        <v>73586.582999999999</v>
      </c>
      <c r="Q14" s="193">
        <f t="shared" ref="Q14:Q23" si="3">P14*3.141*0.5*0.5/10000</f>
        <v>5.7783864300749999</v>
      </c>
      <c r="S14" s="236"/>
    </row>
    <row r="15" spans="2:19" ht="17.25" x14ac:dyDescent="0.35">
      <c r="B15" s="143">
        <f>Baseline!B15</f>
        <v>13</v>
      </c>
      <c r="C15" s="143" t="str">
        <f>Baseline!C15</f>
        <v>2030-2031</v>
      </c>
      <c r="D15" s="144">
        <f>Baseline!F15</f>
        <v>71137.86198751624</v>
      </c>
      <c r="E15" s="144">
        <f t="shared" si="1"/>
        <v>1053.3434358096781</v>
      </c>
      <c r="F15" s="144">
        <f t="shared" si="2"/>
        <v>6810.8622728445343</v>
      </c>
      <c r="G15" s="144">
        <f t="shared" si="0"/>
        <v>70084.518551706569</v>
      </c>
      <c r="H15" s="145"/>
      <c r="J15" s="155" t="s">
        <v>191</v>
      </c>
      <c r="K15" s="152">
        <f>M12*M13*M14</f>
        <v>3.6500000000000004</v>
      </c>
      <c r="L15" s="152" t="s">
        <v>192</v>
      </c>
      <c r="M15" s="153">
        <f>'General Information'!H3</f>
        <v>0.47</v>
      </c>
      <c r="N15" s="2"/>
      <c r="O15" s="152">
        <v>2020</v>
      </c>
      <c r="P15" s="154">
        <f>'Mangifera indica'!W16+Gauva!G16+'Red Sander'!G16</f>
        <v>56352.830399999999</v>
      </c>
      <c r="Q15" s="193">
        <f t="shared" si="3"/>
        <v>4.4251060071600001</v>
      </c>
      <c r="S15" s="236"/>
    </row>
    <row r="16" spans="2:19" ht="16.5" thickBot="1" x14ac:dyDescent="0.35">
      <c r="B16" s="143">
        <f>Baseline!B16</f>
        <v>14</v>
      </c>
      <c r="C16" s="143" t="str">
        <f>Baseline!C16</f>
        <v>2031-2032</v>
      </c>
      <c r="D16" s="144">
        <f>Baseline!F16</f>
        <v>71484.837622065053</v>
      </c>
      <c r="E16" s="144">
        <f t="shared" si="1"/>
        <v>1053.3434358096781</v>
      </c>
      <c r="F16" s="144">
        <f t="shared" si="2"/>
        <v>7864.2057086542127</v>
      </c>
      <c r="G16" s="144">
        <f t="shared" si="0"/>
        <v>70431.494186255382</v>
      </c>
      <c r="H16" s="145"/>
      <c r="J16" s="156" t="s">
        <v>193</v>
      </c>
      <c r="K16" s="157">
        <v>0.4</v>
      </c>
      <c r="L16" s="157"/>
      <c r="M16" s="158"/>
      <c r="N16" s="2"/>
      <c r="O16" s="152">
        <v>2021</v>
      </c>
      <c r="P16" s="154">
        <f>'Mangifera indica'!W17+Gauva!G17+'Red Sander'!G17</f>
        <v>96183.340200000006</v>
      </c>
      <c r="Q16" s="193">
        <f t="shared" si="3"/>
        <v>7.5527967892049999</v>
      </c>
      <c r="S16" s="236"/>
    </row>
    <row r="17" spans="2:19" ht="15.75" x14ac:dyDescent="0.3">
      <c r="B17" s="143">
        <f>Baseline!B17</f>
        <v>15</v>
      </c>
      <c r="C17" s="143" t="str">
        <f>Baseline!C17</f>
        <v>2032-2033</v>
      </c>
      <c r="D17" s="144">
        <f>Baseline!F17</f>
        <v>69930.680178387134</v>
      </c>
      <c r="E17" s="144">
        <f t="shared" si="1"/>
        <v>1053.3434358096781</v>
      </c>
      <c r="F17" s="144">
        <f t="shared" si="2"/>
        <v>8917.5491444638901</v>
      </c>
      <c r="G17" s="144">
        <f t="shared" si="0"/>
        <v>68877.336742577463</v>
      </c>
      <c r="J17" s="2"/>
      <c r="K17" s="2"/>
      <c r="L17" s="2"/>
      <c r="M17" s="2"/>
      <c r="N17" s="2"/>
      <c r="O17" s="152">
        <v>2022</v>
      </c>
      <c r="P17" s="154">
        <f>'Mangifera indica'!W18+Gauva!G18+'Red Sander'!G18</f>
        <v>90373.570200000002</v>
      </c>
      <c r="Q17" s="193">
        <f t="shared" si="3"/>
        <v>7.0965845999550003</v>
      </c>
      <c r="S17" s="236"/>
    </row>
    <row r="18" spans="2:19" ht="15.75" x14ac:dyDescent="0.3">
      <c r="B18" s="143">
        <f>Baseline!B18</f>
        <v>16</v>
      </c>
      <c r="C18" s="143" t="str">
        <f>Baseline!C18</f>
        <v>2033-2034</v>
      </c>
      <c r="D18" s="144">
        <f>Baseline!F18</f>
        <v>62811.368840767376</v>
      </c>
      <c r="E18" s="144">
        <f t="shared" si="1"/>
        <v>1053.3434358096781</v>
      </c>
      <c r="F18" s="144">
        <f t="shared" si="2"/>
        <v>9970.8925802735685</v>
      </c>
      <c r="G18" s="144">
        <f t="shared" si="0"/>
        <v>61758.025404957698</v>
      </c>
      <c r="O18" s="152">
        <v>2023</v>
      </c>
      <c r="P18" s="154">
        <f>'Mangifera indica'!W19+Gauva!G19+'Red Sander'!G19</f>
        <v>13569.102000000001</v>
      </c>
      <c r="Q18" s="193">
        <f t="shared" si="3"/>
        <v>1.0655137345500001</v>
      </c>
      <c r="S18" s="236"/>
    </row>
    <row r="19" spans="2:19" ht="15.75" x14ac:dyDescent="0.3">
      <c r="B19" s="143">
        <f>Baseline!B19</f>
        <v>17</v>
      </c>
      <c r="C19" s="143" t="str">
        <f>Baseline!C19</f>
        <v>2034-2035</v>
      </c>
      <c r="D19" s="144">
        <f>Baseline!F19</f>
        <v>47011.247704283065</v>
      </c>
      <c r="E19" s="144">
        <f t="shared" si="1"/>
        <v>1053.3434358096781</v>
      </c>
      <c r="F19" s="144">
        <f t="shared" si="2"/>
        <v>11024.236016083247</v>
      </c>
      <c r="G19" s="144">
        <f t="shared" si="0"/>
        <v>45957.904268473387</v>
      </c>
      <c r="O19" s="152">
        <v>2024</v>
      </c>
      <c r="P19" s="154">
        <f>'Mangifera indica'!W20+Gauva!G20+'Red Sander'!G20</f>
        <v>182138.4</v>
      </c>
      <c r="Q19" s="193">
        <f t="shared" si="3"/>
        <v>14.302417859999998</v>
      </c>
      <c r="S19" s="236" t="s">
        <v>194</v>
      </c>
    </row>
    <row r="20" spans="2:19" ht="15.75" x14ac:dyDescent="0.3">
      <c r="B20" s="143">
        <f>Baseline!B20</f>
        <v>18</v>
      </c>
      <c r="C20" s="143" t="str">
        <f>Baseline!C20</f>
        <v>2035-2036</v>
      </c>
      <c r="D20" s="144">
        <f>Baseline!F20</f>
        <v>54432.317388393021</v>
      </c>
      <c r="E20" s="144">
        <f t="shared" si="1"/>
        <v>1053.3434358096781</v>
      </c>
      <c r="F20" s="144">
        <f t="shared" si="2"/>
        <v>12077.579451892925</v>
      </c>
      <c r="G20" s="144">
        <f t="shared" si="0"/>
        <v>53378.973952583343</v>
      </c>
      <c r="O20" s="152">
        <v>2025</v>
      </c>
      <c r="P20" s="154">
        <f>'Mangifera indica'!W21+Gauva!G21+'Red Sander'!G21</f>
        <v>234000</v>
      </c>
      <c r="Q20" s="193">
        <f t="shared" si="3"/>
        <v>18.374849999999999</v>
      </c>
      <c r="S20" s="236"/>
    </row>
    <row r="21" spans="2:19" ht="12.75" customHeight="1" x14ac:dyDescent="0.3">
      <c r="B21" s="143">
        <f>Baseline!B21</f>
        <v>19</v>
      </c>
      <c r="C21" s="143" t="str">
        <f>Baseline!C21</f>
        <v>2036-2037</v>
      </c>
      <c r="D21" s="144">
        <f>Baseline!F21</f>
        <v>46378.627581366396</v>
      </c>
      <c r="E21" s="144">
        <f t="shared" si="1"/>
        <v>1053.3434358096781</v>
      </c>
      <c r="F21" s="144">
        <f t="shared" si="2"/>
        <v>13130.922887702603</v>
      </c>
      <c r="G21" s="144">
        <f t="shared" si="0"/>
        <v>45325.284145556718</v>
      </c>
      <c r="O21" s="152">
        <v>2026</v>
      </c>
      <c r="P21" s="154">
        <f>'Mangifera indica'!W22+Gauva!G22+'Red Sander'!G22</f>
        <v>234000</v>
      </c>
      <c r="Q21" s="193">
        <f t="shared" si="3"/>
        <v>18.374849999999999</v>
      </c>
      <c r="R21" s="159"/>
      <c r="S21" s="236"/>
    </row>
    <row r="22" spans="2:19" ht="15.75" x14ac:dyDescent="0.3">
      <c r="B22" s="143">
        <f>Baseline!B22</f>
        <v>20</v>
      </c>
      <c r="C22" s="143" t="str">
        <f>Baseline!C22</f>
        <v>2037-2038</v>
      </c>
      <c r="D22" s="144">
        <f>Baseline!F22</f>
        <v>50012.17637531551</v>
      </c>
      <c r="E22" s="144">
        <f t="shared" si="1"/>
        <v>1053.3434358096781</v>
      </c>
      <c r="F22" s="144">
        <f t="shared" si="2"/>
        <v>14184.266323512282</v>
      </c>
      <c r="G22" s="144">
        <f t="shared" si="0"/>
        <v>48958.832939505832</v>
      </c>
      <c r="O22" s="152">
        <v>2027</v>
      </c>
      <c r="P22" s="154">
        <f>'Mangifera indica'!W23+Gauva!G23+'Red Sander'!G23</f>
        <v>234000</v>
      </c>
      <c r="Q22" s="193">
        <f t="shared" si="3"/>
        <v>18.374849999999999</v>
      </c>
      <c r="R22" s="159"/>
      <c r="S22" s="236"/>
    </row>
    <row r="23" spans="2:19" ht="15.75" x14ac:dyDescent="0.3">
      <c r="B23" s="143">
        <f>Baseline!B23</f>
        <v>21</v>
      </c>
      <c r="C23" s="143" t="str">
        <f>Baseline!C23</f>
        <v>2038-2039</v>
      </c>
      <c r="D23" s="144">
        <f>Baseline!F23</f>
        <v>70754.73307302277</v>
      </c>
      <c r="E23" s="144">
        <f t="shared" si="1"/>
        <v>1053.3434358096781</v>
      </c>
      <c r="F23" s="144">
        <f t="shared" si="2"/>
        <v>15237.60975932196</v>
      </c>
      <c r="G23" s="144">
        <f t="shared" si="0"/>
        <v>69701.389637213098</v>
      </c>
      <c r="O23" s="152">
        <v>2028</v>
      </c>
      <c r="P23" s="154">
        <f>'Mangifera indica'!W24+Gauva!G24+'Red Sander'!G24</f>
        <v>234000</v>
      </c>
      <c r="Q23" s="193">
        <f t="shared" si="3"/>
        <v>18.374849999999999</v>
      </c>
      <c r="R23" s="159"/>
      <c r="S23" s="236"/>
    </row>
    <row r="24" spans="2:19" ht="15.75" x14ac:dyDescent="0.3">
      <c r="B24" s="143">
        <f>Baseline!B24</f>
        <v>22</v>
      </c>
      <c r="C24" s="143" t="str">
        <f>Baseline!C24</f>
        <v>2039-2040</v>
      </c>
      <c r="D24" s="144">
        <f>Baseline!F24</f>
        <v>71260.884069591848</v>
      </c>
      <c r="E24" s="144">
        <f t="shared" si="1"/>
        <v>1053.3434358096781</v>
      </c>
      <c r="F24" s="144">
        <f t="shared" si="2"/>
        <v>16290.953195131638</v>
      </c>
      <c r="G24" s="144">
        <f t="shared" si="0"/>
        <v>70207.540633782177</v>
      </c>
      <c r="O24" s="2"/>
      <c r="P24" s="160"/>
      <c r="R24" s="159"/>
      <c r="S24" s="159"/>
    </row>
    <row r="25" spans="2:19" ht="15.75" x14ac:dyDescent="0.3">
      <c r="B25" s="143">
        <f>Baseline!B25</f>
        <v>23</v>
      </c>
      <c r="C25" s="143" t="str">
        <f>Baseline!C25</f>
        <v>2040-2041</v>
      </c>
      <c r="D25" s="144">
        <f>Baseline!F25</f>
        <v>71869.78491691481</v>
      </c>
      <c r="E25" s="144">
        <f t="shared" si="1"/>
        <v>1053.3434358096781</v>
      </c>
      <c r="F25" s="144">
        <f t="shared" si="2"/>
        <v>17344.296630941317</v>
      </c>
      <c r="G25" s="144">
        <f t="shared" si="0"/>
        <v>70816.441481105139</v>
      </c>
      <c r="O25" s="2"/>
      <c r="P25" s="160"/>
      <c r="R25" s="159"/>
      <c r="S25" s="159"/>
    </row>
    <row r="26" spans="2:19" ht="15.75" x14ac:dyDescent="0.3">
      <c r="B26" s="143">
        <f>Baseline!B26</f>
        <v>24</v>
      </c>
      <c r="C26" s="143" t="str">
        <f>Baseline!C26</f>
        <v>2041-2042</v>
      </c>
      <c r="D26" s="144">
        <f>Baseline!F26</f>
        <v>73781.678626011621</v>
      </c>
      <c r="E26" s="144">
        <f t="shared" si="1"/>
        <v>1053.3434358096781</v>
      </c>
      <c r="F26" s="144">
        <f t="shared" si="2"/>
        <v>18397.640066750995</v>
      </c>
      <c r="G26" s="144">
        <f t="shared" si="0"/>
        <v>72728.335190201949</v>
      </c>
      <c r="O26" s="2"/>
      <c r="P26" s="160"/>
      <c r="R26" s="159"/>
      <c r="S26" s="159"/>
    </row>
    <row r="27" spans="2:19" ht="12.75" customHeight="1" x14ac:dyDescent="0.25">
      <c r="B27" s="143">
        <f>Baseline!B27</f>
        <v>25</v>
      </c>
      <c r="C27" s="143" t="str">
        <f>Baseline!C27</f>
        <v>2042-2043</v>
      </c>
      <c r="D27" s="144">
        <f>Baseline!F27</f>
        <v>75464.472982948413</v>
      </c>
      <c r="E27" s="144">
        <f t="shared" si="1"/>
        <v>1053.3434358096781</v>
      </c>
      <c r="F27" s="144">
        <f t="shared" si="2"/>
        <v>19450.983502560674</v>
      </c>
      <c r="G27" s="144">
        <f t="shared" si="0"/>
        <v>74411.129547138742</v>
      </c>
      <c r="J27" s="237" t="s">
        <v>195</v>
      </c>
      <c r="K27" s="237"/>
      <c r="L27" s="237"/>
      <c r="M27" s="237"/>
      <c r="N27" s="237"/>
      <c r="O27" s="237"/>
      <c r="P27" s="237"/>
      <c r="Q27" s="237"/>
      <c r="R27" s="237"/>
      <c r="S27" s="237"/>
    </row>
    <row r="28" spans="2:19" ht="15" customHeight="1" x14ac:dyDescent="0.25">
      <c r="B28" s="143">
        <f>Baseline!B28</f>
        <v>26</v>
      </c>
      <c r="C28" s="143" t="str">
        <f>Baseline!C28</f>
        <v>2043-2044</v>
      </c>
      <c r="D28" s="144">
        <f>Baseline!F28</f>
        <v>77370.092573544607</v>
      </c>
      <c r="E28" s="144">
        <f t="shared" si="1"/>
        <v>1053.3434358096781</v>
      </c>
      <c r="F28" s="144">
        <f t="shared" si="2"/>
        <v>20504.326938370352</v>
      </c>
      <c r="G28" s="144">
        <f t="shared" si="0"/>
        <v>76316.749137734936</v>
      </c>
      <c r="J28" s="237"/>
      <c r="K28" s="237"/>
      <c r="L28" s="237"/>
      <c r="M28" s="237"/>
      <c r="N28" s="237"/>
      <c r="O28" s="237"/>
      <c r="P28" s="237"/>
      <c r="Q28" s="237"/>
      <c r="R28" s="237"/>
      <c r="S28" s="237"/>
    </row>
    <row r="29" spans="2:19" x14ac:dyDescent="0.25">
      <c r="B29" s="143">
        <f>Baseline!B29</f>
        <v>27</v>
      </c>
      <c r="C29" s="143" t="str">
        <f>Baseline!C29</f>
        <v>2044-2045</v>
      </c>
      <c r="D29" s="144">
        <f>Baseline!F29</f>
        <v>78106.123394311348</v>
      </c>
      <c r="E29" s="144">
        <f t="shared" si="1"/>
        <v>1053.3434358096781</v>
      </c>
      <c r="F29" s="144">
        <f t="shared" si="2"/>
        <v>21557.67037418003</v>
      </c>
      <c r="G29" s="144">
        <f t="shared" si="0"/>
        <v>77052.779958501676</v>
      </c>
      <c r="J29" s="237"/>
      <c r="K29" s="237"/>
      <c r="L29" s="237"/>
      <c r="M29" s="237"/>
      <c r="N29" s="237"/>
      <c r="O29" s="237"/>
      <c r="P29" s="237"/>
      <c r="Q29" s="237"/>
      <c r="R29" s="237"/>
      <c r="S29" s="237"/>
    </row>
    <row r="30" spans="2:19" x14ac:dyDescent="0.25">
      <c r="B30" s="143">
        <f>Baseline!B30</f>
        <v>28</v>
      </c>
      <c r="C30" s="143" t="str">
        <f>Baseline!C30</f>
        <v>2045-2046</v>
      </c>
      <c r="D30" s="144">
        <f>Baseline!F30</f>
        <v>78374.001703380913</v>
      </c>
      <c r="E30" s="144">
        <f t="shared" si="1"/>
        <v>1053.3434358096781</v>
      </c>
      <c r="F30" s="144">
        <f t="shared" si="2"/>
        <v>22611.013809989709</v>
      </c>
      <c r="G30" s="144">
        <f t="shared" si="0"/>
        <v>77320.658267571242</v>
      </c>
      <c r="J30" s="237"/>
      <c r="K30" s="237"/>
      <c r="L30" s="237"/>
      <c r="M30" s="237"/>
      <c r="N30" s="237"/>
      <c r="O30" s="237"/>
      <c r="P30" s="237"/>
      <c r="Q30" s="237"/>
      <c r="R30" s="237"/>
      <c r="S30" s="237"/>
    </row>
    <row r="31" spans="2:19" x14ac:dyDescent="0.25">
      <c r="B31" s="143">
        <f>Baseline!B31</f>
        <v>29</v>
      </c>
      <c r="C31" s="143" t="str">
        <f>Baseline!C31</f>
        <v>2046-2047</v>
      </c>
      <c r="D31" s="144">
        <f>Baseline!F31</f>
        <v>78640.486069744831</v>
      </c>
      <c r="E31" s="144">
        <f t="shared" si="1"/>
        <v>1053.3434358096781</v>
      </c>
      <c r="F31" s="144">
        <f t="shared" si="2"/>
        <v>23664.357245799387</v>
      </c>
      <c r="G31" s="144">
        <f t="shared" si="0"/>
        <v>77587.14263393516</v>
      </c>
      <c r="J31" s="237"/>
      <c r="K31" s="237"/>
      <c r="L31" s="237"/>
      <c r="M31" s="237"/>
      <c r="N31" s="237"/>
      <c r="O31" s="237"/>
      <c r="P31" s="237"/>
      <c r="Q31" s="237"/>
      <c r="R31" s="237"/>
      <c r="S31" s="237"/>
    </row>
    <row r="32" spans="2:19" x14ac:dyDescent="0.25">
      <c r="B32" s="143">
        <f>Baseline!B32</f>
        <v>30</v>
      </c>
      <c r="C32" s="143" t="str">
        <f>Baseline!C32</f>
        <v>2047-2048</v>
      </c>
      <c r="D32" s="144">
        <f>Baseline!F32</f>
        <v>79062.54995007113</v>
      </c>
      <c r="E32" s="144">
        <f t="shared" si="1"/>
        <v>1053.3434358096781</v>
      </c>
      <c r="F32" s="144">
        <f t="shared" si="2"/>
        <v>24717.700681609065</v>
      </c>
      <c r="G32" s="144">
        <f t="shared" si="0"/>
        <v>78009.206514261459</v>
      </c>
      <c r="J32" s="237"/>
      <c r="K32" s="237"/>
      <c r="L32" s="237"/>
      <c r="M32" s="237"/>
      <c r="N32" s="237"/>
      <c r="O32" s="237"/>
      <c r="P32" s="237"/>
      <c r="Q32" s="237"/>
      <c r="R32" s="237"/>
      <c r="S32" s="237"/>
    </row>
    <row r="33" spans="2:19" x14ac:dyDescent="0.25">
      <c r="B33" s="143">
        <f>Baseline!B33</f>
        <v>31</v>
      </c>
      <c r="C33" s="143" t="str">
        <f>Baseline!C33</f>
        <v>2048-2049</v>
      </c>
      <c r="D33" s="144">
        <f>Baseline!F33</f>
        <v>75873.366367936789</v>
      </c>
      <c r="E33" s="144">
        <f t="shared" si="1"/>
        <v>1053.3434358096781</v>
      </c>
      <c r="F33" s="144">
        <f t="shared" si="2"/>
        <v>25771.044117418744</v>
      </c>
      <c r="G33" s="144">
        <f t="shared" si="0"/>
        <v>74820.022932127118</v>
      </c>
      <c r="J33" s="237"/>
      <c r="K33" s="237"/>
      <c r="L33" s="237"/>
      <c r="M33" s="237"/>
      <c r="N33" s="237"/>
      <c r="O33" s="237"/>
      <c r="P33" s="237"/>
      <c r="Q33" s="237"/>
      <c r="R33" s="237"/>
      <c r="S33" s="237"/>
    </row>
    <row r="34" spans="2:19" x14ac:dyDescent="0.25">
      <c r="B34" s="143">
        <f>Baseline!B34</f>
        <v>32</v>
      </c>
      <c r="C34" s="143" t="str">
        <f>Baseline!C34</f>
        <v>2049-2050</v>
      </c>
      <c r="D34" s="144">
        <f>Baseline!F34</f>
        <v>67790.342960167065</v>
      </c>
      <c r="E34" s="144">
        <f t="shared" si="1"/>
        <v>1053.3434358096781</v>
      </c>
      <c r="F34" s="144">
        <f t="shared" si="2"/>
        <v>26824.387553228422</v>
      </c>
      <c r="G34" s="144">
        <f t="shared" si="0"/>
        <v>66736.999524357394</v>
      </c>
      <c r="J34" s="237"/>
      <c r="K34" s="237"/>
      <c r="L34" s="237"/>
      <c r="M34" s="237"/>
      <c r="N34" s="237"/>
      <c r="O34" s="237"/>
      <c r="P34" s="237"/>
      <c r="Q34" s="237"/>
      <c r="R34" s="237"/>
      <c r="S34" s="237"/>
    </row>
    <row r="35" spans="2:19" x14ac:dyDescent="0.25">
      <c r="B35" s="143">
        <f>Baseline!B35</f>
        <v>33</v>
      </c>
      <c r="C35" s="143" t="str">
        <f>Baseline!C35</f>
        <v>2051-2051</v>
      </c>
      <c r="D35" s="144">
        <f>Baseline!F35</f>
        <v>75004.392291385389</v>
      </c>
      <c r="E35" s="144">
        <f t="shared" si="1"/>
        <v>1053.3434358096781</v>
      </c>
      <c r="F35" s="144">
        <f t="shared" si="2"/>
        <v>27877.7309890381</v>
      </c>
      <c r="G35" s="144">
        <f t="shared" si="0"/>
        <v>73951.048855575718</v>
      </c>
      <c r="J35" s="237"/>
      <c r="K35" s="237"/>
      <c r="L35" s="237"/>
      <c r="M35" s="237"/>
      <c r="N35" s="237"/>
      <c r="O35" s="237"/>
      <c r="P35" s="237"/>
      <c r="Q35" s="237"/>
      <c r="R35" s="237"/>
      <c r="S35" s="237"/>
    </row>
    <row r="36" spans="2:19" x14ac:dyDescent="0.25">
      <c r="B36" s="143">
        <f>Baseline!B36</f>
        <v>34</v>
      </c>
      <c r="C36" s="143" t="str">
        <f>Baseline!C36</f>
        <v>2051-2052</v>
      </c>
      <c r="D36" s="144">
        <f>Baseline!F36</f>
        <v>66753.769870994991</v>
      </c>
      <c r="E36" s="144">
        <f t="shared" si="1"/>
        <v>1053.3434358096781</v>
      </c>
      <c r="F36" s="144">
        <f t="shared" si="2"/>
        <v>28931.074424847779</v>
      </c>
      <c r="G36" s="144">
        <f t="shared" si="0"/>
        <v>65700.42643518532</v>
      </c>
      <c r="J36" s="237"/>
      <c r="K36" s="237"/>
      <c r="L36" s="237"/>
      <c r="M36" s="237"/>
      <c r="N36" s="237"/>
      <c r="O36" s="237"/>
      <c r="P36" s="237"/>
      <c r="Q36" s="237"/>
      <c r="R36" s="237"/>
      <c r="S36" s="237"/>
    </row>
    <row r="37" spans="2:19" x14ac:dyDescent="0.25">
      <c r="B37" s="143">
        <f>Baseline!B37</f>
        <v>35</v>
      </c>
      <c r="C37" s="143" t="str">
        <f>Baseline!C37</f>
        <v>2052-2053</v>
      </c>
      <c r="D37" s="144">
        <f>Baseline!F37</f>
        <v>67745.364036873318</v>
      </c>
      <c r="E37" s="144">
        <f t="shared" si="1"/>
        <v>1053.3434358096781</v>
      </c>
      <c r="F37" s="144">
        <f t="shared" si="2"/>
        <v>29984.417860657457</v>
      </c>
      <c r="G37" s="144">
        <f t="shared" si="0"/>
        <v>66692.020601063647</v>
      </c>
      <c r="J37" s="237"/>
      <c r="K37" s="237"/>
      <c r="L37" s="237"/>
      <c r="M37" s="237"/>
      <c r="N37" s="237"/>
      <c r="O37" s="237"/>
      <c r="P37" s="237"/>
      <c r="Q37" s="237"/>
      <c r="R37" s="237"/>
      <c r="S37" s="237"/>
    </row>
    <row r="38" spans="2:19" x14ac:dyDescent="0.25">
      <c r="J38" s="237"/>
      <c r="K38" s="237"/>
      <c r="L38" s="237"/>
      <c r="M38" s="237"/>
      <c r="N38" s="237"/>
      <c r="O38" s="237"/>
      <c r="P38" s="237"/>
      <c r="Q38" s="237"/>
      <c r="R38" s="237"/>
      <c r="S38" s="237"/>
    </row>
    <row r="39" spans="2:19" x14ac:dyDescent="0.25">
      <c r="J39" s="237"/>
      <c r="K39" s="237"/>
      <c r="L39" s="237"/>
      <c r="M39" s="237"/>
      <c r="N39" s="237"/>
      <c r="O39" s="237"/>
      <c r="P39" s="237"/>
      <c r="Q39" s="237"/>
      <c r="R39" s="237"/>
      <c r="S39" s="237"/>
    </row>
    <row r="40" spans="2:19" x14ac:dyDescent="0.25">
      <c r="J40" s="237"/>
      <c r="K40" s="237"/>
      <c r="L40" s="237"/>
      <c r="M40" s="237"/>
      <c r="N40" s="237"/>
      <c r="O40" s="237"/>
      <c r="P40" s="237"/>
      <c r="Q40" s="237"/>
      <c r="R40" s="237"/>
      <c r="S40" s="237"/>
    </row>
    <row r="41" spans="2:19" x14ac:dyDescent="0.25">
      <c r="J41" s="237"/>
      <c r="K41" s="237"/>
      <c r="L41" s="237"/>
      <c r="M41" s="237"/>
      <c r="N41" s="237"/>
      <c r="O41" s="237"/>
      <c r="P41" s="237"/>
      <c r="Q41" s="237"/>
      <c r="R41" s="237"/>
      <c r="S41" s="237"/>
    </row>
    <row r="42" spans="2:19" x14ac:dyDescent="0.25">
      <c r="J42" s="237"/>
      <c r="K42" s="237"/>
      <c r="L42" s="237"/>
      <c r="M42" s="237"/>
      <c r="N42" s="237"/>
      <c r="O42" s="237"/>
      <c r="P42" s="237"/>
      <c r="Q42" s="237"/>
      <c r="R42" s="237"/>
      <c r="S42" s="237"/>
    </row>
    <row r="43" spans="2:19" x14ac:dyDescent="0.25">
      <c r="J43" s="237"/>
      <c r="K43" s="237"/>
      <c r="L43" s="237"/>
      <c r="M43" s="237"/>
      <c r="N43" s="237"/>
      <c r="O43" s="237"/>
      <c r="P43" s="237"/>
      <c r="Q43" s="237"/>
      <c r="R43" s="237"/>
      <c r="S43" s="237"/>
    </row>
    <row r="44" spans="2:19" x14ac:dyDescent="0.25">
      <c r="J44" s="237"/>
      <c r="K44" s="237"/>
      <c r="L44" s="237"/>
      <c r="M44" s="237"/>
      <c r="N44" s="237"/>
      <c r="O44" s="237"/>
      <c r="P44" s="237"/>
      <c r="Q44" s="237"/>
      <c r="R44" s="237"/>
      <c r="S44" s="237"/>
    </row>
    <row r="45" spans="2:19" x14ac:dyDescent="0.25">
      <c r="J45" s="237"/>
      <c r="K45" s="237"/>
      <c r="L45" s="237"/>
      <c r="M45" s="237"/>
      <c r="N45" s="237"/>
      <c r="O45" s="237"/>
      <c r="P45" s="237"/>
      <c r="Q45" s="237"/>
      <c r="R45" s="237"/>
      <c r="S45" s="237"/>
    </row>
    <row r="46" spans="2:19" x14ac:dyDescent="0.25">
      <c r="J46" s="237"/>
      <c r="K46" s="237"/>
      <c r="L46" s="237"/>
      <c r="M46" s="237"/>
      <c r="N46" s="237"/>
      <c r="O46" s="237"/>
      <c r="P46" s="237"/>
      <c r="Q46" s="237"/>
      <c r="R46" s="237"/>
      <c r="S46" s="237"/>
    </row>
    <row r="47" spans="2:19" x14ac:dyDescent="0.25">
      <c r="J47" s="237"/>
      <c r="K47" s="237"/>
      <c r="L47" s="237"/>
      <c r="M47" s="237"/>
      <c r="N47" s="237"/>
      <c r="O47" s="237"/>
      <c r="P47" s="237"/>
      <c r="Q47" s="237"/>
      <c r="R47" s="237"/>
      <c r="S47" s="237"/>
    </row>
    <row r="48" spans="2:19" ht="15" x14ac:dyDescent="0.25">
      <c r="J48" s="56" t="s">
        <v>196</v>
      </c>
      <c r="K48" s="238" t="s">
        <v>197</v>
      </c>
      <c r="L48" s="239"/>
      <c r="M48" s="239"/>
      <c r="N48" s="239"/>
      <c r="O48" s="239"/>
      <c r="P48" s="239"/>
      <c r="Q48" s="239"/>
      <c r="R48" s="239"/>
      <c r="S48" s="239"/>
    </row>
  </sheetData>
  <mergeCells count="4">
    <mergeCell ref="S13:S18"/>
    <mergeCell ref="S19:S23"/>
    <mergeCell ref="J27:S47"/>
    <mergeCell ref="K48:S48"/>
  </mergeCells>
  <hyperlinks>
    <hyperlink ref="K48" r:id="rId1" xr:uid="{FA8FB00B-4C7C-42DA-B151-81F04F6AF9E4}"/>
  </hyperlinks>
  <pageMargins left="0.7" right="0.7" top="0.75" bottom="0.75" header="0.3" footer="0.3"/>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46C3C-8E80-477B-B8B1-40487FCAA16F}">
  <dimension ref="B1:L37"/>
  <sheetViews>
    <sheetView workbookViewId="0">
      <selection activeCell="E7" sqref="E7"/>
    </sheetView>
  </sheetViews>
  <sheetFormatPr defaultColWidth="9.140625" defaultRowHeight="14.25" x14ac:dyDescent="0.25"/>
  <cols>
    <col min="1" max="2" width="9.140625" style="19"/>
    <col min="3" max="3" width="11.28515625" style="19" bestFit="1" customWidth="1"/>
    <col min="4" max="4" width="31.7109375" style="19" bestFit="1" customWidth="1"/>
    <col min="5" max="5" width="15" style="19" bestFit="1" customWidth="1"/>
    <col min="6" max="6" width="18.28515625" style="19" bestFit="1" customWidth="1"/>
    <col min="7" max="10" width="9.140625" style="19"/>
    <col min="11" max="11" width="12.42578125" style="19" bestFit="1" customWidth="1"/>
    <col min="12" max="16384" width="9.140625" style="19"/>
  </cols>
  <sheetData>
    <row r="1" spans="2:12" ht="15" thickBot="1" x14ac:dyDescent="0.3"/>
    <row r="2" spans="2:12" s="3" customFormat="1" ht="31.5" customHeight="1" x14ac:dyDescent="0.25">
      <c r="B2" s="161" t="s">
        <v>73</v>
      </c>
      <c r="C2" s="162" t="s">
        <v>30</v>
      </c>
      <c r="D2" s="162" t="s">
        <v>198</v>
      </c>
      <c r="E2" s="162" t="s">
        <v>199</v>
      </c>
      <c r="F2" s="162" t="s">
        <v>200</v>
      </c>
      <c r="K2" s="163" t="s">
        <v>201</v>
      </c>
      <c r="L2" s="164">
        <v>0.2</v>
      </c>
    </row>
    <row r="3" spans="2:12" x14ac:dyDescent="0.25">
      <c r="B3" s="165">
        <f>Baseline!B3</f>
        <v>1</v>
      </c>
      <c r="C3" s="165" t="str">
        <f>Baseline!C3</f>
        <v>2018 -2019</v>
      </c>
      <c r="D3" s="166">
        <f>Leakage!G3</f>
        <v>1479.5163254958272</v>
      </c>
      <c r="E3" s="166">
        <f>D3*$L$2</f>
        <v>295.90326509916548</v>
      </c>
      <c r="F3" s="166">
        <f>D3-E3</f>
        <v>1183.6130603966617</v>
      </c>
    </row>
    <row r="4" spans="2:12" x14ac:dyDescent="0.25">
      <c r="B4" s="165">
        <f>Baseline!B4</f>
        <v>2</v>
      </c>
      <c r="C4" s="165" t="str">
        <f>Baseline!C4</f>
        <v>2019-2020</v>
      </c>
      <c r="D4" s="166">
        <f>Leakage!G4</f>
        <v>4077.9423328185171</v>
      </c>
      <c r="E4" s="166">
        <f t="shared" ref="E4:E37" si="0">D4*$L$2</f>
        <v>815.58846656370349</v>
      </c>
      <c r="F4" s="166">
        <f t="shared" ref="F4:F37" si="1">D4-E4</f>
        <v>3262.3538662548135</v>
      </c>
      <c r="L4" s="167"/>
    </row>
    <row r="5" spans="2:12" x14ac:dyDescent="0.25">
      <c r="B5" s="165">
        <f>Baseline!B5</f>
        <v>3</v>
      </c>
      <c r="C5" s="165" t="str">
        <f>Baseline!C5</f>
        <v>2020-2021</v>
      </c>
      <c r="D5" s="166">
        <f>Leakage!G5</f>
        <v>6677.9196627610418</v>
      </c>
      <c r="E5" s="166">
        <f t="shared" si="0"/>
        <v>1335.5839325522084</v>
      </c>
      <c r="F5" s="166">
        <f t="shared" si="1"/>
        <v>5342.3357302088334</v>
      </c>
    </row>
    <row r="6" spans="2:12" x14ac:dyDescent="0.25">
      <c r="B6" s="165">
        <f>Baseline!B6</f>
        <v>4</v>
      </c>
      <c r="C6" s="165" t="str">
        <f>Baseline!C6</f>
        <v>2021-2022</v>
      </c>
      <c r="D6" s="166">
        <f>Leakage!G6</f>
        <v>10544.235095316011</v>
      </c>
      <c r="E6" s="166">
        <f t="shared" si="0"/>
        <v>2108.8470190632024</v>
      </c>
      <c r="F6" s="166">
        <f t="shared" si="1"/>
        <v>8435.3880762528097</v>
      </c>
    </row>
    <row r="7" spans="2:12" x14ac:dyDescent="0.25">
      <c r="B7" s="165">
        <f>Baseline!B7</f>
        <v>5</v>
      </c>
      <c r="C7" s="165" t="str">
        <f>Baseline!C7</f>
        <v>2022-2023</v>
      </c>
      <c r="D7" s="166">
        <f>Leakage!G7</f>
        <v>13300.242881717904</v>
      </c>
      <c r="E7" s="166">
        <f t="shared" si="0"/>
        <v>2660.0485763435809</v>
      </c>
      <c r="F7" s="166">
        <f t="shared" si="1"/>
        <v>10640.194305374323</v>
      </c>
    </row>
    <row r="8" spans="2:12" x14ac:dyDescent="0.25">
      <c r="B8" s="165">
        <f>Baseline!B8</f>
        <v>6</v>
      </c>
      <c r="C8" s="165" t="str">
        <f>Baseline!C8</f>
        <v>2023-2024</v>
      </c>
      <c r="D8" s="166">
        <f>Leakage!G8</f>
        <v>14551.049301043899</v>
      </c>
      <c r="E8" s="166">
        <f t="shared" si="0"/>
        <v>2910.2098602087799</v>
      </c>
      <c r="F8" s="166">
        <f t="shared" si="1"/>
        <v>11640.83944083512</v>
      </c>
    </row>
    <row r="9" spans="2:12" x14ac:dyDescent="0.25">
      <c r="B9" s="165">
        <f>Baseline!B9</f>
        <v>7</v>
      </c>
      <c r="C9" s="165" t="str">
        <f>Baseline!C9</f>
        <v>2024-2025</v>
      </c>
      <c r="D9" s="166">
        <f>Leakage!G9</f>
        <v>15409.774727573762</v>
      </c>
      <c r="E9" s="166">
        <f t="shared" si="0"/>
        <v>3081.9549455147526</v>
      </c>
      <c r="F9" s="166">
        <f t="shared" si="1"/>
        <v>12327.81978205901</v>
      </c>
    </row>
    <row r="10" spans="2:12" x14ac:dyDescent="0.25">
      <c r="B10" s="165">
        <f>Baseline!B10</f>
        <v>8</v>
      </c>
      <c r="C10" s="165" t="str">
        <f>Baseline!C10</f>
        <v>2025-2026</v>
      </c>
      <c r="D10" s="166">
        <f>Leakage!G10</f>
        <v>20122.176166023681</v>
      </c>
      <c r="E10" s="166">
        <f t="shared" si="0"/>
        <v>4024.4352332047365</v>
      </c>
      <c r="F10" s="166">
        <f t="shared" si="1"/>
        <v>16097.740932818944</v>
      </c>
    </row>
    <row r="11" spans="2:12" x14ac:dyDescent="0.25">
      <c r="B11" s="165">
        <f>Baseline!B11</f>
        <v>9</v>
      </c>
      <c r="C11" s="165" t="str">
        <f>Baseline!C11</f>
        <v>2026-2027</v>
      </c>
      <c r="D11" s="166">
        <f>Leakage!G11</f>
        <v>29109.236586307674</v>
      </c>
      <c r="E11" s="166">
        <f t="shared" si="0"/>
        <v>5821.847317261535</v>
      </c>
      <c r="F11" s="166">
        <f t="shared" si="1"/>
        <v>23287.38926904614</v>
      </c>
    </row>
    <row r="12" spans="2:12" x14ac:dyDescent="0.25">
      <c r="B12" s="165">
        <f>Baseline!B12</f>
        <v>10</v>
      </c>
      <c r="C12" s="165" t="str">
        <f>Baseline!C12</f>
        <v>2027-2028</v>
      </c>
      <c r="D12" s="166">
        <f>Leakage!G12</f>
        <v>40116.687468598328</v>
      </c>
      <c r="E12" s="166">
        <f t="shared" si="0"/>
        <v>8023.3374937196659</v>
      </c>
      <c r="F12" s="166">
        <f t="shared" si="1"/>
        <v>32093.349974878663</v>
      </c>
    </row>
    <row r="13" spans="2:12" x14ac:dyDescent="0.25">
      <c r="B13" s="165">
        <f>Baseline!B13</f>
        <v>11</v>
      </c>
      <c r="C13" s="165" t="str">
        <f>Baseline!C13</f>
        <v>2028-2029</v>
      </c>
      <c r="D13" s="166">
        <f>Leakage!G13</f>
        <v>53543.551004204041</v>
      </c>
      <c r="E13" s="166">
        <f t="shared" si="0"/>
        <v>10708.710200840809</v>
      </c>
      <c r="F13" s="166">
        <f t="shared" si="1"/>
        <v>42834.840803363229</v>
      </c>
    </row>
    <row r="14" spans="2:12" x14ac:dyDescent="0.25">
      <c r="B14" s="165">
        <f>Baseline!B14</f>
        <v>12</v>
      </c>
      <c r="C14" s="165" t="str">
        <f>Baseline!C14</f>
        <v>2029-2030</v>
      </c>
      <c r="D14" s="166">
        <f>Leakage!G14</f>
        <v>65763.110623267319</v>
      </c>
      <c r="E14" s="166">
        <f t="shared" si="0"/>
        <v>13152.622124653464</v>
      </c>
      <c r="F14" s="166">
        <f t="shared" si="1"/>
        <v>52610.488498613857</v>
      </c>
    </row>
    <row r="15" spans="2:12" x14ac:dyDescent="0.25">
      <c r="B15" s="165">
        <f>Baseline!B15</f>
        <v>13</v>
      </c>
      <c r="C15" s="165" t="str">
        <f>Baseline!C15</f>
        <v>2030-2031</v>
      </c>
      <c r="D15" s="166">
        <f>Leakage!G15</f>
        <v>70084.518551706569</v>
      </c>
      <c r="E15" s="166">
        <f t="shared" si="0"/>
        <v>14016.903710341314</v>
      </c>
      <c r="F15" s="166">
        <f t="shared" si="1"/>
        <v>56067.614841365255</v>
      </c>
    </row>
    <row r="16" spans="2:12" x14ac:dyDescent="0.25">
      <c r="B16" s="165">
        <f>Baseline!B16</f>
        <v>14</v>
      </c>
      <c r="C16" s="165" t="str">
        <f>Baseline!C16</f>
        <v>2031-2032</v>
      </c>
      <c r="D16" s="166">
        <f>Leakage!G16</f>
        <v>70431.494186255382</v>
      </c>
      <c r="E16" s="166">
        <f t="shared" si="0"/>
        <v>14086.298837251077</v>
      </c>
      <c r="F16" s="166">
        <f t="shared" si="1"/>
        <v>56345.195349004309</v>
      </c>
    </row>
    <row r="17" spans="2:6" x14ac:dyDescent="0.25">
      <c r="B17" s="165">
        <f>Baseline!B17</f>
        <v>15</v>
      </c>
      <c r="C17" s="165" t="str">
        <f>Baseline!C17</f>
        <v>2032-2033</v>
      </c>
      <c r="D17" s="166">
        <f>Leakage!G17</f>
        <v>68877.336742577463</v>
      </c>
      <c r="E17" s="166">
        <f t="shared" si="0"/>
        <v>13775.467348515493</v>
      </c>
      <c r="F17" s="166">
        <f t="shared" si="1"/>
        <v>55101.869394061971</v>
      </c>
    </row>
    <row r="18" spans="2:6" x14ac:dyDescent="0.25">
      <c r="B18" s="165">
        <f>Baseline!B18</f>
        <v>16</v>
      </c>
      <c r="C18" s="165" t="str">
        <f>Baseline!C18</f>
        <v>2033-2034</v>
      </c>
      <c r="D18" s="166">
        <f>Leakage!G18</f>
        <v>61758.025404957698</v>
      </c>
      <c r="E18" s="166">
        <f t="shared" si="0"/>
        <v>12351.60508099154</v>
      </c>
      <c r="F18" s="166">
        <f t="shared" si="1"/>
        <v>49406.420323966158</v>
      </c>
    </row>
    <row r="19" spans="2:6" x14ac:dyDescent="0.25">
      <c r="B19" s="165">
        <f>Baseline!B19</f>
        <v>17</v>
      </c>
      <c r="C19" s="165" t="str">
        <f>Baseline!C19</f>
        <v>2034-2035</v>
      </c>
      <c r="D19" s="166">
        <f>Leakage!G19</f>
        <v>45957.904268473387</v>
      </c>
      <c r="E19" s="166">
        <f t="shared" si="0"/>
        <v>9191.580853694677</v>
      </c>
      <c r="F19" s="166">
        <f t="shared" si="1"/>
        <v>36766.323414778708</v>
      </c>
    </row>
    <row r="20" spans="2:6" x14ac:dyDescent="0.25">
      <c r="B20" s="165">
        <f>Baseline!B20</f>
        <v>18</v>
      </c>
      <c r="C20" s="165" t="str">
        <f>Baseline!C20</f>
        <v>2035-2036</v>
      </c>
      <c r="D20" s="166">
        <f>Leakage!G20</f>
        <v>53378.973952583343</v>
      </c>
      <c r="E20" s="166">
        <f t="shared" si="0"/>
        <v>10675.794790516669</v>
      </c>
      <c r="F20" s="166">
        <f t="shared" si="1"/>
        <v>42703.179162066677</v>
      </c>
    </row>
    <row r="21" spans="2:6" x14ac:dyDescent="0.25">
      <c r="B21" s="165">
        <f>Baseline!B21</f>
        <v>19</v>
      </c>
      <c r="C21" s="165" t="str">
        <f>Baseline!C21</f>
        <v>2036-2037</v>
      </c>
      <c r="D21" s="166">
        <f>Leakage!G21</f>
        <v>45325.284145556718</v>
      </c>
      <c r="E21" s="166">
        <f t="shared" si="0"/>
        <v>9065.0568291113432</v>
      </c>
      <c r="F21" s="166">
        <f t="shared" si="1"/>
        <v>36260.227316445373</v>
      </c>
    </row>
    <row r="22" spans="2:6" x14ac:dyDescent="0.25">
      <c r="B22" s="165">
        <f>Baseline!B22</f>
        <v>20</v>
      </c>
      <c r="C22" s="165" t="str">
        <f>Baseline!C22</f>
        <v>2037-2038</v>
      </c>
      <c r="D22" s="166">
        <f>Leakage!G22</f>
        <v>48958.832939505832</v>
      </c>
      <c r="E22" s="166">
        <f t="shared" si="0"/>
        <v>9791.7665879011674</v>
      </c>
      <c r="F22" s="166">
        <f t="shared" si="1"/>
        <v>39167.066351604662</v>
      </c>
    </row>
    <row r="23" spans="2:6" x14ac:dyDescent="0.25">
      <c r="B23" s="165">
        <f>Baseline!B23</f>
        <v>21</v>
      </c>
      <c r="C23" s="165" t="str">
        <f>Baseline!C23</f>
        <v>2038-2039</v>
      </c>
      <c r="D23" s="166">
        <f>Leakage!G23</f>
        <v>69701.389637213098</v>
      </c>
      <c r="E23" s="166">
        <f t="shared" si="0"/>
        <v>13940.277927442621</v>
      </c>
      <c r="F23" s="166">
        <f t="shared" si="1"/>
        <v>55761.111709770477</v>
      </c>
    </row>
    <row r="24" spans="2:6" x14ac:dyDescent="0.25">
      <c r="B24" s="165">
        <f>Baseline!B24</f>
        <v>22</v>
      </c>
      <c r="C24" s="165" t="str">
        <f>Baseline!C24</f>
        <v>2039-2040</v>
      </c>
      <c r="D24" s="166">
        <f>Leakage!G24</f>
        <v>70207.540633782177</v>
      </c>
      <c r="E24" s="166">
        <f t="shared" si="0"/>
        <v>14041.508126756436</v>
      </c>
      <c r="F24" s="166">
        <f t="shared" si="1"/>
        <v>56166.032507025739</v>
      </c>
    </row>
    <row r="25" spans="2:6" x14ac:dyDescent="0.25">
      <c r="B25" s="165">
        <f>Baseline!B25</f>
        <v>23</v>
      </c>
      <c r="C25" s="165" t="str">
        <f>Baseline!C25</f>
        <v>2040-2041</v>
      </c>
      <c r="D25" s="166">
        <f>Leakage!G25</f>
        <v>70816.441481105139</v>
      </c>
      <c r="E25" s="166">
        <f t="shared" si="0"/>
        <v>14163.288296221028</v>
      </c>
      <c r="F25" s="166">
        <f t="shared" si="1"/>
        <v>56653.153184884111</v>
      </c>
    </row>
    <row r="26" spans="2:6" x14ac:dyDescent="0.25">
      <c r="B26" s="165">
        <f>Baseline!B26</f>
        <v>24</v>
      </c>
      <c r="C26" s="165" t="str">
        <f>Baseline!C26</f>
        <v>2041-2042</v>
      </c>
      <c r="D26" s="166">
        <f>Leakage!G26</f>
        <v>72728.335190201949</v>
      </c>
      <c r="E26" s="166">
        <f t="shared" si="0"/>
        <v>14545.66703804039</v>
      </c>
      <c r="F26" s="166">
        <f t="shared" si="1"/>
        <v>58182.668152161561</v>
      </c>
    </row>
    <row r="27" spans="2:6" x14ac:dyDescent="0.25">
      <c r="B27" s="165">
        <f>Baseline!B27</f>
        <v>25</v>
      </c>
      <c r="C27" s="165" t="str">
        <f>Baseline!C27</f>
        <v>2042-2043</v>
      </c>
      <c r="D27" s="166">
        <f>Leakage!G27</f>
        <v>74411.129547138742</v>
      </c>
      <c r="E27" s="166">
        <f t="shared" si="0"/>
        <v>14882.225909427749</v>
      </c>
      <c r="F27" s="166">
        <f t="shared" si="1"/>
        <v>59528.903637710995</v>
      </c>
    </row>
    <row r="28" spans="2:6" x14ac:dyDescent="0.25">
      <c r="B28" s="165">
        <f>Baseline!B28</f>
        <v>26</v>
      </c>
      <c r="C28" s="165" t="str">
        <f>Baseline!C28</f>
        <v>2043-2044</v>
      </c>
      <c r="D28" s="166">
        <f>Leakage!G28</f>
        <v>76316.749137734936</v>
      </c>
      <c r="E28" s="166">
        <f t="shared" si="0"/>
        <v>15263.349827546988</v>
      </c>
      <c r="F28" s="166">
        <f t="shared" si="1"/>
        <v>61053.399310187946</v>
      </c>
    </row>
    <row r="29" spans="2:6" x14ac:dyDescent="0.25">
      <c r="B29" s="165">
        <f>Baseline!B29</f>
        <v>27</v>
      </c>
      <c r="C29" s="165" t="str">
        <f>Baseline!C29</f>
        <v>2044-2045</v>
      </c>
      <c r="D29" s="166">
        <f>Leakage!G29</f>
        <v>77052.779958501676</v>
      </c>
      <c r="E29" s="166">
        <f t="shared" si="0"/>
        <v>15410.555991700336</v>
      </c>
      <c r="F29" s="166">
        <f t="shared" si="1"/>
        <v>61642.223966801343</v>
      </c>
    </row>
    <row r="30" spans="2:6" x14ac:dyDescent="0.25">
      <c r="B30" s="165">
        <f>Baseline!B30</f>
        <v>28</v>
      </c>
      <c r="C30" s="165" t="str">
        <f>Baseline!C30</f>
        <v>2045-2046</v>
      </c>
      <c r="D30" s="166">
        <f>Leakage!G30</f>
        <v>77320.658267571242</v>
      </c>
      <c r="E30" s="166">
        <f t="shared" si="0"/>
        <v>15464.131653514249</v>
      </c>
      <c r="F30" s="166">
        <f t="shared" si="1"/>
        <v>61856.526614056995</v>
      </c>
    </row>
    <row r="31" spans="2:6" x14ac:dyDescent="0.25">
      <c r="B31" s="165">
        <f>Baseline!B31</f>
        <v>29</v>
      </c>
      <c r="C31" s="165" t="str">
        <f>Baseline!C31</f>
        <v>2046-2047</v>
      </c>
      <c r="D31" s="166">
        <f>Leakage!G31</f>
        <v>77587.14263393516</v>
      </c>
      <c r="E31" s="166">
        <f t="shared" si="0"/>
        <v>15517.428526787033</v>
      </c>
      <c r="F31" s="166">
        <f t="shared" si="1"/>
        <v>62069.714107148131</v>
      </c>
    </row>
    <row r="32" spans="2:6" x14ac:dyDescent="0.25">
      <c r="B32" s="165">
        <f>Baseline!B32</f>
        <v>30</v>
      </c>
      <c r="C32" s="165" t="str">
        <f>Baseline!C32</f>
        <v>2047-2048</v>
      </c>
      <c r="D32" s="166">
        <f>Leakage!G32</f>
        <v>78009.206514261459</v>
      </c>
      <c r="E32" s="166">
        <f t="shared" si="0"/>
        <v>15601.841302852292</v>
      </c>
      <c r="F32" s="166">
        <f t="shared" si="1"/>
        <v>62407.365211409167</v>
      </c>
    </row>
    <row r="33" spans="2:6" x14ac:dyDescent="0.25">
      <c r="B33" s="165">
        <f>Baseline!B33</f>
        <v>31</v>
      </c>
      <c r="C33" s="165" t="str">
        <f>Baseline!C33</f>
        <v>2048-2049</v>
      </c>
      <c r="D33" s="166">
        <f>Leakage!G33</f>
        <v>74820.022932127118</v>
      </c>
      <c r="E33" s="166">
        <f t="shared" si="0"/>
        <v>14964.004586425424</v>
      </c>
      <c r="F33" s="166">
        <f t="shared" si="1"/>
        <v>59856.018345701697</v>
      </c>
    </row>
    <row r="34" spans="2:6" x14ac:dyDescent="0.25">
      <c r="B34" s="165">
        <f>Baseline!B34</f>
        <v>32</v>
      </c>
      <c r="C34" s="165" t="str">
        <f>Baseline!C34</f>
        <v>2049-2050</v>
      </c>
      <c r="D34" s="166">
        <f>Leakage!G34</f>
        <v>66736.999524357394</v>
      </c>
      <c r="E34" s="166">
        <f t="shared" si="0"/>
        <v>13347.39990487148</v>
      </c>
      <c r="F34" s="166">
        <f t="shared" si="1"/>
        <v>53389.599619485918</v>
      </c>
    </row>
    <row r="35" spans="2:6" x14ac:dyDescent="0.25">
      <c r="B35" s="165">
        <f>Baseline!B35</f>
        <v>33</v>
      </c>
      <c r="C35" s="165" t="str">
        <f>Baseline!C35</f>
        <v>2051-2051</v>
      </c>
      <c r="D35" s="166">
        <f>Leakage!G35</f>
        <v>73951.048855575718</v>
      </c>
      <c r="E35" s="166">
        <f t="shared" si="0"/>
        <v>14790.209771115144</v>
      </c>
      <c r="F35" s="166">
        <f t="shared" si="1"/>
        <v>59160.839084460575</v>
      </c>
    </row>
    <row r="36" spans="2:6" x14ac:dyDescent="0.25">
      <c r="B36" s="165">
        <f>Baseline!B36</f>
        <v>34</v>
      </c>
      <c r="C36" s="165" t="str">
        <f>Baseline!C36</f>
        <v>2051-2052</v>
      </c>
      <c r="D36" s="166">
        <f>Leakage!G36</f>
        <v>65700.42643518532</v>
      </c>
      <c r="E36" s="166">
        <f t="shared" si="0"/>
        <v>13140.085287037065</v>
      </c>
      <c r="F36" s="166">
        <f t="shared" si="1"/>
        <v>52560.341148148254</v>
      </c>
    </row>
    <row r="37" spans="2:6" x14ac:dyDescent="0.25">
      <c r="B37" s="165">
        <f>Baseline!B37</f>
        <v>35</v>
      </c>
      <c r="C37" s="165" t="str">
        <f>Baseline!C37</f>
        <v>2052-2053</v>
      </c>
      <c r="D37" s="166">
        <f>Leakage!G37</f>
        <v>66692.020601063647</v>
      </c>
      <c r="E37" s="166">
        <f t="shared" si="0"/>
        <v>13338.40412021273</v>
      </c>
      <c r="F37" s="166">
        <f t="shared" si="1"/>
        <v>53353.61648085092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33310114c5e1c5d78470c21a1dd26b32">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29eb7b3a6bc09b2ca563c5b9d4504c50"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86708D-5874-4A58-983A-17641CEFDCA1}"/>
</file>

<file path=customXml/itemProps2.xml><?xml version="1.0" encoding="utf-8"?>
<ds:datastoreItem xmlns:ds="http://schemas.openxmlformats.org/officeDocument/2006/customXml" ds:itemID="{DAECCB2C-6BF2-4F20-A3E9-DD5E55C12BE9}"/>
</file>

<file path=customXml/itemProps3.xml><?xml version="1.0" encoding="utf-8"?>
<ds:datastoreItem xmlns:ds="http://schemas.openxmlformats.org/officeDocument/2006/customXml" ds:itemID="{CE78B39F-2E57-4595-9EBF-E5F2DA206A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Information</vt:lpstr>
      <vt:lpstr>Mangifera indica</vt:lpstr>
      <vt:lpstr>Gauva</vt:lpstr>
      <vt:lpstr>Red Sander</vt:lpstr>
      <vt:lpstr>SOC</vt:lpstr>
      <vt:lpstr>Total ER</vt:lpstr>
      <vt:lpstr>Baseline</vt:lpstr>
      <vt:lpstr>Leakage</vt:lpstr>
      <vt:lpstr>NPR</vt:lpstr>
      <vt:lpstr>Summary</vt:lpstr>
      <vt:lpstr>LTA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Rajat Singh</dc:creator>
  <cp:keywords/>
  <dc:description/>
  <cp:lastModifiedBy>Rajat Singh</cp:lastModifiedBy>
  <cp:revision/>
  <dcterms:created xsi:type="dcterms:W3CDTF">2015-06-05T18:17:20Z</dcterms:created>
  <dcterms:modified xsi:type="dcterms:W3CDTF">2025-10-16T12:43:55Z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ies>
</file>