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app.xml" ContentType="application/vnd.openxmlformats-officedocument.extended-properties+xml"/>
  <Override PartName="/xl/comments1.xml" ContentType="application/vnd.openxmlformats-officedocument.spreadsheetml.comments+xml"/>
  <Override PartName="/xl/externalLinks/externalLink1.xml" ContentType="application/vnd.openxmlformats-officedocument.spreadsheetml.externalLink+xml"/>
  <Override PartName="/xl/comments3.xml" ContentType="application/vnd.openxmlformats-officedocument.spreadsheetml.comments+xml"/>
  <Override PartName="/xl/comments2.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infisolutionsllp-my.sharepoint.com/personal/rajat_infisolutions_org/Documents/3560/PRR 1/"/>
    </mc:Choice>
  </mc:AlternateContent>
  <xr:revisionPtr revIDLastSave="23" documentId="13_ncr:1_{C4D283B8-898B-42D0-81A8-CDCBF14302EB}" xr6:coauthVersionLast="47" xr6:coauthVersionMax="47" xr10:uidLastSave="{0CC3C4C1-328A-4F33-B6B3-1E69CF983894}"/>
  <bookViews>
    <workbookView xWindow="-105" yWindow="0" windowWidth="10455" windowHeight="10905" firstSheet="3" activeTab="4" xr2:uid="{944E43A5-1A31-4679-8C35-78A4CB54AFA2}"/>
  </bookViews>
  <sheets>
    <sheet name="Key Data" sheetId="1" r:id="rId1"/>
    <sheet name="Database" sheetId="2" r:id="rId2"/>
    <sheet name="Uncertainty" sheetId="23" r:id="rId3"/>
    <sheet name="Baseline" sheetId="18" r:id="rId4"/>
    <sheet name="SOC" sheetId="19" r:id="rId5"/>
    <sheet name="GHG Emission" sheetId="21" r:id="rId6"/>
    <sheet name="Leakage" sheetId="26" r:id="rId7"/>
    <sheet name="Final Calculation" sheetId="22" r:id="rId8"/>
    <sheet name="Vintage Period " sheetId="24" r:id="rId9"/>
    <sheet name="LTA" sheetId="25" r:id="rId10"/>
    <sheet name="i=1 (2018 Mango)" sheetId="3" r:id="rId11"/>
    <sheet name="i=2 (2019 Mango)" sheetId="4" r:id="rId12"/>
    <sheet name="i=3 (2020 Mango)" sheetId="5" r:id="rId13"/>
    <sheet name="i=4 (2021 Mango)" sheetId="6" r:id="rId14"/>
    <sheet name="i=5 (2022 Mango)" sheetId="7" r:id="rId15"/>
    <sheet name="i=6 (Mango 2023)" sheetId="8" r:id="rId16"/>
    <sheet name="i=7 (2019 Red Sander)" sheetId="9" r:id="rId17"/>
    <sheet name="i=8 (2020 Red Sander)" sheetId="10" r:id="rId18"/>
    <sheet name="i=9 (2021 Red Sander)" sheetId="11" r:id="rId19"/>
    <sheet name="i=10 (2022 Red Sander)" sheetId="12" r:id="rId20"/>
    <sheet name="i=11 (2018 Guava)" sheetId="13" r:id="rId21"/>
    <sheet name="i=12 (2019 Guava)" sheetId="14" r:id="rId22"/>
    <sheet name="i=13 (2020 Guava)" sheetId="15" r:id="rId23"/>
    <sheet name="i=14 (2021 Guava)" sheetId="16" r:id="rId24"/>
    <sheet name="i=15 (2022 Gauva)" sheetId="17" r:id="rId25"/>
  </sheets>
  <externalReferences>
    <externalReference r:id="rId26"/>
  </externalReferences>
  <definedNames>
    <definedName name="_xlnm._FilterDatabase" localSheetId="10" hidden="1">'i=1 (2018 Mango)'!$H$1:$H$261</definedName>
    <definedName name="_xlnm._FilterDatabase" localSheetId="19" hidden="1">'i=10 (2022 Red Sander)'!$G$3:$G$84</definedName>
    <definedName name="_xlnm._FilterDatabase" localSheetId="20" hidden="1">'i=11 (2018 Guava)'!$H$2:$H$48</definedName>
    <definedName name="_xlnm._FilterDatabase" localSheetId="21" hidden="1">'i=12 (2019 Guava)'!$H$2:$H$97</definedName>
    <definedName name="_xlnm._FilterDatabase" localSheetId="22" hidden="1">'i=13 (2020 Guava)'!$B$3:$M$176</definedName>
    <definedName name="_xlnm._FilterDatabase" localSheetId="23" hidden="1">'i=14 (2021 Guava)'!$H$2:$H$43</definedName>
    <definedName name="_xlnm._FilterDatabase" localSheetId="24" hidden="1">'i=15 (2022 Gauva)'!$H$2:$H$38</definedName>
    <definedName name="_xlnm._FilterDatabase" localSheetId="11" hidden="1">'i=2 (2019 Mango)'!$H$1:$H$125</definedName>
    <definedName name="_xlnm._FilterDatabase" localSheetId="12" hidden="1">'i=3 (2020 Mango)'!$H$2:$H$71</definedName>
    <definedName name="_xlnm._FilterDatabase" localSheetId="13" hidden="1">'i=4 (2021 Mango)'!$H$2:$H$67</definedName>
    <definedName name="_xlnm._FilterDatabase" localSheetId="14" hidden="1">'i=5 (2022 Mango)'!$H$2:$H$39</definedName>
    <definedName name="_xlnm._FilterDatabase" localSheetId="16" hidden="1">'i=7 (2019 Red Sander)'!$B$3:$N$148</definedName>
    <definedName name="_xlnm._FilterDatabase" localSheetId="17" hidden="1">'i=8 (2020 Red Sander)'!$G$3:$G$84</definedName>
    <definedName name="_xlnm._FilterDatabase" localSheetId="18" hidden="1">'i=9 (2021 Red Sander)'!$G$3:$G$67</definedName>
    <definedName name="FI_Cropland">'[1]IPCC Tables'!$B$15:$F$15</definedName>
    <definedName name="FI_Grassland">'[1]IPCC Tables'!$J$15:$M$15</definedName>
    <definedName name="FLU">'[1]IPCC Tables'!$J$2:$M$2</definedName>
    <definedName name="FMG_Cropland">'[1]IPCC Tables'!$P$2:$S$2</definedName>
    <definedName name="FMG_Grassland">'[1]IPCC Tables'!$V$2:$Z$2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19" l="1"/>
  <c r="AG21" i="19"/>
  <c r="AG15" i="19"/>
  <c r="AG22" i="19"/>
  <c r="I17" i="24"/>
  <c r="I18" i="24"/>
  <c r="I21" i="24"/>
  <c r="H17" i="24"/>
  <c r="H18" i="24"/>
  <c r="H19" i="24"/>
  <c r="I19" i="24" s="1"/>
  <c r="H20" i="24"/>
  <c r="I20" i="24" s="1"/>
  <c r="H21" i="24"/>
  <c r="H16" i="24"/>
  <c r="I16" i="24" s="1"/>
  <c r="F22" i="24"/>
  <c r="E22" i="24"/>
  <c r="D22" i="24"/>
  <c r="H22" i="24" s="1"/>
  <c r="I22" i="24" s="1"/>
  <c r="E23" i="24" l="1"/>
  <c r="N13" i="26" l="1"/>
  <c r="N14" i="26"/>
  <c r="N15" i="26"/>
  <c r="N16" i="26"/>
  <c r="N17" i="26"/>
  <c r="N18" i="26"/>
  <c r="N12" i="26"/>
  <c r="AK9" i="22"/>
  <c r="D26" i="1" l="1"/>
  <c r="D23" i="24"/>
  <c r="H36" i="25"/>
  <c r="I36" i="25" s="1"/>
  <c r="H37" i="25"/>
  <c r="I37" i="25" s="1"/>
  <c r="H38" i="25"/>
  <c r="I38" i="25" s="1"/>
  <c r="H39" i="25"/>
  <c r="I39" i="25" s="1"/>
  <c r="H40" i="25"/>
  <c r="I40" i="25" s="1"/>
  <c r="H22" i="18" l="1"/>
  <c r="L22" i="18"/>
  <c r="P22" i="18" s="1"/>
  <c r="J15" i="26"/>
  <c r="H15" i="26"/>
  <c r="D3" i="26" l="1"/>
  <c r="R22" i="18"/>
  <c r="S22" i="18" s="1"/>
  <c r="V20" i="19"/>
  <c r="V21" i="19"/>
  <c r="V19" i="19"/>
  <c r="AF20" i="19"/>
  <c r="AF21" i="19"/>
  <c r="AF19" i="19"/>
  <c r="AE19" i="19"/>
  <c r="AE20" i="19"/>
  <c r="AE21" i="19"/>
  <c r="AE18" i="19"/>
  <c r="AD18" i="19"/>
  <c r="AD19" i="19"/>
  <c r="AD20" i="19"/>
  <c r="AD21" i="19"/>
  <c r="AD17" i="19"/>
  <c r="AC17" i="19"/>
  <c r="AC18" i="19"/>
  <c r="AC19" i="19"/>
  <c r="AC20" i="19"/>
  <c r="AC21" i="19"/>
  <c r="AC16" i="19"/>
  <c r="AB16" i="19"/>
  <c r="AB17" i="19"/>
  <c r="AB18" i="19"/>
  <c r="AB19" i="19"/>
  <c r="AB20" i="19"/>
  <c r="AB21" i="19"/>
  <c r="AB15" i="19"/>
  <c r="AA20" i="19"/>
  <c r="AA21" i="19"/>
  <c r="Z19" i="19"/>
  <c r="Z20" i="19"/>
  <c r="Z21" i="19"/>
  <c r="AA19" i="19"/>
  <c r="Z18" i="19"/>
  <c r="Y17" i="19"/>
  <c r="Y18" i="19"/>
  <c r="Y19" i="19"/>
  <c r="Y20" i="19"/>
  <c r="Y21" i="19"/>
  <c r="X17" i="19"/>
  <c r="X18" i="19"/>
  <c r="X19" i="19"/>
  <c r="X20" i="19"/>
  <c r="X21" i="19"/>
  <c r="X16" i="19"/>
  <c r="W16" i="19"/>
  <c r="W17" i="19"/>
  <c r="W18" i="19"/>
  <c r="W19" i="19"/>
  <c r="W20" i="19"/>
  <c r="W21" i="19"/>
  <c r="W15" i="19"/>
  <c r="U19" i="19"/>
  <c r="U20" i="19"/>
  <c r="U21" i="19"/>
  <c r="U18" i="19"/>
  <c r="T18" i="19"/>
  <c r="T19" i="19"/>
  <c r="T20" i="19"/>
  <c r="T21" i="19"/>
  <c r="T17" i="19"/>
  <c r="R16" i="19"/>
  <c r="R17" i="19"/>
  <c r="R18" i="19"/>
  <c r="R19" i="19"/>
  <c r="R20" i="19"/>
  <c r="R21" i="19"/>
  <c r="R15" i="19"/>
  <c r="S17" i="19"/>
  <c r="S18" i="19"/>
  <c r="S19" i="19"/>
  <c r="S20" i="19"/>
  <c r="S21" i="19"/>
  <c r="S16" i="19"/>
  <c r="D4" i="26" l="1"/>
  <c r="E3" i="26"/>
  <c r="H25" i="25"/>
  <c r="H26" i="25"/>
  <c r="H27" i="25"/>
  <c r="H28" i="25"/>
  <c r="H29" i="25"/>
  <c r="H30" i="25"/>
  <c r="H31" i="25"/>
  <c r="H32" i="25"/>
  <c r="H33" i="25"/>
  <c r="H34" i="25"/>
  <c r="H35" i="25"/>
  <c r="F23" i="24"/>
  <c r="G23" i="24"/>
  <c r="H23" i="24"/>
  <c r="N4" i="24" s="1"/>
  <c r="I23" i="24"/>
  <c r="C23" i="24"/>
  <c r="D5" i="26" l="1"/>
  <c r="D6" i="26" s="1"/>
  <c r="D7" i="26" s="1"/>
  <c r="D8" i="26" s="1"/>
  <c r="D9" i="26" s="1"/>
  <c r="E4" i="26"/>
  <c r="AH9" i="22"/>
  <c r="H4" i="13"/>
  <c r="H5" i="13"/>
  <c r="I5" i="13" s="1"/>
  <c r="J5" i="13" s="1"/>
  <c r="K5" i="13" s="1"/>
  <c r="H6" i="13"/>
  <c r="I6" i="13" s="1"/>
  <c r="J6" i="13" s="1"/>
  <c r="K6" i="13" s="1"/>
  <c r="H7" i="13"/>
  <c r="I7" i="13" s="1"/>
  <c r="J7" i="13" s="1"/>
  <c r="K7" i="13" s="1"/>
  <c r="H8" i="13"/>
  <c r="I8" i="13" s="1"/>
  <c r="J8" i="13" s="1"/>
  <c r="K8" i="13" s="1"/>
  <c r="H9" i="13"/>
  <c r="I9" i="13" s="1"/>
  <c r="J9" i="13" s="1"/>
  <c r="K9" i="13" s="1"/>
  <c r="H10" i="13"/>
  <c r="H11" i="13"/>
  <c r="I11" i="13" s="1"/>
  <c r="J11" i="13" s="1"/>
  <c r="K11" i="13" s="1"/>
  <c r="H12" i="13"/>
  <c r="I12" i="13" s="1"/>
  <c r="J12" i="13" s="1"/>
  <c r="K12" i="13" s="1"/>
  <c r="H13" i="13"/>
  <c r="I13" i="13" s="1"/>
  <c r="J13" i="13" s="1"/>
  <c r="K13" i="13" s="1"/>
  <c r="H14" i="13"/>
  <c r="I14" i="13" s="1"/>
  <c r="J14" i="13" s="1"/>
  <c r="K14" i="13" s="1"/>
  <c r="H15" i="13"/>
  <c r="H16" i="13"/>
  <c r="I16" i="13" s="1"/>
  <c r="J16" i="13" s="1"/>
  <c r="K16" i="13" s="1"/>
  <c r="H17" i="13"/>
  <c r="I17" i="13" s="1"/>
  <c r="J17" i="13" s="1"/>
  <c r="K17" i="13" s="1"/>
  <c r="H18" i="13"/>
  <c r="H19" i="13"/>
  <c r="I19" i="13" s="1"/>
  <c r="J19" i="13" s="1"/>
  <c r="K19" i="13" s="1"/>
  <c r="H20" i="13"/>
  <c r="I20" i="13" s="1"/>
  <c r="J20" i="13" s="1"/>
  <c r="K20" i="13" s="1"/>
  <c r="H21" i="13"/>
  <c r="I21" i="13" s="1"/>
  <c r="J21" i="13" s="1"/>
  <c r="K21" i="13" s="1"/>
  <c r="H22" i="13"/>
  <c r="I22" i="13" s="1"/>
  <c r="J22" i="13" s="1"/>
  <c r="K22" i="13" s="1"/>
  <c r="H23" i="13"/>
  <c r="I23" i="13" s="1"/>
  <c r="J23" i="13" s="1"/>
  <c r="K23" i="13" s="1"/>
  <c r="H24" i="13"/>
  <c r="I24" i="13" s="1"/>
  <c r="J24" i="13" s="1"/>
  <c r="K24" i="13" s="1"/>
  <c r="H25" i="13"/>
  <c r="I25" i="13" s="1"/>
  <c r="J25" i="13" s="1"/>
  <c r="K25" i="13" s="1"/>
  <c r="H26" i="13"/>
  <c r="H27" i="13"/>
  <c r="I27" i="13" s="1"/>
  <c r="J27" i="13" s="1"/>
  <c r="K27" i="13" s="1"/>
  <c r="H28" i="13"/>
  <c r="I28" i="13" s="1"/>
  <c r="J28" i="13" s="1"/>
  <c r="K28" i="13" s="1"/>
  <c r="H29" i="13"/>
  <c r="I29" i="13" s="1"/>
  <c r="J29" i="13" s="1"/>
  <c r="K29" i="13" s="1"/>
  <c r="H30" i="13"/>
  <c r="I30" i="13" s="1"/>
  <c r="J30" i="13" s="1"/>
  <c r="K30" i="13" s="1"/>
  <c r="H31" i="13"/>
  <c r="H32" i="13"/>
  <c r="I32" i="13" s="1"/>
  <c r="J32" i="13" s="1"/>
  <c r="K32" i="13" s="1"/>
  <c r="H33" i="13"/>
  <c r="I33" i="13" s="1"/>
  <c r="J33" i="13" s="1"/>
  <c r="K33" i="13" s="1"/>
  <c r="H34" i="13"/>
  <c r="H35" i="13"/>
  <c r="I35" i="13" s="1"/>
  <c r="J35" i="13" s="1"/>
  <c r="K35" i="13" s="1"/>
  <c r="H36" i="13"/>
  <c r="I36" i="13" s="1"/>
  <c r="J36" i="13" s="1"/>
  <c r="K36" i="13" s="1"/>
  <c r="H37" i="13"/>
  <c r="I37" i="13" s="1"/>
  <c r="J37" i="13" s="1"/>
  <c r="K37" i="13" s="1"/>
  <c r="H38" i="13"/>
  <c r="I38" i="13" s="1"/>
  <c r="J38" i="13" s="1"/>
  <c r="K38" i="13" s="1"/>
  <c r="H39" i="13"/>
  <c r="I39" i="13" s="1"/>
  <c r="J39" i="13" s="1"/>
  <c r="K39" i="13" s="1"/>
  <c r="H40" i="13"/>
  <c r="I40" i="13" s="1"/>
  <c r="J40" i="13" s="1"/>
  <c r="K40" i="13" s="1"/>
  <c r="H41" i="13"/>
  <c r="I41" i="13" s="1"/>
  <c r="J41" i="13" s="1"/>
  <c r="K41" i="13" s="1"/>
  <c r="H42" i="13"/>
  <c r="H43" i="13"/>
  <c r="I43" i="13" s="1"/>
  <c r="J43" i="13" s="1"/>
  <c r="K43" i="13" s="1"/>
  <c r="H44" i="13"/>
  <c r="I44" i="13" s="1"/>
  <c r="J44" i="13" s="1"/>
  <c r="K44" i="13" s="1"/>
  <c r="H45" i="13"/>
  <c r="I45" i="13" s="1"/>
  <c r="J45" i="13" s="1"/>
  <c r="K45" i="13" s="1"/>
  <c r="H46" i="13"/>
  <c r="I46" i="13" s="1"/>
  <c r="J46" i="13" s="1"/>
  <c r="K46" i="13" s="1"/>
  <c r="H47" i="13"/>
  <c r="H48" i="13"/>
  <c r="I48" i="13" s="1"/>
  <c r="J48" i="13" s="1"/>
  <c r="K48" i="13" s="1"/>
  <c r="B12" i="25"/>
  <c r="B5" i="25"/>
  <c r="B6" i="25" s="1"/>
  <c r="B7" i="25" s="1"/>
  <c r="B8" i="25" s="1"/>
  <c r="B9" i="25" s="1"/>
  <c r="I35" i="25"/>
  <c r="I34" i="25"/>
  <c r="I33" i="25"/>
  <c r="I32" i="25"/>
  <c r="I31" i="25"/>
  <c r="I30" i="25"/>
  <c r="I29" i="25"/>
  <c r="I28" i="25"/>
  <c r="I27" i="25"/>
  <c r="I26" i="25"/>
  <c r="I25" i="25"/>
  <c r="I11" i="24"/>
  <c r="C11" i="24"/>
  <c r="H22" i="1"/>
  <c r="H88" i="9"/>
  <c r="H89" i="9"/>
  <c r="H90" i="9"/>
  <c r="I90" i="9" s="1"/>
  <c r="J90" i="9" s="1"/>
  <c r="K90" i="9" s="1"/>
  <c r="L90" i="9" s="1"/>
  <c r="H91" i="9"/>
  <c r="I91" i="9" s="1"/>
  <c r="J91" i="9" s="1"/>
  <c r="K91" i="9" s="1"/>
  <c r="L91" i="9" s="1"/>
  <c r="H92" i="9"/>
  <c r="I92" i="9" s="1"/>
  <c r="J92" i="9" s="1"/>
  <c r="K92" i="9" s="1"/>
  <c r="L92" i="9" s="1"/>
  <c r="H94" i="9"/>
  <c r="H95" i="9"/>
  <c r="I95" i="9" s="1"/>
  <c r="J95" i="9" s="1"/>
  <c r="K95" i="9" s="1"/>
  <c r="L95" i="9" s="1"/>
  <c r="H96" i="9"/>
  <c r="I96" i="9" s="1"/>
  <c r="J96" i="9" s="1"/>
  <c r="K96" i="9" s="1"/>
  <c r="L96" i="9" s="1"/>
  <c r="H97" i="9"/>
  <c r="I97" i="9" s="1"/>
  <c r="J97" i="9" s="1"/>
  <c r="K97" i="9" s="1"/>
  <c r="L97" i="9" s="1"/>
  <c r="H100" i="9"/>
  <c r="H101" i="9"/>
  <c r="H102" i="9"/>
  <c r="I102" i="9" s="1"/>
  <c r="J102" i="9" s="1"/>
  <c r="K102" i="9" s="1"/>
  <c r="L102" i="9" s="1"/>
  <c r="H103" i="9"/>
  <c r="I103" i="9" s="1"/>
  <c r="J103" i="9" s="1"/>
  <c r="K103" i="9" s="1"/>
  <c r="L103" i="9" s="1"/>
  <c r="H104" i="9"/>
  <c r="H105" i="9"/>
  <c r="H106" i="9"/>
  <c r="I106" i="9" s="1"/>
  <c r="J106" i="9" s="1"/>
  <c r="K106" i="9" s="1"/>
  <c r="L106" i="9" s="1"/>
  <c r="B11" i="23"/>
  <c r="J26" i="21"/>
  <c r="J27" i="21"/>
  <c r="J28" i="21"/>
  <c r="J29" i="21"/>
  <c r="J30" i="21"/>
  <c r="J31" i="21"/>
  <c r="J25" i="21"/>
  <c r="J24" i="21"/>
  <c r="J23" i="21"/>
  <c r="J22" i="21"/>
  <c r="J21" i="21"/>
  <c r="J20" i="21"/>
  <c r="J19" i="21"/>
  <c r="J18" i="21"/>
  <c r="J17" i="21"/>
  <c r="F8" i="19"/>
  <c r="H8" i="19" s="1"/>
  <c r="H7" i="19"/>
  <c r="L21" i="18"/>
  <c r="P21" i="18" s="1"/>
  <c r="Q22" i="18" s="1"/>
  <c r="H21" i="18"/>
  <c r="L20" i="18"/>
  <c r="P20" i="18" s="1"/>
  <c r="R20" i="18" s="1"/>
  <c r="H20" i="18"/>
  <c r="L19" i="18"/>
  <c r="P19" i="18" s="1"/>
  <c r="H19" i="18"/>
  <c r="L18" i="18"/>
  <c r="P18" i="18" s="1"/>
  <c r="H18" i="18"/>
  <c r="L17" i="18"/>
  <c r="P17" i="18" s="1"/>
  <c r="H17" i="18"/>
  <c r="L16" i="18"/>
  <c r="P16" i="18" s="1"/>
  <c r="R16" i="18" s="1"/>
  <c r="H16" i="18"/>
  <c r="H5" i="17"/>
  <c r="I5" i="17" s="1"/>
  <c r="J5" i="17" s="1"/>
  <c r="K5" i="17" s="1"/>
  <c r="H6" i="17"/>
  <c r="I6" i="17" s="1"/>
  <c r="J6" i="17" s="1"/>
  <c r="K6" i="17" s="1"/>
  <c r="H7" i="17"/>
  <c r="I7" i="17" s="1"/>
  <c r="J7" i="17" s="1"/>
  <c r="K7" i="17" s="1"/>
  <c r="H8" i="17"/>
  <c r="I8" i="17" s="1"/>
  <c r="J8" i="17" s="1"/>
  <c r="K8" i="17" s="1"/>
  <c r="H9" i="17"/>
  <c r="I9" i="17" s="1"/>
  <c r="J9" i="17" s="1"/>
  <c r="K9" i="17" s="1"/>
  <c r="H10" i="17"/>
  <c r="I10" i="17" s="1"/>
  <c r="J10" i="17" s="1"/>
  <c r="K10" i="17" s="1"/>
  <c r="H11" i="17"/>
  <c r="I11" i="17" s="1"/>
  <c r="J11" i="17" s="1"/>
  <c r="K11" i="17" s="1"/>
  <c r="H12" i="17"/>
  <c r="I12" i="17" s="1"/>
  <c r="J12" i="17" s="1"/>
  <c r="K12" i="17" s="1"/>
  <c r="H13" i="17"/>
  <c r="I13" i="17" s="1"/>
  <c r="J13" i="17" s="1"/>
  <c r="K13" i="17" s="1"/>
  <c r="H14" i="17"/>
  <c r="I14" i="17" s="1"/>
  <c r="J14" i="17" s="1"/>
  <c r="K14" i="17" s="1"/>
  <c r="H15" i="17"/>
  <c r="I15" i="17" s="1"/>
  <c r="J15" i="17" s="1"/>
  <c r="K15" i="17" s="1"/>
  <c r="H16" i="17"/>
  <c r="I16" i="17" s="1"/>
  <c r="J16" i="17" s="1"/>
  <c r="K16" i="17" s="1"/>
  <c r="H17" i="17"/>
  <c r="I17" i="17" s="1"/>
  <c r="J17" i="17" s="1"/>
  <c r="K17" i="17" s="1"/>
  <c r="H18" i="17"/>
  <c r="I18" i="17" s="1"/>
  <c r="J18" i="17" s="1"/>
  <c r="K18" i="17" s="1"/>
  <c r="H19" i="17"/>
  <c r="I19" i="17" s="1"/>
  <c r="J19" i="17" s="1"/>
  <c r="K19" i="17" s="1"/>
  <c r="H20" i="17"/>
  <c r="I20" i="17" s="1"/>
  <c r="J20" i="17" s="1"/>
  <c r="K20" i="17" s="1"/>
  <c r="H21" i="17"/>
  <c r="I21" i="17" s="1"/>
  <c r="J21" i="17" s="1"/>
  <c r="K21" i="17" s="1"/>
  <c r="H22" i="17"/>
  <c r="I22" i="17" s="1"/>
  <c r="J22" i="17" s="1"/>
  <c r="K22" i="17" s="1"/>
  <c r="H23" i="17"/>
  <c r="I23" i="17" s="1"/>
  <c r="J23" i="17" s="1"/>
  <c r="K23" i="17" s="1"/>
  <c r="H24" i="17"/>
  <c r="I24" i="17" s="1"/>
  <c r="J24" i="17" s="1"/>
  <c r="K24" i="17" s="1"/>
  <c r="H25" i="17"/>
  <c r="I25" i="17" s="1"/>
  <c r="J25" i="17" s="1"/>
  <c r="K25" i="17" s="1"/>
  <c r="H26" i="17"/>
  <c r="I26" i="17" s="1"/>
  <c r="J26" i="17" s="1"/>
  <c r="K26" i="17" s="1"/>
  <c r="H27" i="17"/>
  <c r="I27" i="17" s="1"/>
  <c r="J27" i="17" s="1"/>
  <c r="K27" i="17" s="1"/>
  <c r="H28" i="17"/>
  <c r="I28" i="17" s="1"/>
  <c r="J28" i="17" s="1"/>
  <c r="K28" i="17" s="1"/>
  <c r="H29" i="17"/>
  <c r="I29" i="17" s="1"/>
  <c r="J29" i="17" s="1"/>
  <c r="K29" i="17" s="1"/>
  <c r="H30" i="17"/>
  <c r="I30" i="17" s="1"/>
  <c r="J30" i="17" s="1"/>
  <c r="K30" i="17" s="1"/>
  <c r="H31" i="17"/>
  <c r="I31" i="17" s="1"/>
  <c r="J31" i="17" s="1"/>
  <c r="K31" i="17" s="1"/>
  <c r="H32" i="17"/>
  <c r="I32" i="17" s="1"/>
  <c r="J32" i="17" s="1"/>
  <c r="K32" i="17" s="1"/>
  <c r="H33" i="17"/>
  <c r="I33" i="17" s="1"/>
  <c r="J33" i="17" s="1"/>
  <c r="K33" i="17" s="1"/>
  <c r="H34" i="17"/>
  <c r="I34" i="17" s="1"/>
  <c r="J34" i="17" s="1"/>
  <c r="K34" i="17" s="1"/>
  <c r="H35" i="17"/>
  <c r="I35" i="17" s="1"/>
  <c r="J35" i="17" s="1"/>
  <c r="K35" i="17" s="1"/>
  <c r="H36" i="17"/>
  <c r="I36" i="17" s="1"/>
  <c r="J36" i="17" s="1"/>
  <c r="K36" i="17" s="1"/>
  <c r="H37" i="17"/>
  <c r="I37" i="17" s="1"/>
  <c r="J37" i="17" s="1"/>
  <c r="K37" i="17" s="1"/>
  <c r="H38" i="17"/>
  <c r="I38" i="17" s="1"/>
  <c r="J38" i="17" s="1"/>
  <c r="K38" i="17" s="1"/>
  <c r="H4" i="17"/>
  <c r="I4" i="17" s="1"/>
  <c r="J4" i="17" s="1"/>
  <c r="K4" i="17" s="1"/>
  <c r="H5" i="16"/>
  <c r="I5" i="16" s="1"/>
  <c r="J5" i="16" s="1"/>
  <c r="K5" i="16" s="1"/>
  <c r="H6" i="16"/>
  <c r="I6" i="16" s="1"/>
  <c r="J6" i="16" s="1"/>
  <c r="K6" i="16" s="1"/>
  <c r="H7" i="16"/>
  <c r="I7" i="16" s="1"/>
  <c r="J7" i="16" s="1"/>
  <c r="K7" i="16" s="1"/>
  <c r="H8" i="16"/>
  <c r="I8" i="16" s="1"/>
  <c r="J8" i="16" s="1"/>
  <c r="K8" i="16" s="1"/>
  <c r="H9" i="16"/>
  <c r="I9" i="16" s="1"/>
  <c r="J9" i="16" s="1"/>
  <c r="K9" i="16" s="1"/>
  <c r="H10" i="16"/>
  <c r="I10" i="16" s="1"/>
  <c r="J10" i="16" s="1"/>
  <c r="K10" i="16" s="1"/>
  <c r="H11" i="16"/>
  <c r="I11" i="16" s="1"/>
  <c r="J11" i="16" s="1"/>
  <c r="K11" i="16" s="1"/>
  <c r="H12" i="16"/>
  <c r="I12" i="16" s="1"/>
  <c r="J12" i="16" s="1"/>
  <c r="K12" i="16" s="1"/>
  <c r="H13" i="16"/>
  <c r="I13" i="16" s="1"/>
  <c r="J13" i="16" s="1"/>
  <c r="K13" i="16" s="1"/>
  <c r="H14" i="16"/>
  <c r="I14" i="16" s="1"/>
  <c r="J14" i="16" s="1"/>
  <c r="K14" i="16" s="1"/>
  <c r="H15" i="16"/>
  <c r="I15" i="16" s="1"/>
  <c r="J15" i="16" s="1"/>
  <c r="K15" i="16" s="1"/>
  <c r="H16" i="16"/>
  <c r="I16" i="16" s="1"/>
  <c r="J16" i="16" s="1"/>
  <c r="K16" i="16" s="1"/>
  <c r="H17" i="16"/>
  <c r="I17" i="16" s="1"/>
  <c r="J17" i="16" s="1"/>
  <c r="K17" i="16" s="1"/>
  <c r="H18" i="16"/>
  <c r="I18" i="16" s="1"/>
  <c r="J18" i="16" s="1"/>
  <c r="K18" i="16" s="1"/>
  <c r="H19" i="16"/>
  <c r="I19" i="16" s="1"/>
  <c r="J19" i="16" s="1"/>
  <c r="K19" i="16" s="1"/>
  <c r="H20" i="16"/>
  <c r="I20" i="16" s="1"/>
  <c r="J20" i="16" s="1"/>
  <c r="K20" i="16" s="1"/>
  <c r="H21" i="16"/>
  <c r="I21" i="16" s="1"/>
  <c r="J21" i="16" s="1"/>
  <c r="K21" i="16" s="1"/>
  <c r="H22" i="16"/>
  <c r="I22" i="16" s="1"/>
  <c r="J22" i="16" s="1"/>
  <c r="K22" i="16" s="1"/>
  <c r="H23" i="16"/>
  <c r="I23" i="16" s="1"/>
  <c r="J23" i="16" s="1"/>
  <c r="K23" i="16" s="1"/>
  <c r="H24" i="16"/>
  <c r="I24" i="16" s="1"/>
  <c r="J24" i="16" s="1"/>
  <c r="K24" i="16" s="1"/>
  <c r="H25" i="16"/>
  <c r="I25" i="16" s="1"/>
  <c r="J25" i="16" s="1"/>
  <c r="K25" i="16" s="1"/>
  <c r="H26" i="16"/>
  <c r="I26" i="16" s="1"/>
  <c r="J26" i="16" s="1"/>
  <c r="K26" i="16" s="1"/>
  <c r="H27" i="16"/>
  <c r="I27" i="16" s="1"/>
  <c r="J27" i="16" s="1"/>
  <c r="K27" i="16" s="1"/>
  <c r="H28" i="16"/>
  <c r="I28" i="16" s="1"/>
  <c r="J28" i="16" s="1"/>
  <c r="K28" i="16" s="1"/>
  <c r="H29" i="16"/>
  <c r="I29" i="16" s="1"/>
  <c r="J29" i="16" s="1"/>
  <c r="K29" i="16" s="1"/>
  <c r="H30" i="16"/>
  <c r="I30" i="16" s="1"/>
  <c r="J30" i="16" s="1"/>
  <c r="K30" i="16" s="1"/>
  <c r="H31" i="16"/>
  <c r="I31" i="16" s="1"/>
  <c r="J31" i="16" s="1"/>
  <c r="K31" i="16" s="1"/>
  <c r="H32" i="16"/>
  <c r="I32" i="16" s="1"/>
  <c r="J32" i="16" s="1"/>
  <c r="K32" i="16" s="1"/>
  <c r="H33" i="16"/>
  <c r="I33" i="16" s="1"/>
  <c r="J33" i="16" s="1"/>
  <c r="K33" i="16" s="1"/>
  <c r="H34" i="16"/>
  <c r="I34" i="16" s="1"/>
  <c r="J34" i="16" s="1"/>
  <c r="K34" i="16" s="1"/>
  <c r="H35" i="16"/>
  <c r="I35" i="16" s="1"/>
  <c r="J35" i="16" s="1"/>
  <c r="K35" i="16" s="1"/>
  <c r="H36" i="16"/>
  <c r="I36" i="16" s="1"/>
  <c r="J36" i="16" s="1"/>
  <c r="K36" i="16" s="1"/>
  <c r="H37" i="16"/>
  <c r="I37" i="16" s="1"/>
  <c r="J37" i="16" s="1"/>
  <c r="K37" i="16" s="1"/>
  <c r="H38" i="16"/>
  <c r="I38" i="16" s="1"/>
  <c r="J38" i="16" s="1"/>
  <c r="K38" i="16" s="1"/>
  <c r="H39" i="16"/>
  <c r="I39" i="16" s="1"/>
  <c r="J39" i="16" s="1"/>
  <c r="K39" i="16" s="1"/>
  <c r="H40" i="16"/>
  <c r="I40" i="16" s="1"/>
  <c r="J40" i="16" s="1"/>
  <c r="K40" i="16" s="1"/>
  <c r="H41" i="16"/>
  <c r="I41" i="16" s="1"/>
  <c r="J41" i="16" s="1"/>
  <c r="K41" i="16" s="1"/>
  <c r="H42" i="16"/>
  <c r="I42" i="16" s="1"/>
  <c r="J42" i="16" s="1"/>
  <c r="K42" i="16" s="1"/>
  <c r="H43" i="16"/>
  <c r="I43" i="16" s="1"/>
  <c r="J43" i="16" s="1"/>
  <c r="K43" i="16" s="1"/>
  <c r="H4" i="16"/>
  <c r="I4" i="16" s="1"/>
  <c r="J4" i="16" s="1"/>
  <c r="K4" i="16" s="1"/>
  <c r="H5" i="15"/>
  <c r="H6" i="15"/>
  <c r="I6" i="15" s="1"/>
  <c r="J6" i="15" s="1"/>
  <c r="K6" i="15" s="1"/>
  <c r="H7" i="15"/>
  <c r="I7" i="15" s="1"/>
  <c r="J7" i="15" s="1"/>
  <c r="K7" i="15" s="1"/>
  <c r="H8" i="15"/>
  <c r="I8" i="15" s="1"/>
  <c r="J8" i="15" s="1"/>
  <c r="K8" i="15" s="1"/>
  <c r="H9" i="15"/>
  <c r="I9" i="15" s="1"/>
  <c r="J9" i="15" s="1"/>
  <c r="K9" i="15" s="1"/>
  <c r="H10" i="15"/>
  <c r="I10" i="15" s="1"/>
  <c r="J10" i="15" s="1"/>
  <c r="K10" i="15" s="1"/>
  <c r="H11" i="15"/>
  <c r="I11" i="15" s="1"/>
  <c r="J11" i="15" s="1"/>
  <c r="K11" i="15" s="1"/>
  <c r="H12" i="15"/>
  <c r="I12" i="15" s="1"/>
  <c r="J12" i="15" s="1"/>
  <c r="K12" i="15" s="1"/>
  <c r="H13" i="15"/>
  <c r="I13" i="15" s="1"/>
  <c r="J13" i="15" s="1"/>
  <c r="K13" i="15" s="1"/>
  <c r="H14" i="15"/>
  <c r="I14" i="15" s="1"/>
  <c r="J14" i="15" s="1"/>
  <c r="K14" i="15" s="1"/>
  <c r="H15" i="15"/>
  <c r="I15" i="15" s="1"/>
  <c r="J15" i="15" s="1"/>
  <c r="K15" i="15" s="1"/>
  <c r="H16" i="15"/>
  <c r="I16" i="15" s="1"/>
  <c r="J16" i="15" s="1"/>
  <c r="K16" i="15" s="1"/>
  <c r="H17" i="15"/>
  <c r="I17" i="15" s="1"/>
  <c r="J17" i="15" s="1"/>
  <c r="K17" i="15" s="1"/>
  <c r="H18" i="15"/>
  <c r="I18" i="15" s="1"/>
  <c r="J18" i="15" s="1"/>
  <c r="K18" i="15" s="1"/>
  <c r="H19" i="15"/>
  <c r="I19" i="15" s="1"/>
  <c r="J19" i="15" s="1"/>
  <c r="K19" i="15" s="1"/>
  <c r="H20" i="15"/>
  <c r="I20" i="15" s="1"/>
  <c r="J20" i="15" s="1"/>
  <c r="K20" i="15" s="1"/>
  <c r="H21" i="15"/>
  <c r="I21" i="15" s="1"/>
  <c r="J21" i="15" s="1"/>
  <c r="K21" i="15" s="1"/>
  <c r="H22" i="15"/>
  <c r="I22" i="15" s="1"/>
  <c r="J22" i="15" s="1"/>
  <c r="K22" i="15" s="1"/>
  <c r="H23" i="15"/>
  <c r="I23" i="15" s="1"/>
  <c r="J23" i="15" s="1"/>
  <c r="K23" i="15" s="1"/>
  <c r="H24" i="15"/>
  <c r="I24" i="15" s="1"/>
  <c r="J24" i="15" s="1"/>
  <c r="K24" i="15" s="1"/>
  <c r="H25" i="15"/>
  <c r="I25" i="15" s="1"/>
  <c r="J25" i="15" s="1"/>
  <c r="K25" i="15" s="1"/>
  <c r="H26" i="15"/>
  <c r="I26" i="15" s="1"/>
  <c r="J26" i="15" s="1"/>
  <c r="K26" i="15" s="1"/>
  <c r="H27" i="15"/>
  <c r="I27" i="15" s="1"/>
  <c r="J27" i="15" s="1"/>
  <c r="K27" i="15" s="1"/>
  <c r="H28" i="15"/>
  <c r="I28" i="15" s="1"/>
  <c r="J28" i="15" s="1"/>
  <c r="K28" i="15" s="1"/>
  <c r="H29" i="15"/>
  <c r="I29" i="15" s="1"/>
  <c r="J29" i="15" s="1"/>
  <c r="K29" i="15" s="1"/>
  <c r="H30" i="15"/>
  <c r="I30" i="15" s="1"/>
  <c r="J30" i="15" s="1"/>
  <c r="K30" i="15" s="1"/>
  <c r="H31" i="15"/>
  <c r="I31" i="15" s="1"/>
  <c r="J31" i="15" s="1"/>
  <c r="K31" i="15" s="1"/>
  <c r="H32" i="15"/>
  <c r="I32" i="15" s="1"/>
  <c r="J32" i="15" s="1"/>
  <c r="K32" i="15" s="1"/>
  <c r="H33" i="15"/>
  <c r="I33" i="15" s="1"/>
  <c r="J33" i="15" s="1"/>
  <c r="K33" i="15" s="1"/>
  <c r="H34" i="15"/>
  <c r="I34" i="15" s="1"/>
  <c r="J34" i="15" s="1"/>
  <c r="K34" i="15" s="1"/>
  <c r="H35" i="15"/>
  <c r="I35" i="15" s="1"/>
  <c r="J35" i="15" s="1"/>
  <c r="K35" i="15" s="1"/>
  <c r="H36" i="15"/>
  <c r="I36" i="15" s="1"/>
  <c r="J36" i="15" s="1"/>
  <c r="K36" i="15" s="1"/>
  <c r="H37" i="15"/>
  <c r="I37" i="15" s="1"/>
  <c r="J37" i="15" s="1"/>
  <c r="K37" i="15" s="1"/>
  <c r="H38" i="15"/>
  <c r="I38" i="15" s="1"/>
  <c r="J38" i="15" s="1"/>
  <c r="K38" i="15" s="1"/>
  <c r="H39" i="15"/>
  <c r="I39" i="15" s="1"/>
  <c r="J39" i="15" s="1"/>
  <c r="K39" i="15" s="1"/>
  <c r="H40" i="15"/>
  <c r="I40" i="15" s="1"/>
  <c r="J40" i="15" s="1"/>
  <c r="K40" i="15" s="1"/>
  <c r="H41" i="15"/>
  <c r="I41" i="15" s="1"/>
  <c r="J41" i="15" s="1"/>
  <c r="K41" i="15" s="1"/>
  <c r="H42" i="15"/>
  <c r="I42" i="15" s="1"/>
  <c r="J42" i="15" s="1"/>
  <c r="K42" i="15" s="1"/>
  <c r="H43" i="15"/>
  <c r="I43" i="15" s="1"/>
  <c r="J43" i="15" s="1"/>
  <c r="K43" i="15" s="1"/>
  <c r="H44" i="15"/>
  <c r="I44" i="15" s="1"/>
  <c r="J44" i="15" s="1"/>
  <c r="K44" i="15" s="1"/>
  <c r="H45" i="15"/>
  <c r="I45" i="15" s="1"/>
  <c r="J45" i="15" s="1"/>
  <c r="K45" i="15" s="1"/>
  <c r="H46" i="15"/>
  <c r="I46" i="15" s="1"/>
  <c r="J46" i="15" s="1"/>
  <c r="K46" i="15" s="1"/>
  <c r="H47" i="15"/>
  <c r="I47" i="15" s="1"/>
  <c r="J47" i="15" s="1"/>
  <c r="K47" i="15" s="1"/>
  <c r="H48" i="15"/>
  <c r="I48" i="15" s="1"/>
  <c r="J48" i="15" s="1"/>
  <c r="K48" i="15" s="1"/>
  <c r="H49" i="15"/>
  <c r="I49" i="15" s="1"/>
  <c r="J49" i="15" s="1"/>
  <c r="K49" i="15" s="1"/>
  <c r="H50" i="15"/>
  <c r="I50" i="15" s="1"/>
  <c r="J50" i="15" s="1"/>
  <c r="K50" i="15" s="1"/>
  <c r="H51" i="15"/>
  <c r="I51" i="15" s="1"/>
  <c r="J51" i="15" s="1"/>
  <c r="K51" i="15" s="1"/>
  <c r="H52" i="15"/>
  <c r="I52" i="15" s="1"/>
  <c r="J52" i="15" s="1"/>
  <c r="K52" i="15" s="1"/>
  <c r="H53" i="15"/>
  <c r="I53" i="15" s="1"/>
  <c r="J53" i="15" s="1"/>
  <c r="K53" i="15" s="1"/>
  <c r="H54" i="15"/>
  <c r="I54" i="15" s="1"/>
  <c r="J54" i="15" s="1"/>
  <c r="K54" i="15" s="1"/>
  <c r="H55" i="15"/>
  <c r="I55" i="15" s="1"/>
  <c r="J55" i="15" s="1"/>
  <c r="K55" i="15" s="1"/>
  <c r="H56" i="15"/>
  <c r="I56" i="15" s="1"/>
  <c r="J56" i="15" s="1"/>
  <c r="K56" i="15" s="1"/>
  <c r="H57" i="15"/>
  <c r="I57" i="15" s="1"/>
  <c r="J57" i="15" s="1"/>
  <c r="K57" i="15" s="1"/>
  <c r="H58" i="15"/>
  <c r="I58" i="15" s="1"/>
  <c r="J58" i="15" s="1"/>
  <c r="K58" i="15" s="1"/>
  <c r="H59" i="15"/>
  <c r="I59" i="15" s="1"/>
  <c r="J59" i="15" s="1"/>
  <c r="K59" i="15" s="1"/>
  <c r="H60" i="15"/>
  <c r="I60" i="15" s="1"/>
  <c r="J60" i="15" s="1"/>
  <c r="K60" i="15" s="1"/>
  <c r="H61" i="15"/>
  <c r="I61" i="15" s="1"/>
  <c r="J61" i="15" s="1"/>
  <c r="K61" i="15" s="1"/>
  <c r="H62" i="15"/>
  <c r="I62" i="15" s="1"/>
  <c r="J62" i="15" s="1"/>
  <c r="K62" i="15" s="1"/>
  <c r="H63" i="15"/>
  <c r="I63" i="15" s="1"/>
  <c r="J63" i="15" s="1"/>
  <c r="K63" i="15" s="1"/>
  <c r="H64" i="15"/>
  <c r="I64" i="15" s="1"/>
  <c r="J64" i="15" s="1"/>
  <c r="K64" i="15" s="1"/>
  <c r="H65" i="15"/>
  <c r="I65" i="15" s="1"/>
  <c r="J65" i="15" s="1"/>
  <c r="K65" i="15" s="1"/>
  <c r="H66" i="15"/>
  <c r="I66" i="15" s="1"/>
  <c r="J66" i="15" s="1"/>
  <c r="K66" i="15" s="1"/>
  <c r="H67" i="15"/>
  <c r="I67" i="15" s="1"/>
  <c r="J67" i="15" s="1"/>
  <c r="K67" i="15" s="1"/>
  <c r="H68" i="15"/>
  <c r="I68" i="15" s="1"/>
  <c r="J68" i="15" s="1"/>
  <c r="K68" i="15" s="1"/>
  <c r="H69" i="15"/>
  <c r="I69" i="15" s="1"/>
  <c r="J69" i="15" s="1"/>
  <c r="K69" i="15" s="1"/>
  <c r="H70" i="15"/>
  <c r="I70" i="15" s="1"/>
  <c r="J70" i="15" s="1"/>
  <c r="K70" i="15" s="1"/>
  <c r="H71" i="15"/>
  <c r="I71" i="15" s="1"/>
  <c r="J71" i="15" s="1"/>
  <c r="K71" i="15" s="1"/>
  <c r="H72" i="15"/>
  <c r="I72" i="15" s="1"/>
  <c r="J72" i="15" s="1"/>
  <c r="K72" i="15" s="1"/>
  <c r="H73" i="15"/>
  <c r="I73" i="15" s="1"/>
  <c r="J73" i="15" s="1"/>
  <c r="K73" i="15" s="1"/>
  <c r="H74" i="15"/>
  <c r="I74" i="15" s="1"/>
  <c r="J74" i="15" s="1"/>
  <c r="K74" i="15" s="1"/>
  <c r="H75" i="15"/>
  <c r="I75" i="15" s="1"/>
  <c r="J75" i="15" s="1"/>
  <c r="K75" i="15" s="1"/>
  <c r="H76" i="15"/>
  <c r="I76" i="15" s="1"/>
  <c r="J76" i="15" s="1"/>
  <c r="K76" i="15" s="1"/>
  <c r="H77" i="15"/>
  <c r="I77" i="15" s="1"/>
  <c r="J77" i="15" s="1"/>
  <c r="K77" i="15" s="1"/>
  <c r="H78" i="15"/>
  <c r="I78" i="15" s="1"/>
  <c r="J78" i="15" s="1"/>
  <c r="K78" i="15" s="1"/>
  <c r="H79" i="15"/>
  <c r="I79" i="15" s="1"/>
  <c r="J79" i="15" s="1"/>
  <c r="K79" i="15" s="1"/>
  <c r="H80" i="15"/>
  <c r="I80" i="15" s="1"/>
  <c r="J80" i="15" s="1"/>
  <c r="K80" i="15" s="1"/>
  <c r="H81" i="15"/>
  <c r="I81" i="15" s="1"/>
  <c r="J81" i="15" s="1"/>
  <c r="K81" i="15" s="1"/>
  <c r="H82" i="15"/>
  <c r="I82" i="15" s="1"/>
  <c r="J82" i="15" s="1"/>
  <c r="K82" i="15" s="1"/>
  <c r="H83" i="15"/>
  <c r="I83" i="15" s="1"/>
  <c r="J83" i="15" s="1"/>
  <c r="K83" i="15" s="1"/>
  <c r="H84" i="15"/>
  <c r="I84" i="15" s="1"/>
  <c r="J84" i="15" s="1"/>
  <c r="K84" i="15" s="1"/>
  <c r="H85" i="15"/>
  <c r="I85" i="15" s="1"/>
  <c r="J85" i="15" s="1"/>
  <c r="K85" i="15" s="1"/>
  <c r="H86" i="15"/>
  <c r="I86" i="15" s="1"/>
  <c r="J86" i="15" s="1"/>
  <c r="K86" i="15" s="1"/>
  <c r="H87" i="15"/>
  <c r="I87" i="15" s="1"/>
  <c r="J87" i="15" s="1"/>
  <c r="K87" i="15" s="1"/>
  <c r="H88" i="15"/>
  <c r="I88" i="15" s="1"/>
  <c r="J88" i="15" s="1"/>
  <c r="K88" i="15" s="1"/>
  <c r="H89" i="15"/>
  <c r="I89" i="15" s="1"/>
  <c r="J89" i="15" s="1"/>
  <c r="K89" i="15" s="1"/>
  <c r="H90" i="15"/>
  <c r="I90" i="15" s="1"/>
  <c r="J90" i="15" s="1"/>
  <c r="K90" i="15" s="1"/>
  <c r="H91" i="15"/>
  <c r="I91" i="15" s="1"/>
  <c r="J91" i="15" s="1"/>
  <c r="K91" i="15" s="1"/>
  <c r="H92" i="15"/>
  <c r="I92" i="15" s="1"/>
  <c r="J92" i="15" s="1"/>
  <c r="K92" i="15" s="1"/>
  <c r="H93" i="15"/>
  <c r="I93" i="15" s="1"/>
  <c r="J93" i="15" s="1"/>
  <c r="K93" i="15" s="1"/>
  <c r="H94" i="15"/>
  <c r="I94" i="15" s="1"/>
  <c r="J94" i="15" s="1"/>
  <c r="K94" i="15" s="1"/>
  <c r="H95" i="15"/>
  <c r="I95" i="15" s="1"/>
  <c r="J95" i="15" s="1"/>
  <c r="K95" i="15" s="1"/>
  <c r="H96" i="15"/>
  <c r="I96" i="15" s="1"/>
  <c r="J96" i="15" s="1"/>
  <c r="K96" i="15" s="1"/>
  <c r="H97" i="15"/>
  <c r="I97" i="15" s="1"/>
  <c r="J97" i="15" s="1"/>
  <c r="K97" i="15" s="1"/>
  <c r="H98" i="15"/>
  <c r="I98" i="15" s="1"/>
  <c r="J98" i="15" s="1"/>
  <c r="K98" i="15" s="1"/>
  <c r="H99" i="15"/>
  <c r="I99" i="15" s="1"/>
  <c r="J99" i="15" s="1"/>
  <c r="K99" i="15" s="1"/>
  <c r="H100" i="15"/>
  <c r="I100" i="15" s="1"/>
  <c r="J100" i="15" s="1"/>
  <c r="K100" i="15" s="1"/>
  <c r="H101" i="15"/>
  <c r="I101" i="15" s="1"/>
  <c r="J101" i="15" s="1"/>
  <c r="K101" i="15" s="1"/>
  <c r="H102" i="15"/>
  <c r="I102" i="15" s="1"/>
  <c r="J102" i="15" s="1"/>
  <c r="K102" i="15" s="1"/>
  <c r="H103" i="15"/>
  <c r="I103" i="15" s="1"/>
  <c r="J103" i="15" s="1"/>
  <c r="K103" i="15" s="1"/>
  <c r="H104" i="15"/>
  <c r="I104" i="15" s="1"/>
  <c r="J104" i="15" s="1"/>
  <c r="K104" i="15" s="1"/>
  <c r="H105" i="15"/>
  <c r="I105" i="15" s="1"/>
  <c r="J105" i="15" s="1"/>
  <c r="K105" i="15" s="1"/>
  <c r="H106" i="15"/>
  <c r="I106" i="15" s="1"/>
  <c r="J106" i="15" s="1"/>
  <c r="K106" i="15" s="1"/>
  <c r="H107" i="15"/>
  <c r="I107" i="15" s="1"/>
  <c r="J107" i="15" s="1"/>
  <c r="K107" i="15" s="1"/>
  <c r="H108" i="15"/>
  <c r="I108" i="15" s="1"/>
  <c r="J108" i="15" s="1"/>
  <c r="K108" i="15" s="1"/>
  <c r="H109" i="15"/>
  <c r="I109" i="15" s="1"/>
  <c r="J109" i="15" s="1"/>
  <c r="K109" i="15" s="1"/>
  <c r="H110" i="15"/>
  <c r="I110" i="15" s="1"/>
  <c r="J110" i="15" s="1"/>
  <c r="K110" i="15" s="1"/>
  <c r="H111" i="15"/>
  <c r="I111" i="15" s="1"/>
  <c r="J111" i="15" s="1"/>
  <c r="K111" i="15" s="1"/>
  <c r="H112" i="15"/>
  <c r="I112" i="15" s="1"/>
  <c r="J112" i="15" s="1"/>
  <c r="K112" i="15" s="1"/>
  <c r="H113" i="15"/>
  <c r="I113" i="15" s="1"/>
  <c r="J113" i="15" s="1"/>
  <c r="K113" i="15" s="1"/>
  <c r="H114" i="15"/>
  <c r="I114" i="15" s="1"/>
  <c r="J114" i="15" s="1"/>
  <c r="K114" i="15" s="1"/>
  <c r="H115" i="15"/>
  <c r="I115" i="15" s="1"/>
  <c r="J115" i="15" s="1"/>
  <c r="K115" i="15" s="1"/>
  <c r="H116" i="15"/>
  <c r="I116" i="15" s="1"/>
  <c r="J116" i="15" s="1"/>
  <c r="K116" i="15" s="1"/>
  <c r="H117" i="15"/>
  <c r="I117" i="15" s="1"/>
  <c r="J117" i="15" s="1"/>
  <c r="K117" i="15" s="1"/>
  <c r="H118" i="15"/>
  <c r="I118" i="15" s="1"/>
  <c r="J118" i="15" s="1"/>
  <c r="K118" i="15" s="1"/>
  <c r="H119" i="15"/>
  <c r="I119" i="15" s="1"/>
  <c r="J119" i="15" s="1"/>
  <c r="K119" i="15" s="1"/>
  <c r="H120" i="15"/>
  <c r="I120" i="15" s="1"/>
  <c r="J120" i="15" s="1"/>
  <c r="K120" i="15" s="1"/>
  <c r="H121" i="15"/>
  <c r="I121" i="15" s="1"/>
  <c r="J121" i="15" s="1"/>
  <c r="K121" i="15" s="1"/>
  <c r="H122" i="15"/>
  <c r="I122" i="15" s="1"/>
  <c r="J122" i="15" s="1"/>
  <c r="K122" i="15" s="1"/>
  <c r="H123" i="15"/>
  <c r="I123" i="15" s="1"/>
  <c r="J123" i="15" s="1"/>
  <c r="K123" i="15" s="1"/>
  <c r="H124" i="15"/>
  <c r="I124" i="15" s="1"/>
  <c r="J124" i="15" s="1"/>
  <c r="K124" i="15" s="1"/>
  <c r="H125" i="15"/>
  <c r="I125" i="15" s="1"/>
  <c r="J125" i="15" s="1"/>
  <c r="K125" i="15" s="1"/>
  <c r="H126" i="15"/>
  <c r="I126" i="15" s="1"/>
  <c r="J126" i="15" s="1"/>
  <c r="K126" i="15" s="1"/>
  <c r="H127" i="15"/>
  <c r="I127" i="15" s="1"/>
  <c r="J127" i="15" s="1"/>
  <c r="K127" i="15" s="1"/>
  <c r="H128" i="15"/>
  <c r="I128" i="15" s="1"/>
  <c r="J128" i="15" s="1"/>
  <c r="K128" i="15" s="1"/>
  <c r="H129" i="15"/>
  <c r="I129" i="15" s="1"/>
  <c r="J129" i="15" s="1"/>
  <c r="K129" i="15" s="1"/>
  <c r="H130" i="15"/>
  <c r="I130" i="15" s="1"/>
  <c r="J130" i="15" s="1"/>
  <c r="K130" i="15" s="1"/>
  <c r="H131" i="15"/>
  <c r="I131" i="15" s="1"/>
  <c r="J131" i="15" s="1"/>
  <c r="K131" i="15" s="1"/>
  <c r="H132" i="15"/>
  <c r="I132" i="15" s="1"/>
  <c r="J132" i="15" s="1"/>
  <c r="K132" i="15" s="1"/>
  <c r="H133" i="15"/>
  <c r="I133" i="15" s="1"/>
  <c r="J133" i="15" s="1"/>
  <c r="K133" i="15" s="1"/>
  <c r="H134" i="15"/>
  <c r="I134" i="15" s="1"/>
  <c r="J134" i="15" s="1"/>
  <c r="K134" i="15" s="1"/>
  <c r="H135" i="15"/>
  <c r="I135" i="15" s="1"/>
  <c r="J135" i="15" s="1"/>
  <c r="K135" i="15" s="1"/>
  <c r="H136" i="15"/>
  <c r="I136" i="15" s="1"/>
  <c r="J136" i="15" s="1"/>
  <c r="K136" i="15" s="1"/>
  <c r="H137" i="15"/>
  <c r="I137" i="15" s="1"/>
  <c r="J137" i="15" s="1"/>
  <c r="K137" i="15" s="1"/>
  <c r="H138" i="15"/>
  <c r="I138" i="15" s="1"/>
  <c r="J138" i="15" s="1"/>
  <c r="K138" i="15" s="1"/>
  <c r="H139" i="15"/>
  <c r="I139" i="15" s="1"/>
  <c r="J139" i="15" s="1"/>
  <c r="K139" i="15" s="1"/>
  <c r="H140" i="15"/>
  <c r="I140" i="15" s="1"/>
  <c r="J140" i="15" s="1"/>
  <c r="K140" i="15" s="1"/>
  <c r="H141" i="15"/>
  <c r="I141" i="15" s="1"/>
  <c r="J141" i="15" s="1"/>
  <c r="K141" i="15" s="1"/>
  <c r="H142" i="15"/>
  <c r="I142" i="15" s="1"/>
  <c r="J142" i="15" s="1"/>
  <c r="K142" i="15" s="1"/>
  <c r="H143" i="15"/>
  <c r="I143" i="15" s="1"/>
  <c r="J143" i="15" s="1"/>
  <c r="K143" i="15" s="1"/>
  <c r="H144" i="15"/>
  <c r="I144" i="15" s="1"/>
  <c r="J144" i="15" s="1"/>
  <c r="K144" i="15" s="1"/>
  <c r="H145" i="15"/>
  <c r="I145" i="15" s="1"/>
  <c r="J145" i="15" s="1"/>
  <c r="K145" i="15" s="1"/>
  <c r="H146" i="15"/>
  <c r="I146" i="15" s="1"/>
  <c r="J146" i="15" s="1"/>
  <c r="K146" i="15" s="1"/>
  <c r="H147" i="15"/>
  <c r="I147" i="15" s="1"/>
  <c r="J147" i="15" s="1"/>
  <c r="K147" i="15" s="1"/>
  <c r="H148" i="15"/>
  <c r="I148" i="15" s="1"/>
  <c r="J148" i="15" s="1"/>
  <c r="K148" i="15" s="1"/>
  <c r="H149" i="15"/>
  <c r="I149" i="15" s="1"/>
  <c r="J149" i="15" s="1"/>
  <c r="K149" i="15" s="1"/>
  <c r="H150" i="15"/>
  <c r="I150" i="15" s="1"/>
  <c r="J150" i="15" s="1"/>
  <c r="K150" i="15" s="1"/>
  <c r="H151" i="15"/>
  <c r="I151" i="15" s="1"/>
  <c r="J151" i="15" s="1"/>
  <c r="K151" i="15" s="1"/>
  <c r="H152" i="15"/>
  <c r="I152" i="15" s="1"/>
  <c r="J152" i="15" s="1"/>
  <c r="K152" i="15" s="1"/>
  <c r="H153" i="15"/>
  <c r="I153" i="15" s="1"/>
  <c r="J153" i="15" s="1"/>
  <c r="K153" i="15" s="1"/>
  <c r="H154" i="15"/>
  <c r="I154" i="15" s="1"/>
  <c r="J154" i="15" s="1"/>
  <c r="K154" i="15" s="1"/>
  <c r="H155" i="15"/>
  <c r="I155" i="15" s="1"/>
  <c r="J155" i="15" s="1"/>
  <c r="K155" i="15" s="1"/>
  <c r="H156" i="15"/>
  <c r="I156" i="15" s="1"/>
  <c r="J156" i="15" s="1"/>
  <c r="K156" i="15" s="1"/>
  <c r="H157" i="15"/>
  <c r="I157" i="15" s="1"/>
  <c r="J157" i="15" s="1"/>
  <c r="K157" i="15" s="1"/>
  <c r="H158" i="15"/>
  <c r="I158" i="15" s="1"/>
  <c r="J158" i="15" s="1"/>
  <c r="K158" i="15" s="1"/>
  <c r="H159" i="15"/>
  <c r="I159" i="15" s="1"/>
  <c r="J159" i="15" s="1"/>
  <c r="K159" i="15" s="1"/>
  <c r="H160" i="15"/>
  <c r="I160" i="15" s="1"/>
  <c r="J160" i="15" s="1"/>
  <c r="K160" i="15" s="1"/>
  <c r="H161" i="15"/>
  <c r="I161" i="15" s="1"/>
  <c r="J161" i="15" s="1"/>
  <c r="K161" i="15" s="1"/>
  <c r="H162" i="15"/>
  <c r="I162" i="15" s="1"/>
  <c r="J162" i="15" s="1"/>
  <c r="K162" i="15" s="1"/>
  <c r="H163" i="15"/>
  <c r="I163" i="15" s="1"/>
  <c r="J163" i="15" s="1"/>
  <c r="K163" i="15" s="1"/>
  <c r="H164" i="15"/>
  <c r="I164" i="15" s="1"/>
  <c r="J164" i="15" s="1"/>
  <c r="K164" i="15" s="1"/>
  <c r="H165" i="15"/>
  <c r="I165" i="15" s="1"/>
  <c r="J165" i="15" s="1"/>
  <c r="K165" i="15" s="1"/>
  <c r="H166" i="15"/>
  <c r="I166" i="15" s="1"/>
  <c r="J166" i="15" s="1"/>
  <c r="K166" i="15" s="1"/>
  <c r="H167" i="15"/>
  <c r="I167" i="15" s="1"/>
  <c r="J167" i="15" s="1"/>
  <c r="K167" i="15" s="1"/>
  <c r="H168" i="15"/>
  <c r="I168" i="15" s="1"/>
  <c r="J168" i="15" s="1"/>
  <c r="K168" i="15" s="1"/>
  <c r="H169" i="15"/>
  <c r="I169" i="15" s="1"/>
  <c r="J169" i="15" s="1"/>
  <c r="K169" i="15" s="1"/>
  <c r="H170" i="15"/>
  <c r="I170" i="15" s="1"/>
  <c r="J170" i="15" s="1"/>
  <c r="K170" i="15" s="1"/>
  <c r="H171" i="15"/>
  <c r="I171" i="15" s="1"/>
  <c r="J171" i="15" s="1"/>
  <c r="K171" i="15" s="1"/>
  <c r="H172" i="15"/>
  <c r="I172" i="15" s="1"/>
  <c r="J172" i="15" s="1"/>
  <c r="K172" i="15" s="1"/>
  <c r="H173" i="15"/>
  <c r="I173" i="15" s="1"/>
  <c r="J173" i="15" s="1"/>
  <c r="K173" i="15" s="1"/>
  <c r="H174" i="15"/>
  <c r="I174" i="15" s="1"/>
  <c r="J174" i="15" s="1"/>
  <c r="K174" i="15" s="1"/>
  <c r="H175" i="15"/>
  <c r="I175" i="15" s="1"/>
  <c r="J175" i="15" s="1"/>
  <c r="K175" i="15" s="1"/>
  <c r="H176" i="15"/>
  <c r="I176" i="15" s="1"/>
  <c r="J176" i="15" s="1"/>
  <c r="K176" i="15" s="1"/>
  <c r="H4" i="15"/>
  <c r="I4" i="15" s="1"/>
  <c r="J4" i="15" s="1"/>
  <c r="K4" i="15" s="1"/>
  <c r="H5" i="14"/>
  <c r="I5" i="14" s="1"/>
  <c r="J5" i="14" s="1"/>
  <c r="K5" i="14" s="1"/>
  <c r="H6" i="14"/>
  <c r="I6" i="14" s="1"/>
  <c r="J6" i="14" s="1"/>
  <c r="K6" i="14" s="1"/>
  <c r="H7" i="14"/>
  <c r="I7" i="14" s="1"/>
  <c r="J7" i="14" s="1"/>
  <c r="K7" i="14" s="1"/>
  <c r="H8" i="14"/>
  <c r="I8" i="14" s="1"/>
  <c r="J8" i="14" s="1"/>
  <c r="K8" i="14" s="1"/>
  <c r="H9" i="14"/>
  <c r="I9" i="14" s="1"/>
  <c r="J9" i="14" s="1"/>
  <c r="K9" i="14" s="1"/>
  <c r="H10" i="14"/>
  <c r="I10" i="14" s="1"/>
  <c r="J10" i="14" s="1"/>
  <c r="K10" i="14" s="1"/>
  <c r="H11" i="14"/>
  <c r="I11" i="14" s="1"/>
  <c r="J11" i="14" s="1"/>
  <c r="K11" i="14" s="1"/>
  <c r="H12" i="14"/>
  <c r="I12" i="14" s="1"/>
  <c r="J12" i="14" s="1"/>
  <c r="K12" i="14" s="1"/>
  <c r="H13" i="14"/>
  <c r="I13" i="14" s="1"/>
  <c r="J13" i="14" s="1"/>
  <c r="K13" i="14" s="1"/>
  <c r="H14" i="14"/>
  <c r="I14" i="14" s="1"/>
  <c r="J14" i="14" s="1"/>
  <c r="K14" i="14" s="1"/>
  <c r="H15" i="14"/>
  <c r="I15" i="14" s="1"/>
  <c r="J15" i="14" s="1"/>
  <c r="K15" i="14" s="1"/>
  <c r="H16" i="14"/>
  <c r="I16" i="14" s="1"/>
  <c r="J16" i="14" s="1"/>
  <c r="K16" i="14" s="1"/>
  <c r="H17" i="14"/>
  <c r="I17" i="14" s="1"/>
  <c r="J17" i="14" s="1"/>
  <c r="K17" i="14" s="1"/>
  <c r="H18" i="14"/>
  <c r="I18" i="14" s="1"/>
  <c r="J18" i="14" s="1"/>
  <c r="K18" i="14" s="1"/>
  <c r="H19" i="14"/>
  <c r="I19" i="14" s="1"/>
  <c r="J19" i="14" s="1"/>
  <c r="K19" i="14" s="1"/>
  <c r="H20" i="14"/>
  <c r="I20" i="14" s="1"/>
  <c r="J20" i="14" s="1"/>
  <c r="K20" i="14" s="1"/>
  <c r="H21" i="14"/>
  <c r="I21" i="14" s="1"/>
  <c r="J21" i="14" s="1"/>
  <c r="K21" i="14" s="1"/>
  <c r="H22" i="14"/>
  <c r="I22" i="14" s="1"/>
  <c r="J22" i="14" s="1"/>
  <c r="K22" i="14" s="1"/>
  <c r="H23" i="14"/>
  <c r="I23" i="14" s="1"/>
  <c r="J23" i="14" s="1"/>
  <c r="K23" i="14" s="1"/>
  <c r="H24" i="14"/>
  <c r="I24" i="14" s="1"/>
  <c r="J24" i="14" s="1"/>
  <c r="K24" i="14" s="1"/>
  <c r="H25" i="14"/>
  <c r="I25" i="14" s="1"/>
  <c r="J25" i="14" s="1"/>
  <c r="K25" i="14" s="1"/>
  <c r="H26" i="14"/>
  <c r="I26" i="14" s="1"/>
  <c r="J26" i="14" s="1"/>
  <c r="K26" i="14" s="1"/>
  <c r="H27" i="14"/>
  <c r="I27" i="14" s="1"/>
  <c r="J27" i="14" s="1"/>
  <c r="K27" i="14" s="1"/>
  <c r="H28" i="14"/>
  <c r="I28" i="14" s="1"/>
  <c r="J28" i="14" s="1"/>
  <c r="K28" i="14" s="1"/>
  <c r="H29" i="14"/>
  <c r="I29" i="14" s="1"/>
  <c r="J29" i="14" s="1"/>
  <c r="K29" i="14" s="1"/>
  <c r="H30" i="14"/>
  <c r="I30" i="14" s="1"/>
  <c r="J30" i="14" s="1"/>
  <c r="K30" i="14" s="1"/>
  <c r="H31" i="14"/>
  <c r="I31" i="14" s="1"/>
  <c r="J31" i="14" s="1"/>
  <c r="K31" i="14" s="1"/>
  <c r="H32" i="14"/>
  <c r="I32" i="14" s="1"/>
  <c r="J32" i="14" s="1"/>
  <c r="K32" i="14" s="1"/>
  <c r="H33" i="14"/>
  <c r="I33" i="14" s="1"/>
  <c r="J33" i="14" s="1"/>
  <c r="K33" i="14" s="1"/>
  <c r="H34" i="14"/>
  <c r="I34" i="14" s="1"/>
  <c r="J34" i="14" s="1"/>
  <c r="K34" i="14" s="1"/>
  <c r="H35" i="14"/>
  <c r="I35" i="14" s="1"/>
  <c r="J35" i="14" s="1"/>
  <c r="K35" i="14" s="1"/>
  <c r="H36" i="14"/>
  <c r="I36" i="14" s="1"/>
  <c r="J36" i="14" s="1"/>
  <c r="K36" i="14" s="1"/>
  <c r="H37" i="14"/>
  <c r="I37" i="14" s="1"/>
  <c r="J37" i="14" s="1"/>
  <c r="K37" i="14" s="1"/>
  <c r="H38" i="14"/>
  <c r="I38" i="14" s="1"/>
  <c r="J38" i="14" s="1"/>
  <c r="K38" i="14" s="1"/>
  <c r="H39" i="14"/>
  <c r="I39" i="14" s="1"/>
  <c r="J39" i="14" s="1"/>
  <c r="K39" i="14" s="1"/>
  <c r="H40" i="14"/>
  <c r="I40" i="14" s="1"/>
  <c r="J40" i="14" s="1"/>
  <c r="K40" i="14" s="1"/>
  <c r="H41" i="14"/>
  <c r="I41" i="14" s="1"/>
  <c r="J41" i="14" s="1"/>
  <c r="K41" i="14" s="1"/>
  <c r="H42" i="14"/>
  <c r="I42" i="14" s="1"/>
  <c r="J42" i="14" s="1"/>
  <c r="K42" i="14" s="1"/>
  <c r="H43" i="14"/>
  <c r="I43" i="14" s="1"/>
  <c r="J43" i="14" s="1"/>
  <c r="K43" i="14" s="1"/>
  <c r="H44" i="14"/>
  <c r="I44" i="14" s="1"/>
  <c r="J44" i="14" s="1"/>
  <c r="K44" i="14" s="1"/>
  <c r="H45" i="14"/>
  <c r="I45" i="14" s="1"/>
  <c r="J45" i="14" s="1"/>
  <c r="K45" i="14" s="1"/>
  <c r="H46" i="14"/>
  <c r="I46" i="14" s="1"/>
  <c r="J46" i="14" s="1"/>
  <c r="K46" i="14" s="1"/>
  <c r="H47" i="14"/>
  <c r="I47" i="14" s="1"/>
  <c r="J47" i="14" s="1"/>
  <c r="K47" i="14" s="1"/>
  <c r="H48" i="14"/>
  <c r="I48" i="14" s="1"/>
  <c r="J48" i="14" s="1"/>
  <c r="K48" i="14" s="1"/>
  <c r="H49" i="14"/>
  <c r="I49" i="14" s="1"/>
  <c r="J49" i="14" s="1"/>
  <c r="K49" i="14" s="1"/>
  <c r="H50" i="14"/>
  <c r="I50" i="14" s="1"/>
  <c r="J50" i="14" s="1"/>
  <c r="K50" i="14" s="1"/>
  <c r="H51" i="14"/>
  <c r="I51" i="14" s="1"/>
  <c r="J51" i="14" s="1"/>
  <c r="K51" i="14" s="1"/>
  <c r="H52" i="14"/>
  <c r="I52" i="14" s="1"/>
  <c r="J52" i="14" s="1"/>
  <c r="K52" i="14" s="1"/>
  <c r="H53" i="14"/>
  <c r="I53" i="14" s="1"/>
  <c r="J53" i="14" s="1"/>
  <c r="K53" i="14" s="1"/>
  <c r="H54" i="14"/>
  <c r="I54" i="14" s="1"/>
  <c r="J54" i="14" s="1"/>
  <c r="K54" i="14" s="1"/>
  <c r="H55" i="14"/>
  <c r="I55" i="14" s="1"/>
  <c r="J55" i="14" s="1"/>
  <c r="K55" i="14" s="1"/>
  <c r="H56" i="14"/>
  <c r="I56" i="14" s="1"/>
  <c r="J56" i="14" s="1"/>
  <c r="K56" i="14" s="1"/>
  <c r="H57" i="14"/>
  <c r="I57" i="14" s="1"/>
  <c r="J57" i="14" s="1"/>
  <c r="K57" i="14" s="1"/>
  <c r="H58" i="14"/>
  <c r="I58" i="14" s="1"/>
  <c r="J58" i="14" s="1"/>
  <c r="K58" i="14" s="1"/>
  <c r="H59" i="14"/>
  <c r="I59" i="14" s="1"/>
  <c r="J59" i="14" s="1"/>
  <c r="K59" i="14" s="1"/>
  <c r="H60" i="14"/>
  <c r="I60" i="14" s="1"/>
  <c r="J60" i="14" s="1"/>
  <c r="K60" i="14" s="1"/>
  <c r="H61" i="14"/>
  <c r="I61" i="14" s="1"/>
  <c r="J61" i="14" s="1"/>
  <c r="K61" i="14" s="1"/>
  <c r="H62" i="14"/>
  <c r="I62" i="14" s="1"/>
  <c r="J62" i="14" s="1"/>
  <c r="K62" i="14" s="1"/>
  <c r="H63" i="14"/>
  <c r="I63" i="14" s="1"/>
  <c r="J63" i="14" s="1"/>
  <c r="K63" i="14" s="1"/>
  <c r="H64" i="14"/>
  <c r="I64" i="14" s="1"/>
  <c r="J64" i="14" s="1"/>
  <c r="K64" i="14" s="1"/>
  <c r="H65" i="14"/>
  <c r="I65" i="14" s="1"/>
  <c r="J65" i="14" s="1"/>
  <c r="K65" i="14" s="1"/>
  <c r="H66" i="14"/>
  <c r="I66" i="14" s="1"/>
  <c r="J66" i="14" s="1"/>
  <c r="K66" i="14" s="1"/>
  <c r="H67" i="14"/>
  <c r="I67" i="14" s="1"/>
  <c r="J67" i="14" s="1"/>
  <c r="K67" i="14" s="1"/>
  <c r="H68" i="14"/>
  <c r="I68" i="14" s="1"/>
  <c r="J68" i="14" s="1"/>
  <c r="K68" i="14" s="1"/>
  <c r="H69" i="14"/>
  <c r="I69" i="14" s="1"/>
  <c r="J69" i="14" s="1"/>
  <c r="K69" i="14" s="1"/>
  <c r="H70" i="14"/>
  <c r="I70" i="14" s="1"/>
  <c r="J70" i="14" s="1"/>
  <c r="K70" i="14" s="1"/>
  <c r="H71" i="14"/>
  <c r="I71" i="14" s="1"/>
  <c r="J71" i="14" s="1"/>
  <c r="K71" i="14" s="1"/>
  <c r="H72" i="14"/>
  <c r="I72" i="14" s="1"/>
  <c r="J72" i="14" s="1"/>
  <c r="K72" i="14" s="1"/>
  <c r="H73" i="14"/>
  <c r="I73" i="14" s="1"/>
  <c r="J73" i="14" s="1"/>
  <c r="K73" i="14" s="1"/>
  <c r="H74" i="14"/>
  <c r="I74" i="14" s="1"/>
  <c r="J74" i="14" s="1"/>
  <c r="K74" i="14" s="1"/>
  <c r="H75" i="14"/>
  <c r="I75" i="14" s="1"/>
  <c r="J75" i="14" s="1"/>
  <c r="K75" i="14" s="1"/>
  <c r="H76" i="14"/>
  <c r="I76" i="14" s="1"/>
  <c r="J76" i="14" s="1"/>
  <c r="K76" i="14" s="1"/>
  <c r="H77" i="14"/>
  <c r="I77" i="14" s="1"/>
  <c r="J77" i="14" s="1"/>
  <c r="K77" i="14" s="1"/>
  <c r="H78" i="14"/>
  <c r="I78" i="14" s="1"/>
  <c r="J78" i="14" s="1"/>
  <c r="K78" i="14" s="1"/>
  <c r="H79" i="14"/>
  <c r="I79" i="14" s="1"/>
  <c r="J79" i="14" s="1"/>
  <c r="K79" i="14" s="1"/>
  <c r="H80" i="14"/>
  <c r="I80" i="14" s="1"/>
  <c r="J80" i="14" s="1"/>
  <c r="K80" i="14" s="1"/>
  <c r="H81" i="14"/>
  <c r="I81" i="14" s="1"/>
  <c r="J81" i="14" s="1"/>
  <c r="K81" i="14" s="1"/>
  <c r="H82" i="14"/>
  <c r="I82" i="14" s="1"/>
  <c r="J82" i="14" s="1"/>
  <c r="K82" i="14" s="1"/>
  <c r="H83" i="14"/>
  <c r="I83" i="14" s="1"/>
  <c r="J83" i="14" s="1"/>
  <c r="K83" i="14" s="1"/>
  <c r="H84" i="14"/>
  <c r="I84" i="14" s="1"/>
  <c r="J84" i="14" s="1"/>
  <c r="K84" i="14" s="1"/>
  <c r="H85" i="14"/>
  <c r="I85" i="14" s="1"/>
  <c r="J85" i="14" s="1"/>
  <c r="K85" i="14" s="1"/>
  <c r="H86" i="14"/>
  <c r="I86" i="14" s="1"/>
  <c r="J86" i="14" s="1"/>
  <c r="K86" i="14" s="1"/>
  <c r="H87" i="14"/>
  <c r="I87" i="14" s="1"/>
  <c r="J87" i="14" s="1"/>
  <c r="K87" i="14" s="1"/>
  <c r="H88" i="14"/>
  <c r="I88" i="14" s="1"/>
  <c r="J88" i="14" s="1"/>
  <c r="K88" i="14" s="1"/>
  <c r="H89" i="14"/>
  <c r="I89" i="14" s="1"/>
  <c r="J89" i="14" s="1"/>
  <c r="K89" i="14" s="1"/>
  <c r="H90" i="14"/>
  <c r="I90" i="14" s="1"/>
  <c r="J90" i="14" s="1"/>
  <c r="K90" i="14" s="1"/>
  <c r="H91" i="14"/>
  <c r="I91" i="14" s="1"/>
  <c r="J91" i="14" s="1"/>
  <c r="K91" i="14" s="1"/>
  <c r="H92" i="14"/>
  <c r="I92" i="14" s="1"/>
  <c r="J92" i="14" s="1"/>
  <c r="K92" i="14" s="1"/>
  <c r="H93" i="14"/>
  <c r="I93" i="14" s="1"/>
  <c r="J93" i="14" s="1"/>
  <c r="K93" i="14" s="1"/>
  <c r="H94" i="14"/>
  <c r="I94" i="14" s="1"/>
  <c r="J94" i="14" s="1"/>
  <c r="K94" i="14" s="1"/>
  <c r="H95" i="14"/>
  <c r="I95" i="14" s="1"/>
  <c r="J95" i="14" s="1"/>
  <c r="K95" i="14" s="1"/>
  <c r="H96" i="14"/>
  <c r="I96" i="14" s="1"/>
  <c r="J96" i="14" s="1"/>
  <c r="K96" i="14" s="1"/>
  <c r="H97" i="14"/>
  <c r="I97" i="14" s="1"/>
  <c r="J97" i="14" s="1"/>
  <c r="K97" i="14" s="1"/>
  <c r="H4" i="14"/>
  <c r="I4" i="14" s="1"/>
  <c r="J4" i="14" s="1"/>
  <c r="K4" i="14" s="1"/>
  <c r="I10" i="13"/>
  <c r="J10" i="13" s="1"/>
  <c r="K10" i="13" s="1"/>
  <c r="I15" i="13"/>
  <c r="J15" i="13" s="1"/>
  <c r="K15" i="13" s="1"/>
  <c r="I18" i="13"/>
  <c r="J18" i="13" s="1"/>
  <c r="K18" i="13" s="1"/>
  <c r="I26" i="13"/>
  <c r="J26" i="13" s="1"/>
  <c r="K26" i="13" s="1"/>
  <c r="I31" i="13"/>
  <c r="J31" i="13" s="1"/>
  <c r="K31" i="13" s="1"/>
  <c r="I34" i="13"/>
  <c r="J34" i="13" s="1"/>
  <c r="K34" i="13" s="1"/>
  <c r="I42" i="13"/>
  <c r="J42" i="13" s="1"/>
  <c r="K42" i="13" s="1"/>
  <c r="I47" i="13"/>
  <c r="J47" i="13" s="1"/>
  <c r="K47" i="13" s="1"/>
  <c r="I4" i="13"/>
  <c r="J4" i="13" s="1"/>
  <c r="K4" i="13" s="1"/>
  <c r="H5" i="12"/>
  <c r="I5" i="12" s="1"/>
  <c r="J5" i="12" s="1"/>
  <c r="K5" i="12" s="1"/>
  <c r="L5" i="12" s="1"/>
  <c r="H6" i="12"/>
  <c r="I6" i="12" s="1"/>
  <c r="J6" i="12" s="1"/>
  <c r="K6" i="12" s="1"/>
  <c r="L6" i="12" s="1"/>
  <c r="H7" i="12"/>
  <c r="I7" i="12" s="1"/>
  <c r="J7" i="12" s="1"/>
  <c r="K7" i="12" s="1"/>
  <c r="L7" i="12" s="1"/>
  <c r="H8" i="12"/>
  <c r="I8" i="12" s="1"/>
  <c r="J8" i="12" s="1"/>
  <c r="K8" i="12" s="1"/>
  <c r="L8" i="12" s="1"/>
  <c r="H9" i="12"/>
  <c r="I9" i="12" s="1"/>
  <c r="J9" i="12" s="1"/>
  <c r="K9" i="12" s="1"/>
  <c r="L9" i="12" s="1"/>
  <c r="H10" i="12"/>
  <c r="I10" i="12" s="1"/>
  <c r="J10" i="12" s="1"/>
  <c r="K10" i="12" s="1"/>
  <c r="L10" i="12" s="1"/>
  <c r="H11" i="12"/>
  <c r="I11" i="12" s="1"/>
  <c r="J11" i="12" s="1"/>
  <c r="K11" i="12" s="1"/>
  <c r="L11" i="12" s="1"/>
  <c r="H12" i="12"/>
  <c r="I12" i="12" s="1"/>
  <c r="J12" i="12" s="1"/>
  <c r="K12" i="12" s="1"/>
  <c r="L12" i="12" s="1"/>
  <c r="H13" i="12"/>
  <c r="I13" i="12" s="1"/>
  <c r="J13" i="12" s="1"/>
  <c r="K13" i="12" s="1"/>
  <c r="L13" i="12" s="1"/>
  <c r="H14" i="12"/>
  <c r="I14" i="12" s="1"/>
  <c r="J14" i="12" s="1"/>
  <c r="K14" i="12" s="1"/>
  <c r="L14" i="12" s="1"/>
  <c r="H15" i="12"/>
  <c r="I15" i="12" s="1"/>
  <c r="J15" i="12" s="1"/>
  <c r="K15" i="12" s="1"/>
  <c r="L15" i="12" s="1"/>
  <c r="H16" i="12"/>
  <c r="I16" i="12" s="1"/>
  <c r="J16" i="12" s="1"/>
  <c r="K16" i="12" s="1"/>
  <c r="L16" i="12" s="1"/>
  <c r="H17" i="12"/>
  <c r="I17" i="12" s="1"/>
  <c r="J17" i="12" s="1"/>
  <c r="K17" i="12" s="1"/>
  <c r="L17" i="12" s="1"/>
  <c r="H18" i="12"/>
  <c r="I18" i="12" s="1"/>
  <c r="J18" i="12" s="1"/>
  <c r="K18" i="12" s="1"/>
  <c r="L18" i="12" s="1"/>
  <c r="H19" i="12"/>
  <c r="I19" i="12" s="1"/>
  <c r="J19" i="12" s="1"/>
  <c r="K19" i="12" s="1"/>
  <c r="L19" i="12" s="1"/>
  <c r="H20" i="12"/>
  <c r="I20" i="12" s="1"/>
  <c r="J20" i="12" s="1"/>
  <c r="K20" i="12" s="1"/>
  <c r="L20" i="12" s="1"/>
  <c r="H21" i="12"/>
  <c r="I21" i="12" s="1"/>
  <c r="J21" i="12" s="1"/>
  <c r="K21" i="12" s="1"/>
  <c r="L21" i="12" s="1"/>
  <c r="H22" i="12"/>
  <c r="I22" i="12" s="1"/>
  <c r="J22" i="12" s="1"/>
  <c r="K22" i="12" s="1"/>
  <c r="L22" i="12" s="1"/>
  <c r="H23" i="12"/>
  <c r="I23" i="12" s="1"/>
  <c r="J23" i="12" s="1"/>
  <c r="K23" i="12" s="1"/>
  <c r="L23" i="12" s="1"/>
  <c r="H24" i="12"/>
  <c r="I24" i="12" s="1"/>
  <c r="J24" i="12" s="1"/>
  <c r="K24" i="12" s="1"/>
  <c r="L24" i="12" s="1"/>
  <c r="H25" i="12"/>
  <c r="I25" i="12" s="1"/>
  <c r="J25" i="12" s="1"/>
  <c r="K25" i="12" s="1"/>
  <c r="L25" i="12" s="1"/>
  <c r="H26" i="12"/>
  <c r="I26" i="12" s="1"/>
  <c r="J26" i="12" s="1"/>
  <c r="K26" i="12" s="1"/>
  <c r="L26" i="12" s="1"/>
  <c r="H27" i="12"/>
  <c r="I27" i="12" s="1"/>
  <c r="J27" i="12" s="1"/>
  <c r="K27" i="12" s="1"/>
  <c r="L27" i="12" s="1"/>
  <c r="H28" i="12"/>
  <c r="I28" i="12" s="1"/>
  <c r="J28" i="12" s="1"/>
  <c r="K28" i="12" s="1"/>
  <c r="L28" i="12" s="1"/>
  <c r="H29" i="12"/>
  <c r="I29" i="12" s="1"/>
  <c r="J29" i="12" s="1"/>
  <c r="K29" i="12" s="1"/>
  <c r="L29" i="12" s="1"/>
  <c r="H30" i="12"/>
  <c r="I30" i="12" s="1"/>
  <c r="J30" i="12" s="1"/>
  <c r="K30" i="12" s="1"/>
  <c r="L30" i="12" s="1"/>
  <c r="H31" i="12"/>
  <c r="I31" i="12" s="1"/>
  <c r="J31" i="12" s="1"/>
  <c r="K31" i="12" s="1"/>
  <c r="L31" i="12" s="1"/>
  <c r="H32" i="12"/>
  <c r="I32" i="12" s="1"/>
  <c r="J32" i="12" s="1"/>
  <c r="K32" i="12" s="1"/>
  <c r="L32" i="12" s="1"/>
  <c r="H33" i="12"/>
  <c r="I33" i="12" s="1"/>
  <c r="J33" i="12" s="1"/>
  <c r="K33" i="12" s="1"/>
  <c r="L33" i="12" s="1"/>
  <c r="H34" i="12"/>
  <c r="I34" i="12" s="1"/>
  <c r="J34" i="12" s="1"/>
  <c r="K34" i="12" s="1"/>
  <c r="L34" i="12" s="1"/>
  <c r="H35" i="12"/>
  <c r="I35" i="12" s="1"/>
  <c r="J35" i="12" s="1"/>
  <c r="K35" i="12" s="1"/>
  <c r="L35" i="12" s="1"/>
  <c r="H36" i="12"/>
  <c r="I36" i="12" s="1"/>
  <c r="J36" i="12" s="1"/>
  <c r="K36" i="12" s="1"/>
  <c r="L36" i="12" s="1"/>
  <c r="H37" i="12"/>
  <c r="I37" i="12" s="1"/>
  <c r="J37" i="12" s="1"/>
  <c r="K37" i="12" s="1"/>
  <c r="L37" i="12" s="1"/>
  <c r="H38" i="12"/>
  <c r="I38" i="12" s="1"/>
  <c r="J38" i="12" s="1"/>
  <c r="K38" i="12" s="1"/>
  <c r="L38" i="12" s="1"/>
  <c r="H39" i="12"/>
  <c r="I39" i="12" s="1"/>
  <c r="J39" i="12" s="1"/>
  <c r="K39" i="12" s="1"/>
  <c r="L39" i="12" s="1"/>
  <c r="H40" i="12"/>
  <c r="I40" i="12" s="1"/>
  <c r="J40" i="12" s="1"/>
  <c r="K40" i="12" s="1"/>
  <c r="L40" i="12" s="1"/>
  <c r="H41" i="12"/>
  <c r="I41" i="12" s="1"/>
  <c r="J41" i="12" s="1"/>
  <c r="K41" i="12" s="1"/>
  <c r="L41" i="12" s="1"/>
  <c r="H42" i="12"/>
  <c r="I42" i="12" s="1"/>
  <c r="J42" i="12" s="1"/>
  <c r="K42" i="12" s="1"/>
  <c r="L42" i="12" s="1"/>
  <c r="H43" i="12"/>
  <c r="I43" i="12" s="1"/>
  <c r="J43" i="12" s="1"/>
  <c r="K43" i="12" s="1"/>
  <c r="L43" i="12" s="1"/>
  <c r="H44" i="12"/>
  <c r="I44" i="12" s="1"/>
  <c r="J44" i="12" s="1"/>
  <c r="K44" i="12" s="1"/>
  <c r="L44" i="12" s="1"/>
  <c r="H45" i="12"/>
  <c r="I45" i="12" s="1"/>
  <c r="J45" i="12" s="1"/>
  <c r="K45" i="12" s="1"/>
  <c r="L45" i="12" s="1"/>
  <c r="H46" i="12"/>
  <c r="I46" i="12" s="1"/>
  <c r="J46" i="12" s="1"/>
  <c r="K46" i="12" s="1"/>
  <c r="L46" i="12" s="1"/>
  <c r="H47" i="12"/>
  <c r="I47" i="12" s="1"/>
  <c r="J47" i="12" s="1"/>
  <c r="K47" i="12" s="1"/>
  <c r="L47" i="12" s="1"/>
  <c r="H48" i="12"/>
  <c r="I48" i="12" s="1"/>
  <c r="J48" i="12" s="1"/>
  <c r="K48" i="12" s="1"/>
  <c r="L48" i="12" s="1"/>
  <c r="H49" i="12"/>
  <c r="I49" i="12" s="1"/>
  <c r="J49" i="12" s="1"/>
  <c r="K49" i="12" s="1"/>
  <c r="L49" i="12" s="1"/>
  <c r="H50" i="12"/>
  <c r="I50" i="12" s="1"/>
  <c r="J50" i="12" s="1"/>
  <c r="K50" i="12" s="1"/>
  <c r="L50" i="12" s="1"/>
  <c r="H51" i="12"/>
  <c r="I51" i="12" s="1"/>
  <c r="J51" i="12" s="1"/>
  <c r="K51" i="12" s="1"/>
  <c r="L51" i="12" s="1"/>
  <c r="H52" i="12"/>
  <c r="I52" i="12" s="1"/>
  <c r="J52" i="12" s="1"/>
  <c r="K52" i="12" s="1"/>
  <c r="L52" i="12" s="1"/>
  <c r="H53" i="12"/>
  <c r="I53" i="12" s="1"/>
  <c r="J53" i="12" s="1"/>
  <c r="K53" i="12" s="1"/>
  <c r="L53" i="12" s="1"/>
  <c r="H54" i="12"/>
  <c r="I54" i="12" s="1"/>
  <c r="J54" i="12" s="1"/>
  <c r="K54" i="12" s="1"/>
  <c r="L54" i="12" s="1"/>
  <c r="H55" i="12"/>
  <c r="I55" i="12" s="1"/>
  <c r="J55" i="12" s="1"/>
  <c r="K55" i="12" s="1"/>
  <c r="L55" i="12" s="1"/>
  <c r="H56" i="12"/>
  <c r="I56" i="12" s="1"/>
  <c r="J56" i="12" s="1"/>
  <c r="K56" i="12" s="1"/>
  <c r="L56" i="12" s="1"/>
  <c r="H57" i="12"/>
  <c r="I57" i="12" s="1"/>
  <c r="J57" i="12" s="1"/>
  <c r="K57" i="12" s="1"/>
  <c r="L57" i="12" s="1"/>
  <c r="H58" i="12"/>
  <c r="I58" i="12" s="1"/>
  <c r="J58" i="12" s="1"/>
  <c r="K58" i="12" s="1"/>
  <c r="L58" i="12" s="1"/>
  <c r="H59" i="12"/>
  <c r="I59" i="12" s="1"/>
  <c r="J59" i="12" s="1"/>
  <c r="K59" i="12" s="1"/>
  <c r="L59" i="12" s="1"/>
  <c r="H60" i="12"/>
  <c r="I60" i="12" s="1"/>
  <c r="J60" i="12" s="1"/>
  <c r="K60" i="12" s="1"/>
  <c r="L60" i="12" s="1"/>
  <c r="H61" i="12"/>
  <c r="I61" i="12" s="1"/>
  <c r="J61" i="12" s="1"/>
  <c r="K61" i="12" s="1"/>
  <c r="L61" i="12" s="1"/>
  <c r="H62" i="12"/>
  <c r="I62" i="12" s="1"/>
  <c r="J62" i="12" s="1"/>
  <c r="K62" i="12" s="1"/>
  <c r="L62" i="12" s="1"/>
  <c r="H63" i="12"/>
  <c r="I63" i="12" s="1"/>
  <c r="J63" i="12" s="1"/>
  <c r="K63" i="12" s="1"/>
  <c r="L63" i="12" s="1"/>
  <c r="H64" i="12"/>
  <c r="I64" i="12" s="1"/>
  <c r="J64" i="12" s="1"/>
  <c r="K64" i="12" s="1"/>
  <c r="L64" i="12" s="1"/>
  <c r="H65" i="12"/>
  <c r="I65" i="12" s="1"/>
  <c r="J65" i="12" s="1"/>
  <c r="K65" i="12" s="1"/>
  <c r="L65" i="12" s="1"/>
  <c r="H66" i="12"/>
  <c r="I66" i="12" s="1"/>
  <c r="J66" i="12" s="1"/>
  <c r="K66" i="12" s="1"/>
  <c r="L66" i="12" s="1"/>
  <c r="H67" i="12"/>
  <c r="I67" i="12" s="1"/>
  <c r="J67" i="12" s="1"/>
  <c r="K67" i="12" s="1"/>
  <c r="L67" i="12" s="1"/>
  <c r="H68" i="12"/>
  <c r="I68" i="12" s="1"/>
  <c r="J68" i="12" s="1"/>
  <c r="K68" i="12" s="1"/>
  <c r="L68" i="12" s="1"/>
  <c r="H69" i="12"/>
  <c r="I69" i="12" s="1"/>
  <c r="J69" i="12" s="1"/>
  <c r="K69" i="12" s="1"/>
  <c r="L69" i="12" s="1"/>
  <c r="H70" i="12"/>
  <c r="I70" i="12" s="1"/>
  <c r="J70" i="12" s="1"/>
  <c r="K70" i="12" s="1"/>
  <c r="L70" i="12" s="1"/>
  <c r="H71" i="12"/>
  <c r="I71" i="12" s="1"/>
  <c r="J71" i="12" s="1"/>
  <c r="K71" i="12" s="1"/>
  <c r="L71" i="12" s="1"/>
  <c r="H72" i="12"/>
  <c r="I72" i="12" s="1"/>
  <c r="J72" i="12" s="1"/>
  <c r="K72" i="12" s="1"/>
  <c r="L72" i="12" s="1"/>
  <c r="H73" i="12"/>
  <c r="I73" i="12" s="1"/>
  <c r="J73" i="12" s="1"/>
  <c r="K73" i="12" s="1"/>
  <c r="L73" i="12" s="1"/>
  <c r="H74" i="12"/>
  <c r="I74" i="12" s="1"/>
  <c r="J74" i="12" s="1"/>
  <c r="K74" i="12" s="1"/>
  <c r="L74" i="12" s="1"/>
  <c r="H75" i="12"/>
  <c r="I75" i="12" s="1"/>
  <c r="J75" i="12" s="1"/>
  <c r="K75" i="12" s="1"/>
  <c r="L75" i="12" s="1"/>
  <c r="H76" i="12"/>
  <c r="I76" i="12" s="1"/>
  <c r="J76" i="12" s="1"/>
  <c r="K76" i="12" s="1"/>
  <c r="L76" i="12" s="1"/>
  <c r="H77" i="12"/>
  <c r="I77" i="12" s="1"/>
  <c r="J77" i="12" s="1"/>
  <c r="K77" i="12" s="1"/>
  <c r="L77" i="12" s="1"/>
  <c r="H78" i="12"/>
  <c r="I78" i="12" s="1"/>
  <c r="J78" i="12" s="1"/>
  <c r="K78" i="12" s="1"/>
  <c r="L78" i="12" s="1"/>
  <c r="H79" i="12"/>
  <c r="I79" i="12" s="1"/>
  <c r="J79" i="12" s="1"/>
  <c r="K79" i="12" s="1"/>
  <c r="L79" i="12" s="1"/>
  <c r="H80" i="12"/>
  <c r="I80" i="12" s="1"/>
  <c r="J80" i="12" s="1"/>
  <c r="K80" i="12" s="1"/>
  <c r="L80" i="12" s="1"/>
  <c r="H81" i="12"/>
  <c r="I81" i="12" s="1"/>
  <c r="J81" i="12" s="1"/>
  <c r="K81" i="12" s="1"/>
  <c r="L81" i="12" s="1"/>
  <c r="H82" i="12"/>
  <c r="I82" i="12" s="1"/>
  <c r="J82" i="12" s="1"/>
  <c r="K82" i="12" s="1"/>
  <c r="L82" i="12" s="1"/>
  <c r="H83" i="12"/>
  <c r="I83" i="12" s="1"/>
  <c r="J83" i="12" s="1"/>
  <c r="K83" i="12" s="1"/>
  <c r="L83" i="12" s="1"/>
  <c r="H84" i="12"/>
  <c r="I84" i="12" s="1"/>
  <c r="J84" i="12" s="1"/>
  <c r="K84" i="12" s="1"/>
  <c r="L84" i="12" s="1"/>
  <c r="H4" i="12"/>
  <c r="I4" i="12" s="1"/>
  <c r="J4" i="12" s="1"/>
  <c r="K4" i="12" s="1"/>
  <c r="L4" i="12" s="1"/>
  <c r="I14" i="11"/>
  <c r="J14" i="11" s="1"/>
  <c r="K14" i="11" s="1"/>
  <c r="L14" i="11" s="1"/>
  <c r="I15" i="11"/>
  <c r="J15" i="11" s="1"/>
  <c r="K15" i="11" s="1"/>
  <c r="L15" i="11" s="1"/>
  <c r="I20" i="11"/>
  <c r="J20" i="11" s="1"/>
  <c r="K20" i="11" s="1"/>
  <c r="L20" i="11" s="1"/>
  <c r="I36" i="11"/>
  <c r="J36" i="11" s="1"/>
  <c r="K36" i="11" s="1"/>
  <c r="L36" i="11" s="1"/>
  <c r="I59" i="11"/>
  <c r="J59" i="11" s="1"/>
  <c r="K59" i="11" s="1"/>
  <c r="L59" i="11" s="1"/>
  <c r="H5" i="11"/>
  <c r="I5" i="11" s="1"/>
  <c r="J5" i="11" s="1"/>
  <c r="K5" i="11" s="1"/>
  <c r="L5" i="11" s="1"/>
  <c r="H6" i="11"/>
  <c r="I6" i="11" s="1"/>
  <c r="J6" i="11" s="1"/>
  <c r="K6" i="11" s="1"/>
  <c r="L6" i="11" s="1"/>
  <c r="H7" i="11"/>
  <c r="I7" i="11" s="1"/>
  <c r="J7" i="11" s="1"/>
  <c r="K7" i="11" s="1"/>
  <c r="L7" i="11" s="1"/>
  <c r="H8" i="11"/>
  <c r="I8" i="11" s="1"/>
  <c r="J8" i="11" s="1"/>
  <c r="K8" i="11" s="1"/>
  <c r="L8" i="11" s="1"/>
  <c r="H9" i="11"/>
  <c r="I9" i="11" s="1"/>
  <c r="J9" i="11" s="1"/>
  <c r="K9" i="11" s="1"/>
  <c r="L9" i="11" s="1"/>
  <c r="H10" i="11"/>
  <c r="I10" i="11" s="1"/>
  <c r="J10" i="11" s="1"/>
  <c r="K10" i="11" s="1"/>
  <c r="L10" i="11" s="1"/>
  <c r="H11" i="11"/>
  <c r="I11" i="11" s="1"/>
  <c r="J11" i="11" s="1"/>
  <c r="K11" i="11" s="1"/>
  <c r="L11" i="11" s="1"/>
  <c r="H12" i="11"/>
  <c r="I12" i="11" s="1"/>
  <c r="J12" i="11" s="1"/>
  <c r="K12" i="11" s="1"/>
  <c r="L12" i="11" s="1"/>
  <c r="H13" i="11"/>
  <c r="I13" i="11" s="1"/>
  <c r="J13" i="11" s="1"/>
  <c r="K13" i="11" s="1"/>
  <c r="L13" i="11" s="1"/>
  <c r="H16" i="11"/>
  <c r="I16" i="11" s="1"/>
  <c r="J16" i="11" s="1"/>
  <c r="K16" i="11" s="1"/>
  <c r="L16" i="11" s="1"/>
  <c r="H17" i="11"/>
  <c r="I17" i="11" s="1"/>
  <c r="J17" i="11" s="1"/>
  <c r="K17" i="11" s="1"/>
  <c r="L17" i="11" s="1"/>
  <c r="H18" i="11"/>
  <c r="I18" i="11" s="1"/>
  <c r="J18" i="11" s="1"/>
  <c r="K18" i="11" s="1"/>
  <c r="L18" i="11" s="1"/>
  <c r="H19" i="11"/>
  <c r="I19" i="11" s="1"/>
  <c r="J19" i="11" s="1"/>
  <c r="K19" i="11" s="1"/>
  <c r="L19" i="11" s="1"/>
  <c r="H21" i="11"/>
  <c r="I21" i="11" s="1"/>
  <c r="J21" i="11" s="1"/>
  <c r="K21" i="11" s="1"/>
  <c r="L21" i="11" s="1"/>
  <c r="H22" i="11"/>
  <c r="I22" i="11" s="1"/>
  <c r="J22" i="11" s="1"/>
  <c r="K22" i="11" s="1"/>
  <c r="L22" i="11" s="1"/>
  <c r="H23" i="11"/>
  <c r="I23" i="11" s="1"/>
  <c r="J23" i="11" s="1"/>
  <c r="K23" i="11" s="1"/>
  <c r="L23" i="11" s="1"/>
  <c r="H24" i="11"/>
  <c r="I24" i="11" s="1"/>
  <c r="J24" i="11" s="1"/>
  <c r="K24" i="11" s="1"/>
  <c r="L24" i="11" s="1"/>
  <c r="H25" i="11"/>
  <c r="I25" i="11" s="1"/>
  <c r="J25" i="11" s="1"/>
  <c r="K25" i="11" s="1"/>
  <c r="L25" i="11" s="1"/>
  <c r="H26" i="11"/>
  <c r="I26" i="11" s="1"/>
  <c r="J26" i="11" s="1"/>
  <c r="K26" i="11" s="1"/>
  <c r="L26" i="11" s="1"/>
  <c r="H27" i="11"/>
  <c r="I27" i="11" s="1"/>
  <c r="J27" i="11" s="1"/>
  <c r="K27" i="11" s="1"/>
  <c r="L27" i="11" s="1"/>
  <c r="H28" i="11"/>
  <c r="I28" i="11" s="1"/>
  <c r="J28" i="11" s="1"/>
  <c r="K28" i="11" s="1"/>
  <c r="L28" i="11" s="1"/>
  <c r="H29" i="11"/>
  <c r="I29" i="11" s="1"/>
  <c r="J29" i="11" s="1"/>
  <c r="K29" i="11" s="1"/>
  <c r="L29" i="11" s="1"/>
  <c r="H30" i="11"/>
  <c r="I30" i="11" s="1"/>
  <c r="J30" i="11" s="1"/>
  <c r="K30" i="11" s="1"/>
  <c r="L30" i="11" s="1"/>
  <c r="I31" i="11"/>
  <c r="J31" i="11" s="1"/>
  <c r="K31" i="11" s="1"/>
  <c r="L31" i="11" s="1"/>
  <c r="H32" i="11"/>
  <c r="I32" i="11" s="1"/>
  <c r="J32" i="11" s="1"/>
  <c r="K32" i="11" s="1"/>
  <c r="L32" i="11" s="1"/>
  <c r="H33" i="11"/>
  <c r="I33" i="11" s="1"/>
  <c r="J33" i="11" s="1"/>
  <c r="K33" i="11" s="1"/>
  <c r="L33" i="11" s="1"/>
  <c r="H34" i="11"/>
  <c r="I34" i="11" s="1"/>
  <c r="J34" i="11" s="1"/>
  <c r="K34" i="11" s="1"/>
  <c r="L34" i="11" s="1"/>
  <c r="H35" i="11"/>
  <c r="I35" i="11" s="1"/>
  <c r="J35" i="11" s="1"/>
  <c r="K35" i="11" s="1"/>
  <c r="L35" i="11" s="1"/>
  <c r="H37" i="11"/>
  <c r="I37" i="11" s="1"/>
  <c r="J37" i="11" s="1"/>
  <c r="K37" i="11" s="1"/>
  <c r="L37" i="11" s="1"/>
  <c r="H38" i="11"/>
  <c r="I38" i="11" s="1"/>
  <c r="J38" i="11" s="1"/>
  <c r="K38" i="11" s="1"/>
  <c r="L38" i="11" s="1"/>
  <c r="H39" i="11"/>
  <c r="I39" i="11" s="1"/>
  <c r="J39" i="11" s="1"/>
  <c r="K39" i="11" s="1"/>
  <c r="L39" i="11" s="1"/>
  <c r="H40" i="11"/>
  <c r="I40" i="11" s="1"/>
  <c r="J40" i="11" s="1"/>
  <c r="K40" i="11" s="1"/>
  <c r="L40" i="11" s="1"/>
  <c r="H41" i="11"/>
  <c r="I41" i="11" s="1"/>
  <c r="J41" i="11" s="1"/>
  <c r="K41" i="11" s="1"/>
  <c r="L41" i="11" s="1"/>
  <c r="H42" i="11"/>
  <c r="I42" i="11" s="1"/>
  <c r="J42" i="11" s="1"/>
  <c r="K42" i="11" s="1"/>
  <c r="L42" i="11" s="1"/>
  <c r="H43" i="11"/>
  <c r="I43" i="11" s="1"/>
  <c r="J43" i="11" s="1"/>
  <c r="K43" i="11" s="1"/>
  <c r="L43" i="11" s="1"/>
  <c r="H44" i="11"/>
  <c r="I44" i="11" s="1"/>
  <c r="J44" i="11" s="1"/>
  <c r="K44" i="11" s="1"/>
  <c r="L44" i="11" s="1"/>
  <c r="H45" i="11"/>
  <c r="I45" i="11" s="1"/>
  <c r="J45" i="11" s="1"/>
  <c r="K45" i="11" s="1"/>
  <c r="L45" i="11" s="1"/>
  <c r="H46" i="11"/>
  <c r="I46" i="11" s="1"/>
  <c r="J46" i="11" s="1"/>
  <c r="K46" i="11" s="1"/>
  <c r="L46" i="11" s="1"/>
  <c r="H47" i="11"/>
  <c r="I47" i="11" s="1"/>
  <c r="J47" i="11" s="1"/>
  <c r="K47" i="11" s="1"/>
  <c r="L47" i="11" s="1"/>
  <c r="H48" i="11"/>
  <c r="I48" i="11" s="1"/>
  <c r="J48" i="11" s="1"/>
  <c r="K48" i="11" s="1"/>
  <c r="L48" i="11" s="1"/>
  <c r="H49" i="11"/>
  <c r="I49" i="11" s="1"/>
  <c r="J49" i="11" s="1"/>
  <c r="K49" i="11" s="1"/>
  <c r="L49" i="11" s="1"/>
  <c r="H50" i="11"/>
  <c r="I50" i="11" s="1"/>
  <c r="J50" i="11" s="1"/>
  <c r="K50" i="11" s="1"/>
  <c r="L50" i="11" s="1"/>
  <c r="H51" i="11"/>
  <c r="I51" i="11" s="1"/>
  <c r="J51" i="11" s="1"/>
  <c r="K51" i="11" s="1"/>
  <c r="L51" i="11" s="1"/>
  <c r="H52" i="11"/>
  <c r="I52" i="11" s="1"/>
  <c r="J52" i="11" s="1"/>
  <c r="K52" i="11" s="1"/>
  <c r="L52" i="11" s="1"/>
  <c r="H53" i="11"/>
  <c r="I53" i="11" s="1"/>
  <c r="J53" i="11" s="1"/>
  <c r="K53" i="11" s="1"/>
  <c r="L53" i="11" s="1"/>
  <c r="H54" i="11"/>
  <c r="I54" i="11" s="1"/>
  <c r="J54" i="11" s="1"/>
  <c r="K54" i="11" s="1"/>
  <c r="L54" i="11" s="1"/>
  <c r="H55" i="11"/>
  <c r="I55" i="11" s="1"/>
  <c r="J55" i="11" s="1"/>
  <c r="K55" i="11" s="1"/>
  <c r="L55" i="11" s="1"/>
  <c r="H56" i="11"/>
  <c r="I56" i="11" s="1"/>
  <c r="J56" i="11" s="1"/>
  <c r="K56" i="11" s="1"/>
  <c r="L56" i="11" s="1"/>
  <c r="H57" i="11"/>
  <c r="I57" i="11" s="1"/>
  <c r="J57" i="11" s="1"/>
  <c r="K57" i="11" s="1"/>
  <c r="L57" i="11" s="1"/>
  <c r="H58" i="11"/>
  <c r="I58" i="11" s="1"/>
  <c r="J58" i="11" s="1"/>
  <c r="K58" i="11" s="1"/>
  <c r="L58" i="11" s="1"/>
  <c r="H60" i="11"/>
  <c r="I60" i="11" s="1"/>
  <c r="J60" i="11" s="1"/>
  <c r="K60" i="11" s="1"/>
  <c r="L60" i="11" s="1"/>
  <c r="H61" i="11"/>
  <c r="I61" i="11" s="1"/>
  <c r="J61" i="11" s="1"/>
  <c r="K61" i="11" s="1"/>
  <c r="L61" i="11" s="1"/>
  <c r="H62" i="11"/>
  <c r="I62" i="11" s="1"/>
  <c r="J62" i="11" s="1"/>
  <c r="K62" i="11" s="1"/>
  <c r="L62" i="11" s="1"/>
  <c r="H63" i="11"/>
  <c r="I63" i="11" s="1"/>
  <c r="J63" i="11" s="1"/>
  <c r="K63" i="11" s="1"/>
  <c r="L63" i="11" s="1"/>
  <c r="H64" i="11"/>
  <c r="I64" i="11" s="1"/>
  <c r="J64" i="11" s="1"/>
  <c r="K64" i="11" s="1"/>
  <c r="L64" i="11" s="1"/>
  <c r="H65" i="11"/>
  <c r="I65" i="11" s="1"/>
  <c r="J65" i="11" s="1"/>
  <c r="K65" i="11" s="1"/>
  <c r="L65" i="11" s="1"/>
  <c r="H66" i="11"/>
  <c r="I66" i="11" s="1"/>
  <c r="J66" i="11" s="1"/>
  <c r="K66" i="11" s="1"/>
  <c r="L66" i="11" s="1"/>
  <c r="H67" i="11"/>
  <c r="I67" i="11" s="1"/>
  <c r="J67" i="11" s="1"/>
  <c r="K67" i="11" s="1"/>
  <c r="L67" i="11" s="1"/>
  <c r="H4" i="11"/>
  <c r="I4" i="11" s="1"/>
  <c r="J4" i="11" s="1"/>
  <c r="K4" i="11" s="1"/>
  <c r="L4" i="11" s="1"/>
  <c r="H5" i="10"/>
  <c r="I5" i="10" s="1"/>
  <c r="J5" i="10" s="1"/>
  <c r="K5" i="10" s="1"/>
  <c r="L5" i="10" s="1"/>
  <c r="H6" i="10"/>
  <c r="I6" i="10" s="1"/>
  <c r="J6" i="10" s="1"/>
  <c r="K6" i="10" s="1"/>
  <c r="L6" i="10" s="1"/>
  <c r="H7" i="10"/>
  <c r="I7" i="10" s="1"/>
  <c r="J7" i="10" s="1"/>
  <c r="K7" i="10" s="1"/>
  <c r="L7" i="10" s="1"/>
  <c r="H8" i="10"/>
  <c r="I8" i="10" s="1"/>
  <c r="J8" i="10" s="1"/>
  <c r="K8" i="10" s="1"/>
  <c r="L8" i="10" s="1"/>
  <c r="H9" i="10"/>
  <c r="I9" i="10" s="1"/>
  <c r="J9" i="10" s="1"/>
  <c r="K9" i="10" s="1"/>
  <c r="L9" i="10" s="1"/>
  <c r="H10" i="10"/>
  <c r="I10" i="10" s="1"/>
  <c r="J10" i="10" s="1"/>
  <c r="K10" i="10" s="1"/>
  <c r="L10" i="10" s="1"/>
  <c r="H11" i="10"/>
  <c r="I11" i="10" s="1"/>
  <c r="J11" i="10" s="1"/>
  <c r="K11" i="10" s="1"/>
  <c r="L11" i="10" s="1"/>
  <c r="H12" i="10"/>
  <c r="I12" i="10" s="1"/>
  <c r="J12" i="10" s="1"/>
  <c r="K12" i="10" s="1"/>
  <c r="L12" i="10" s="1"/>
  <c r="H13" i="10"/>
  <c r="I13" i="10" s="1"/>
  <c r="J13" i="10" s="1"/>
  <c r="K13" i="10" s="1"/>
  <c r="L13" i="10" s="1"/>
  <c r="H14" i="10"/>
  <c r="I14" i="10" s="1"/>
  <c r="J14" i="10" s="1"/>
  <c r="K14" i="10" s="1"/>
  <c r="L14" i="10" s="1"/>
  <c r="H15" i="10"/>
  <c r="I15" i="10" s="1"/>
  <c r="J15" i="10" s="1"/>
  <c r="K15" i="10" s="1"/>
  <c r="L15" i="10" s="1"/>
  <c r="H16" i="10"/>
  <c r="I16" i="10" s="1"/>
  <c r="J16" i="10" s="1"/>
  <c r="K16" i="10" s="1"/>
  <c r="L16" i="10" s="1"/>
  <c r="H17" i="10"/>
  <c r="I17" i="10" s="1"/>
  <c r="J17" i="10" s="1"/>
  <c r="K17" i="10" s="1"/>
  <c r="L17" i="10" s="1"/>
  <c r="H18" i="10"/>
  <c r="I18" i="10" s="1"/>
  <c r="J18" i="10" s="1"/>
  <c r="K18" i="10" s="1"/>
  <c r="L18" i="10" s="1"/>
  <c r="H19" i="10"/>
  <c r="I19" i="10" s="1"/>
  <c r="J19" i="10" s="1"/>
  <c r="K19" i="10" s="1"/>
  <c r="L19" i="10" s="1"/>
  <c r="H20" i="10"/>
  <c r="I20" i="10" s="1"/>
  <c r="J20" i="10" s="1"/>
  <c r="K20" i="10" s="1"/>
  <c r="L20" i="10" s="1"/>
  <c r="H21" i="10"/>
  <c r="I21" i="10" s="1"/>
  <c r="J21" i="10" s="1"/>
  <c r="K21" i="10" s="1"/>
  <c r="L21" i="10" s="1"/>
  <c r="H22" i="10"/>
  <c r="I22" i="10" s="1"/>
  <c r="J22" i="10" s="1"/>
  <c r="K22" i="10" s="1"/>
  <c r="L22" i="10" s="1"/>
  <c r="H23" i="10"/>
  <c r="I23" i="10" s="1"/>
  <c r="J23" i="10" s="1"/>
  <c r="K23" i="10" s="1"/>
  <c r="L23" i="10" s="1"/>
  <c r="H24" i="10"/>
  <c r="I24" i="10" s="1"/>
  <c r="J24" i="10" s="1"/>
  <c r="K24" i="10" s="1"/>
  <c r="L24" i="10" s="1"/>
  <c r="H25" i="10"/>
  <c r="I25" i="10" s="1"/>
  <c r="J25" i="10" s="1"/>
  <c r="K25" i="10" s="1"/>
  <c r="L25" i="10" s="1"/>
  <c r="H26" i="10"/>
  <c r="I26" i="10" s="1"/>
  <c r="J26" i="10" s="1"/>
  <c r="K26" i="10" s="1"/>
  <c r="L26" i="10" s="1"/>
  <c r="H27" i="10"/>
  <c r="I27" i="10" s="1"/>
  <c r="J27" i="10" s="1"/>
  <c r="K27" i="10" s="1"/>
  <c r="L27" i="10" s="1"/>
  <c r="H28" i="10"/>
  <c r="I28" i="10" s="1"/>
  <c r="J28" i="10" s="1"/>
  <c r="K28" i="10" s="1"/>
  <c r="L28" i="10" s="1"/>
  <c r="H29" i="10"/>
  <c r="I29" i="10" s="1"/>
  <c r="J29" i="10" s="1"/>
  <c r="K29" i="10" s="1"/>
  <c r="L29" i="10" s="1"/>
  <c r="H30" i="10"/>
  <c r="I30" i="10" s="1"/>
  <c r="J30" i="10" s="1"/>
  <c r="K30" i="10" s="1"/>
  <c r="L30" i="10" s="1"/>
  <c r="H31" i="10"/>
  <c r="I31" i="10" s="1"/>
  <c r="J31" i="10" s="1"/>
  <c r="K31" i="10" s="1"/>
  <c r="L31" i="10" s="1"/>
  <c r="H32" i="10"/>
  <c r="I32" i="10" s="1"/>
  <c r="J32" i="10" s="1"/>
  <c r="K32" i="10" s="1"/>
  <c r="L32" i="10" s="1"/>
  <c r="H33" i="10"/>
  <c r="I33" i="10" s="1"/>
  <c r="J33" i="10" s="1"/>
  <c r="K33" i="10" s="1"/>
  <c r="L33" i="10" s="1"/>
  <c r="H34" i="10"/>
  <c r="I34" i="10" s="1"/>
  <c r="J34" i="10" s="1"/>
  <c r="K34" i="10" s="1"/>
  <c r="L34" i="10" s="1"/>
  <c r="H35" i="10"/>
  <c r="I35" i="10" s="1"/>
  <c r="J35" i="10" s="1"/>
  <c r="K35" i="10" s="1"/>
  <c r="L35" i="10" s="1"/>
  <c r="H36" i="10"/>
  <c r="I36" i="10" s="1"/>
  <c r="J36" i="10" s="1"/>
  <c r="K36" i="10" s="1"/>
  <c r="L36" i="10" s="1"/>
  <c r="H37" i="10"/>
  <c r="I37" i="10" s="1"/>
  <c r="J37" i="10" s="1"/>
  <c r="K37" i="10" s="1"/>
  <c r="L37" i="10" s="1"/>
  <c r="H38" i="10"/>
  <c r="I38" i="10" s="1"/>
  <c r="J38" i="10" s="1"/>
  <c r="K38" i="10" s="1"/>
  <c r="L38" i="10" s="1"/>
  <c r="H39" i="10"/>
  <c r="I39" i="10" s="1"/>
  <c r="J39" i="10" s="1"/>
  <c r="K39" i="10" s="1"/>
  <c r="L39" i="10" s="1"/>
  <c r="H40" i="10"/>
  <c r="I40" i="10" s="1"/>
  <c r="J40" i="10" s="1"/>
  <c r="K40" i="10" s="1"/>
  <c r="L40" i="10" s="1"/>
  <c r="H41" i="10"/>
  <c r="I41" i="10" s="1"/>
  <c r="J41" i="10" s="1"/>
  <c r="K41" i="10" s="1"/>
  <c r="L41" i="10" s="1"/>
  <c r="H42" i="10"/>
  <c r="I42" i="10" s="1"/>
  <c r="J42" i="10" s="1"/>
  <c r="K42" i="10" s="1"/>
  <c r="L42" i="10" s="1"/>
  <c r="H43" i="10"/>
  <c r="I43" i="10" s="1"/>
  <c r="J43" i="10" s="1"/>
  <c r="K43" i="10" s="1"/>
  <c r="L43" i="10" s="1"/>
  <c r="H44" i="10"/>
  <c r="I44" i="10" s="1"/>
  <c r="J44" i="10" s="1"/>
  <c r="K44" i="10" s="1"/>
  <c r="L44" i="10" s="1"/>
  <c r="H45" i="10"/>
  <c r="I45" i="10" s="1"/>
  <c r="J45" i="10" s="1"/>
  <c r="K45" i="10" s="1"/>
  <c r="L45" i="10" s="1"/>
  <c r="H46" i="10"/>
  <c r="I46" i="10" s="1"/>
  <c r="J46" i="10" s="1"/>
  <c r="K46" i="10" s="1"/>
  <c r="L46" i="10" s="1"/>
  <c r="H47" i="10"/>
  <c r="I47" i="10" s="1"/>
  <c r="J47" i="10" s="1"/>
  <c r="K47" i="10" s="1"/>
  <c r="L47" i="10" s="1"/>
  <c r="H48" i="10"/>
  <c r="I48" i="10" s="1"/>
  <c r="J48" i="10" s="1"/>
  <c r="K48" i="10" s="1"/>
  <c r="L48" i="10" s="1"/>
  <c r="H49" i="10"/>
  <c r="I49" i="10" s="1"/>
  <c r="J49" i="10" s="1"/>
  <c r="K49" i="10" s="1"/>
  <c r="L49" i="10" s="1"/>
  <c r="H50" i="10"/>
  <c r="I50" i="10" s="1"/>
  <c r="J50" i="10" s="1"/>
  <c r="K50" i="10" s="1"/>
  <c r="L50" i="10" s="1"/>
  <c r="H51" i="10"/>
  <c r="I51" i="10" s="1"/>
  <c r="J51" i="10" s="1"/>
  <c r="K51" i="10" s="1"/>
  <c r="L51" i="10" s="1"/>
  <c r="H52" i="10"/>
  <c r="I52" i="10" s="1"/>
  <c r="J52" i="10" s="1"/>
  <c r="K52" i="10" s="1"/>
  <c r="L52" i="10" s="1"/>
  <c r="H53" i="10"/>
  <c r="I53" i="10" s="1"/>
  <c r="J53" i="10" s="1"/>
  <c r="K53" i="10" s="1"/>
  <c r="L53" i="10" s="1"/>
  <c r="H54" i="10"/>
  <c r="I54" i="10" s="1"/>
  <c r="J54" i="10" s="1"/>
  <c r="K54" i="10" s="1"/>
  <c r="L54" i="10" s="1"/>
  <c r="H55" i="10"/>
  <c r="I55" i="10" s="1"/>
  <c r="J55" i="10" s="1"/>
  <c r="K55" i="10" s="1"/>
  <c r="L55" i="10" s="1"/>
  <c r="H56" i="10"/>
  <c r="I56" i="10" s="1"/>
  <c r="J56" i="10" s="1"/>
  <c r="K56" i="10" s="1"/>
  <c r="L56" i="10" s="1"/>
  <c r="H57" i="10"/>
  <c r="I57" i="10" s="1"/>
  <c r="J57" i="10" s="1"/>
  <c r="K57" i="10" s="1"/>
  <c r="L57" i="10" s="1"/>
  <c r="H58" i="10"/>
  <c r="I58" i="10" s="1"/>
  <c r="J58" i="10" s="1"/>
  <c r="K58" i="10" s="1"/>
  <c r="L58" i="10" s="1"/>
  <c r="H59" i="10"/>
  <c r="I59" i="10" s="1"/>
  <c r="J59" i="10" s="1"/>
  <c r="K59" i="10" s="1"/>
  <c r="L59" i="10" s="1"/>
  <c r="H60" i="10"/>
  <c r="I60" i="10" s="1"/>
  <c r="J60" i="10" s="1"/>
  <c r="K60" i="10" s="1"/>
  <c r="L60" i="10" s="1"/>
  <c r="H61" i="10"/>
  <c r="I61" i="10" s="1"/>
  <c r="J61" i="10" s="1"/>
  <c r="K61" i="10" s="1"/>
  <c r="L61" i="10" s="1"/>
  <c r="H62" i="10"/>
  <c r="I62" i="10" s="1"/>
  <c r="J62" i="10" s="1"/>
  <c r="K62" i="10" s="1"/>
  <c r="L62" i="10" s="1"/>
  <c r="H63" i="10"/>
  <c r="I63" i="10" s="1"/>
  <c r="J63" i="10" s="1"/>
  <c r="K63" i="10" s="1"/>
  <c r="L63" i="10" s="1"/>
  <c r="H64" i="10"/>
  <c r="I64" i="10" s="1"/>
  <c r="J64" i="10" s="1"/>
  <c r="K64" i="10" s="1"/>
  <c r="L64" i="10" s="1"/>
  <c r="H65" i="10"/>
  <c r="I65" i="10" s="1"/>
  <c r="J65" i="10" s="1"/>
  <c r="K65" i="10" s="1"/>
  <c r="L65" i="10" s="1"/>
  <c r="H66" i="10"/>
  <c r="I66" i="10" s="1"/>
  <c r="J66" i="10" s="1"/>
  <c r="K66" i="10" s="1"/>
  <c r="L66" i="10" s="1"/>
  <c r="H67" i="10"/>
  <c r="I67" i="10" s="1"/>
  <c r="J67" i="10" s="1"/>
  <c r="K67" i="10" s="1"/>
  <c r="L67" i="10" s="1"/>
  <c r="H68" i="10"/>
  <c r="I68" i="10" s="1"/>
  <c r="J68" i="10" s="1"/>
  <c r="K68" i="10" s="1"/>
  <c r="L68" i="10" s="1"/>
  <c r="H69" i="10"/>
  <c r="I69" i="10" s="1"/>
  <c r="J69" i="10" s="1"/>
  <c r="K69" i="10" s="1"/>
  <c r="L69" i="10" s="1"/>
  <c r="H70" i="10"/>
  <c r="I70" i="10" s="1"/>
  <c r="J70" i="10" s="1"/>
  <c r="K70" i="10" s="1"/>
  <c r="L70" i="10" s="1"/>
  <c r="H71" i="10"/>
  <c r="I71" i="10" s="1"/>
  <c r="J71" i="10" s="1"/>
  <c r="K71" i="10" s="1"/>
  <c r="L71" i="10" s="1"/>
  <c r="H72" i="10"/>
  <c r="I72" i="10" s="1"/>
  <c r="J72" i="10" s="1"/>
  <c r="K72" i="10" s="1"/>
  <c r="L72" i="10" s="1"/>
  <c r="H73" i="10"/>
  <c r="I73" i="10" s="1"/>
  <c r="J73" i="10" s="1"/>
  <c r="K73" i="10" s="1"/>
  <c r="L73" i="10" s="1"/>
  <c r="H74" i="10"/>
  <c r="I74" i="10" s="1"/>
  <c r="J74" i="10" s="1"/>
  <c r="K74" i="10" s="1"/>
  <c r="L74" i="10" s="1"/>
  <c r="H75" i="10"/>
  <c r="I75" i="10" s="1"/>
  <c r="J75" i="10" s="1"/>
  <c r="K75" i="10" s="1"/>
  <c r="L75" i="10" s="1"/>
  <c r="H76" i="10"/>
  <c r="I76" i="10" s="1"/>
  <c r="J76" i="10" s="1"/>
  <c r="K76" i="10" s="1"/>
  <c r="L76" i="10" s="1"/>
  <c r="H77" i="10"/>
  <c r="I77" i="10" s="1"/>
  <c r="J77" i="10" s="1"/>
  <c r="K77" i="10" s="1"/>
  <c r="L77" i="10" s="1"/>
  <c r="H78" i="10"/>
  <c r="I78" i="10" s="1"/>
  <c r="J78" i="10" s="1"/>
  <c r="K78" i="10" s="1"/>
  <c r="L78" i="10" s="1"/>
  <c r="H79" i="10"/>
  <c r="I79" i="10" s="1"/>
  <c r="J79" i="10" s="1"/>
  <c r="K79" i="10" s="1"/>
  <c r="L79" i="10" s="1"/>
  <c r="H80" i="10"/>
  <c r="I80" i="10" s="1"/>
  <c r="J80" i="10" s="1"/>
  <c r="K80" i="10" s="1"/>
  <c r="L80" i="10" s="1"/>
  <c r="H81" i="10"/>
  <c r="I81" i="10" s="1"/>
  <c r="J81" i="10" s="1"/>
  <c r="K81" i="10" s="1"/>
  <c r="L81" i="10" s="1"/>
  <c r="H82" i="10"/>
  <c r="I82" i="10" s="1"/>
  <c r="J82" i="10" s="1"/>
  <c r="K82" i="10" s="1"/>
  <c r="L82" i="10" s="1"/>
  <c r="H83" i="10"/>
  <c r="I83" i="10" s="1"/>
  <c r="J83" i="10" s="1"/>
  <c r="K83" i="10" s="1"/>
  <c r="L83" i="10" s="1"/>
  <c r="H84" i="10"/>
  <c r="I84" i="10" s="1"/>
  <c r="J84" i="10" s="1"/>
  <c r="K84" i="10" s="1"/>
  <c r="L84" i="10" s="1"/>
  <c r="H4" i="10"/>
  <c r="I4" i="10" s="1"/>
  <c r="J4" i="10" s="1"/>
  <c r="K4" i="10" s="1"/>
  <c r="L4" i="10" s="1"/>
  <c r="H28" i="9"/>
  <c r="I28" i="9" s="1"/>
  <c r="J28" i="9" s="1"/>
  <c r="K28" i="9" s="1"/>
  <c r="L28" i="9" s="1"/>
  <c r="L74" i="9"/>
  <c r="H82" i="9"/>
  <c r="I82" i="9" s="1"/>
  <c r="J82" i="9" s="1"/>
  <c r="K82" i="9" s="1"/>
  <c r="L82" i="9" s="1"/>
  <c r="I87" i="9"/>
  <c r="J87" i="9" s="1"/>
  <c r="K87" i="9" s="1"/>
  <c r="L87" i="9" s="1"/>
  <c r="I93" i="9"/>
  <c r="J93" i="9" s="1"/>
  <c r="K93" i="9" s="1"/>
  <c r="L93" i="9" s="1"/>
  <c r="I98" i="9"/>
  <c r="J98" i="9" s="1"/>
  <c r="K98" i="9" s="1"/>
  <c r="L98" i="9" s="1"/>
  <c r="I99" i="9"/>
  <c r="J99" i="9" s="1"/>
  <c r="K99" i="9" s="1"/>
  <c r="L99" i="9" s="1"/>
  <c r="I112" i="9"/>
  <c r="J112" i="9" s="1"/>
  <c r="K112" i="9" s="1"/>
  <c r="L112" i="9" s="1"/>
  <c r="I115" i="9"/>
  <c r="J115" i="9" s="1"/>
  <c r="K115" i="9" s="1"/>
  <c r="L115" i="9" s="1"/>
  <c r="H117" i="9"/>
  <c r="I117" i="9" s="1"/>
  <c r="J117" i="9" s="1"/>
  <c r="K117" i="9" s="1"/>
  <c r="L117" i="9" s="1"/>
  <c r="I125" i="9"/>
  <c r="J125" i="9" s="1"/>
  <c r="K125" i="9" s="1"/>
  <c r="L125" i="9" s="1"/>
  <c r="I126" i="9"/>
  <c r="J126" i="9" s="1"/>
  <c r="K126" i="9" s="1"/>
  <c r="L126" i="9" s="1"/>
  <c r="I127" i="9"/>
  <c r="J127" i="9" s="1"/>
  <c r="K127" i="9" s="1"/>
  <c r="L127" i="9" s="1"/>
  <c r="I128" i="9"/>
  <c r="J128" i="9" s="1"/>
  <c r="K128" i="9" s="1"/>
  <c r="L128" i="9" s="1"/>
  <c r="I129" i="9"/>
  <c r="J129" i="9" s="1"/>
  <c r="K129" i="9" s="1"/>
  <c r="L129" i="9" s="1"/>
  <c r="I130" i="9"/>
  <c r="J130" i="9" s="1"/>
  <c r="K130" i="9" s="1"/>
  <c r="L130" i="9" s="1"/>
  <c r="I131" i="9"/>
  <c r="J131" i="9" s="1"/>
  <c r="K131" i="9" s="1"/>
  <c r="L131" i="9" s="1"/>
  <c r="I132" i="9"/>
  <c r="J132" i="9" s="1"/>
  <c r="K132" i="9" s="1"/>
  <c r="L132" i="9" s="1"/>
  <c r="H133" i="9"/>
  <c r="I133" i="9" s="1"/>
  <c r="J133" i="9" s="1"/>
  <c r="K133" i="9" s="1"/>
  <c r="L133" i="9" s="1"/>
  <c r="I141" i="9"/>
  <c r="J141" i="9" s="1"/>
  <c r="K141" i="9" s="1"/>
  <c r="L141" i="9" s="1"/>
  <c r="I142" i="9"/>
  <c r="J142" i="9" s="1"/>
  <c r="K142" i="9" s="1"/>
  <c r="L142" i="9" s="1"/>
  <c r="I144" i="9"/>
  <c r="J144" i="9" s="1"/>
  <c r="K144" i="9" s="1"/>
  <c r="L144" i="9" s="1"/>
  <c r="I145" i="9"/>
  <c r="J145" i="9" s="1"/>
  <c r="K145" i="9" s="1"/>
  <c r="L145" i="9" s="1"/>
  <c r="I146" i="9"/>
  <c r="J146" i="9" s="1"/>
  <c r="K146" i="9" s="1"/>
  <c r="L146" i="9" s="1"/>
  <c r="I147" i="9"/>
  <c r="J147" i="9" s="1"/>
  <c r="K147" i="9" s="1"/>
  <c r="L147" i="9" s="1"/>
  <c r="H4" i="9"/>
  <c r="I4" i="9" s="1"/>
  <c r="H148" i="9"/>
  <c r="I148" i="9" s="1"/>
  <c r="J148" i="9" s="1"/>
  <c r="K148" i="9" s="1"/>
  <c r="L148" i="9" s="1"/>
  <c r="H143" i="9"/>
  <c r="I143" i="9" s="1"/>
  <c r="J143" i="9" s="1"/>
  <c r="K143" i="9" s="1"/>
  <c r="L143" i="9" s="1"/>
  <c r="H140" i="9"/>
  <c r="I140" i="9" s="1"/>
  <c r="J140" i="9" s="1"/>
  <c r="K140" i="9" s="1"/>
  <c r="L140" i="9" s="1"/>
  <c r="H139" i="9"/>
  <c r="I139" i="9" s="1"/>
  <c r="J139" i="9" s="1"/>
  <c r="K139" i="9" s="1"/>
  <c r="L139" i="9" s="1"/>
  <c r="H138" i="9"/>
  <c r="I138" i="9" s="1"/>
  <c r="J138" i="9" s="1"/>
  <c r="K138" i="9" s="1"/>
  <c r="L138" i="9" s="1"/>
  <c r="H137" i="9"/>
  <c r="I137" i="9" s="1"/>
  <c r="J137" i="9" s="1"/>
  <c r="K137" i="9" s="1"/>
  <c r="L137" i="9" s="1"/>
  <c r="H136" i="9"/>
  <c r="I136" i="9" s="1"/>
  <c r="J136" i="9" s="1"/>
  <c r="K136" i="9" s="1"/>
  <c r="L136" i="9" s="1"/>
  <c r="H135" i="9"/>
  <c r="I135" i="9" s="1"/>
  <c r="J135" i="9" s="1"/>
  <c r="K135" i="9" s="1"/>
  <c r="L135" i="9" s="1"/>
  <c r="H134" i="9"/>
  <c r="I134" i="9" s="1"/>
  <c r="J134" i="9" s="1"/>
  <c r="K134" i="9" s="1"/>
  <c r="L134" i="9" s="1"/>
  <c r="H124" i="9"/>
  <c r="I124" i="9" s="1"/>
  <c r="J124" i="9" s="1"/>
  <c r="K124" i="9" s="1"/>
  <c r="L124" i="9" s="1"/>
  <c r="H123" i="9"/>
  <c r="I123" i="9" s="1"/>
  <c r="J123" i="9" s="1"/>
  <c r="K123" i="9" s="1"/>
  <c r="L123" i="9" s="1"/>
  <c r="H122" i="9"/>
  <c r="I122" i="9" s="1"/>
  <c r="J122" i="9" s="1"/>
  <c r="K122" i="9" s="1"/>
  <c r="L122" i="9" s="1"/>
  <c r="H121" i="9"/>
  <c r="I121" i="9" s="1"/>
  <c r="J121" i="9" s="1"/>
  <c r="K121" i="9" s="1"/>
  <c r="L121" i="9" s="1"/>
  <c r="H120" i="9"/>
  <c r="I120" i="9" s="1"/>
  <c r="J120" i="9" s="1"/>
  <c r="K120" i="9" s="1"/>
  <c r="L120" i="9" s="1"/>
  <c r="H119" i="9"/>
  <c r="I119" i="9" s="1"/>
  <c r="J119" i="9" s="1"/>
  <c r="K119" i="9" s="1"/>
  <c r="L119" i="9" s="1"/>
  <c r="H118" i="9"/>
  <c r="I118" i="9" s="1"/>
  <c r="J118" i="9" s="1"/>
  <c r="K118" i="9" s="1"/>
  <c r="L118" i="9" s="1"/>
  <c r="H116" i="9"/>
  <c r="I116" i="9" s="1"/>
  <c r="J116" i="9" s="1"/>
  <c r="K116" i="9" s="1"/>
  <c r="L116" i="9" s="1"/>
  <c r="H114" i="9"/>
  <c r="I114" i="9" s="1"/>
  <c r="J114" i="9" s="1"/>
  <c r="K114" i="9" s="1"/>
  <c r="L114" i="9" s="1"/>
  <c r="H113" i="9"/>
  <c r="I113" i="9" s="1"/>
  <c r="J113" i="9" s="1"/>
  <c r="K113" i="9" s="1"/>
  <c r="L113" i="9" s="1"/>
  <c r="H111" i="9"/>
  <c r="I111" i="9" s="1"/>
  <c r="J111" i="9" s="1"/>
  <c r="K111" i="9" s="1"/>
  <c r="L111" i="9" s="1"/>
  <c r="H110" i="9"/>
  <c r="I110" i="9" s="1"/>
  <c r="J110" i="9" s="1"/>
  <c r="K110" i="9" s="1"/>
  <c r="L110" i="9" s="1"/>
  <c r="H109" i="9"/>
  <c r="I109" i="9" s="1"/>
  <c r="J109" i="9" s="1"/>
  <c r="K109" i="9" s="1"/>
  <c r="L109" i="9" s="1"/>
  <c r="H108" i="9"/>
  <c r="I108" i="9" s="1"/>
  <c r="J108" i="9" s="1"/>
  <c r="K108" i="9" s="1"/>
  <c r="L108" i="9" s="1"/>
  <c r="H107" i="9"/>
  <c r="I107" i="9" s="1"/>
  <c r="J107" i="9" s="1"/>
  <c r="K107" i="9" s="1"/>
  <c r="L107" i="9" s="1"/>
  <c r="I105" i="9"/>
  <c r="J105" i="9" s="1"/>
  <c r="K105" i="9" s="1"/>
  <c r="L105" i="9" s="1"/>
  <c r="I104" i="9"/>
  <c r="J104" i="9" s="1"/>
  <c r="K104" i="9" s="1"/>
  <c r="L104" i="9" s="1"/>
  <c r="I101" i="9"/>
  <c r="J101" i="9" s="1"/>
  <c r="K101" i="9" s="1"/>
  <c r="L101" i="9" s="1"/>
  <c r="I100" i="9"/>
  <c r="J100" i="9" s="1"/>
  <c r="K100" i="9" s="1"/>
  <c r="L100" i="9" s="1"/>
  <c r="I94" i="9"/>
  <c r="J94" i="9" s="1"/>
  <c r="K94" i="9" s="1"/>
  <c r="L94" i="9" s="1"/>
  <c r="I89" i="9"/>
  <c r="J89" i="9" s="1"/>
  <c r="K89" i="9" s="1"/>
  <c r="L89" i="9" s="1"/>
  <c r="I88" i="9"/>
  <c r="J88" i="9" s="1"/>
  <c r="K88" i="9" s="1"/>
  <c r="L88" i="9" s="1"/>
  <c r="H86" i="9"/>
  <c r="I86" i="9" s="1"/>
  <c r="J86" i="9" s="1"/>
  <c r="K86" i="9" s="1"/>
  <c r="L86" i="9" s="1"/>
  <c r="H85" i="9"/>
  <c r="I85" i="9" s="1"/>
  <c r="J85" i="9" s="1"/>
  <c r="K85" i="9" s="1"/>
  <c r="L85" i="9" s="1"/>
  <c r="H84" i="9"/>
  <c r="I84" i="9" s="1"/>
  <c r="J84" i="9" s="1"/>
  <c r="K84" i="9" s="1"/>
  <c r="L84" i="9" s="1"/>
  <c r="H83" i="9"/>
  <c r="I83" i="9" s="1"/>
  <c r="J83" i="9" s="1"/>
  <c r="K83" i="9" s="1"/>
  <c r="L83" i="9" s="1"/>
  <c r="H81" i="9"/>
  <c r="I81" i="9" s="1"/>
  <c r="J81" i="9" s="1"/>
  <c r="K81" i="9" s="1"/>
  <c r="L81" i="9" s="1"/>
  <c r="H80" i="9"/>
  <c r="I80" i="9" s="1"/>
  <c r="J80" i="9" s="1"/>
  <c r="K80" i="9" s="1"/>
  <c r="L80" i="9" s="1"/>
  <c r="H79" i="9"/>
  <c r="I79" i="9" s="1"/>
  <c r="J79" i="9" s="1"/>
  <c r="K79" i="9" s="1"/>
  <c r="L79" i="9" s="1"/>
  <c r="H78" i="9"/>
  <c r="I78" i="9" s="1"/>
  <c r="J78" i="9" s="1"/>
  <c r="K78" i="9" s="1"/>
  <c r="L78" i="9" s="1"/>
  <c r="H77" i="9"/>
  <c r="I77" i="9" s="1"/>
  <c r="J77" i="9" s="1"/>
  <c r="K77" i="9" s="1"/>
  <c r="L77" i="9" s="1"/>
  <c r="H76" i="9"/>
  <c r="I76" i="9" s="1"/>
  <c r="J76" i="9" s="1"/>
  <c r="K76" i="9" s="1"/>
  <c r="L76" i="9" s="1"/>
  <c r="H75" i="9"/>
  <c r="I75" i="9" s="1"/>
  <c r="J75" i="9" s="1"/>
  <c r="K75" i="9" s="1"/>
  <c r="L75" i="9" s="1"/>
  <c r="H73" i="9"/>
  <c r="I73" i="9" s="1"/>
  <c r="J73" i="9" s="1"/>
  <c r="K73" i="9" s="1"/>
  <c r="L73" i="9" s="1"/>
  <c r="H72" i="9"/>
  <c r="I72" i="9" s="1"/>
  <c r="J72" i="9" s="1"/>
  <c r="K72" i="9" s="1"/>
  <c r="L72" i="9" s="1"/>
  <c r="H71" i="9"/>
  <c r="I71" i="9" s="1"/>
  <c r="J71" i="9" s="1"/>
  <c r="K71" i="9" s="1"/>
  <c r="L71" i="9" s="1"/>
  <c r="H70" i="9"/>
  <c r="I70" i="9" s="1"/>
  <c r="J70" i="9" s="1"/>
  <c r="K70" i="9" s="1"/>
  <c r="L70" i="9" s="1"/>
  <c r="H69" i="9"/>
  <c r="I69" i="9" s="1"/>
  <c r="J69" i="9" s="1"/>
  <c r="K69" i="9" s="1"/>
  <c r="L69" i="9" s="1"/>
  <c r="H68" i="9"/>
  <c r="I68" i="9" s="1"/>
  <c r="J68" i="9" s="1"/>
  <c r="K68" i="9" s="1"/>
  <c r="L68" i="9" s="1"/>
  <c r="H67" i="9"/>
  <c r="I67" i="9" s="1"/>
  <c r="J67" i="9" s="1"/>
  <c r="K67" i="9" s="1"/>
  <c r="L67" i="9" s="1"/>
  <c r="H66" i="9"/>
  <c r="I66" i="9" s="1"/>
  <c r="J66" i="9" s="1"/>
  <c r="K66" i="9" s="1"/>
  <c r="L66" i="9" s="1"/>
  <c r="H65" i="9"/>
  <c r="I65" i="9" s="1"/>
  <c r="J65" i="9" s="1"/>
  <c r="K65" i="9" s="1"/>
  <c r="L65" i="9" s="1"/>
  <c r="H64" i="9"/>
  <c r="I64" i="9" s="1"/>
  <c r="J64" i="9" s="1"/>
  <c r="K64" i="9" s="1"/>
  <c r="L64" i="9" s="1"/>
  <c r="H63" i="9"/>
  <c r="I63" i="9" s="1"/>
  <c r="J63" i="9" s="1"/>
  <c r="K63" i="9" s="1"/>
  <c r="L63" i="9" s="1"/>
  <c r="H62" i="9"/>
  <c r="I62" i="9" s="1"/>
  <c r="J62" i="9" s="1"/>
  <c r="K62" i="9" s="1"/>
  <c r="L62" i="9" s="1"/>
  <c r="H61" i="9"/>
  <c r="I61" i="9" s="1"/>
  <c r="J61" i="9" s="1"/>
  <c r="K61" i="9" s="1"/>
  <c r="L61" i="9" s="1"/>
  <c r="H60" i="9"/>
  <c r="I60" i="9" s="1"/>
  <c r="J60" i="9" s="1"/>
  <c r="K60" i="9" s="1"/>
  <c r="L60" i="9" s="1"/>
  <c r="H59" i="9"/>
  <c r="I59" i="9" s="1"/>
  <c r="J59" i="9" s="1"/>
  <c r="K59" i="9" s="1"/>
  <c r="L59" i="9" s="1"/>
  <c r="H58" i="9"/>
  <c r="I58" i="9" s="1"/>
  <c r="J58" i="9" s="1"/>
  <c r="K58" i="9" s="1"/>
  <c r="L58" i="9" s="1"/>
  <c r="H57" i="9"/>
  <c r="I57" i="9" s="1"/>
  <c r="J57" i="9" s="1"/>
  <c r="K57" i="9" s="1"/>
  <c r="L57" i="9" s="1"/>
  <c r="H56" i="9"/>
  <c r="I56" i="9" s="1"/>
  <c r="J56" i="9" s="1"/>
  <c r="K56" i="9" s="1"/>
  <c r="L56" i="9" s="1"/>
  <c r="H55" i="9"/>
  <c r="I55" i="9" s="1"/>
  <c r="J55" i="9" s="1"/>
  <c r="K55" i="9" s="1"/>
  <c r="L55" i="9" s="1"/>
  <c r="H54" i="9"/>
  <c r="I54" i="9" s="1"/>
  <c r="J54" i="9" s="1"/>
  <c r="K54" i="9" s="1"/>
  <c r="L54" i="9" s="1"/>
  <c r="H53" i="9"/>
  <c r="I53" i="9" s="1"/>
  <c r="J53" i="9" s="1"/>
  <c r="K53" i="9" s="1"/>
  <c r="L53" i="9" s="1"/>
  <c r="H52" i="9"/>
  <c r="I52" i="9" s="1"/>
  <c r="J52" i="9" s="1"/>
  <c r="K52" i="9" s="1"/>
  <c r="L52" i="9" s="1"/>
  <c r="H51" i="9"/>
  <c r="I51" i="9" s="1"/>
  <c r="J51" i="9" s="1"/>
  <c r="K51" i="9" s="1"/>
  <c r="L51" i="9" s="1"/>
  <c r="H50" i="9"/>
  <c r="I50" i="9" s="1"/>
  <c r="J50" i="9" s="1"/>
  <c r="K50" i="9" s="1"/>
  <c r="L50" i="9" s="1"/>
  <c r="H49" i="9"/>
  <c r="I49" i="9" s="1"/>
  <c r="J49" i="9" s="1"/>
  <c r="K49" i="9" s="1"/>
  <c r="L49" i="9" s="1"/>
  <c r="H48" i="9"/>
  <c r="I48" i="9" s="1"/>
  <c r="J48" i="9" s="1"/>
  <c r="K48" i="9" s="1"/>
  <c r="L48" i="9" s="1"/>
  <c r="H47" i="9"/>
  <c r="I47" i="9" s="1"/>
  <c r="J47" i="9" s="1"/>
  <c r="K47" i="9" s="1"/>
  <c r="L47" i="9" s="1"/>
  <c r="H46" i="9"/>
  <c r="I46" i="9" s="1"/>
  <c r="J46" i="9" s="1"/>
  <c r="K46" i="9" s="1"/>
  <c r="L46" i="9" s="1"/>
  <c r="H45" i="9"/>
  <c r="I45" i="9" s="1"/>
  <c r="J45" i="9" s="1"/>
  <c r="K45" i="9" s="1"/>
  <c r="L45" i="9" s="1"/>
  <c r="H44" i="9"/>
  <c r="I44" i="9" s="1"/>
  <c r="J44" i="9" s="1"/>
  <c r="K44" i="9" s="1"/>
  <c r="L44" i="9" s="1"/>
  <c r="H43" i="9"/>
  <c r="I43" i="9" s="1"/>
  <c r="J43" i="9" s="1"/>
  <c r="K43" i="9" s="1"/>
  <c r="L43" i="9" s="1"/>
  <c r="H42" i="9"/>
  <c r="I42" i="9" s="1"/>
  <c r="J42" i="9" s="1"/>
  <c r="K42" i="9" s="1"/>
  <c r="L42" i="9" s="1"/>
  <c r="H41" i="9"/>
  <c r="I41" i="9" s="1"/>
  <c r="J41" i="9" s="1"/>
  <c r="K41" i="9" s="1"/>
  <c r="L41" i="9" s="1"/>
  <c r="H40" i="9"/>
  <c r="I40" i="9" s="1"/>
  <c r="J40" i="9" s="1"/>
  <c r="K40" i="9" s="1"/>
  <c r="L40" i="9" s="1"/>
  <c r="H39" i="9"/>
  <c r="I39" i="9" s="1"/>
  <c r="J39" i="9" s="1"/>
  <c r="K39" i="9" s="1"/>
  <c r="L39" i="9" s="1"/>
  <c r="H38" i="9"/>
  <c r="I38" i="9" s="1"/>
  <c r="J38" i="9" s="1"/>
  <c r="K38" i="9" s="1"/>
  <c r="L38" i="9" s="1"/>
  <c r="H37" i="9"/>
  <c r="I37" i="9" s="1"/>
  <c r="J37" i="9" s="1"/>
  <c r="K37" i="9" s="1"/>
  <c r="L37" i="9" s="1"/>
  <c r="H36" i="9"/>
  <c r="I36" i="9" s="1"/>
  <c r="J36" i="9" s="1"/>
  <c r="K36" i="9" s="1"/>
  <c r="L36" i="9" s="1"/>
  <c r="H35" i="9"/>
  <c r="I35" i="9" s="1"/>
  <c r="J35" i="9" s="1"/>
  <c r="K35" i="9" s="1"/>
  <c r="L35" i="9" s="1"/>
  <c r="H34" i="9"/>
  <c r="I34" i="9" s="1"/>
  <c r="J34" i="9" s="1"/>
  <c r="K34" i="9" s="1"/>
  <c r="L34" i="9" s="1"/>
  <c r="H33" i="9"/>
  <c r="I33" i="9" s="1"/>
  <c r="J33" i="9" s="1"/>
  <c r="K33" i="9" s="1"/>
  <c r="L33" i="9" s="1"/>
  <c r="H32" i="9"/>
  <c r="I32" i="9" s="1"/>
  <c r="J32" i="9" s="1"/>
  <c r="K32" i="9" s="1"/>
  <c r="L32" i="9" s="1"/>
  <c r="H31" i="9"/>
  <c r="I31" i="9" s="1"/>
  <c r="J31" i="9" s="1"/>
  <c r="K31" i="9" s="1"/>
  <c r="L31" i="9" s="1"/>
  <c r="H30" i="9"/>
  <c r="I30" i="9" s="1"/>
  <c r="J30" i="9" s="1"/>
  <c r="K30" i="9" s="1"/>
  <c r="L30" i="9" s="1"/>
  <c r="H29" i="9"/>
  <c r="I29" i="9" s="1"/>
  <c r="J29" i="9" s="1"/>
  <c r="K29" i="9" s="1"/>
  <c r="L29" i="9" s="1"/>
  <c r="H27" i="9"/>
  <c r="I27" i="9" s="1"/>
  <c r="J27" i="9" s="1"/>
  <c r="K27" i="9" s="1"/>
  <c r="L27" i="9" s="1"/>
  <c r="H26" i="9"/>
  <c r="I26" i="9" s="1"/>
  <c r="J26" i="9" s="1"/>
  <c r="K26" i="9" s="1"/>
  <c r="L26" i="9" s="1"/>
  <c r="H25" i="9"/>
  <c r="I25" i="9" s="1"/>
  <c r="J25" i="9" s="1"/>
  <c r="K25" i="9" s="1"/>
  <c r="L25" i="9" s="1"/>
  <c r="H24" i="9"/>
  <c r="I24" i="9" s="1"/>
  <c r="J24" i="9" s="1"/>
  <c r="K24" i="9" s="1"/>
  <c r="L24" i="9" s="1"/>
  <c r="H23" i="9"/>
  <c r="I23" i="9" s="1"/>
  <c r="J23" i="9" s="1"/>
  <c r="K23" i="9" s="1"/>
  <c r="L23" i="9" s="1"/>
  <c r="H22" i="9"/>
  <c r="I22" i="9" s="1"/>
  <c r="J22" i="9" s="1"/>
  <c r="K22" i="9" s="1"/>
  <c r="L22" i="9" s="1"/>
  <c r="H21" i="9"/>
  <c r="I21" i="9" s="1"/>
  <c r="J21" i="9" s="1"/>
  <c r="K21" i="9" s="1"/>
  <c r="L21" i="9" s="1"/>
  <c r="H20" i="9"/>
  <c r="I20" i="9" s="1"/>
  <c r="J20" i="9" s="1"/>
  <c r="K20" i="9" s="1"/>
  <c r="L20" i="9" s="1"/>
  <c r="H19" i="9"/>
  <c r="I19" i="9" s="1"/>
  <c r="J19" i="9" s="1"/>
  <c r="K19" i="9" s="1"/>
  <c r="L19" i="9" s="1"/>
  <c r="H18" i="9"/>
  <c r="I18" i="9" s="1"/>
  <c r="J18" i="9" s="1"/>
  <c r="K18" i="9" s="1"/>
  <c r="L18" i="9" s="1"/>
  <c r="H17" i="9"/>
  <c r="I17" i="9" s="1"/>
  <c r="J17" i="9" s="1"/>
  <c r="K17" i="9" s="1"/>
  <c r="L17" i="9" s="1"/>
  <c r="H16" i="9"/>
  <c r="I16" i="9" s="1"/>
  <c r="J16" i="9" s="1"/>
  <c r="K16" i="9" s="1"/>
  <c r="L16" i="9" s="1"/>
  <c r="H15" i="9"/>
  <c r="I15" i="9" s="1"/>
  <c r="J15" i="9" s="1"/>
  <c r="K15" i="9" s="1"/>
  <c r="L15" i="9" s="1"/>
  <c r="H14" i="9"/>
  <c r="I14" i="9" s="1"/>
  <c r="J14" i="9" s="1"/>
  <c r="K14" i="9" s="1"/>
  <c r="L14" i="9" s="1"/>
  <c r="H13" i="9"/>
  <c r="I13" i="9" s="1"/>
  <c r="J13" i="9" s="1"/>
  <c r="K13" i="9" s="1"/>
  <c r="L13" i="9" s="1"/>
  <c r="H12" i="9"/>
  <c r="I12" i="9" s="1"/>
  <c r="J12" i="9" s="1"/>
  <c r="K12" i="9" s="1"/>
  <c r="L12" i="9" s="1"/>
  <c r="H11" i="9"/>
  <c r="I11" i="9" s="1"/>
  <c r="J11" i="9" s="1"/>
  <c r="K11" i="9" s="1"/>
  <c r="L11" i="9" s="1"/>
  <c r="H10" i="9"/>
  <c r="I10" i="9" s="1"/>
  <c r="J10" i="9" s="1"/>
  <c r="K10" i="9" s="1"/>
  <c r="L10" i="9" s="1"/>
  <c r="H9" i="9"/>
  <c r="I9" i="9" s="1"/>
  <c r="J9" i="9" s="1"/>
  <c r="K9" i="9" s="1"/>
  <c r="L9" i="9" s="1"/>
  <c r="H8" i="9"/>
  <c r="I8" i="9" s="1"/>
  <c r="J8" i="9" s="1"/>
  <c r="K8" i="9" s="1"/>
  <c r="L8" i="9" s="1"/>
  <c r="H7" i="9"/>
  <c r="I7" i="9" s="1"/>
  <c r="J7" i="9" s="1"/>
  <c r="K7" i="9" s="1"/>
  <c r="L7" i="9" s="1"/>
  <c r="H6" i="9"/>
  <c r="I6" i="9" s="1"/>
  <c r="J6" i="9" s="1"/>
  <c r="K6" i="9" s="1"/>
  <c r="L6" i="9" s="1"/>
  <c r="H5" i="9"/>
  <c r="I5" i="9" s="1"/>
  <c r="J5" i="9" s="1"/>
  <c r="K5" i="9" s="1"/>
  <c r="L5" i="9" s="1"/>
  <c r="H4" i="8"/>
  <c r="I4" i="8" s="1"/>
  <c r="J4" i="8" s="1"/>
  <c r="H31" i="8"/>
  <c r="I31" i="8" s="1"/>
  <c r="J31" i="8" s="1"/>
  <c r="K31" i="8" s="1"/>
  <c r="H30" i="8"/>
  <c r="I30" i="8" s="1"/>
  <c r="J30" i="8" s="1"/>
  <c r="K30" i="8" s="1"/>
  <c r="H29" i="8"/>
  <c r="I29" i="8" s="1"/>
  <c r="J29" i="8" s="1"/>
  <c r="K29" i="8" s="1"/>
  <c r="H28" i="8"/>
  <c r="I28" i="8" s="1"/>
  <c r="J28" i="8" s="1"/>
  <c r="K28" i="8" s="1"/>
  <c r="H27" i="8"/>
  <c r="I27" i="8" s="1"/>
  <c r="J27" i="8" s="1"/>
  <c r="K27" i="8" s="1"/>
  <c r="H26" i="8"/>
  <c r="I26" i="8" s="1"/>
  <c r="J26" i="8" s="1"/>
  <c r="K26" i="8" s="1"/>
  <c r="H25" i="8"/>
  <c r="I25" i="8" s="1"/>
  <c r="J25" i="8" s="1"/>
  <c r="K25" i="8" s="1"/>
  <c r="H24" i="8"/>
  <c r="I24" i="8" s="1"/>
  <c r="J24" i="8" s="1"/>
  <c r="K24" i="8" s="1"/>
  <c r="H23" i="8"/>
  <c r="I23" i="8" s="1"/>
  <c r="J23" i="8" s="1"/>
  <c r="K23" i="8" s="1"/>
  <c r="H22" i="8"/>
  <c r="I22" i="8" s="1"/>
  <c r="J22" i="8" s="1"/>
  <c r="K22" i="8" s="1"/>
  <c r="H21" i="8"/>
  <c r="I21" i="8" s="1"/>
  <c r="J21" i="8" s="1"/>
  <c r="K21" i="8" s="1"/>
  <c r="H20" i="8"/>
  <c r="I20" i="8" s="1"/>
  <c r="J20" i="8" s="1"/>
  <c r="K20" i="8" s="1"/>
  <c r="H19" i="8"/>
  <c r="I19" i="8" s="1"/>
  <c r="J19" i="8" s="1"/>
  <c r="K19" i="8" s="1"/>
  <c r="H18" i="8"/>
  <c r="I18" i="8" s="1"/>
  <c r="J18" i="8" s="1"/>
  <c r="K18" i="8" s="1"/>
  <c r="H17" i="8"/>
  <c r="I17" i="8" s="1"/>
  <c r="J17" i="8" s="1"/>
  <c r="K17" i="8" s="1"/>
  <c r="H16" i="8"/>
  <c r="I16" i="8" s="1"/>
  <c r="J16" i="8" s="1"/>
  <c r="K16" i="8" s="1"/>
  <c r="H15" i="8"/>
  <c r="I15" i="8" s="1"/>
  <c r="J15" i="8" s="1"/>
  <c r="K15" i="8" s="1"/>
  <c r="H14" i="8"/>
  <c r="I14" i="8" s="1"/>
  <c r="J14" i="8" s="1"/>
  <c r="K14" i="8" s="1"/>
  <c r="H13" i="8"/>
  <c r="I13" i="8" s="1"/>
  <c r="J13" i="8" s="1"/>
  <c r="K13" i="8" s="1"/>
  <c r="H12" i="8"/>
  <c r="I12" i="8" s="1"/>
  <c r="J12" i="8" s="1"/>
  <c r="K12" i="8" s="1"/>
  <c r="H11" i="8"/>
  <c r="I11" i="8" s="1"/>
  <c r="J11" i="8" s="1"/>
  <c r="K11" i="8" s="1"/>
  <c r="H10" i="8"/>
  <c r="I10" i="8" s="1"/>
  <c r="J10" i="8" s="1"/>
  <c r="K10" i="8" s="1"/>
  <c r="H9" i="8"/>
  <c r="I9" i="8" s="1"/>
  <c r="J9" i="8" s="1"/>
  <c r="K9" i="8" s="1"/>
  <c r="H8" i="8"/>
  <c r="I8" i="8" s="1"/>
  <c r="J8" i="8" s="1"/>
  <c r="K8" i="8" s="1"/>
  <c r="H7" i="8"/>
  <c r="I7" i="8" s="1"/>
  <c r="J7" i="8" s="1"/>
  <c r="K7" i="8" s="1"/>
  <c r="H6" i="8"/>
  <c r="I6" i="8" s="1"/>
  <c r="J6" i="8" s="1"/>
  <c r="K6" i="8" s="1"/>
  <c r="H5" i="8"/>
  <c r="I5" i="8" s="1"/>
  <c r="J5" i="8" s="1"/>
  <c r="K5" i="8" s="1"/>
  <c r="H39" i="7"/>
  <c r="I39" i="7" s="1"/>
  <c r="J39" i="7" s="1"/>
  <c r="K39" i="7" s="1"/>
  <c r="H38" i="7"/>
  <c r="I38" i="7" s="1"/>
  <c r="J38" i="7" s="1"/>
  <c r="K38" i="7" s="1"/>
  <c r="H37" i="7"/>
  <c r="I37" i="7" s="1"/>
  <c r="J37" i="7" s="1"/>
  <c r="K37" i="7" s="1"/>
  <c r="H36" i="7"/>
  <c r="I36" i="7" s="1"/>
  <c r="J36" i="7" s="1"/>
  <c r="K36" i="7" s="1"/>
  <c r="H35" i="7"/>
  <c r="I35" i="7" s="1"/>
  <c r="J35" i="7" s="1"/>
  <c r="K35" i="7" s="1"/>
  <c r="H34" i="7"/>
  <c r="I34" i="7" s="1"/>
  <c r="J34" i="7" s="1"/>
  <c r="K34" i="7" s="1"/>
  <c r="H33" i="7"/>
  <c r="I33" i="7" s="1"/>
  <c r="J33" i="7" s="1"/>
  <c r="K33" i="7" s="1"/>
  <c r="H32" i="7"/>
  <c r="I32" i="7" s="1"/>
  <c r="J32" i="7" s="1"/>
  <c r="K32" i="7" s="1"/>
  <c r="H31" i="7"/>
  <c r="I31" i="7" s="1"/>
  <c r="J31" i="7" s="1"/>
  <c r="K31" i="7" s="1"/>
  <c r="H30" i="7"/>
  <c r="I30" i="7" s="1"/>
  <c r="J30" i="7" s="1"/>
  <c r="K30" i="7" s="1"/>
  <c r="H29" i="7"/>
  <c r="I29" i="7" s="1"/>
  <c r="J29" i="7" s="1"/>
  <c r="K29" i="7" s="1"/>
  <c r="H28" i="7"/>
  <c r="I28" i="7" s="1"/>
  <c r="J28" i="7" s="1"/>
  <c r="K28" i="7" s="1"/>
  <c r="H27" i="7"/>
  <c r="I27" i="7" s="1"/>
  <c r="J27" i="7" s="1"/>
  <c r="K27" i="7" s="1"/>
  <c r="H26" i="7"/>
  <c r="I26" i="7" s="1"/>
  <c r="J26" i="7" s="1"/>
  <c r="K26" i="7" s="1"/>
  <c r="H25" i="7"/>
  <c r="I25" i="7" s="1"/>
  <c r="J25" i="7" s="1"/>
  <c r="K25" i="7" s="1"/>
  <c r="H24" i="7"/>
  <c r="I24" i="7" s="1"/>
  <c r="J24" i="7" s="1"/>
  <c r="K24" i="7" s="1"/>
  <c r="H23" i="7"/>
  <c r="I23" i="7" s="1"/>
  <c r="J23" i="7" s="1"/>
  <c r="K23" i="7" s="1"/>
  <c r="H22" i="7"/>
  <c r="I22" i="7" s="1"/>
  <c r="J22" i="7" s="1"/>
  <c r="K22" i="7" s="1"/>
  <c r="H21" i="7"/>
  <c r="I21" i="7" s="1"/>
  <c r="J21" i="7" s="1"/>
  <c r="K21" i="7" s="1"/>
  <c r="H20" i="7"/>
  <c r="I20" i="7" s="1"/>
  <c r="J20" i="7" s="1"/>
  <c r="K20" i="7" s="1"/>
  <c r="H19" i="7"/>
  <c r="I19" i="7" s="1"/>
  <c r="J19" i="7" s="1"/>
  <c r="K19" i="7" s="1"/>
  <c r="H18" i="7"/>
  <c r="I18" i="7" s="1"/>
  <c r="J18" i="7" s="1"/>
  <c r="K18" i="7" s="1"/>
  <c r="H17" i="7"/>
  <c r="I17" i="7" s="1"/>
  <c r="J17" i="7" s="1"/>
  <c r="K17" i="7" s="1"/>
  <c r="H16" i="7"/>
  <c r="I16" i="7" s="1"/>
  <c r="J16" i="7" s="1"/>
  <c r="K16" i="7" s="1"/>
  <c r="H15" i="7"/>
  <c r="I15" i="7" s="1"/>
  <c r="J15" i="7" s="1"/>
  <c r="K15" i="7" s="1"/>
  <c r="H13" i="7"/>
  <c r="I13" i="7" s="1"/>
  <c r="J13" i="7" s="1"/>
  <c r="K13" i="7" s="1"/>
  <c r="H12" i="7"/>
  <c r="I12" i="7" s="1"/>
  <c r="J12" i="7" s="1"/>
  <c r="K12" i="7" s="1"/>
  <c r="H11" i="7"/>
  <c r="I11" i="7" s="1"/>
  <c r="J11" i="7" s="1"/>
  <c r="K11" i="7" s="1"/>
  <c r="H10" i="7"/>
  <c r="I10" i="7" s="1"/>
  <c r="J10" i="7" s="1"/>
  <c r="K10" i="7" s="1"/>
  <c r="H8" i="7"/>
  <c r="I8" i="7" s="1"/>
  <c r="J8" i="7" s="1"/>
  <c r="K8" i="7" s="1"/>
  <c r="H7" i="7"/>
  <c r="I7" i="7" s="1"/>
  <c r="J7" i="7" s="1"/>
  <c r="K7" i="7" s="1"/>
  <c r="H6" i="7"/>
  <c r="I6" i="7" s="1"/>
  <c r="J6" i="7" s="1"/>
  <c r="K6" i="7" s="1"/>
  <c r="H5" i="7"/>
  <c r="I5" i="7" s="1"/>
  <c r="J5" i="7" s="1"/>
  <c r="K5" i="7" s="1"/>
  <c r="H4" i="7"/>
  <c r="I4" i="7" s="1"/>
  <c r="J4" i="7" s="1"/>
  <c r="K4" i="7" s="1"/>
  <c r="H67" i="6"/>
  <c r="I67" i="6" s="1"/>
  <c r="J67" i="6" s="1"/>
  <c r="K67" i="6" s="1"/>
  <c r="H66" i="6"/>
  <c r="I66" i="6" s="1"/>
  <c r="J66" i="6" s="1"/>
  <c r="K66" i="6" s="1"/>
  <c r="H65" i="6"/>
  <c r="I65" i="6" s="1"/>
  <c r="J65" i="6" s="1"/>
  <c r="K65" i="6" s="1"/>
  <c r="H64" i="6"/>
  <c r="I64" i="6" s="1"/>
  <c r="J64" i="6" s="1"/>
  <c r="K64" i="6" s="1"/>
  <c r="H63" i="6"/>
  <c r="I63" i="6" s="1"/>
  <c r="J63" i="6" s="1"/>
  <c r="K63" i="6" s="1"/>
  <c r="H62" i="6"/>
  <c r="I62" i="6" s="1"/>
  <c r="J62" i="6" s="1"/>
  <c r="K62" i="6" s="1"/>
  <c r="H61" i="6"/>
  <c r="I61" i="6" s="1"/>
  <c r="J61" i="6" s="1"/>
  <c r="K61" i="6" s="1"/>
  <c r="H60" i="6"/>
  <c r="I60" i="6" s="1"/>
  <c r="J60" i="6" s="1"/>
  <c r="K60" i="6" s="1"/>
  <c r="H59" i="6"/>
  <c r="I59" i="6" s="1"/>
  <c r="J59" i="6" s="1"/>
  <c r="K59" i="6" s="1"/>
  <c r="H58" i="6"/>
  <c r="I58" i="6" s="1"/>
  <c r="J58" i="6" s="1"/>
  <c r="K58" i="6" s="1"/>
  <c r="H57" i="6"/>
  <c r="I57" i="6" s="1"/>
  <c r="J57" i="6" s="1"/>
  <c r="K57" i="6" s="1"/>
  <c r="H56" i="6"/>
  <c r="I56" i="6" s="1"/>
  <c r="J56" i="6" s="1"/>
  <c r="K56" i="6" s="1"/>
  <c r="H55" i="6"/>
  <c r="I55" i="6" s="1"/>
  <c r="J55" i="6" s="1"/>
  <c r="K55" i="6" s="1"/>
  <c r="H54" i="6"/>
  <c r="I54" i="6" s="1"/>
  <c r="J54" i="6" s="1"/>
  <c r="K54" i="6" s="1"/>
  <c r="H53" i="6"/>
  <c r="I53" i="6" s="1"/>
  <c r="J53" i="6" s="1"/>
  <c r="K53" i="6" s="1"/>
  <c r="H52" i="6"/>
  <c r="I52" i="6" s="1"/>
  <c r="J52" i="6" s="1"/>
  <c r="K52" i="6" s="1"/>
  <c r="H51" i="6"/>
  <c r="I51" i="6" s="1"/>
  <c r="J51" i="6" s="1"/>
  <c r="K51" i="6" s="1"/>
  <c r="H50" i="6"/>
  <c r="I50" i="6" s="1"/>
  <c r="J50" i="6" s="1"/>
  <c r="K50" i="6" s="1"/>
  <c r="H49" i="6"/>
  <c r="I49" i="6" s="1"/>
  <c r="J49" i="6" s="1"/>
  <c r="K49" i="6" s="1"/>
  <c r="H47" i="6"/>
  <c r="I47" i="6" s="1"/>
  <c r="J47" i="6" s="1"/>
  <c r="K47" i="6" s="1"/>
  <c r="H46" i="6"/>
  <c r="I46" i="6" s="1"/>
  <c r="J46" i="6" s="1"/>
  <c r="K46" i="6" s="1"/>
  <c r="H45" i="6"/>
  <c r="I45" i="6" s="1"/>
  <c r="J45" i="6" s="1"/>
  <c r="K45" i="6" s="1"/>
  <c r="H44" i="6"/>
  <c r="I44" i="6" s="1"/>
  <c r="J44" i="6" s="1"/>
  <c r="K44" i="6" s="1"/>
  <c r="H43" i="6"/>
  <c r="I43" i="6" s="1"/>
  <c r="J43" i="6" s="1"/>
  <c r="K43" i="6" s="1"/>
  <c r="H42" i="6"/>
  <c r="I42" i="6" s="1"/>
  <c r="J42" i="6" s="1"/>
  <c r="K42" i="6" s="1"/>
  <c r="H41" i="6"/>
  <c r="I41" i="6" s="1"/>
  <c r="J41" i="6" s="1"/>
  <c r="K41" i="6" s="1"/>
  <c r="H40" i="6"/>
  <c r="I40" i="6" s="1"/>
  <c r="J40" i="6" s="1"/>
  <c r="K40" i="6" s="1"/>
  <c r="H39" i="6"/>
  <c r="I39" i="6" s="1"/>
  <c r="J39" i="6" s="1"/>
  <c r="K39" i="6" s="1"/>
  <c r="H38" i="6"/>
  <c r="I38" i="6" s="1"/>
  <c r="J38" i="6" s="1"/>
  <c r="K38" i="6" s="1"/>
  <c r="H37" i="6"/>
  <c r="I37" i="6" s="1"/>
  <c r="J37" i="6" s="1"/>
  <c r="K37" i="6" s="1"/>
  <c r="H36" i="6"/>
  <c r="I36" i="6" s="1"/>
  <c r="J36" i="6" s="1"/>
  <c r="K36" i="6" s="1"/>
  <c r="H35" i="6"/>
  <c r="I35" i="6" s="1"/>
  <c r="J35" i="6" s="1"/>
  <c r="K35" i="6" s="1"/>
  <c r="H34" i="6"/>
  <c r="I34" i="6" s="1"/>
  <c r="J34" i="6" s="1"/>
  <c r="K34" i="6" s="1"/>
  <c r="H33" i="6"/>
  <c r="I33" i="6" s="1"/>
  <c r="J33" i="6" s="1"/>
  <c r="K33" i="6" s="1"/>
  <c r="H32" i="6"/>
  <c r="I32" i="6" s="1"/>
  <c r="J32" i="6" s="1"/>
  <c r="K32" i="6" s="1"/>
  <c r="H31" i="6"/>
  <c r="I31" i="6" s="1"/>
  <c r="J31" i="6" s="1"/>
  <c r="K31" i="6" s="1"/>
  <c r="H30" i="6"/>
  <c r="I30" i="6" s="1"/>
  <c r="J30" i="6" s="1"/>
  <c r="K30" i="6" s="1"/>
  <c r="H29" i="6"/>
  <c r="I29" i="6" s="1"/>
  <c r="J29" i="6" s="1"/>
  <c r="K29" i="6" s="1"/>
  <c r="H28" i="6"/>
  <c r="I28" i="6" s="1"/>
  <c r="J28" i="6" s="1"/>
  <c r="K28" i="6" s="1"/>
  <c r="H27" i="6"/>
  <c r="I27" i="6" s="1"/>
  <c r="J27" i="6" s="1"/>
  <c r="K27" i="6" s="1"/>
  <c r="H26" i="6"/>
  <c r="I26" i="6" s="1"/>
  <c r="J26" i="6" s="1"/>
  <c r="K26" i="6" s="1"/>
  <c r="H25" i="6"/>
  <c r="I25" i="6" s="1"/>
  <c r="J25" i="6" s="1"/>
  <c r="K25" i="6" s="1"/>
  <c r="H24" i="6"/>
  <c r="I24" i="6" s="1"/>
  <c r="J24" i="6" s="1"/>
  <c r="K24" i="6" s="1"/>
  <c r="H23" i="6"/>
  <c r="I23" i="6" s="1"/>
  <c r="J23" i="6" s="1"/>
  <c r="K23" i="6" s="1"/>
  <c r="H22" i="6"/>
  <c r="I22" i="6" s="1"/>
  <c r="J22" i="6" s="1"/>
  <c r="K22" i="6" s="1"/>
  <c r="H21" i="6"/>
  <c r="I21" i="6" s="1"/>
  <c r="J21" i="6" s="1"/>
  <c r="K21" i="6" s="1"/>
  <c r="H20" i="6"/>
  <c r="I20" i="6" s="1"/>
  <c r="J20" i="6" s="1"/>
  <c r="K20" i="6" s="1"/>
  <c r="H19" i="6"/>
  <c r="I19" i="6" s="1"/>
  <c r="J19" i="6" s="1"/>
  <c r="K19" i="6" s="1"/>
  <c r="H18" i="6"/>
  <c r="I18" i="6" s="1"/>
  <c r="J18" i="6" s="1"/>
  <c r="K18" i="6" s="1"/>
  <c r="H17" i="6"/>
  <c r="I17" i="6" s="1"/>
  <c r="J17" i="6" s="1"/>
  <c r="K17" i="6" s="1"/>
  <c r="H16" i="6"/>
  <c r="I16" i="6" s="1"/>
  <c r="J16" i="6" s="1"/>
  <c r="K16" i="6" s="1"/>
  <c r="H15" i="6"/>
  <c r="I15" i="6" s="1"/>
  <c r="J15" i="6" s="1"/>
  <c r="K15" i="6" s="1"/>
  <c r="H14" i="6"/>
  <c r="I14" i="6" s="1"/>
  <c r="J14" i="6" s="1"/>
  <c r="K14" i="6" s="1"/>
  <c r="H13" i="6"/>
  <c r="I13" i="6" s="1"/>
  <c r="J13" i="6" s="1"/>
  <c r="K13" i="6" s="1"/>
  <c r="H12" i="6"/>
  <c r="I12" i="6" s="1"/>
  <c r="J12" i="6" s="1"/>
  <c r="K12" i="6" s="1"/>
  <c r="H11" i="6"/>
  <c r="I11" i="6" s="1"/>
  <c r="J11" i="6" s="1"/>
  <c r="K11" i="6" s="1"/>
  <c r="H10" i="6"/>
  <c r="I10" i="6" s="1"/>
  <c r="J10" i="6" s="1"/>
  <c r="K10" i="6" s="1"/>
  <c r="H9" i="6"/>
  <c r="I9" i="6" s="1"/>
  <c r="J9" i="6" s="1"/>
  <c r="K9" i="6" s="1"/>
  <c r="H8" i="6"/>
  <c r="I8" i="6" s="1"/>
  <c r="J8" i="6" s="1"/>
  <c r="K8" i="6" s="1"/>
  <c r="H7" i="6"/>
  <c r="I7" i="6" s="1"/>
  <c r="J7" i="6" s="1"/>
  <c r="K7" i="6" s="1"/>
  <c r="H6" i="6"/>
  <c r="I6" i="6" s="1"/>
  <c r="J6" i="6" s="1"/>
  <c r="K6" i="6" s="1"/>
  <c r="H5" i="6"/>
  <c r="I5" i="6" s="1"/>
  <c r="J5" i="6" s="1"/>
  <c r="K5" i="6" s="1"/>
  <c r="H4" i="6"/>
  <c r="I4" i="6" s="1"/>
  <c r="J4" i="6" s="1"/>
  <c r="K4" i="6" s="1"/>
  <c r="H71" i="5"/>
  <c r="I71" i="5" s="1"/>
  <c r="J71" i="5" s="1"/>
  <c r="K71" i="5" s="1"/>
  <c r="H70" i="5"/>
  <c r="I70" i="5" s="1"/>
  <c r="J70" i="5" s="1"/>
  <c r="K70" i="5" s="1"/>
  <c r="H69" i="5"/>
  <c r="I69" i="5" s="1"/>
  <c r="J69" i="5" s="1"/>
  <c r="K69" i="5" s="1"/>
  <c r="H68" i="5"/>
  <c r="I68" i="5" s="1"/>
  <c r="J68" i="5" s="1"/>
  <c r="K68" i="5" s="1"/>
  <c r="H67" i="5"/>
  <c r="I67" i="5" s="1"/>
  <c r="J67" i="5" s="1"/>
  <c r="K67" i="5" s="1"/>
  <c r="H66" i="5"/>
  <c r="I66" i="5" s="1"/>
  <c r="J66" i="5" s="1"/>
  <c r="K66" i="5" s="1"/>
  <c r="H65" i="5"/>
  <c r="I65" i="5" s="1"/>
  <c r="J65" i="5" s="1"/>
  <c r="K65" i="5" s="1"/>
  <c r="H64" i="5"/>
  <c r="I64" i="5" s="1"/>
  <c r="J64" i="5" s="1"/>
  <c r="K64" i="5" s="1"/>
  <c r="H63" i="5"/>
  <c r="I63" i="5" s="1"/>
  <c r="J63" i="5" s="1"/>
  <c r="K63" i="5" s="1"/>
  <c r="H62" i="5"/>
  <c r="I62" i="5" s="1"/>
  <c r="J62" i="5" s="1"/>
  <c r="K62" i="5" s="1"/>
  <c r="H61" i="5"/>
  <c r="I61" i="5" s="1"/>
  <c r="J61" i="5" s="1"/>
  <c r="K61" i="5" s="1"/>
  <c r="H60" i="5"/>
  <c r="I60" i="5" s="1"/>
  <c r="J60" i="5" s="1"/>
  <c r="K60" i="5" s="1"/>
  <c r="H59" i="5"/>
  <c r="I59" i="5" s="1"/>
  <c r="J59" i="5" s="1"/>
  <c r="K59" i="5" s="1"/>
  <c r="H58" i="5"/>
  <c r="I58" i="5" s="1"/>
  <c r="J58" i="5" s="1"/>
  <c r="K58" i="5" s="1"/>
  <c r="H57" i="5"/>
  <c r="I57" i="5" s="1"/>
  <c r="J57" i="5" s="1"/>
  <c r="K57" i="5" s="1"/>
  <c r="H56" i="5"/>
  <c r="I56" i="5" s="1"/>
  <c r="J56" i="5" s="1"/>
  <c r="K56" i="5" s="1"/>
  <c r="H54" i="5"/>
  <c r="I54" i="5" s="1"/>
  <c r="J54" i="5" s="1"/>
  <c r="K54" i="5" s="1"/>
  <c r="H53" i="5"/>
  <c r="I53" i="5" s="1"/>
  <c r="J53" i="5" s="1"/>
  <c r="K53" i="5" s="1"/>
  <c r="H52" i="5"/>
  <c r="I52" i="5" s="1"/>
  <c r="J52" i="5" s="1"/>
  <c r="K52" i="5" s="1"/>
  <c r="H51" i="5"/>
  <c r="I51" i="5" s="1"/>
  <c r="J51" i="5" s="1"/>
  <c r="K51" i="5" s="1"/>
  <c r="H50" i="5"/>
  <c r="I50" i="5" s="1"/>
  <c r="J50" i="5" s="1"/>
  <c r="K50" i="5" s="1"/>
  <c r="H49" i="5"/>
  <c r="I49" i="5" s="1"/>
  <c r="J49" i="5" s="1"/>
  <c r="K49" i="5" s="1"/>
  <c r="H48" i="5"/>
  <c r="I48" i="5" s="1"/>
  <c r="J48" i="5" s="1"/>
  <c r="K48" i="5" s="1"/>
  <c r="H47" i="5"/>
  <c r="I47" i="5" s="1"/>
  <c r="J47" i="5" s="1"/>
  <c r="K47" i="5" s="1"/>
  <c r="H46" i="5"/>
  <c r="I46" i="5" s="1"/>
  <c r="J46" i="5" s="1"/>
  <c r="K46" i="5" s="1"/>
  <c r="H45" i="5"/>
  <c r="I45" i="5" s="1"/>
  <c r="J45" i="5" s="1"/>
  <c r="K45" i="5" s="1"/>
  <c r="H44" i="5"/>
  <c r="I44" i="5" s="1"/>
  <c r="J44" i="5" s="1"/>
  <c r="K44" i="5" s="1"/>
  <c r="H43" i="5"/>
  <c r="I43" i="5" s="1"/>
  <c r="J43" i="5" s="1"/>
  <c r="K43" i="5" s="1"/>
  <c r="H42" i="5"/>
  <c r="I42" i="5" s="1"/>
  <c r="J42" i="5" s="1"/>
  <c r="K42" i="5" s="1"/>
  <c r="H41" i="5"/>
  <c r="I41" i="5" s="1"/>
  <c r="J41" i="5" s="1"/>
  <c r="K41" i="5" s="1"/>
  <c r="H40" i="5"/>
  <c r="I40" i="5" s="1"/>
  <c r="J40" i="5" s="1"/>
  <c r="K40" i="5" s="1"/>
  <c r="H39" i="5"/>
  <c r="I39" i="5" s="1"/>
  <c r="J39" i="5" s="1"/>
  <c r="K39" i="5" s="1"/>
  <c r="H38" i="5"/>
  <c r="I38" i="5" s="1"/>
  <c r="J38" i="5" s="1"/>
  <c r="K38" i="5" s="1"/>
  <c r="H37" i="5"/>
  <c r="I37" i="5" s="1"/>
  <c r="J37" i="5" s="1"/>
  <c r="K37" i="5" s="1"/>
  <c r="H36" i="5"/>
  <c r="I36" i="5" s="1"/>
  <c r="J36" i="5" s="1"/>
  <c r="K36" i="5" s="1"/>
  <c r="H35" i="5"/>
  <c r="I35" i="5" s="1"/>
  <c r="J35" i="5" s="1"/>
  <c r="K35" i="5" s="1"/>
  <c r="H34" i="5"/>
  <c r="I34" i="5" s="1"/>
  <c r="J34" i="5" s="1"/>
  <c r="K34" i="5" s="1"/>
  <c r="H33" i="5"/>
  <c r="I33" i="5" s="1"/>
  <c r="J33" i="5" s="1"/>
  <c r="K33" i="5" s="1"/>
  <c r="H32" i="5"/>
  <c r="I32" i="5" s="1"/>
  <c r="J32" i="5" s="1"/>
  <c r="K32" i="5" s="1"/>
  <c r="H31" i="5"/>
  <c r="I31" i="5" s="1"/>
  <c r="J31" i="5" s="1"/>
  <c r="K31" i="5" s="1"/>
  <c r="H30" i="5"/>
  <c r="I30" i="5" s="1"/>
  <c r="J30" i="5" s="1"/>
  <c r="K30" i="5" s="1"/>
  <c r="H29" i="5"/>
  <c r="I29" i="5" s="1"/>
  <c r="J29" i="5" s="1"/>
  <c r="K29" i="5" s="1"/>
  <c r="H28" i="5"/>
  <c r="I28" i="5" s="1"/>
  <c r="J28" i="5" s="1"/>
  <c r="K28" i="5" s="1"/>
  <c r="H27" i="5"/>
  <c r="I27" i="5" s="1"/>
  <c r="J27" i="5" s="1"/>
  <c r="K27" i="5" s="1"/>
  <c r="H26" i="5"/>
  <c r="I26" i="5" s="1"/>
  <c r="J26" i="5" s="1"/>
  <c r="K26" i="5" s="1"/>
  <c r="H25" i="5"/>
  <c r="I25" i="5" s="1"/>
  <c r="J25" i="5" s="1"/>
  <c r="K25" i="5" s="1"/>
  <c r="H24" i="5"/>
  <c r="I24" i="5" s="1"/>
  <c r="J24" i="5" s="1"/>
  <c r="K24" i="5" s="1"/>
  <c r="H23" i="5"/>
  <c r="I23" i="5" s="1"/>
  <c r="J23" i="5" s="1"/>
  <c r="K23" i="5" s="1"/>
  <c r="H22" i="5"/>
  <c r="I22" i="5" s="1"/>
  <c r="J22" i="5" s="1"/>
  <c r="K22" i="5" s="1"/>
  <c r="H21" i="5"/>
  <c r="I21" i="5" s="1"/>
  <c r="J21" i="5" s="1"/>
  <c r="K21" i="5" s="1"/>
  <c r="H20" i="5"/>
  <c r="I20" i="5" s="1"/>
  <c r="J20" i="5" s="1"/>
  <c r="K20" i="5" s="1"/>
  <c r="H19" i="5"/>
  <c r="I19" i="5" s="1"/>
  <c r="J19" i="5" s="1"/>
  <c r="K19" i="5" s="1"/>
  <c r="H18" i="5"/>
  <c r="I18" i="5" s="1"/>
  <c r="J18" i="5" s="1"/>
  <c r="K18" i="5" s="1"/>
  <c r="H17" i="5"/>
  <c r="I17" i="5" s="1"/>
  <c r="J17" i="5" s="1"/>
  <c r="K17" i="5" s="1"/>
  <c r="H16" i="5"/>
  <c r="I16" i="5" s="1"/>
  <c r="J16" i="5" s="1"/>
  <c r="K16" i="5" s="1"/>
  <c r="H15" i="5"/>
  <c r="I15" i="5" s="1"/>
  <c r="J15" i="5" s="1"/>
  <c r="K15" i="5" s="1"/>
  <c r="H14" i="5"/>
  <c r="I14" i="5" s="1"/>
  <c r="J14" i="5" s="1"/>
  <c r="K14" i="5" s="1"/>
  <c r="H13" i="5"/>
  <c r="I13" i="5" s="1"/>
  <c r="J13" i="5" s="1"/>
  <c r="K13" i="5" s="1"/>
  <c r="H12" i="5"/>
  <c r="I12" i="5" s="1"/>
  <c r="J12" i="5" s="1"/>
  <c r="K12" i="5" s="1"/>
  <c r="H11" i="5"/>
  <c r="I11" i="5" s="1"/>
  <c r="J11" i="5" s="1"/>
  <c r="K11" i="5" s="1"/>
  <c r="H10" i="5"/>
  <c r="I10" i="5" s="1"/>
  <c r="J10" i="5" s="1"/>
  <c r="K10" i="5" s="1"/>
  <c r="H9" i="5"/>
  <c r="I9" i="5" s="1"/>
  <c r="J9" i="5" s="1"/>
  <c r="K9" i="5" s="1"/>
  <c r="H8" i="5"/>
  <c r="I8" i="5" s="1"/>
  <c r="J8" i="5" s="1"/>
  <c r="K8" i="5" s="1"/>
  <c r="H7" i="5"/>
  <c r="I7" i="5" s="1"/>
  <c r="J7" i="5" s="1"/>
  <c r="K7" i="5" s="1"/>
  <c r="H6" i="5"/>
  <c r="I6" i="5" s="1"/>
  <c r="J6" i="5" s="1"/>
  <c r="K6" i="5" s="1"/>
  <c r="H5" i="5"/>
  <c r="I5" i="5" s="1"/>
  <c r="J5" i="5" s="1"/>
  <c r="K5" i="5" s="1"/>
  <c r="H4" i="5"/>
  <c r="I4" i="5" s="1"/>
  <c r="J4" i="5" s="1"/>
  <c r="K4" i="5" s="1"/>
  <c r="H123" i="4"/>
  <c r="I123" i="4" s="1"/>
  <c r="J123" i="4" s="1"/>
  <c r="K123" i="4" s="1"/>
  <c r="H122" i="4"/>
  <c r="I122" i="4" s="1"/>
  <c r="J122" i="4" s="1"/>
  <c r="K122" i="4" s="1"/>
  <c r="H121" i="4"/>
  <c r="I121" i="4" s="1"/>
  <c r="J121" i="4" s="1"/>
  <c r="K121" i="4" s="1"/>
  <c r="H120" i="4"/>
  <c r="I120" i="4" s="1"/>
  <c r="J120" i="4" s="1"/>
  <c r="K120" i="4" s="1"/>
  <c r="H119" i="4"/>
  <c r="I119" i="4" s="1"/>
  <c r="J119" i="4" s="1"/>
  <c r="K119" i="4" s="1"/>
  <c r="H118" i="4"/>
  <c r="I118" i="4" s="1"/>
  <c r="J118" i="4" s="1"/>
  <c r="K118" i="4" s="1"/>
  <c r="H117" i="4"/>
  <c r="I117" i="4" s="1"/>
  <c r="J117" i="4" s="1"/>
  <c r="K117" i="4" s="1"/>
  <c r="H116" i="4"/>
  <c r="I116" i="4" s="1"/>
  <c r="J116" i="4" s="1"/>
  <c r="K116" i="4" s="1"/>
  <c r="H115" i="4"/>
  <c r="I115" i="4" s="1"/>
  <c r="J115" i="4" s="1"/>
  <c r="K115" i="4" s="1"/>
  <c r="H114" i="4"/>
  <c r="I114" i="4" s="1"/>
  <c r="J114" i="4" s="1"/>
  <c r="K114" i="4" s="1"/>
  <c r="H113" i="4"/>
  <c r="I113" i="4" s="1"/>
  <c r="J113" i="4" s="1"/>
  <c r="K113" i="4" s="1"/>
  <c r="H112" i="4"/>
  <c r="I112" i="4" s="1"/>
  <c r="J112" i="4" s="1"/>
  <c r="K112" i="4" s="1"/>
  <c r="H111" i="4"/>
  <c r="I111" i="4" s="1"/>
  <c r="J111" i="4" s="1"/>
  <c r="K111" i="4" s="1"/>
  <c r="H110" i="4"/>
  <c r="I110" i="4" s="1"/>
  <c r="J110" i="4" s="1"/>
  <c r="K110" i="4" s="1"/>
  <c r="H109" i="4"/>
  <c r="I109" i="4" s="1"/>
  <c r="J109" i="4" s="1"/>
  <c r="K109" i="4" s="1"/>
  <c r="H108" i="4"/>
  <c r="I108" i="4" s="1"/>
  <c r="J108" i="4" s="1"/>
  <c r="K108" i="4" s="1"/>
  <c r="H107" i="4"/>
  <c r="I107" i="4" s="1"/>
  <c r="J107" i="4" s="1"/>
  <c r="K107" i="4" s="1"/>
  <c r="H106" i="4"/>
  <c r="I106" i="4" s="1"/>
  <c r="J106" i="4" s="1"/>
  <c r="K106" i="4" s="1"/>
  <c r="H105" i="4"/>
  <c r="I105" i="4" s="1"/>
  <c r="J105" i="4" s="1"/>
  <c r="K105" i="4" s="1"/>
  <c r="H104" i="4"/>
  <c r="I104" i="4" s="1"/>
  <c r="J104" i="4" s="1"/>
  <c r="K104" i="4" s="1"/>
  <c r="H103" i="4"/>
  <c r="I103" i="4" s="1"/>
  <c r="J103" i="4" s="1"/>
  <c r="K103" i="4" s="1"/>
  <c r="H102" i="4"/>
  <c r="I102" i="4" s="1"/>
  <c r="J102" i="4" s="1"/>
  <c r="K102" i="4" s="1"/>
  <c r="H101" i="4"/>
  <c r="I101" i="4" s="1"/>
  <c r="J101" i="4" s="1"/>
  <c r="K101" i="4" s="1"/>
  <c r="H100" i="4"/>
  <c r="I100" i="4" s="1"/>
  <c r="J100" i="4" s="1"/>
  <c r="K100" i="4" s="1"/>
  <c r="H99" i="4"/>
  <c r="I99" i="4" s="1"/>
  <c r="J99" i="4" s="1"/>
  <c r="K99" i="4" s="1"/>
  <c r="H98" i="4"/>
  <c r="I98" i="4" s="1"/>
  <c r="J98" i="4" s="1"/>
  <c r="K98" i="4" s="1"/>
  <c r="H97" i="4"/>
  <c r="I97" i="4" s="1"/>
  <c r="J97" i="4" s="1"/>
  <c r="K97" i="4" s="1"/>
  <c r="H96" i="4"/>
  <c r="I96" i="4" s="1"/>
  <c r="J96" i="4" s="1"/>
  <c r="K96" i="4" s="1"/>
  <c r="H95" i="4"/>
  <c r="I95" i="4" s="1"/>
  <c r="J95" i="4" s="1"/>
  <c r="K95" i="4" s="1"/>
  <c r="H94" i="4"/>
  <c r="I94" i="4" s="1"/>
  <c r="J94" i="4" s="1"/>
  <c r="K94" i="4" s="1"/>
  <c r="H93" i="4"/>
  <c r="I93" i="4" s="1"/>
  <c r="J93" i="4" s="1"/>
  <c r="K93" i="4" s="1"/>
  <c r="H92" i="4"/>
  <c r="I92" i="4" s="1"/>
  <c r="J92" i="4" s="1"/>
  <c r="K92" i="4" s="1"/>
  <c r="H91" i="4"/>
  <c r="I91" i="4" s="1"/>
  <c r="J91" i="4" s="1"/>
  <c r="K91" i="4" s="1"/>
  <c r="H90" i="4"/>
  <c r="I90" i="4" s="1"/>
  <c r="J90" i="4" s="1"/>
  <c r="K90" i="4" s="1"/>
  <c r="H89" i="4"/>
  <c r="I89" i="4" s="1"/>
  <c r="J89" i="4" s="1"/>
  <c r="K89" i="4" s="1"/>
  <c r="H88" i="4"/>
  <c r="I88" i="4" s="1"/>
  <c r="J88" i="4" s="1"/>
  <c r="K88" i="4" s="1"/>
  <c r="H87" i="4"/>
  <c r="I87" i="4" s="1"/>
  <c r="J87" i="4" s="1"/>
  <c r="K87" i="4" s="1"/>
  <c r="H86" i="4"/>
  <c r="I86" i="4" s="1"/>
  <c r="J86" i="4" s="1"/>
  <c r="K86" i="4" s="1"/>
  <c r="H85" i="4"/>
  <c r="I85" i="4" s="1"/>
  <c r="J85" i="4" s="1"/>
  <c r="K85" i="4" s="1"/>
  <c r="H84" i="4"/>
  <c r="I84" i="4" s="1"/>
  <c r="J84" i="4" s="1"/>
  <c r="K84" i="4" s="1"/>
  <c r="H83" i="4"/>
  <c r="I83" i="4" s="1"/>
  <c r="J83" i="4" s="1"/>
  <c r="K83" i="4" s="1"/>
  <c r="H82" i="4"/>
  <c r="I82" i="4" s="1"/>
  <c r="J82" i="4" s="1"/>
  <c r="K82" i="4" s="1"/>
  <c r="H81" i="4"/>
  <c r="I81" i="4" s="1"/>
  <c r="J81" i="4" s="1"/>
  <c r="K81" i="4" s="1"/>
  <c r="H80" i="4"/>
  <c r="I80" i="4" s="1"/>
  <c r="J80" i="4" s="1"/>
  <c r="K80" i="4" s="1"/>
  <c r="H79" i="4"/>
  <c r="I79" i="4" s="1"/>
  <c r="J79" i="4" s="1"/>
  <c r="K79" i="4" s="1"/>
  <c r="H78" i="4"/>
  <c r="I78" i="4" s="1"/>
  <c r="J78" i="4" s="1"/>
  <c r="K78" i="4" s="1"/>
  <c r="H77" i="4"/>
  <c r="I77" i="4" s="1"/>
  <c r="J77" i="4" s="1"/>
  <c r="K77" i="4" s="1"/>
  <c r="H76" i="4"/>
  <c r="I76" i="4" s="1"/>
  <c r="J76" i="4" s="1"/>
  <c r="K76" i="4" s="1"/>
  <c r="H75" i="4"/>
  <c r="I75" i="4" s="1"/>
  <c r="J75" i="4" s="1"/>
  <c r="K75" i="4" s="1"/>
  <c r="H74" i="4"/>
  <c r="I74" i="4" s="1"/>
  <c r="J74" i="4" s="1"/>
  <c r="K74" i="4" s="1"/>
  <c r="H73" i="4"/>
  <c r="I73" i="4" s="1"/>
  <c r="J73" i="4" s="1"/>
  <c r="K73" i="4" s="1"/>
  <c r="H72" i="4"/>
  <c r="I72" i="4" s="1"/>
  <c r="J72" i="4" s="1"/>
  <c r="K72" i="4" s="1"/>
  <c r="H71" i="4"/>
  <c r="I71" i="4" s="1"/>
  <c r="J71" i="4" s="1"/>
  <c r="K71" i="4" s="1"/>
  <c r="H70" i="4"/>
  <c r="I70" i="4" s="1"/>
  <c r="J70" i="4" s="1"/>
  <c r="K70" i="4" s="1"/>
  <c r="H69" i="4"/>
  <c r="I69" i="4" s="1"/>
  <c r="J69" i="4" s="1"/>
  <c r="K69" i="4" s="1"/>
  <c r="H68" i="4"/>
  <c r="I68" i="4" s="1"/>
  <c r="J68" i="4" s="1"/>
  <c r="K68" i="4" s="1"/>
  <c r="H67" i="4"/>
  <c r="I67" i="4" s="1"/>
  <c r="J67" i="4" s="1"/>
  <c r="K67" i="4" s="1"/>
  <c r="H66" i="4"/>
  <c r="I66" i="4" s="1"/>
  <c r="J66" i="4" s="1"/>
  <c r="K66" i="4" s="1"/>
  <c r="H65" i="4"/>
  <c r="I65" i="4" s="1"/>
  <c r="J65" i="4" s="1"/>
  <c r="K65" i="4" s="1"/>
  <c r="H64" i="4"/>
  <c r="I64" i="4" s="1"/>
  <c r="J64" i="4" s="1"/>
  <c r="K64" i="4" s="1"/>
  <c r="H63" i="4"/>
  <c r="I63" i="4" s="1"/>
  <c r="J63" i="4" s="1"/>
  <c r="K63" i="4" s="1"/>
  <c r="H62" i="4"/>
  <c r="I62" i="4" s="1"/>
  <c r="J62" i="4" s="1"/>
  <c r="K62" i="4" s="1"/>
  <c r="H61" i="4"/>
  <c r="I61" i="4" s="1"/>
  <c r="J61" i="4" s="1"/>
  <c r="K61" i="4" s="1"/>
  <c r="H60" i="4"/>
  <c r="I60" i="4" s="1"/>
  <c r="J60" i="4" s="1"/>
  <c r="K60" i="4" s="1"/>
  <c r="H59" i="4"/>
  <c r="I59" i="4" s="1"/>
  <c r="J59" i="4" s="1"/>
  <c r="K59" i="4" s="1"/>
  <c r="H58" i="4"/>
  <c r="I58" i="4" s="1"/>
  <c r="J58" i="4" s="1"/>
  <c r="K58" i="4" s="1"/>
  <c r="H57" i="4"/>
  <c r="I57" i="4" s="1"/>
  <c r="J57" i="4" s="1"/>
  <c r="K57" i="4" s="1"/>
  <c r="H56" i="4"/>
  <c r="I56" i="4" s="1"/>
  <c r="J56" i="4" s="1"/>
  <c r="K56" i="4" s="1"/>
  <c r="H55" i="4"/>
  <c r="I55" i="4" s="1"/>
  <c r="J55" i="4" s="1"/>
  <c r="K55" i="4" s="1"/>
  <c r="H54" i="4"/>
  <c r="I54" i="4" s="1"/>
  <c r="J54" i="4" s="1"/>
  <c r="K54" i="4" s="1"/>
  <c r="H53" i="4"/>
  <c r="I53" i="4" s="1"/>
  <c r="J53" i="4" s="1"/>
  <c r="K53" i="4" s="1"/>
  <c r="H52" i="4"/>
  <c r="I52" i="4" s="1"/>
  <c r="J52" i="4" s="1"/>
  <c r="K52" i="4" s="1"/>
  <c r="H51" i="4"/>
  <c r="I51" i="4" s="1"/>
  <c r="J51" i="4" s="1"/>
  <c r="K51" i="4" s="1"/>
  <c r="H50" i="4"/>
  <c r="I50" i="4" s="1"/>
  <c r="J50" i="4" s="1"/>
  <c r="K50" i="4" s="1"/>
  <c r="H49" i="4"/>
  <c r="I49" i="4" s="1"/>
  <c r="J49" i="4" s="1"/>
  <c r="K49" i="4" s="1"/>
  <c r="H48" i="4"/>
  <c r="I48" i="4" s="1"/>
  <c r="J48" i="4" s="1"/>
  <c r="K48" i="4" s="1"/>
  <c r="H47" i="4"/>
  <c r="I47" i="4" s="1"/>
  <c r="J47" i="4" s="1"/>
  <c r="K47" i="4" s="1"/>
  <c r="H46" i="4"/>
  <c r="I46" i="4" s="1"/>
  <c r="J46" i="4" s="1"/>
  <c r="K46" i="4" s="1"/>
  <c r="H45" i="4"/>
  <c r="I45" i="4" s="1"/>
  <c r="J45" i="4" s="1"/>
  <c r="K45" i="4" s="1"/>
  <c r="H44" i="4"/>
  <c r="I44" i="4" s="1"/>
  <c r="J44" i="4" s="1"/>
  <c r="K44" i="4" s="1"/>
  <c r="H43" i="4"/>
  <c r="I43" i="4" s="1"/>
  <c r="J43" i="4" s="1"/>
  <c r="K43" i="4" s="1"/>
  <c r="H42" i="4"/>
  <c r="I42" i="4" s="1"/>
  <c r="J42" i="4" s="1"/>
  <c r="K42" i="4" s="1"/>
  <c r="H41" i="4"/>
  <c r="I41" i="4" s="1"/>
  <c r="J41" i="4" s="1"/>
  <c r="K41" i="4" s="1"/>
  <c r="H40" i="4"/>
  <c r="I40" i="4" s="1"/>
  <c r="J40" i="4" s="1"/>
  <c r="K40" i="4" s="1"/>
  <c r="H39" i="4"/>
  <c r="I39" i="4" s="1"/>
  <c r="J39" i="4" s="1"/>
  <c r="K39" i="4" s="1"/>
  <c r="H38" i="4"/>
  <c r="I38" i="4" s="1"/>
  <c r="J38" i="4" s="1"/>
  <c r="K38" i="4" s="1"/>
  <c r="H37" i="4"/>
  <c r="I37" i="4" s="1"/>
  <c r="J37" i="4" s="1"/>
  <c r="K37" i="4" s="1"/>
  <c r="H36" i="4"/>
  <c r="I36" i="4" s="1"/>
  <c r="J36" i="4" s="1"/>
  <c r="K36" i="4" s="1"/>
  <c r="H35" i="4"/>
  <c r="I35" i="4" s="1"/>
  <c r="J35" i="4" s="1"/>
  <c r="K35" i="4" s="1"/>
  <c r="H34" i="4"/>
  <c r="I34" i="4" s="1"/>
  <c r="J34" i="4" s="1"/>
  <c r="K34" i="4" s="1"/>
  <c r="H33" i="4"/>
  <c r="I33" i="4" s="1"/>
  <c r="J33" i="4" s="1"/>
  <c r="K33" i="4" s="1"/>
  <c r="H32" i="4"/>
  <c r="I32" i="4" s="1"/>
  <c r="J32" i="4" s="1"/>
  <c r="K32" i="4" s="1"/>
  <c r="H31" i="4"/>
  <c r="I31" i="4" s="1"/>
  <c r="J31" i="4" s="1"/>
  <c r="K31" i="4" s="1"/>
  <c r="H30" i="4"/>
  <c r="I30" i="4" s="1"/>
  <c r="J30" i="4" s="1"/>
  <c r="K30" i="4" s="1"/>
  <c r="H29" i="4"/>
  <c r="I29" i="4" s="1"/>
  <c r="J29" i="4" s="1"/>
  <c r="K29" i="4" s="1"/>
  <c r="H28" i="4"/>
  <c r="I28" i="4" s="1"/>
  <c r="J28" i="4" s="1"/>
  <c r="K28" i="4" s="1"/>
  <c r="H27" i="4"/>
  <c r="I27" i="4" s="1"/>
  <c r="J27" i="4" s="1"/>
  <c r="K27" i="4" s="1"/>
  <c r="H26" i="4"/>
  <c r="I26" i="4" s="1"/>
  <c r="J26" i="4" s="1"/>
  <c r="K26" i="4" s="1"/>
  <c r="H25" i="4"/>
  <c r="I25" i="4" s="1"/>
  <c r="J25" i="4" s="1"/>
  <c r="K25" i="4" s="1"/>
  <c r="H24" i="4"/>
  <c r="I24" i="4" s="1"/>
  <c r="J24" i="4" s="1"/>
  <c r="K24" i="4" s="1"/>
  <c r="H23" i="4"/>
  <c r="I23" i="4" s="1"/>
  <c r="J23" i="4" s="1"/>
  <c r="K23" i="4" s="1"/>
  <c r="H22" i="4"/>
  <c r="I22" i="4" s="1"/>
  <c r="J22" i="4" s="1"/>
  <c r="K22" i="4" s="1"/>
  <c r="H21" i="4"/>
  <c r="I21" i="4" s="1"/>
  <c r="J21" i="4" s="1"/>
  <c r="K21" i="4" s="1"/>
  <c r="H20" i="4"/>
  <c r="I20" i="4" s="1"/>
  <c r="J20" i="4" s="1"/>
  <c r="K20" i="4" s="1"/>
  <c r="H19" i="4"/>
  <c r="I19" i="4" s="1"/>
  <c r="J19" i="4" s="1"/>
  <c r="K19" i="4" s="1"/>
  <c r="H18" i="4"/>
  <c r="I18" i="4" s="1"/>
  <c r="J18" i="4" s="1"/>
  <c r="K18" i="4" s="1"/>
  <c r="H17" i="4"/>
  <c r="I17" i="4" s="1"/>
  <c r="J17" i="4" s="1"/>
  <c r="K17" i="4" s="1"/>
  <c r="H16" i="4"/>
  <c r="I16" i="4" s="1"/>
  <c r="J16" i="4" s="1"/>
  <c r="K16" i="4" s="1"/>
  <c r="H15" i="4"/>
  <c r="I15" i="4" s="1"/>
  <c r="J15" i="4" s="1"/>
  <c r="K15" i="4" s="1"/>
  <c r="H14" i="4"/>
  <c r="I14" i="4" s="1"/>
  <c r="J14" i="4" s="1"/>
  <c r="K14" i="4" s="1"/>
  <c r="H13" i="4"/>
  <c r="I13" i="4" s="1"/>
  <c r="J13" i="4" s="1"/>
  <c r="K13" i="4" s="1"/>
  <c r="H12" i="4"/>
  <c r="I12" i="4" s="1"/>
  <c r="J12" i="4" s="1"/>
  <c r="K12" i="4" s="1"/>
  <c r="H11" i="4"/>
  <c r="I11" i="4" s="1"/>
  <c r="J11" i="4" s="1"/>
  <c r="K11" i="4" s="1"/>
  <c r="H10" i="4"/>
  <c r="I10" i="4" s="1"/>
  <c r="J10" i="4" s="1"/>
  <c r="K10" i="4" s="1"/>
  <c r="H9" i="4"/>
  <c r="I9" i="4" s="1"/>
  <c r="J9" i="4" s="1"/>
  <c r="K9" i="4" s="1"/>
  <c r="H8" i="4"/>
  <c r="I8" i="4" s="1"/>
  <c r="J8" i="4" s="1"/>
  <c r="K8" i="4" s="1"/>
  <c r="H7" i="4"/>
  <c r="I7" i="4" s="1"/>
  <c r="J7" i="4" s="1"/>
  <c r="K7" i="4" s="1"/>
  <c r="H6" i="4"/>
  <c r="I6" i="4" s="1"/>
  <c r="J6" i="4" s="1"/>
  <c r="K6" i="4" s="1"/>
  <c r="H5" i="4"/>
  <c r="I5" i="4" s="1"/>
  <c r="J5" i="4" s="1"/>
  <c r="K5" i="4" s="1"/>
  <c r="H4" i="4"/>
  <c r="I4" i="4" s="1"/>
  <c r="H124" i="3"/>
  <c r="I124" i="3" s="1"/>
  <c r="J124" i="3" s="1"/>
  <c r="K124" i="3" s="1"/>
  <c r="H125" i="3"/>
  <c r="I125" i="3" s="1"/>
  <c r="J125" i="3" s="1"/>
  <c r="K125" i="3" s="1"/>
  <c r="H126" i="3"/>
  <c r="I126" i="3" s="1"/>
  <c r="J126" i="3" s="1"/>
  <c r="K126" i="3" s="1"/>
  <c r="H127" i="3"/>
  <c r="I127" i="3" s="1"/>
  <c r="J127" i="3" s="1"/>
  <c r="K127" i="3" s="1"/>
  <c r="E5" i="26" l="1"/>
  <c r="E6" i="26" s="1"/>
  <c r="E7" i="26" s="1"/>
  <c r="E8" i="26" s="1"/>
  <c r="E9" i="26" s="1"/>
  <c r="AV9" i="22" s="1"/>
  <c r="F35" i="21"/>
  <c r="G35" i="21" s="1"/>
  <c r="AT9" i="22" s="1"/>
  <c r="B13" i="25"/>
  <c r="L36" i="5"/>
  <c r="M36" i="5" s="1"/>
  <c r="I5" i="15"/>
  <c r="J5" i="15" s="1"/>
  <c r="K5" i="15" s="1"/>
  <c r="L4" i="15" s="1"/>
  <c r="M4" i="15" s="1"/>
  <c r="D47" i="2" s="1"/>
  <c r="G47" i="23" s="1"/>
  <c r="C15" i="19"/>
  <c r="E16" i="19"/>
  <c r="H17" i="19"/>
  <c r="K18" i="19"/>
  <c r="F19" i="19"/>
  <c r="I20" i="19"/>
  <c r="D21" i="19"/>
  <c r="C21" i="19"/>
  <c r="F16" i="19"/>
  <c r="I17" i="19"/>
  <c r="G19" i="19"/>
  <c r="J20" i="19"/>
  <c r="E21" i="19"/>
  <c r="E19" i="19"/>
  <c r="G16" i="19"/>
  <c r="J17" i="19"/>
  <c r="E18" i="19"/>
  <c r="H19" i="19"/>
  <c r="K20" i="19"/>
  <c r="F21" i="19"/>
  <c r="C16" i="19"/>
  <c r="G17" i="19"/>
  <c r="H16" i="19"/>
  <c r="K17" i="19"/>
  <c r="F18" i="19"/>
  <c r="I19" i="19"/>
  <c r="G21" i="19"/>
  <c r="D16" i="19"/>
  <c r="C17" i="19"/>
  <c r="D20" i="19"/>
  <c r="I16" i="19"/>
  <c r="G18" i="19"/>
  <c r="J19" i="19"/>
  <c r="E20" i="19"/>
  <c r="H21" i="19"/>
  <c r="D17" i="19"/>
  <c r="C18" i="19"/>
  <c r="J18" i="19"/>
  <c r="J16" i="19"/>
  <c r="E17" i="19"/>
  <c r="H18" i="19"/>
  <c r="K19" i="19"/>
  <c r="F20" i="19"/>
  <c r="I21" i="19"/>
  <c r="D18" i="19"/>
  <c r="C19" i="19"/>
  <c r="C20" i="19"/>
  <c r="K21" i="19"/>
  <c r="K16" i="19"/>
  <c r="F17" i="19"/>
  <c r="I18" i="19"/>
  <c r="G20" i="19"/>
  <c r="J21" i="19"/>
  <c r="D19" i="19"/>
  <c r="H20" i="19"/>
  <c r="L15" i="19"/>
  <c r="M16" i="19"/>
  <c r="P17" i="19"/>
  <c r="N19" i="19"/>
  <c r="Q20" i="19"/>
  <c r="L21" i="19"/>
  <c r="L16" i="19"/>
  <c r="N16" i="19"/>
  <c r="Q17" i="19"/>
  <c r="L18" i="19"/>
  <c r="O19" i="19"/>
  <c r="M21" i="19"/>
  <c r="O16" i="19"/>
  <c r="M18" i="19"/>
  <c r="P19" i="19"/>
  <c r="N21" i="19"/>
  <c r="P20" i="19"/>
  <c r="P16" i="19"/>
  <c r="N18" i="19"/>
  <c r="Q19" i="19"/>
  <c r="L20" i="19"/>
  <c r="O21" i="19"/>
  <c r="O17" i="19"/>
  <c r="Q16" i="19"/>
  <c r="L17" i="19"/>
  <c r="O18" i="19"/>
  <c r="M20" i="19"/>
  <c r="P21" i="19"/>
  <c r="M17" i="19"/>
  <c r="P18" i="19"/>
  <c r="N20" i="19"/>
  <c r="Q21" i="19"/>
  <c r="M19" i="19"/>
  <c r="N17" i="19"/>
  <c r="Q18" i="19"/>
  <c r="L19" i="19"/>
  <c r="O20" i="19"/>
  <c r="Q17" i="18"/>
  <c r="R17" i="18"/>
  <c r="S17" i="18" s="1"/>
  <c r="Q21" i="18"/>
  <c r="R21" i="18"/>
  <c r="S21" i="18" s="1"/>
  <c r="J15" i="19"/>
  <c r="Q15" i="19"/>
  <c r="I15" i="19"/>
  <c r="P15" i="19"/>
  <c r="H15" i="19"/>
  <c r="O15" i="19"/>
  <c r="G15" i="19"/>
  <c r="N15" i="19"/>
  <c r="F15" i="19"/>
  <c r="M15" i="19"/>
  <c r="E15" i="19"/>
  <c r="D15" i="19"/>
  <c r="K15" i="19"/>
  <c r="L4" i="16"/>
  <c r="M4" i="16" s="1"/>
  <c r="D51" i="2" s="1"/>
  <c r="G51" i="23" s="1"/>
  <c r="H51" i="23" s="1"/>
  <c r="L4" i="14"/>
  <c r="M4" i="14" s="1"/>
  <c r="D45" i="2" s="1"/>
  <c r="G45" i="23" s="1"/>
  <c r="I45" i="23" s="1"/>
  <c r="L58" i="14"/>
  <c r="M58" i="14" s="1"/>
  <c r="D46" i="2" s="1"/>
  <c r="G46" i="23" s="1"/>
  <c r="L4" i="13"/>
  <c r="M4" i="13" s="1"/>
  <c r="D44" i="2" s="1"/>
  <c r="G44" i="23" s="1"/>
  <c r="H44" i="23" s="1"/>
  <c r="L4" i="17"/>
  <c r="M4" i="17" s="1"/>
  <c r="D52" i="2" s="1"/>
  <c r="L46" i="15"/>
  <c r="M46" i="15" s="1"/>
  <c r="D48" i="2" s="1"/>
  <c r="G48" i="23" s="1"/>
  <c r="L79" i="15"/>
  <c r="M79" i="15" s="1"/>
  <c r="D49" i="2" s="1"/>
  <c r="G49" i="23" s="1"/>
  <c r="L114" i="15"/>
  <c r="M114" i="15" s="1"/>
  <c r="D50" i="2" s="1"/>
  <c r="G50" i="23" s="1"/>
  <c r="M85" i="9"/>
  <c r="N85" i="9" s="1"/>
  <c r="D40" i="2" s="1"/>
  <c r="G40" i="23" s="1"/>
  <c r="S16" i="18"/>
  <c r="R18" i="18"/>
  <c r="S18" i="18" s="1"/>
  <c r="Q18" i="18"/>
  <c r="R19" i="18"/>
  <c r="S19" i="18" s="1"/>
  <c r="Q19" i="18"/>
  <c r="S20" i="18"/>
  <c r="Q16" i="18"/>
  <c r="Q20" i="18"/>
  <c r="L56" i="5"/>
  <c r="M56" i="5" s="1"/>
  <c r="D30" i="2" s="1"/>
  <c r="G30" i="23" s="1"/>
  <c r="L20" i="6"/>
  <c r="M20" i="6" s="1"/>
  <c r="D32" i="2" s="1"/>
  <c r="G32" i="23" s="1"/>
  <c r="L20" i="7"/>
  <c r="M20" i="7" s="1"/>
  <c r="D36" i="2" s="1"/>
  <c r="L4" i="7"/>
  <c r="M4" i="7" s="1"/>
  <c r="D35" i="2" s="1"/>
  <c r="G35" i="23" s="1"/>
  <c r="L52" i="6"/>
  <c r="M52" i="6" s="1"/>
  <c r="D34" i="2" s="1"/>
  <c r="G34" i="23" s="1"/>
  <c r="M4" i="12"/>
  <c r="N4" i="12" s="1"/>
  <c r="D43" i="2" s="1"/>
  <c r="D29" i="2"/>
  <c r="G29" i="23" s="1"/>
  <c r="L20" i="5"/>
  <c r="M20" i="5" s="1"/>
  <c r="D28" i="2" s="1"/>
  <c r="L16" i="8"/>
  <c r="M16" i="8" s="1"/>
  <c r="D38" i="2" s="1"/>
  <c r="G38" i="23" s="1"/>
  <c r="L4" i="5"/>
  <c r="M4" i="5" s="1"/>
  <c r="D27" i="2" s="1"/>
  <c r="G27" i="23" s="1"/>
  <c r="L4" i="6"/>
  <c r="M4" i="6" s="1"/>
  <c r="D31" i="2" s="1"/>
  <c r="L36" i="6"/>
  <c r="M36" i="6" s="1"/>
  <c r="D33" i="2" s="1"/>
  <c r="G33" i="23" s="1"/>
  <c r="M4" i="10"/>
  <c r="N4" i="10" s="1"/>
  <c r="D41" i="2" s="1"/>
  <c r="M4" i="11"/>
  <c r="N4" i="11" s="1"/>
  <c r="D42" i="2" s="1"/>
  <c r="J4" i="9"/>
  <c r="K4" i="9" s="1"/>
  <c r="L4" i="9" s="1"/>
  <c r="M4" i="9" s="1"/>
  <c r="N4" i="9" s="1"/>
  <c r="D39" i="2" s="1"/>
  <c r="K4" i="8"/>
  <c r="L4" i="8" s="1"/>
  <c r="M4" i="8" s="1"/>
  <c r="D37" i="2" s="1"/>
  <c r="G37" i="23" s="1"/>
  <c r="J4" i="4"/>
  <c r="K4" i="4" s="1"/>
  <c r="L4" i="4" s="1"/>
  <c r="M4" i="4" s="1"/>
  <c r="D20" i="2" s="1"/>
  <c r="G20" i="23" s="1"/>
  <c r="L84" i="4"/>
  <c r="M84" i="4" s="1"/>
  <c r="D25" i="2" s="1"/>
  <c r="G25" i="23" s="1"/>
  <c r="L100" i="4"/>
  <c r="M100" i="4" s="1"/>
  <c r="D26" i="2" s="1"/>
  <c r="G26" i="23" s="1"/>
  <c r="L68" i="4"/>
  <c r="M68" i="4" s="1"/>
  <c r="D24" i="2" s="1"/>
  <c r="G24" i="23" s="1"/>
  <c r="L36" i="4"/>
  <c r="M36" i="4" s="1"/>
  <c r="D22" i="2" s="1"/>
  <c r="G22" i="23" s="1"/>
  <c r="L20" i="4"/>
  <c r="M20" i="4" s="1"/>
  <c r="D21" i="2" s="1"/>
  <c r="G21" i="23" s="1"/>
  <c r="L52" i="4"/>
  <c r="M52" i="4" s="1"/>
  <c r="D23" i="2" s="1"/>
  <c r="G23" i="23" s="1"/>
  <c r="H260" i="3"/>
  <c r="I260" i="3" s="1"/>
  <c r="H259" i="3"/>
  <c r="I259" i="3" s="1"/>
  <c r="H258" i="3"/>
  <c r="I258" i="3" s="1"/>
  <c r="H257" i="3"/>
  <c r="I257" i="3" s="1"/>
  <c r="H256" i="3"/>
  <c r="I256" i="3" s="1"/>
  <c r="H255" i="3"/>
  <c r="I255" i="3" s="1"/>
  <c r="H254" i="3"/>
  <c r="I254" i="3" s="1"/>
  <c r="H253" i="3"/>
  <c r="I253" i="3" s="1"/>
  <c r="H252" i="3"/>
  <c r="I252" i="3" s="1"/>
  <c r="H251" i="3"/>
  <c r="I251" i="3" s="1"/>
  <c r="H250" i="3"/>
  <c r="I250" i="3" s="1"/>
  <c r="H249" i="3"/>
  <c r="I249" i="3" s="1"/>
  <c r="H248" i="3"/>
  <c r="I248" i="3" s="1"/>
  <c r="H247" i="3"/>
  <c r="I247" i="3" s="1"/>
  <c r="H246" i="3"/>
  <c r="I246" i="3" s="1"/>
  <c r="H245" i="3"/>
  <c r="I245" i="3" s="1"/>
  <c r="H244" i="3"/>
  <c r="I244" i="3" s="1"/>
  <c r="H243" i="3"/>
  <c r="I243" i="3" s="1"/>
  <c r="H242" i="3"/>
  <c r="I242" i="3" s="1"/>
  <c r="H241" i="3"/>
  <c r="I241" i="3" s="1"/>
  <c r="H240" i="3"/>
  <c r="I240" i="3" s="1"/>
  <c r="H239" i="3"/>
  <c r="I239" i="3" s="1"/>
  <c r="H238" i="3"/>
  <c r="I238" i="3" s="1"/>
  <c r="H237" i="3"/>
  <c r="I237" i="3" s="1"/>
  <c r="H236" i="3"/>
  <c r="I236" i="3" s="1"/>
  <c r="H235" i="3"/>
  <c r="I235" i="3" s="1"/>
  <c r="H234" i="3"/>
  <c r="I234" i="3" s="1"/>
  <c r="H233" i="3"/>
  <c r="I233" i="3" s="1"/>
  <c r="H232" i="3"/>
  <c r="I232" i="3" s="1"/>
  <c r="H231" i="3"/>
  <c r="I231" i="3" s="1"/>
  <c r="J231" i="3" s="1"/>
  <c r="K231" i="3" s="1"/>
  <c r="H230" i="3"/>
  <c r="I230" i="3" s="1"/>
  <c r="J230" i="3" s="1"/>
  <c r="K230" i="3" s="1"/>
  <c r="H229" i="3"/>
  <c r="I229" i="3" s="1"/>
  <c r="J229" i="3" s="1"/>
  <c r="K229" i="3" s="1"/>
  <c r="H228" i="3"/>
  <c r="I228" i="3" s="1"/>
  <c r="J228" i="3" s="1"/>
  <c r="K228" i="3" s="1"/>
  <c r="H226" i="3"/>
  <c r="I226" i="3" s="1"/>
  <c r="H225" i="3"/>
  <c r="I225" i="3" s="1"/>
  <c r="H224" i="3"/>
  <c r="I224" i="3" s="1"/>
  <c r="H223" i="3"/>
  <c r="I223" i="3" s="1"/>
  <c r="H222" i="3"/>
  <c r="I222" i="3" s="1"/>
  <c r="H221" i="3"/>
  <c r="I221" i="3" s="1"/>
  <c r="H220" i="3"/>
  <c r="I220" i="3" s="1"/>
  <c r="H219" i="3"/>
  <c r="I219" i="3" s="1"/>
  <c r="H218" i="3"/>
  <c r="I218" i="3" s="1"/>
  <c r="H217" i="3"/>
  <c r="I217" i="3" s="1"/>
  <c r="H216" i="3"/>
  <c r="I216" i="3" s="1"/>
  <c r="J216" i="3" s="1"/>
  <c r="K216" i="3" s="1"/>
  <c r="H214" i="3"/>
  <c r="I214" i="3" s="1"/>
  <c r="J214" i="3" s="1"/>
  <c r="K214" i="3" s="1"/>
  <c r="H213" i="3"/>
  <c r="I213" i="3" s="1"/>
  <c r="J213" i="3" s="1"/>
  <c r="K213" i="3" s="1"/>
  <c r="H211" i="3"/>
  <c r="I211" i="3" s="1"/>
  <c r="H210" i="3"/>
  <c r="I210" i="3" s="1"/>
  <c r="H209" i="3"/>
  <c r="I209" i="3" s="1"/>
  <c r="H208" i="3"/>
  <c r="I208" i="3" s="1"/>
  <c r="H207" i="3"/>
  <c r="I207" i="3" s="1"/>
  <c r="H206" i="3"/>
  <c r="I206" i="3" s="1"/>
  <c r="H205" i="3"/>
  <c r="I205" i="3" s="1"/>
  <c r="H204" i="3"/>
  <c r="I204" i="3" s="1"/>
  <c r="H203" i="3"/>
  <c r="I203" i="3" s="1"/>
  <c r="H202" i="3"/>
  <c r="I202" i="3" s="1"/>
  <c r="H201" i="3"/>
  <c r="I201" i="3" s="1"/>
  <c r="H200" i="3"/>
  <c r="I200" i="3" s="1"/>
  <c r="H199" i="3"/>
  <c r="I199" i="3" s="1"/>
  <c r="H198" i="3"/>
  <c r="I198" i="3" s="1"/>
  <c r="H197" i="3"/>
  <c r="I197" i="3" s="1"/>
  <c r="H196" i="3"/>
  <c r="I196" i="3" s="1"/>
  <c r="H195" i="3"/>
  <c r="I195" i="3" s="1"/>
  <c r="H194" i="3"/>
  <c r="I194" i="3" s="1"/>
  <c r="H193" i="3"/>
  <c r="I193" i="3" s="1"/>
  <c r="H192" i="3"/>
  <c r="I192" i="3" s="1"/>
  <c r="H191" i="3"/>
  <c r="I191" i="3" s="1"/>
  <c r="H190" i="3"/>
  <c r="I190" i="3" s="1"/>
  <c r="H189" i="3"/>
  <c r="I189" i="3" s="1"/>
  <c r="H188" i="3"/>
  <c r="I188" i="3" s="1"/>
  <c r="H187" i="3"/>
  <c r="I187" i="3" s="1"/>
  <c r="H186" i="3"/>
  <c r="I186" i="3" s="1"/>
  <c r="H185" i="3"/>
  <c r="I185" i="3" s="1"/>
  <c r="H184" i="3"/>
  <c r="I184" i="3" s="1"/>
  <c r="H183" i="3"/>
  <c r="I183" i="3" s="1"/>
  <c r="H182" i="3"/>
  <c r="I182" i="3" s="1"/>
  <c r="H181" i="3"/>
  <c r="I181" i="3" s="1"/>
  <c r="H180" i="3"/>
  <c r="I180" i="3" s="1"/>
  <c r="H179" i="3"/>
  <c r="I179" i="3" s="1"/>
  <c r="H178" i="3"/>
  <c r="I178" i="3" s="1"/>
  <c r="H177" i="3"/>
  <c r="I177" i="3" s="1"/>
  <c r="H176" i="3"/>
  <c r="I176" i="3" s="1"/>
  <c r="H175" i="3"/>
  <c r="I175" i="3" s="1"/>
  <c r="H174" i="3"/>
  <c r="I174" i="3" s="1"/>
  <c r="H173" i="3"/>
  <c r="I173" i="3" s="1"/>
  <c r="H172" i="3"/>
  <c r="I172" i="3" s="1"/>
  <c r="H171" i="3"/>
  <c r="I171" i="3" s="1"/>
  <c r="H170" i="3"/>
  <c r="I170" i="3" s="1"/>
  <c r="H169" i="3"/>
  <c r="I169" i="3" s="1"/>
  <c r="H168" i="3"/>
  <c r="I168" i="3" s="1"/>
  <c r="H167" i="3"/>
  <c r="I167" i="3" s="1"/>
  <c r="H166" i="3"/>
  <c r="I166" i="3" s="1"/>
  <c r="H165" i="3"/>
  <c r="I165" i="3" s="1"/>
  <c r="H164" i="3"/>
  <c r="I164" i="3" s="1"/>
  <c r="H163" i="3"/>
  <c r="I163" i="3" s="1"/>
  <c r="H162" i="3"/>
  <c r="I162" i="3" s="1"/>
  <c r="H161" i="3"/>
  <c r="I161" i="3" s="1"/>
  <c r="H160" i="3"/>
  <c r="I160" i="3" s="1"/>
  <c r="H159" i="3"/>
  <c r="I159" i="3" s="1"/>
  <c r="H158" i="3"/>
  <c r="I158" i="3" s="1"/>
  <c r="H157" i="3"/>
  <c r="I157" i="3" s="1"/>
  <c r="H156" i="3"/>
  <c r="I156" i="3" s="1"/>
  <c r="H155" i="3"/>
  <c r="I155" i="3" s="1"/>
  <c r="H154" i="3"/>
  <c r="I154" i="3" s="1"/>
  <c r="H153" i="3"/>
  <c r="I153" i="3" s="1"/>
  <c r="H152" i="3"/>
  <c r="I152" i="3" s="1"/>
  <c r="H151" i="3"/>
  <c r="I151" i="3" s="1"/>
  <c r="H150" i="3"/>
  <c r="I150" i="3" s="1"/>
  <c r="H149" i="3"/>
  <c r="I149" i="3" s="1"/>
  <c r="H148" i="3"/>
  <c r="I148" i="3" s="1"/>
  <c r="H147" i="3"/>
  <c r="I147" i="3" s="1"/>
  <c r="H146" i="3"/>
  <c r="I146" i="3" s="1"/>
  <c r="H145" i="3"/>
  <c r="I145" i="3" s="1"/>
  <c r="H144" i="3"/>
  <c r="I144" i="3" s="1"/>
  <c r="H143" i="3"/>
  <c r="I143" i="3" s="1"/>
  <c r="H142" i="3"/>
  <c r="I142" i="3" s="1"/>
  <c r="H141" i="3"/>
  <c r="I141" i="3" s="1"/>
  <c r="H140" i="3"/>
  <c r="I140" i="3" s="1"/>
  <c r="H139" i="3"/>
  <c r="I139" i="3" s="1"/>
  <c r="H138" i="3"/>
  <c r="I138" i="3" s="1"/>
  <c r="H137" i="3"/>
  <c r="I137" i="3" s="1"/>
  <c r="H136" i="3"/>
  <c r="I136" i="3" s="1"/>
  <c r="H135" i="3"/>
  <c r="I135" i="3" s="1"/>
  <c r="H134" i="3"/>
  <c r="I134" i="3" s="1"/>
  <c r="H133" i="3"/>
  <c r="I133" i="3" s="1"/>
  <c r="H132" i="3"/>
  <c r="I132" i="3" s="1"/>
  <c r="H131" i="3"/>
  <c r="I131" i="3" s="1"/>
  <c r="H130" i="3"/>
  <c r="I130" i="3" s="1"/>
  <c r="H129" i="3"/>
  <c r="I129" i="3" s="1"/>
  <c r="H128" i="3"/>
  <c r="I128" i="3" s="1"/>
  <c r="H122" i="3"/>
  <c r="I122" i="3" s="1"/>
  <c r="H121" i="3"/>
  <c r="I121" i="3" s="1"/>
  <c r="H120" i="3"/>
  <c r="I120" i="3" s="1"/>
  <c r="H119" i="3"/>
  <c r="I119" i="3" s="1"/>
  <c r="H118" i="3"/>
  <c r="I118" i="3" s="1"/>
  <c r="H117" i="3"/>
  <c r="I117" i="3" s="1"/>
  <c r="H116" i="3"/>
  <c r="I116" i="3" s="1"/>
  <c r="H115" i="3"/>
  <c r="I115" i="3" s="1"/>
  <c r="H114" i="3"/>
  <c r="I114" i="3" s="1"/>
  <c r="H113" i="3"/>
  <c r="I113" i="3" s="1"/>
  <c r="H112" i="3"/>
  <c r="I112" i="3" s="1"/>
  <c r="H111" i="3"/>
  <c r="I111" i="3" s="1"/>
  <c r="H110" i="3"/>
  <c r="I110" i="3" s="1"/>
  <c r="H109" i="3"/>
  <c r="I109" i="3" s="1"/>
  <c r="H108" i="3"/>
  <c r="I108" i="3" s="1"/>
  <c r="H107" i="3"/>
  <c r="I107" i="3" s="1"/>
  <c r="H106" i="3"/>
  <c r="I106" i="3" s="1"/>
  <c r="H105" i="3"/>
  <c r="I105" i="3" s="1"/>
  <c r="H104" i="3"/>
  <c r="I104" i="3" s="1"/>
  <c r="H103" i="3"/>
  <c r="I103" i="3" s="1"/>
  <c r="H102" i="3"/>
  <c r="I102" i="3" s="1"/>
  <c r="H101" i="3"/>
  <c r="I101" i="3" s="1"/>
  <c r="H100" i="3"/>
  <c r="I100" i="3" s="1"/>
  <c r="H99" i="3"/>
  <c r="I99" i="3" s="1"/>
  <c r="H98" i="3"/>
  <c r="I98" i="3" s="1"/>
  <c r="H97" i="3"/>
  <c r="I97" i="3" s="1"/>
  <c r="H96" i="3"/>
  <c r="I96" i="3" s="1"/>
  <c r="H95" i="3"/>
  <c r="I95" i="3" s="1"/>
  <c r="H94" i="3"/>
  <c r="I94" i="3" s="1"/>
  <c r="H93" i="3"/>
  <c r="I93" i="3" s="1"/>
  <c r="H92" i="3"/>
  <c r="I92" i="3" s="1"/>
  <c r="H91" i="3"/>
  <c r="I91" i="3" s="1"/>
  <c r="H90" i="3"/>
  <c r="I90" i="3" s="1"/>
  <c r="J90" i="3" s="1"/>
  <c r="K90" i="3" s="1"/>
  <c r="H89" i="3"/>
  <c r="I89" i="3" s="1"/>
  <c r="J89" i="3" s="1"/>
  <c r="K89" i="3" s="1"/>
  <c r="H88" i="3"/>
  <c r="I88" i="3" s="1"/>
  <c r="J88" i="3" s="1"/>
  <c r="K88" i="3" s="1"/>
  <c r="H87" i="3"/>
  <c r="I87" i="3" s="1"/>
  <c r="J87" i="3" s="1"/>
  <c r="K87" i="3" s="1"/>
  <c r="H85" i="3"/>
  <c r="I85" i="3" s="1"/>
  <c r="H84" i="3"/>
  <c r="I84" i="3" s="1"/>
  <c r="H83" i="3"/>
  <c r="I83" i="3" s="1"/>
  <c r="H82" i="3"/>
  <c r="I82" i="3" s="1"/>
  <c r="H81" i="3"/>
  <c r="I81" i="3" s="1"/>
  <c r="H80" i="3"/>
  <c r="I80" i="3" s="1"/>
  <c r="H79" i="3"/>
  <c r="I79" i="3" s="1"/>
  <c r="H78" i="3"/>
  <c r="I78" i="3" s="1"/>
  <c r="H77" i="3"/>
  <c r="I77" i="3" s="1"/>
  <c r="H76" i="3"/>
  <c r="I76" i="3" s="1"/>
  <c r="H75" i="3"/>
  <c r="I75" i="3" s="1"/>
  <c r="H74" i="3"/>
  <c r="I74" i="3" s="1"/>
  <c r="H73" i="3"/>
  <c r="I73" i="3" s="1"/>
  <c r="H72" i="3"/>
  <c r="I72" i="3" s="1"/>
  <c r="H71" i="3"/>
  <c r="I71" i="3" s="1"/>
  <c r="H70" i="3"/>
  <c r="I70" i="3" s="1"/>
  <c r="H69" i="3"/>
  <c r="I69" i="3" s="1"/>
  <c r="H68" i="3"/>
  <c r="I68" i="3" s="1"/>
  <c r="H67" i="3"/>
  <c r="I67" i="3" s="1"/>
  <c r="H66" i="3"/>
  <c r="I66" i="3" s="1"/>
  <c r="H65" i="3"/>
  <c r="I65" i="3" s="1"/>
  <c r="H64" i="3"/>
  <c r="I64" i="3" s="1"/>
  <c r="H63" i="3"/>
  <c r="I63" i="3" s="1"/>
  <c r="H62" i="3"/>
  <c r="I62" i="3" s="1"/>
  <c r="H61" i="3"/>
  <c r="I61" i="3" s="1"/>
  <c r="H60" i="3"/>
  <c r="I60" i="3" s="1"/>
  <c r="H59" i="3"/>
  <c r="I59" i="3" s="1"/>
  <c r="H58" i="3"/>
  <c r="I58" i="3" s="1"/>
  <c r="H57" i="3"/>
  <c r="I57" i="3" s="1"/>
  <c r="H56" i="3"/>
  <c r="I56" i="3" s="1"/>
  <c r="H55" i="3"/>
  <c r="I55" i="3" s="1"/>
  <c r="H54" i="3"/>
  <c r="I54" i="3" s="1"/>
  <c r="H53" i="3"/>
  <c r="I53" i="3" s="1"/>
  <c r="H52" i="3"/>
  <c r="I52" i="3" s="1"/>
  <c r="H51" i="3"/>
  <c r="I51" i="3" s="1"/>
  <c r="H50" i="3"/>
  <c r="I50" i="3" s="1"/>
  <c r="H49" i="3"/>
  <c r="I49" i="3" s="1"/>
  <c r="H48" i="3"/>
  <c r="I48" i="3" s="1"/>
  <c r="H47" i="3"/>
  <c r="I47" i="3" s="1"/>
  <c r="H46" i="3"/>
  <c r="I46" i="3" s="1"/>
  <c r="H45" i="3"/>
  <c r="I45" i="3" s="1"/>
  <c r="H44" i="3"/>
  <c r="I44" i="3" s="1"/>
  <c r="H43" i="3"/>
  <c r="I43" i="3" s="1"/>
  <c r="H42" i="3"/>
  <c r="I42" i="3" s="1"/>
  <c r="H41" i="3"/>
  <c r="I41" i="3" s="1"/>
  <c r="H40" i="3"/>
  <c r="I40" i="3" s="1"/>
  <c r="H39" i="3"/>
  <c r="I39" i="3" s="1"/>
  <c r="H38" i="3"/>
  <c r="I38" i="3" s="1"/>
  <c r="H37" i="3"/>
  <c r="I37" i="3" s="1"/>
  <c r="H36" i="3"/>
  <c r="I36" i="3" s="1"/>
  <c r="H35" i="3"/>
  <c r="I35" i="3" s="1"/>
  <c r="H34" i="3"/>
  <c r="I34" i="3" s="1"/>
  <c r="H33" i="3"/>
  <c r="I33" i="3" s="1"/>
  <c r="H32" i="3"/>
  <c r="I32" i="3" s="1"/>
  <c r="H31" i="3"/>
  <c r="I31" i="3" s="1"/>
  <c r="H30" i="3"/>
  <c r="I30" i="3" s="1"/>
  <c r="H29" i="3"/>
  <c r="I29" i="3" s="1"/>
  <c r="H28" i="3"/>
  <c r="I28" i="3" s="1"/>
  <c r="H27" i="3"/>
  <c r="I27" i="3" s="1"/>
  <c r="H26" i="3"/>
  <c r="I26" i="3" s="1"/>
  <c r="H25" i="3"/>
  <c r="I25" i="3" s="1"/>
  <c r="H24" i="3"/>
  <c r="I24" i="3" s="1"/>
  <c r="H23" i="3"/>
  <c r="I23" i="3" s="1"/>
  <c r="H22" i="3"/>
  <c r="I22" i="3" s="1"/>
  <c r="H21" i="3"/>
  <c r="I21" i="3" s="1"/>
  <c r="H20" i="3"/>
  <c r="I20" i="3" s="1"/>
  <c r="H19" i="3"/>
  <c r="I19" i="3" s="1"/>
  <c r="H18" i="3"/>
  <c r="I18" i="3" s="1"/>
  <c r="H17" i="3"/>
  <c r="I17" i="3" s="1"/>
  <c r="H16" i="3"/>
  <c r="I16" i="3" s="1"/>
  <c r="H15" i="3"/>
  <c r="I15" i="3" s="1"/>
  <c r="H14" i="3"/>
  <c r="I14" i="3" s="1"/>
  <c r="H13" i="3"/>
  <c r="I13" i="3" s="1"/>
  <c r="H12" i="3"/>
  <c r="I12" i="3" s="1"/>
  <c r="H11" i="3"/>
  <c r="I11" i="3" s="1"/>
  <c r="H10" i="3"/>
  <c r="I10" i="3" s="1"/>
  <c r="H9" i="3"/>
  <c r="I9" i="3" s="1"/>
  <c r="H8" i="3"/>
  <c r="I8" i="3" s="1"/>
  <c r="H7" i="3"/>
  <c r="I7" i="3" s="1"/>
  <c r="H6" i="3"/>
  <c r="I6" i="3" s="1"/>
  <c r="H5" i="3"/>
  <c r="I5" i="3" s="1"/>
  <c r="H4" i="3"/>
  <c r="I4" i="3" s="1"/>
  <c r="E12" i="1"/>
  <c r="D9" i="22" s="1"/>
  <c r="E13" i="1"/>
  <c r="F9" i="22" s="1"/>
  <c r="E14" i="1"/>
  <c r="H9" i="22" s="1"/>
  <c r="E15" i="1"/>
  <c r="J9" i="22" s="1"/>
  <c r="E16" i="1"/>
  <c r="L9" i="22" s="1"/>
  <c r="E17" i="1"/>
  <c r="N9" i="22" s="1"/>
  <c r="E18" i="1"/>
  <c r="P9" i="22" s="1"/>
  <c r="E19" i="1"/>
  <c r="R9" i="22" s="1"/>
  <c r="E20" i="1"/>
  <c r="T9" i="22" s="1"/>
  <c r="E21" i="1"/>
  <c r="V9" i="22" s="1"/>
  <c r="E22" i="1"/>
  <c r="X9" i="22" s="1"/>
  <c r="E23" i="1"/>
  <c r="Z9" i="22" s="1"/>
  <c r="E24" i="1"/>
  <c r="AB9" i="22" s="1"/>
  <c r="E25" i="1"/>
  <c r="AD9" i="22" s="1"/>
  <c r="E26" i="1"/>
  <c r="AF9" i="22" s="1"/>
  <c r="G8" i="24" l="1"/>
  <c r="G4" i="24"/>
  <c r="G7" i="24"/>
  <c r="AG16" i="19"/>
  <c r="G6" i="24"/>
  <c r="G5" i="24"/>
  <c r="G10" i="24"/>
  <c r="G9" i="24"/>
  <c r="E51" i="2"/>
  <c r="AC9" i="22" s="1"/>
  <c r="B14" i="25"/>
  <c r="E44" i="2"/>
  <c r="W9" i="22" s="1"/>
  <c r="H37" i="23"/>
  <c r="E45" i="2"/>
  <c r="Y9" i="22" s="1"/>
  <c r="AG19" i="19"/>
  <c r="AG17" i="19"/>
  <c r="AG20" i="19"/>
  <c r="AG18" i="19"/>
  <c r="AW9" i="22"/>
  <c r="H45" i="23"/>
  <c r="G52" i="23"/>
  <c r="H52" i="23" s="1"/>
  <c r="E52" i="2"/>
  <c r="AE9" i="22" s="1"/>
  <c r="E47" i="2"/>
  <c r="AA9" i="22" s="1"/>
  <c r="I47" i="23"/>
  <c r="H47" i="23"/>
  <c r="E35" i="2"/>
  <c r="K9" i="22" s="1"/>
  <c r="G36" i="23"/>
  <c r="I35" i="23"/>
  <c r="E31" i="2"/>
  <c r="I9" i="22" s="1"/>
  <c r="G31" i="23"/>
  <c r="E27" i="2"/>
  <c r="G9" i="22" s="1"/>
  <c r="G28" i="23"/>
  <c r="H27" i="23" s="1"/>
  <c r="H20" i="23"/>
  <c r="I20" i="23"/>
  <c r="E39" i="2"/>
  <c r="O9" i="22" s="1"/>
  <c r="G39" i="23"/>
  <c r="E42" i="2"/>
  <c r="S9" i="22" s="1"/>
  <c r="G42" i="23"/>
  <c r="H42" i="23" s="1"/>
  <c r="E43" i="2"/>
  <c r="U9" i="22" s="1"/>
  <c r="G43" i="23"/>
  <c r="H43" i="23" s="1"/>
  <c r="E41" i="2"/>
  <c r="Q9" i="22" s="1"/>
  <c r="G41" i="23"/>
  <c r="H41" i="23" s="1"/>
  <c r="E20" i="2"/>
  <c r="E9" i="22" s="1"/>
  <c r="E37" i="2"/>
  <c r="M9" i="22" s="1"/>
  <c r="J45" i="3"/>
  <c r="K45" i="3" s="1"/>
  <c r="J22" i="3"/>
  <c r="K22" i="3" s="1"/>
  <c r="J62" i="3"/>
  <c r="K62" i="3" s="1"/>
  <c r="J94" i="3"/>
  <c r="K94" i="3" s="1"/>
  <c r="J151" i="3"/>
  <c r="K151" i="3" s="1"/>
  <c r="J175" i="3"/>
  <c r="K175" i="3" s="1"/>
  <c r="J183" i="3"/>
  <c r="K183" i="3" s="1"/>
  <c r="J191" i="3"/>
  <c r="K191" i="3" s="1"/>
  <c r="J199" i="3"/>
  <c r="K199" i="3" s="1"/>
  <c r="J207" i="3"/>
  <c r="K207" i="3" s="1"/>
  <c r="J223" i="3"/>
  <c r="K223" i="3" s="1"/>
  <c r="J239" i="3"/>
  <c r="K239" i="3" s="1"/>
  <c r="J247" i="3"/>
  <c r="K247" i="3" s="1"/>
  <c r="J255" i="3"/>
  <c r="K255" i="3" s="1"/>
  <c r="J7" i="3"/>
  <c r="K7" i="3" s="1"/>
  <c r="J15" i="3"/>
  <c r="K15" i="3" s="1"/>
  <c r="J23" i="3"/>
  <c r="K23" i="3" s="1"/>
  <c r="J31" i="3"/>
  <c r="K31" i="3" s="1"/>
  <c r="J39" i="3"/>
  <c r="K39" i="3" s="1"/>
  <c r="J47" i="3"/>
  <c r="K47" i="3" s="1"/>
  <c r="J55" i="3"/>
  <c r="K55" i="3" s="1"/>
  <c r="J63" i="3"/>
  <c r="K63" i="3" s="1"/>
  <c r="J71" i="3"/>
  <c r="K71" i="3" s="1"/>
  <c r="J79" i="3"/>
  <c r="K79" i="3" s="1"/>
  <c r="J95" i="3"/>
  <c r="K95" i="3" s="1"/>
  <c r="J103" i="3"/>
  <c r="K103" i="3" s="1"/>
  <c r="J111" i="3"/>
  <c r="K111" i="3" s="1"/>
  <c r="J119" i="3"/>
  <c r="K119" i="3" s="1"/>
  <c r="J128" i="3"/>
  <c r="K128" i="3" s="1"/>
  <c r="J136" i="3"/>
  <c r="K136" i="3" s="1"/>
  <c r="J144" i="3"/>
  <c r="K144" i="3" s="1"/>
  <c r="J152" i="3"/>
  <c r="K152" i="3" s="1"/>
  <c r="J160" i="3"/>
  <c r="K160" i="3" s="1"/>
  <c r="J168" i="3"/>
  <c r="K168" i="3" s="1"/>
  <c r="J176" i="3"/>
  <c r="K176" i="3" s="1"/>
  <c r="J184" i="3"/>
  <c r="K184" i="3" s="1"/>
  <c r="J192" i="3"/>
  <c r="K192" i="3" s="1"/>
  <c r="J200" i="3"/>
  <c r="K200" i="3" s="1"/>
  <c r="J208" i="3"/>
  <c r="K208" i="3" s="1"/>
  <c r="J224" i="3"/>
  <c r="K224" i="3" s="1"/>
  <c r="J232" i="3"/>
  <c r="K232" i="3" s="1"/>
  <c r="J240" i="3"/>
  <c r="K240" i="3" s="1"/>
  <c r="J248" i="3"/>
  <c r="K248" i="3" s="1"/>
  <c r="J256" i="3"/>
  <c r="K256" i="3" s="1"/>
  <c r="J5" i="3"/>
  <c r="K5" i="3" s="1"/>
  <c r="J37" i="3"/>
  <c r="K37" i="3" s="1"/>
  <c r="J14" i="3"/>
  <c r="K14" i="3" s="1"/>
  <c r="J54" i="3"/>
  <c r="K54" i="3" s="1"/>
  <c r="J102" i="3"/>
  <c r="K102" i="3" s="1"/>
  <c r="J143" i="3"/>
  <c r="K143" i="3" s="1"/>
  <c r="J32" i="3"/>
  <c r="K32" i="3" s="1"/>
  <c r="J154" i="3"/>
  <c r="K154" i="3" s="1"/>
  <c r="J162" i="3"/>
  <c r="K162" i="3" s="1"/>
  <c r="J170" i="3"/>
  <c r="K170" i="3" s="1"/>
  <c r="J178" i="3"/>
  <c r="K178" i="3" s="1"/>
  <c r="J186" i="3"/>
  <c r="K186" i="3" s="1"/>
  <c r="J194" i="3"/>
  <c r="K194" i="3" s="1"/>
  <c r="J202" i="3"/>
  <c r="K202" i="3" s="1"/>
  <c r="J210" i="3"/>
  <c r="K210" i="3" s="1"/>
  <c r="J218" i="3"/>
  <c r="K218" i="3" s="1"/>
  <c r="J226" i="3"/>
  <c r="K226" i="3" s="1"/>
  <c r="J234" i="3"/>
  <c r="K234" i="3" s="1"/>
  <c r="J242" i="3"/>
  <c r="K242" i="3" s="1"/>
  <c r="J250" i="3"/>
  <c r="K250" i="3" s="1"/>
  <c r="J258" i="3"/>
  <c r="K258" i="3" s="1"/>
  <c r="J21" i="3"/>
  <c r="K21" i="3" s="1"/>
  <c r="J61" i="3"/>
  <c r="K61" i="3" s="1"/>
  <c r="J30" i="3"/>
  <c r="K30" i="3" s="1"/>
  <c r="J70" i="3"/>
  <c r="K70" i="3" s="1"/>
  <c r="J110" i="3"/>
  <c r="K110" i="3" s="1"/>
  <c r="J159" i="3"/>
  <c r="K159" i="3" s="1"/>
  <c r="J16" i="3"/>
  <c r="K16" i="3" s="1"/>
  <c r="J48" i="3"/>
  <c r="K48" i="3" s="1"/>
  <c r="J80" i="3"/>
  <c r="K80" i="3" s="1"/>
  <c r="J104" i="3"/>
  <c r="K104" i="3" s="1"/>
  <c r="J129" i="3"/>
  <c r="K129" i="3" s="1"/>
  <c r="J153" i="3"/>
  <c r="K153" i="3" s="1"/>
  <c r="J177" i="3"/>
  <c r="K177" i="3" s="1"/>
  <c r="J201" i="3"/>
  <c r="K201" i="3" s="1"/>
  <c r="J225" i="3"/>
  <c r="K225" i="3" s="1"/>
  <c r="J249" i="3"/>
  <c r="K249" i="3" s="1"/>
  <c r="J139" i="3"/>
  <c r="K139" i="3" s="1"/>
  <c r="J147" i="3"/>
  <c r="K147" i="3" s="1"/>
  <c r="J155" i="3"/>
  <c r="K155" i="3" s="1"/>
  <c r="J163" i="3"/>
  <c r="K163" i="3" s="1"/>
  <c r="J171" i="3"/>
  <c r="K171" i="3" s="1"/>
  <c r="J179" i="3"/>
  <c r="K179" i="3" s="1"/>
  <c r="J187" i="3"/>
  <c r="K187" i="3" s="1"/>
  <c r="J195" i="3"/>
  <c r="K195" i="3" s="1"/>
  <c r="J203" i="3"/>
  <c r="K203" i="3" s="1"/>
  <c r="J211" i="3"/>
  <c r="K211" i="3" s="1"/>
  <c r="J219" i="3"/>
  <c r="K219" i="3" s="1"/>
  <c r="J235" i="3"/>
  <c r="K235" i="3" s="1"/>
  <c r="J243" i="3"/>
  <c r="K243" i="3" s="1"/>
  <c r="J251" i="3"/>
  <c r="K251" i="3" s="1"/>
  <c r="J259" i="3"/>
  <c r="K259" i="3" s="1"/>
  <c r="J13" i="3"/>
  <c r="K13" i="3" s="1"/>
  <c r="J69" i="3"/>
  <c r="K69" i="3" s="1"/>
  <c r="J38" i="3"/>
  <c r="K38" i="3" s="1"/>
  <c r="J135" i="3"/>
  <c r="K135" i="3" s="1"/>
  <c r="J8" i="3"/>
  <c r="K8" i="3" s="1"/>
  <c r="J40" i="3"/>
  <c r="K40" i="3" s="1"/>
  <c r="J64" i="3"/>
  <c r="K64" i="3" s="1"/>
  <c r="J120" i="3"/>
  <c r="K120" i="3" s="1"/>
  <c r="J145" i="3"/>
  <c r="K145" i="3" s="1"/>
  <c r="J169" i="3"/>
  <c r="K169" i="3" s="1"/>
  <c r="J193" i="3"/>
  <c r="K193" i="3" s="1"/>
  <c r="J217" i="3"/>
  <c r="K217" i="3" s="1"/>
  <c r="J233" i="3"/>
  <c r="K233" i="3" s="1"/>
  <c r="J257" i="3"/>
  <c r="K257" i="3" s="1"/>
  <c r="J9" i="3"/>
  <c r="K9" i="3" s="1"/>
  <c r="J17" i="3"/>
  <c r="K17" i="3" s="1"/>
  <c r="J65" i="3"/>
  <c r="K65" i="3" s="1"/>
  <c r="J81" i="3"/>
  <c r="K81" i="3" s="1"/>
  <c r="J97" i="3"/>
  <c r="K97" i="3" s="1"/>
  <c r="J113" i="3"/>
  <c r="K113" i="3" s="1"/>
  <c r="J130" i="3"/>
  <c r="K130" i="3" s="1"/>
  <c r="J138" i="3"/>
  <c r="K138" i="3" s="1"/>
  <c r="J10" i="3"/>
  <c r="K10" i="3" s="1"/>
  <c r="J26" i="3"/>
  <c r="K26" i="3" s="1"/>
  <c r="J34" i="3"/>
  <c r="K34" i="3" s="1"/>
  <c r="J50" i="3"/>
  <c r="K50" i="3" s="1"/>
  <c r="J66" i="3"/>
  <c r="K66" i="3" s="1"/>
  <c r="J82" i="3"/>
  <c r="K82" i="3" s="1"/>
  <c r="J98" i="3"/>
  <c r="K98" i="3" s="1"/>
  <c r="J114" i="3"/>
  <c r="K114" i="3" s="1"/>
  <c r="J131" i="3"/>
  <c r="K131" i="3" s="1"/>
  <c r="J11" i="3"/>
  <c r="K11" i="3" s="1"/>
  <c r="J19" i="3"/>
  <c r="K19" i="3" s="1"/>
  <c r="J27" i="3"/>
  <c r="K27" i="3" s="1"/>
  <c r="J35" i="3"/>
  <c r="K35" i="3" s="1"/>
  <c r="J43" i="3"/>
  <c r="K43" i="3" s="1"/>
  <c r="J51" i="3"/>
  <c r="K51" i="3" s="1"/>
  <c r="J59" i="3"/>
  <c r="K59" i="3" s="1"/>
  <c r="J67" i="3"/>
  <c r="K67" i="3" s="1"/>
  <c r="J75" i="3"/>
  <c r="K75" i="3" s="1"/>
  <c r="J83" i="3"/>
  <c r="K83" i="3" s="1"/>
  <c r="J91" i="3"/>
  <c r="K91" i="3" s="1"/>
  <c r="J99" i="3"/>
  <c r="K99" i="3" s="1"/>
  <c r="J107" i="3"/>
  <c r="K107" i="3" s="1"/>
  <c r="J115" i="3"/>
  <c r="K115" i="3" s="1"/>
  <c r="J132" i="3"/>
  <c r="K132" i="3" s="1"/>
  <c r="J140" i="3"/>
  <c r="K140" i="3" s="1"/>
  <c r="J148" i="3"/>
  <c r="K148" i="3" s="1"/>
  <c r="J156" i="3"/>
  <c r="K156" i="3" s="1"/>
  <c r="J164" i="3"/>
  <c r="K164" i="3" s="1"/>
  <c r="J172" i="3"/>
  <c r="K172" i="3" s="1"/>
  <c r="J180" i="3"/>
  <c r="K180" i="3" s="1"/>
  <c r="J188" i="3"/>
  <c r="K188" i="3" s="1"/>
  <c r="J196" i="3"/>
  <c r="K196" i="3" s="1"/>
  <c r="J204" i="3"/>
  <c r="K204" i="3" s="1"/>
  <c r="J220" i="3"/>
  <c r="K220" i="3" s="1"/>
  <c r="J236" i="3"/>
  <c r="K236" i="3" s="1"/>
  <c r="J244" i="3"/>
  <c r="K244" i="3" s="1"/>
  <c r="J252" i="3"/>
  <c r="K252" i="3" s="1"/>
  <c r="J260" i="3"/>
  <c r="K260" i="3" s="1"/>
  <c r="J29" i="3"/>
  <c r="K29" i="3" s="1"/>
  <c r="J6" i="3"/>
  <c r="K6" i="3" s="1"/>
  <c r="J46" i="3"/>
  <c r="K46" i="3" s="1"/>
  <c r="J78" i="3"/>
  <c r="K78" i="3" s="1"/>
  <c r="J118" i="3"/>
  <c r="K118" i="3" s="1"/>
  <c r="J167" i="3"/>
  <c r="K167" i="3" s="1"/>
  <c r="J24" i="3"/>
  <c r="K24" i="3" s="1"/>
  <c r="J56" i="3"/>
  <c r="K56" i="3" s="1"/>
  <c r="J72" i="3"/>
  <c r="K72" i="3" s="1"/>
  <c r="J96" i="3"/>
  <c r="K96" i="3" s="1"/>
  <c r="J112" i="3"/>
  <c r="K112" i="3" s="1"/>
  <c r="J137" i="3"/>
  <c r="K137" i="3" s="1"/>
  <c r="J161" i="3"/>
  <c r="K161" i="3" s="1"/>
  <c r="J185" i="3"/>
  <c r="K185" i="3" s="1"/>
  <c r="J209" i="3"/>
  <c r="K209" i="3" s="1"/>
  <c r="J241" i="3"/>
  <c r="K241" i="3" s="1"/>
  <c r="J25" i="3"/>
  <c r="K25" i="3" s="1"/>
  <c r="J33" i="3"/>
  <c r="K33" i="3" s="1"/>
  <c r="J41" i="3"/>
  <c r="K41" i="3" s="1"/>
  <c r="J49" i="3"/>
  <c r="K49" i="3" s="1"/>
  <c r="J57" i="3"/>
  <c r="K57" i="3" s="1"/>
  <c r="J73" i="3"/>
  <c r="K73" i="3" s="1"/>
  <c r="J105" i="3"/>
  <c r="K105" i="3" s="1"/>
  <c r="J121" i="3"/>
  <c r="K121" i="3" s="1"/>
  <c r="J146" i="3"/>
  <c r="K146" i="3" s="1"/>
  <c r="J18" i="3"/>
  <c r="K18" i="3" s="1"/>
  <c r="J42" i="3"/>
  <c r="K42" i="3" s="1"/>
  <c r="J58" i="3"/>
  <c r="K58" i="3" s="1"/>
  <c r="J74" i="3"/>
  <c r="K74" i="3" s="1"/>
  <c r="J106" i="3"/>
  <c r="K106" i="3" s="1"/>
  <c r="J122" i="3"/>
  <c r="K122" i="3" s="1"/>
  <c r="J4" i="3"/>
  <c r="K4" i="3" s="1"/>
  <c r="J12" i="3"/>
  <c r="K12" i="3" s="1"/>
  <c r="J20" i="3"/>
  <c r="K20" i="3" s="1"/>
  <c r="J28" i="3"/>
  <c r="K28" i="3" s="1"/>
  <c r="J36" i="3"/>
  <c r="K36" i="3" s="1"/>
  <c r="J44" i="3"/>
  <c r="K44" i="3" s="1"/>
  <c r="J52" i="3"/>
  <c r="K52" i="3" s="1"/>
  <c r="J60" i="3"/>
  <c r="K60" i="3" s="1"/>
  <c r="J68" i="3"/>
  <c r="K68" i="3" s="1"/>
  <c r="J76" i="3"/>
  <c r="K76" i="3" s="1"/>
  <c r="J84" i="3"/>
  <c r="K84" i="3" s="1"/>
  <c r="J92" i="3"/>
  <c r="K92" i="3" s="1"/>
  <c r="J100" i="3"/>
  <c r="K100" i="3" s="1"/>
  <c r="J108" i="3"/>
  <c r="K108" i="3" s="1"/>
  <c r="J116" i="3"/>
  <c r="K116" i="3" s="1"/>
  <c r="J133" i="3"/>
  <c r="K133" i="3" s="1"/>
  <c r="J141" i="3"/>
  <c r="K141" i="3" s="1"/>
  <c r="J149" i="3"/>
  <c r="K149" i="3" s="1"/>
  <c r="J157" i="3"/>
  <c r="K157" i="3" s="1"/>
  <c r="J165" i="3"/>
  <c r="K165" i="3" s="1"/>
  <c r="J173" i="3"/>
  <c r="K173" i="3" s="1"/>
  <c r="J181" i="3"/>
  <c r="K181" i="3" s="1"/>
  <c r="J189" i="3"/>
  <c r="K189" i="3" s="1"/>
  <c r="J197" i="3"/>
  <c r="K197" i="3" s="1"/>
  <c r="J205" i="3"/>
  <c r="K205" i="3" s="1"/>
  <c r="J221" i="3"/>
  <c r="K221" i="3" s="1"/>
  <c r="J237" i="3"/>
  <c r="K237" i="3" s="1"/>
  <c r="J245" i="3"/>
  <c r="K245" i="3" s="1"/>
  <c r="J253" i="3"/>
  <c r="K253" i="3" s="1"/>
  <c r="J53" i="3"/>
  <c r="K53" i="3" s="1"/>
  <c r="J77" i="3"/>
  <c r="K77" i="3" s="1"/>
  <c r="J85" i="3"/>
  <c r="K85" i="3" s="1"/>
  <c r="J93" i="3"/>
  <c r="K93" i="3" s="1"/>
  <c r="J101" i="3"/>
  <c r="K101" i="3" s="1"/>
  <c r="J109" i="3"/>
  <c r="K109" i="3" s="1"/>
  <c r="J117" i="3"/>
  <c r="K117" i="3" s="1"/>
  <c r="J134" i="3"/>
  <c r="K134" i="3" s="1"/>
  <c r="J142" i="3"/>
  <c r="K142" i="3" s="1"/>
  <c r="J150" i="3"/>
  <c r="K150" i="3" s="1"/>
  <c r="J158" i="3"/>
  <c r="K158" i="3" s="1"/>
  <c r="J166" i="3"/>
  <c r="K166" i="3" s="1"/>
  <c r="J174" i="3"/>
  <c r="K174" i="3" s="1"/>
  <c r="J182" i="3"/>
  <c r="K182" i="3" s="1"/>
  <c r="J190" i="3"/>
  <c r="K190" i="3" s="1"/>
  <c r="J198" i="3"/>
  <c r="K198" i="3" s="1"/>
  <c r="J206" i="3"/>
  <c r="K206" i="3" s="1"/>
  <c r="J222" i="3"/>
  <c r="K222" i="3" s="1"/>
  <c r="J238" i="3"/>
  <c r="K238" i="3" s="1"/>
  <c r="J246" i="3"/>
  <c r="K246" i="3" s="1"/>
  <c r="J254" i="3"/>
  <c r="K254" i="3" s="1"/>
  <c r="G11" i="24" l="1"/>
  <c r="B15" i="25"/>
  <c r="L68" i="3"/>
  <c r="M68" i="3" s="1"/>
  <c r="D10" i="2" s="1"/>
  <c r="G10" i="23" s="1"/>
  <c r="AR9" i="22"/>
  <c r="D7" i="24"/>
  <c r="C7" i="25" s="1"/>
  <c r="D8" i="24"/>
  <c r="C8" i="25" s="1"/>
  <c r="D9" i="24"/>
  <c r="C9" i="25" s="1"/>
  <c r="C11" i="25" s="1"/>
  <c r="D4" i="24"/>
  <c r="C4" i="25" s="1"/>
  <c r="D10" i="24"/>
  <c r="C10" i="25" s="1"/>
  <c r="D5" i="24"/>
  <c r="C5" i="25" s="1"/>
  <c r="D6" i="24"/>
  <c r="C6" i="25" s="1"/>
  <c r="H35" i="23"/>
  <c r="I37" i="23"/>
  <c r="H31" i="23"/>
  <c r="I31" i="23"/>
  <c r="I27" i="23"/>
  <c r="H39" i="23"/>
  <c r="I39" i="23"/>
  <c r="L88" i="3"/>
  <c r="M88" i="3" s="1"/>
  <c r="D11" i="2" s="1"/>
  <c r="G11" i="23" s="1"/>
  <c r="L20" i="3"/>
  <c r="M20" i="3" s="1"/>
  <c r="D7" i="2" s="1"/>
  <c r="G7" i="23" s="1"/>
  <c r="L36" i="3"/>
  <c r="M36" i="3" s="1"/>
  <c r="D8" i="2" s="1"/>
  <c r="G8" i="23" s="1"/>
  <c r="L245" i="3"/>
  <c r="M245" i="3" s="1"/>
  <c r="D19" i="2" s="1"/>
  <c r="G19" i="23" s="1"/>
  <c r="L136" i="3"/>
  <c r="M136" i="3" s="1"/>
  <c r="D14" i="2" s="1"/>
  <c r="G14" i="23" s="1"/>
  <c r="L184" i="3"/>
  <c r="M184" i="3" s="1"/>
  <c r="D17" i="2" s="1"/>
  <c r="G17" i="23" s="1"/>
  <c r="L104" i="3"/>
  <c r="M104" i="3" s="1"/>
  <c r="D12" i="2" s="1"/>
  <c r="G12" i="23" s="1"/>
  <c r="L168" i="3"/>
  <c r="M168" i="3" s="1"/>
  <c r="D16" i="2" s="1"/>
  <c r="G16" i="23" s="1"/>
  <c r="L4" i="3"/>
  <c r="M4" i="3" s="1"/>
  <c r="D6" i="2" s="1"/>
  <c r="G6" i="23" s="1"/>
  <c r="L52" i="3"/>
  <c r="L209" i="3"/>
  <c r="M209" i="3" s="1"/>
  <c r="D18" i="2" s="1"/>
  <c r="G18" i="23" s="1"/>
  <c r="L120" i="3"/>
  <c r="M120" i="3" s="1"/>
  <c r="D13" i="2" s="1"/>
  <c r="G13" i="23" s="1"/>
  <c r="L152" i="3"/>
  <c r="C12" i="25" l="1"/>
  <c r="B16" i="25"/>
  <c r="D11" i="24"/>
  <c r="M52" i="3"/>
  <c r="D9" i="2" s="1"/>
  <c r="M152" i="3"/>
  <c r="B17" i="25" l="1"/>
  <c r="C13" i="25"/>
  <c r="C14" i="25" s="1"/>
  <c r="D15" i="2"/>
  <c r="G15" i="23" s="1"/>
  <c r="E6" i="2"/>
  <c r="C9" i="22" s="1"/>
  <c r="G9" i="23"/>
  <c r="C15" i="25" l="1"/>
  <c r="B18" i="25"/>
  <c r="AG9" i="22"/>
  <c r="AI9" i="22" s="1"/>
  <c r="AL9" i="22" s="1"/>
  <c r="I6" i="23"/>
  <c r="H6" i="23"/>
  <c r="B19" i="25" l="1"/>
  <c r="C16" i="25"/>
  <c r="AQ9" i="22"/>
  <c r="AP9" i="22"/>
  <c r="AM9" i="22"/>
  <c r="AN9" i="22" s="1"/>
  <c r="J6" i="23"/>
  <c r="AJ9" i="22" s="1"/>
  <c r="C17" i="25" l="1"/>
  <c r="B20" i="25"/>
  <c r="AS9" i="22"/>
  <c r="AU9" i="22" s="1"/>
  <c r="AY9" i="22" l="1"/>
  <c r="AX9" i="22"/>
  <c r="AZ9" i="22" s="1"/>
  <c r="B21" i="25"/>
  <c r="B22" i="25" s="1"/>
  <c r="C18" i="25"/>
  <c r="E4" i="24"/>
  <c r="E8" i="24"/>
  <c r="J8" i="24" s="1"/>
  <c r="E10" i="24"/>
  <c r="J10" i="24" s="1"/>
  <c r="E7" i="24"/>
  <c r="J7" i="24" s="1"/>
  <c r="E5" i="24"/>
  <c r="J5" i="24" s="1"/>
  <c r="E9" i="24"/>
  <c r="H9" i="24" s="1"/>
  <c r="E6" i="24"/>
  <c r="H6" i="24" s="1"/>
  <c r="J6" i="24" l="1"/>
  <c r="K6" i="24" s="1"/>
  <c r="J4" i="24"/>
  <c r="F4" i="24"/>
  <c r="F5" i="24" s="1"/>
  <c r="E11" i="24"/>
  <c r="H4" i="24"/>
  <c r="H7" i="24"/>
  <c r="K7" i="24" s="1"/>
  <c r="H8" i="24"/>
  <c r="K8" i="24" s="1"/>
  <c r="H10" i="24"/>
  <c r="K10" i="24" s="1"/>
  <c r="C19" i="25"/>
  <c r="B23" i="25"/>
  <c r="J9" i="24"/>
  <c r="K9" i="24" s="1"/>
  <c r="H5" i="24"/>
  <c r="K5" i="24" s="1"/>
  <c r="H11" i="24" l="1"/>
  <c r="K4" i="24"/>
  <c r="C20" i="25"/>
  <c r="B24" i="25"/>
  <c r="K11" i="24"/>
  <c r="D4" i="25"/>
  <c r="F4" i="25" s="1"/>
  <c r="J11" i="24"/>
  <c r="O4" i="24" s="1"/>
  <c r="P4" i="24" s="1"/>
  <c r="F6" i="24"/>
  <c r="D5" i="25"/>
  <c r="C21" i="25" l="1"/>
  <c r="C22" i="25" s="1"/>
  <c r="B25" i="25"/>
  <c r="G4" i="25"/>
  <c r="H4" i="25" s="1"/>
  <c r="I4" i="25" s="1"/>
  <c r="E4" i="25"/>
  <c r="E5" i="25"/>
  <c r="F5" i="25"/>
  <c r="G5" i="25" s="1"/>
  <c r="F7" i="24"/>
  <c r="D6" i="25"/>
  <c r="C23" i="25" l="1"/>
  <c r="C24" i="25" s="1"/>
  <c r="B26" i="25"/>
  <c r="H5" i="25"/>
  <c r="I5" i="25" s="1"/>
  <c r="E6" i="25"/>
  <c r="F6" i="25"/>
  <c r="G6" i="25" s="1"/>
  <c r="F8" i="24"/>
  <c r="D7" i="25"/>
  <c r="B27" i="25" l="1"/>
  <c r="C25" i="25"/>
  <c r="H6" i="25"/>
  <c r="I6" i="25" s="1"/>
  <c r="E7" i="25"/>
  <c r="F7" i="25"/>
  <c r="F9" i="24"/>
  <c r="D8" i="25"/>
  <c r="B28" i="25" l="1"/>
  <c r="C26" i="25"/>
  <c r="C27" i="25" s="1"/>
  <c r="F8" i="25"/>
  <c r="G8" i="25" s="1"/>
  <c r="E8" i="25"/>
  <c r="F10" i="24"/>
  <c r="D10" i="25" s="1"/>
  <c r="D9" i="25"/>
  <c r="G7" i="25"/>
  <c r="D11" i="25" l="1"/>
  <c r="D12" i="25" s="1"/>
  <c r="C28" i="25"/>
  <c r="C29" i="25" s="1"/>
  <c r="B29" i="25"/>
  <c r="H7" i="25"/>
  <c r="I7" i="25" s="1"/>
  <c r="H8" i="25"/>
  <c r="I8" i="25" s="1"/>
  <c r="E9" i="25"/>
  <c r="F9" i="25"/>
  <c r="G9" i="25" s="1"/>
  <c r="F10" i="25"/>
  <c r="D13" i="25" l="1"/>
  <c r="D14" i="25" s="1"/>
  <c r="D15" i="25" s="1"/>
  <c r="D16" i="25" s="1"/>
  <c r="B30" i="25"/>
  <c r="C30" i="25" s="1"/>
  <c r="H9" i="25"/>
  <c r="I9" i="25" s="1"/>
  <c r="G10" i="25"/>
  <c r="E10" i="25"/>
  <c r="C31" i="25" l="1"/>
  <c r="B31" i="25"/>
  <c r="D17" i="25"/>
  <c r="H10" i="25"/>
  <c r="I10" i="25" s="1"/>
  <c r="E12" i="25"/>
  <c r="F12" i="25"/>
  <c r="E11" i="25"/>
  <c r="F11" i="25"/>
  <c r="C32" i="25" l="1"/>
  <c r="B32" i="25"/>
  <c r="D18" i="25"/>
  <c r="D19" i="25" s="1"/>
  <c r="G11" i="25"/>
  <c r="H11" i="25" s="1"/>
  <c r="I11" i="25" s="1"/>
  <c r="E13" i="25"/>
  <c r="F13" i="25"/>
  <c r="G13" i="25" s="1"/>
  <c r="H13" i="25" s="1"/>
  <c r="G12" i="25"/>
  <c r="B33" i="25" l="1"/>
  <c r="D20" i="25"/>
  <c r="D21" i="25" s="1"/>
  <c r="H12" i="25"/>
  <c r="I12" i="25" s="1"/>
  <c r="F15" i="25"/>
  <c r="E15" i="25"/>
  <c r="I13" i="25"/>
  <c r="E14" i="25"/>
  <c r="F14" i="25"/>
  <c r="G14" i="25" s="1"/>
  <c r="B34" i="25" l="1"/>
  <c r="C33" i="25"/>
  <c r="C34" i="25" s="1"/>
  <c r="D22" i="25"/>
  <c r="D23" i="25" s="1"/>
  <c r="H14" i="25"/>
  <c r="I14" i="25" s="1"/>
  <c r="G15" i="25"/>
  <c r="F16" i="25"/>
  <c r="E16" i="25"/>
  <c r="B35" i="25" l="1"/>
  <c r="D24" i="25"/>
  <c r="D25" i="25" s="1"/>
  <c r="H15" i="25"/>
  <c r="I15" i="25" s="1"/>
  <c r="E18" i="25"/>
  <c r="F18" i="25"/>
  <c r="G16" i="25"/>
  <c r="E17" i="25"/>
  <c r="F17" i="25"/>
  <c r="G17" i="25" s="1"/>
  <c r="B36" i="25" l="1"/>
  <c r="B37" i="25" s="1"/>
  <c r="C35" i="25"/>
  <c r="C36" i="25" s="1"/>
  <c r="D26" i="25"/>
  <c r="D27" i="25" s="1"/>
  <c r="H17" i="25"/>
  <c r="I17" i="25" s="1"/>
  <c r="H16" i="25"/>
  <c r="I16" i="25" s="1"/>
  <c r="E20" i="25"/>
  <c r="F20" i="25"/>
  <c r="E19" i="25"/>
  <c r="F19" i="25"/>
  <c r="G19" i="25" s="1"/>
  <c r="G18" i="25"/>
  <c r="C37" i="25" l="1"/>
  <c r="C38" i="25" s="1"/>
  <c r="B38" i="25"/>
  <c r="B39" i="25" s="1"/>
  <c r="D28" i="25"/>
  <c r="H19" i="25"/>
  <c r="I19" i="25" s="1"/>
  <c r="H18" i="25"/>
  <c r="I18" i="25" s="1"/>
  <c r="F21" i="25"/>
  <c r="G21" i="25" s="1"/>
  <c r="E21" i="25"/>
  <c r="G20" i="25"/>
  <c r="C39" i="25" l="1"/>
  <c r="C40" i="25" s="1"/>
  <c r="D29" i="25"/>
  <c r="D30" i="25" s="1"/>
  <c r="H20" i="25"/>
  <c r="I20" i="25" s="1"/>
  <c r="F22" i="25"/>
  <c r="G22" i="25" s="1"/>
  <c r="E22" i="25"/>
  <c r="D31" i="25" l="1"/>
  <c r="H22" i="25"/>
  <c r="I22" i="25" s="1"/>
  <c r="E23" i="25"/>
  <c r="F23" i="25"/>
  <c r="G23" i="25" s="1"/>
  <c r="D32" i="25" l="1"/>
  <c r="D33" i="25" s="1"/>
  <c r="H23" i="25"/>
  <c r="I23" i="25" s="1"/>
  <c r="E24" i="25"/>
  <c r="F24" i="25"/>
  <c r="D34" i="25" l="1"/>
  <c r="E26" i="25"/>
  <c r="F26" i="25"/>
  <c r="F25" i="25"/>
  <c r="E25" i="25"/>
  <c r="D35" i="25" l="1"/>
  <c r="F27" i="25"/>
  <c r="E27" i="25"/>
  <c r="D36" i="25" l="1"/>
  <c r="D37" i="25" s="1"/>
  <c r="E29" i="25"/>
  <c r="F29" i="25"/>
  <c r="F28" i="25"/>
  <c r="E28" i="25"/>
  <c r="D38" i="25" l="1"/>
  <c r="D39" i="25" s="1"/>
  <c r="D40" i="25" s="1"/>
  <c r="F31" i="25"/>
  <c r="E31" i="25"/>
  <c r="E30" i="25"/>
  <c r="F30" i="25"/>
  <c r="E40" i="25" l="1"/>
  <c r="F40" i="25"/>
  <c r="F32" i="25"/>
  <c r="E32" i="25"/>
  <c r="E33" i="25" l="1"/>
  <c r="F33" i="25"/>
  <c r="F34" i="25" l="1"/>
  <c r="E34" i="25"/>
  <c r="F35" i="25" l="1"/>
  <c r="E35" i="25"/>
  <c r="E36" i="25" l="1"/>
  <c r="F36" i="25"/>
  <c r="E37" i="25" l="1"/>
  <c r="F37" i="25"/>
  <c r="H21" i="25"/>
  <c r="I21" i="25" s="1"/>
  <c r="F39" i="25" l="1"/>
  <c r="E39" i="25"/>
  <c r="E38" i="25"/>
  <c r="F38" i="25"/>
  <c r="F41" i="25" l="1"/>
  <c r="F42" i="25" s="1"/>
  <c r="G24" i="25" s="1"/>
  <c r="J9" i="25" l="1"/>
  <c r="J5" i="25"/>
  <c r="J33" i="25"/>
  <c r="J19" i="25"/>
  <c r="J32" i="25"/>
  <c r="J26" i="25"/>
  <c r="J18" i="25"/>
  <c r="J29" i="25"/>
  <c r="J24" i="25"/>
  <c r="J23" i="25"/>
  <c r="J20" i="25"/>
  <c r="J11" i="25"/>
  <c r="J34" i="25"/>
  <c r="J13" i="25"/>
  <c r="J6" i="25"/>
  <c r="J27" i="25"/>
  <c r="J7" i="25"/>
  <c r="J21" i="25"/>
  <c r="J35" i="25"/>
  <c r="J17" i="25"/>
  <c r="J15" i="25"/>
  <c r="J8" i="25"/>
  <c r="J4" i="25"/>
  <c r="J22" i="25"/>
  <c r="J16" i="25"/>
  <c r="J40" i="25"/>
  <c r="J31" i="25"/>
  <c r="J28" i="25"/>
  <c r="J25" i="25"/>
  <c r="J39" i="25"/>
  <c r="J12" i="25"/>
  <c r="J14" i="25"/>
  <c r="J30" i="25"/>
  <c r="J10" i="25"/>
  <c r="J38" i="25"/>
  <c r="J37" i="25"/>
  <c r="J36" i="25"/>
  <c r="H24" i="25"/>
  <c r="I24"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Rajat Singh</author>
  </authors>
  <commentList>
    <comment ref="F2" authorId="0" shapeId="0" xr:uid="{E43F7FC4-D88D-48BB-AA75-615A2E9BE4F4}">
      <text>
        <r>
          <rPr>
            <b/>
            <sz val="9"/>
            <color indexed="81"/>
            <rFont val="Tahoma"/>
            <family val="2"/>
          </rPr>
          <t>Rajat Singh:</t>
        </r>
        <r>
          <rPr>
            <sz val="9"/>
            <color indexed="81"/>
            <rFont val="Tahoma"/>
            <family val="2"/>
          </rPr>
          <t xml:space="preserve">
As per CDM Tool 14</t>
        </r>
      </text>
    </comment>
    <comment ref="H2" authorId="0" shapeId="0" xr:uid="{F49C478D-1C23-4776-8B8B-CC0599FE0AD0}">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I2" authorId="0" shapeId="0" xr:uid="{C52CD415-B5BA-4BB9-AB43-78E62B49BF14}">
      <text>
        <r>
          <rPr>
            <b/>
            <sz val="9"/>
            <color indexed="81"/>
            <rFont val="Tahoma"/>
            <family val="2"/>
          </rPr>
          <t>Rajat Singh:</t>
        </r>
        <r>
          <rPr>
            <sz val="9"/>
            <color indexed="81"/>
            <rFont val="Tahoma"/>
            <family val="2"/>
          </rPr>
          <t xml:space="preserve">
as Per CDM Tool 12</t>
        </r>
      </text>
    </comment>
    <comment ref="J2" authorId="0" shapeId="0" xr:uid="{572509B6-6730-46CC-A440-BDF45ED78545}">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K7" authorId="0" shapeId="0" xr:uid="{5899BF6A-A18C-4898-99D0-65B2C90F488B}">
      <text>
        <r>
          <rPr>
            <b/>
            <sz val="9"/>
            <color indexed="81"/>
            <rFont val="Tahoma"/>
            <family val="2"/>
          </rPr>
          <t>Rajat Singh:</t>
        </r>
        <r>
          <rPr>
            <sz val="9"/>
            <color indexed="81"/>
            <rFont val="Tahoma"/>
            <family val="2"/>
          </rPr>
          <t xml:space="preserve">
As per CDM Tool 14</t>
        </r>
      </text>
    </comment>
    <comment ref="L7" authorId="0" shapeId="0" xr:uid="{BD8B0E2D-2D1A-4A01-A6BE-78DAA6557E39}">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M7" authorId="0" shapeId="0" xr:uid="{E335D453-527E-4E35-8992-868B25E856F4}">
      <text>
        <r>
          <rPr>
            <b/>
            <sz val="9"/>
            <color indexed="81"/>
            <rFont val="Tahoma"/>
            <family val="2"/>
          </rPr>
          <t>Rajat Singh:</t>
        </r>
        <r>
          <rPr>
            <sz val="9"/>
            <color indexed="81"/>
            <rFont val="Tahoma"/>
            <family val="2"/>
          </rPr>
          <t xml:space="preserve">
as Per CDM Tool 12</t>
        </r>
      </text>
    </comment>
    <comment ref="N7" authorId="0" shapeId="0" xr:uid="{99BAA179-85B2-45A8-A7BF-2FE9DACDE6EC}">
      <text>
        <r>
          <rPr>
            <b/>
            <sz val="9"/>
            <color indexed="81"/>
            <rFont val="Tahoma"/>
            <family val="2"/>
          </rPr>
          <t>Rajat Singh:</t>
        </r>
        <r>
          <rPr>
            <sz val="9"/>
            <color indexed="81"/>
            <rFont val="Tahoma"/>
            <family val="2"/>
          </rPr>
          <t xml:space="preserve">
Average annual rainfall is less than 1000 mm and elevation is also less than 1000m  of Andra Pradesh</t>
        </r>
      </text>
    </comment>
    <comment ref="D8" authorId="0" shapeId="0" xr:uid="{BF04F8BF-D110-4B25-8031-69C13523ED21}">
      <text>
        <r>
          <rPr>
            <b/>
            <sz val="9"/>
            <color indexed="81"/>
            <rFont val="Tahoma"/>
            <family val="2"/>
          </rPr>
          <t>Rajat Singh:</t>
        </r>
        <r>
          <rPr>
            <sz val="9"/>
            <color indexed="81"/>
            <rFont val="Tahoma"/>
            <family val="2"/>
          </rPr>
          <t xml:space="preserve">
Andhra Pradesh forest Inventary Report,2010</t>
        </r>
      </text>
    </comment>
    <comment ref="H8" authorId="0" shapeId="0" xr:uid="{1C0198C7-AB5A-40F2-9988-C403BF5623E6}">
      <text>
        <r>
          <rPr>
            <b/>
            <sz val="9"/>
            <color indexed="81"/>
            <rFont val="Tahoma"/>
            <family val="2"/>
          </rPr>
          <t>Rajat Singh:</t>
        </r>
        <r>
          <rPr>
            <sz val="9"/>
            <color indexed="81"/>
            <rFont val="Tahoma"/>
            <family val="2"/>
          </rPr>
          <t xml:space="preserve">
As per the Tool- 14</t>
        </r>
      </text>
    </comment>
    <comment ref="I8" authorId="0" shapeId="0" xr:uid="{BC41940F-6817-4FB0-A17D-43BA1439F3B9}">
      <text>
        <r>
          <rPr>
            <b/>
            <sz val="9"/>
            <color indexed="81"/>
            <rFont val="Tahoma"/>
            <family val="2"/>
          </rPr>
          <t>Rajat Singh:</t>
        </r>
        <r>
          <rPr>
            <sz val="9"/>
            <color indexed="81"/>
            <rFont val="Tahoma"/>
            <family val="2"/>
          </rPr>
          <t xml:space="preserve">
As per the IPPC default value, 
Table 3.1.9-2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Sahil Pathan</author>
  </authors>
  <commentList>
    <comment ref="A8" authorId="0" shapeId="0" xr:uid="{BA180F2D-3F33-4A83-A93A-3AF406F9C6AE}">
      <text>
        <r>
          <rPr>
            <b/>
            <sz val="9"/>
            <color indexed="81"/>
            <rFont val="Tahoma"/>
            <family val="2"/>
          </rPr>
          <t>Sahil Pathan:</t>
        </r>
        <r>
          <rPr>
            <sz val="9"/>
            <color indexed="81"/>
            <rFont val="Tahoma"/>
            <family val="2"/>
          </rPr>
          <t xml:space="preserve">
Number of statum</t>
        </r>
      </text>
    </comment>
    <comment ref="A9" authorId="0" shapeId="0" xr:uid="{465EA17F-87A2-40DE-B2DD-2B05634183FE}">
      <text>
        <r>
          <rPr>
            <b/>
            <sz val="9"/>
            <color indexed="81"/>
            <rFont val="Tahoma"/>
            <family val="2"/>
          </rPr>
          <t>Sahil Pathan:</t>
        </r>
        <r>
          <rPr>
            <sz val="9"/>
            <color indexed="81"/>
            <rFont val="Tahoma"/>
            <family val="2"/>
          </rPr>
          <t xml:space="preserve">
Number of PSP</t>
        </r>
      </text>
    </comment>
    <comment ref="A10" authorId="0" shapeId="0" xr:uid="{DE0066FC-D22F-460C-BE46-88AEC23B7C56}">
      <text>
        <r>
          <rPr>
            <b/>
            <sz val="9"/>
            <color indexed="81"/>
            <rFont val="Tahoma"/>
            <family val="2"/>
          </rPr>
          <t>Sahil Pathan:</t>
        </r>
        <r>
          <rPr>
            <sz val="9"/>
            <color indexed="81"/>
            <rFont val="Tahoma"/>
            <family val="2"/>
          </rPr>
          <t xml:space="preserve">
t value for 90 confidence interval degree of freedom 39</t>
        </r>
      </text>
    </comment>
    <comment ref="B10" authorId="0" shapeId="0" xr:uid="{035B0012-EDF3-4BAF-ACDA-D83362C23DAC}">
      <text>
        <r>
          <rPr>
            <b/>
            <sz val="9"/>
            <color indexed="81"/>
            <rFont val="Tahoma"/>
            <family val="2"/>
          </rPr>
          <t>Sahil Pathan:</t>
        </r>
        <r>
          <rPr>
            <sz val="9"/>
            <color indexed="81"/>
            <rFont val="Tahoma"/>
            <family val="2"/>
          </rPr>
          <t xml:space="preserve">
https://www.coconino.edu/resources/files/pdfs/academics/sabbatical-reports/kate-kozak/appendix_table.pdf</t>
        </r>
      </text>
    </comment>
    <comment ref="A11" authorId="0" shapeId="0" xr:uid="{A44E8087-2CCA-4C90-91C0-8E863846DC71}">
      <text>
        <r>
          <rPr>
            <b/>
            <sz val="9"/>
            <color indexed="81"/>
            <rFont val="Tahoma"/>
            <family val="2"/>
          </rPr>
          <t>Sahil Pathan:</t>
        </r>
        <r>
          <rPr>
            <sz val="9"/>
            <color indexed="81"/>
            <rFont val="Tahoma"/>
            <family val="2"/>
          </rPr>
          <t xml:space="preserve">
As per tool 14
</t>
        </r>
      </text>
    </comment>
    <comment ref="I41" authorId="0" shapeId="0" xr:uid="{C7F6EB66-D0DC-4FD8-9C41-55389F8FFC6B}">
      <text>
        <r>
          <rPr>
            <b/>
            <sz val="9"/>
            <color indexed="81"/>
            <rFont val="Tahoma"/>
            <family val="2"/>
          </rPr>
          <t>Sahil Pathan:</t>
        </r>
        <r>
          <rPr>
            <sz val="9"/>
            <color indexed="81"/>
            <rFont val="Tahoma"/>
            <family val="2"/>
          </rPr>
          <t xml:space="preserve">
Only one sample plot in stratum so si=0</t>
        </r>
      </text>
    </comment>
    <comment ref="I42" authorId="0" shapeId="0" xr:uid="{FACBB217-D3A8-4560-ABC5-1538AED120F0}">
      <text>
        <r>
          <rPr>
            <b/>
            <sz val="9"/>
            <color indexed="81"/>
            <rFont val="Tahoma"/>
            <family val="2"/>
          </rPr>
          <t>Sahil Pathan:</t>
        </r>
        <r>
          <rPr>
            <sz val="9"/>
            <color indexed="81"/>
            <rFont val="Tahoma"/>
            <family val="2"/>
          </rPr>
          <t xml:space="preserve">
Only one sample plot in stratum so si=0</t>
        </r>
      </text>
    </comment>
    <comment ref="I43" authorId="0" shapeId="0" xr:uid="{4CDC465C-EEAC-4EB5-8C4F-CF3BFA6DFE81}">
      <text>
        <r>
          <rPr>
            <b/>
            <sz val="9"/>
            <color indexed="81"/>
            <rFont val="Tahoma"/>
            <family val="2"/>
          </rPr>
          <t>Sahil Pathan:</t>
        </r>
        <r>
          <rPr>
            <sz val="9"/>
            <color indexed="81"/>
            <rFont val="Tahoma"/>
            <family val="2"/>
          </rPr>
          <t xml:space="preserve">
Only one sample plot in stratum so si=0</t>
        </r>
      </text>
    </comment>
    <comment ref="I44" authorId="0" shapeId="0" xr:uid="{8D3DE631-F613-4C76-99D9-73CB7F277846}">
      <text>
        <r>
          <rPr>
            <b/>
            <sz val="9"/>
            <color indexed="81"/>
            <rFont val="Tahoma"/>
            <family val="2"/>
          </rPr>
          <t>Sahil Pathan:</t>
        </r>
        <r>
          <rPr>
            <sz val="9"/>
            <color indexed="81"/>
            <rFont val="Tahoma"/>
            <family val="2"/>
          </rPr>
          <t xml:space="preserve">
Only one sample plot in stratum so si=0</t>
        </r>
      </text>
    </comment>
    <comment ref="I51" authorId="0" shapeId="0" xr:uid="{35671DE6-D0D8-4A2B-ACE1-1E8A4C737369}">
      <text>
        <r>
          <rPr>
            <b/>
            <sz val="9"/>
            <color indexed="81"/>
            <rFont val="Tahoma"/>
            <family val="2"/>
          </rPr>
          <t>Sahil Pathan:</t>
        </r>
        <r>
          <rPr>
            <sz val="9"/>
            <color indexed="81"/>
            <rFont val="Tahoma"/>
            <family val="2"/>
          </rPr>
          <t xml:space="preserve">
Only one sample plot in stratum so si=0</t>
        </r>
      </text>
    </comment>
    <comment ref="I52" authorId="0" shapeId="0" xr:uid="{1374E648-8B1E-4F84-A8B3-10F8F4935974}">
      <text>
        <r>
          <rPr>
            <b/>
            <sz val="9"/>
            <color indexed="81"/>
            <rFont val="Tahoma"/>
            <family val="2"/>
          </rPr>
          <t>Sahil Pathan:</t>
        </r>
        <r>
          <rPr>
            <sz val="9"/>
            <color indexed="81"/>
            <rFont val="Tahoma"/>
            <family val="2"/>
          </rPr>
          <t xml:space="preserve">
Only one sample plot in stratum so si=0</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Pankaj Kumar Tomar </author>
    <author>Himanshu</author>
  </authors>
  <commentList>
    <comment ref="N11" authorId="0" shapeId="0" xr:uid="{32E82FDE-831D-4157-81C4-630EAEB10D22}">
      <text>
        <r>
          <rPr>
            <b/>
            <sz val="9"/>
            <color indexed="81"/>
            <rFont val="Tahoma"/>
            <family val="2"/>
          </rPr>
          <t>Pankaj Kumar Tomar :</t>
        </r>
        <r>
          <rPr>
            <sz val="9"/>
            <color indexed="81"/>
            <rFont val="Tahoma"/>
            <family val="2"/>
          </rPr>
          <t xml:space="preserve">
A</t>
        </r>
        <r>
          <rPr>
            <vertAlign val="subscript"/>
            <sz val="9"/>
            <color indexed="81"/>
            <rFont val="Tahoma"/>
            <family val="2"/>
          </rPr>
          <t>DISP,i</t>
        </r>
        <r>
          <rPr>
            <sz val="9"/>
            <color indexed="81"/>
            <rFont val="Tahoma"/>
            <family val="2"/>
          </rPr>
          <t>=(3.14*radius</t>
        </r>
        <r>
          <rPr>
            <vertAlign val="superscript"/>
            <sz val="9"/>
            <color indexed="81"/>
            <rFont val="Tahoma"/>
            <family val="2"/>
          </rPr>
          <t>2</t>
        </r>
        <r>
          <rPr>
            <sz val="9"/>
            <color indexed="81"/>
            <rFont val="Tahoma"/>
            <family val="2"/>
          </rPr>
          <t>)*No. of trees</t>
        </r>
      </text>
    </comment>
    <comment ref="J12" authorId="1" shapeId="0" xr:uid="{B72389E7-25C4-4716-BB32-28E5E17FA793}">
      <text>
        <r>
          <rPr>
            <b/>
            <sz val="9"/>
            <color indexed="81"/>
            <rFont val="Tahoma"/>
            <family val="2"/>
          </rPr>
          <t>Himanshu:</t>
        </r>
        <r>
          <rPr>
            <sz val="9"/>
            <color indexed="81"/>
            <rFont val="Tahoma"/>
            <family val="2"/>
          </rPr>
          <t xml:space="preserve">
Default value from tool AR-TOOL 14</t>
        </r>
      </text>
    </comment>
    <comment ref="J13" authorId="1" shapeId="0" xr:uid="{F24E359A-F80D-438B-B7E3-5259CDE4DE00}">
      <text>
        <r>
          <rPr>
            <b/>
            <sz val="9"/>
            <color indexed="81"/>
            <rFont val="Tahoma"/>
            <family val="2"/>
          </rPr>
          <t>Himanshu:</t>
        </r>
        <r>
          <rPr>
            <sz val="9"/>
            <color indexed="81"/>
            <rFont val="Tahoma"/>
            <family val="2"/>
          </rPr>
          <t xml:space="preserve">
Default value for Forest in India as per table 3A.1.4 of IPCC GPG-LULUCF 2003</t>
        </r>
      </text>
    </comment>
    <comment ref="H14" authorId="1" shapeId="0" xr:uid="{9E3CF171-6ABC-46C3-8EAB-97202F96BA1D}">
      <text>
        <r>
          <rPr>
            <b/>
            <sz val="9"/>
            <color indexed="81"/>
            <rFont val="Tahoma"/>
            <family val="2"/>
          </rPr>
          <t>Himanshu:</t>
        </r>
        <r>
          <rPr>
            <sz val="9"/>
            <color indexed="81"/>
            <rFont val="Tahoma"/>
            <family val="2"/>
          </rPr>
          <t xml:space="preserve">
Default value from tool AR-TOOL 14</t>
        </r>
      </text>
    </comment>
    <comment ref="J14" authorId="1" shapeId="0" xr:uid="{E0A6656B-3411-4DF5-85F9-8F46C5D470CC}">
      <text>
        <r>
          <rPr>
            <b/>
            <sz val="9"/>
            <color indexed="81"/>
            <rFont val="Tahoma"/>
            <family val="2"/>
          </rPr>
          <t>Himanshu:</t>
        </r>
        <r>
          <rPr>
            <sz val="9"/>
            <color indexed="81"/>
            <rFont val="Tahoma"/>
            <family val="2"/>
          </rPr>
          <t xml:space="preserve">
Default value as per the CDM AR- Tool 14 Estimation of carbon stocks and change 
in carbon stocks of trees and shrubs in A/R CDM project activities, version 04.2, para 64, table 2</t>
        </r>
      </text>
    </comment>
    <comment ref="J15" authorId="1" shapeId="0" xr:uid="{7CBCB1A1-F89A-4423-8AA7-1467573DB873}">
      <text>
        <r>
          <rPr>
            <b/>
            <sz val="9"/>
            <color indexed="81"/>
            <rFont val="Tahoma"/>
            <family val="2"/>
          </rPr>
          <t>Himanshu:</t>
        </r>
        <r>
          <rPr>
            <sz val="9"/>
            <color indexed="81"/>
            <rFont val="Tahoma"/>
            <family val="2"/>
          </rPr>
          <t xml:space="preserve">
Default value from tool AR-TOOL 14</t>
        </r>
      </text>
    </comment>
    <comment ref="H16" authorId="1" shapeId="0" xr:uid="{33503EF1-A4E1-4778-9676-15F28D4A7A9B}">
      <text>
        <r>
          <rPr>
            <b/>
            <sz val="9"/>
            <color indexed="81"/>
            <rFont val="Tahoma"/>
            <family val="2"/>
          </rPr>
          <t xml:space="preserve">Himanshu:
</t>
        </r>
        <r>
          <rPr>
            <sz val="9"/>
            <color indexed="81"/>
            <rFont val="Tahoma"/>
            <family val="2"/>
          </rPr>
          <t>Default value from tool AR-TOOL 14</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Sahil Pathan</author>
  </authors>
  <commentList>
    <comment ref="D10" authorId="0" shapeId="0" xr:uid="{5384A113-4A5E-4FE7-91C7-B6B57A025ED4}">
      <text>
        <r>
          <rPr>
            <b/>
            <sz val="9"/>
            <color indexed="81"/>
            <rFont val="Tahoma"/>
            <family val="2"/>
          </rPr>
          <t>Sahil Pathan:</t>
        </r>
        <r>
          <rPr>
            <sz val="9"/>
            <color indexed="81"/>
            <rFont val="Tahoma"/>
            <family val="2"/>
          </rPr>
          <t xml:space="preserve">
1st monitoring period</t>
        </r>
      </text>
    </comment>
  </commentList>
</comments>
</file>

<file path=xl/sharedStrings.xml><?xml version="1.0" encoding="utf-8"?>
<sst xmlns="http://schemas.openxmlformats.org/spreadsheetml/2006/main" count="1007" uniqueCount="506">
  <si>
    <t>Parameters</t>
  </si>
  <si>
    <t>Sr.No.</t>
  </si>
  <si>
    <t>Species</t>
  </si>
  <si>
    <t>Botanical name</t>
  </si>
  <si>
    <t>Allometric equation</t>
  </si>
  <si>
    <t>Referense</t>
  </si>
  <si>
    <t>Root-shoot ratio</t>
  </si>
  <si>
    <t>Carbon fraction</t>
  </si>
  <si>
    <t>Litter</t>
  </si>
  <si>
    <t>CF for Litter</t>
  </si>
  <si>
    <t>Deadwood</t>
  </si>
  <si>
    <r>
      <t>CO</t>
    </r>
    <r>
      <rPr>
        <vertAlign val="subscript"/>
        <sz val="12"/>
        <color theme="1"/>
        <rFont val="Calibri"/>
        <family val="2"/>
        <scheme val="minor"/>
      </rPr>
      <t>2</t>
    </r>
    <r>
      <rPr>
        <sz val="12"/>
        <color theme="1"/>
        <rFont val="Calibri"/>
        <family val="2"/>
        <scheme val="minor"/>
      </rPr>
      <t>/C</t>
    </r>
  </si>
  <si>
    <t xml:space="preserve">Mango </t>
  </si>
  <si>
    <t>Mangifera indica</t>
  </si>
  <si>
    <t>Y= 30.40 *EXP(-5.07*EXP(-0.26*collar diameter)+ 1.277</t>
  </si>
  <si>
    <t>https://www.tandfonline.com/doi/pdf/10.1080/17583004.2019.1642043</t>
  </si>
  <si>
    <t>Gauva</t>
  </si>
  <si>
    <t>Psidium guajava</t>
  </si>
  <si>
    <r>
      <t xml:space="preserve">Y = 0.069 </t>
    </r>
    <r>
      <rPr>
        <sz val="12"/>
        <color theme="1"/>
        <rFont val="Calibri"/>
        <family val="2"/>
      </rPr>
      <t>×</t>
    </r>
    <r>
      <rPr>
        <sz val="12"/>
        <color theme="1"/>
        <rFont val="Calibri"/>
        <family val="2"/>
        <scheme val="minor"/>
      </rPr>
      <t xml:space="preserve"> CD^2.456</t>
    </r>
  </si>
  <si>
    <t>Rathore, A. C., Kumar, A., Tomar, J. M. S., Jayaprakash, J., Mehta, H., Kaushal, R., ... &amp; Chaturvedi, O. P. (2018). Predictive models for biomass and carbon stock estimation in Psidium guajava on bouldery riverbed lands in North-Western Himalayas, India. Agroforestry systems, 92, 171-182</t>
  </si>
  <si>
    <t>Volume Equation</t>
  </si>
  <si>
    <t>Biomass Eapnasion Factor (BEF)</t>
  </si>
  <si>
    <t>Carbon Fraction</t>
  </si>
  <si>
    <t>Wood Desity</t>
  </si>
  <si>
    <t xml:space="preserve">Red Sander </t>
  </si>
  <si>
    <t>Pterocarpus santalinus</t>
  </si>
  <si>
    <t>v^1/2=-0.144504+2.943115*D</t>
  </si>
  <si>
    <t>Andhra Pradesh forest Inventary Report,2010</t>
  </si>
  <si>
    <r>
      <t>Haripriya, G.S., 2000. Estimates of biomass in Indian forests. </t>
    </r>
    <r>
      <rPr>
        <i/>
        <sz val="10"/>
        <color rgb="FF222222"/>
        <rFont val="Arial"/>
        <family val="2"/>
      </rPr>
      <t>Biomass and bioenergy</t>
    </r>
    <r>
      <rPr>
        <sz val="10"/>
        <color rgb="FF222222"/>
        <rFont val="Arial"/>
        <family val="2"/>
      </rPr>
      <t>, </t>
    </r>
    <r>
      <rPr>
        <i/>
        <sz val="10"/>
        <color rgb="FF222222"/>
        <rFont val="Arial"/>
        <family val="2"/>
      </rPr>
      <t>19</t>
    </r>
    <r>
      <rPr>
        <sz val="10"/>
        <color rgb="FF222222"/>
        <rFont val="Arial"/>
        <family val="2"/>
      </rPr>
      <t>(4), pp.245-258.</t>
    </r>
  </si>
  <si>
    <t>As per the IPPC default value, Tale 3.19.</t>
  </si>
  <si>
    <t>Stratum Name</t>
  </si>
  <si>
    <t xml:space="preserve">Stratum Code </t>
  </si>
  <si>
    <t>Area</t>
  </si>
  <si>
    <t>Wi</t>
  </si>
  <si>
    <t>Number of permanent sample plot</t>
  </si>
  <si>
    <t>Plot Size (ha)</t>
  </si>
  <si>
    <t>Age At first Monitoring (year) (30/09/2024)</t>
  </si>
  <si>
    <t>2018 Mango</t>
  </si>
  <si>
    <t>i=1</t>
  </si>
  <si>
    <t>2019 Mango</t>
  </si>
  <si>
    <t>i=2</t>
  </si>
  <si>
    <t>2020 Mango</t>
  </si>
  <si>
    <t>i=3</t>
  </si>
  <si>
    <t>2021 Mango</t>
  </si>
  <si>
    <t>i=4</t>
  </si>
  <si>
    <t xml:space="preserve">2022 Mango </t>
  </si>
  <si>
    <t>i=5</t>
  </si>
  <si>
    <t>2023 Mango</t>
  </si>
  <si>
    <t>i=6</t>
  </si>
  <si>
    <t>2019 Red Sander</t>
  </si>
  <si>
    <t>i=7</t>
  </si>
  <si>
    <t>2020 Red Sander</t>
  </si>
  <si>
    <t>i=8</t>
  </si>
  <si>
    <t>2021 Red Sander</t>
  </si>
  <si>
    <t>i=9</t>
  </si>
  <si>
    <t>2022 Red Sander</t>
  </si>
  <si>
    <t>i=10</t>
  </si>
  <si>
    <t>2018 Guava</t>
  </si>
  <si>
    <t>i=11</t>
  </si>
  <si>
    <t>2019 Guava</t>
  </si>
  <si>
    <t>i=12</t>
  </si>
  <si>
    <t>2020 Guava</t>
  </si>
  <si>
    <t>i=13</t>
  </si>
  <si>
    <t>2021  Guava</t>
  </si>
  <si>
    <t>i=14</t>
  </si>
  <si>
    <t>2022 Guava</t>
  </si>
  <si>
    <t>i=15</t>
  </si>
  <si>
    <t>S.N.</t>
  </si>
  <si>
    <t>Harvesting Cycle</t>
  </si>
  <si>
    <t>No harvesting involve during the crediting period of 30 year</t>
  </si>
  <si>
    <t>Harvesting involve after completion of 15 year of roatation age</t>
  </si>
  <si>
    <t>Stratum</t>
  </si>
  <si>
    <t>PSP No.</t>
  </si>
  <si>
    <t>Plot No.within stratum</t>
  </si>
  <si>
    <t>Biomass (ton/ha)</t>
  </si>
  <si>
    <t>Mean tree biomass per hectare in stratum  at a given point of time in year t; t d.m. ha-1</t>
  </si>
  <si>
    <t>2018 Mango (i=1)</t>
  </si>
  <si>
    <t>2019 Mango (i=2)</t>
  </si>
  <si>
    <t>2020 Mango (i=3)</t>
  </si>
  <si>
    <t>2021 Mango (i=4)</t>
  </si>
  <si>
    <t>2022 Mango (i=5)</t>
  </si>
  <si>
    <t>2023 Mango (i=6)</t>
  </si>
  <si>
    <t>2019 Red Sander (i=7)</t>
  </si>
  <si>
    <t>2020 Red Sander (i=8)</t>
  </si>
  <si>
    <t>2021 Red Sander (i=9)</t>
  </si>
  <si>
    <t>2022 Red Sander (i=10)</t>
  </si>
  <si>
    <t>2018 Guava (i=11)</t>
  </si>
  <si>
    <t>2019 Guava (i=12)</t>
  </si>
  <si>
    <t>2020 Guava (i=13)</t>
  </si>
  <si>
    <t>2021 Guava (i=14)</t>
  </si>
  <si>
    <t>2022 Guava (i=15)</t>
  </si>
  <si>
    <t xml:space="preserve">Variance of mean tree biomass per hectare in stratum </t>
  </si>
  <si>
    <t>Uncertainty</t>
  </si>
  <si>
    <t>Value Considered</t>
  </si>
  <si>
    <t>M</t>
  </si>
  <si>
    <t>n</t>
  </si>
  <si>
    <r>
      <t>t</t>
    </r>
    <r>
      <rPr>
        <vertAlign val="subscript"/>
        <sz val="11"/>
        <color theme="1"/>
        <rFont val="Calibri"/>
        <family val="2"/>
        <scheme val="minor"/>
      </rPr>
      <t>val</t>
    </r>
  </si>
  <si>
    <t>Degree of freedom</t>
  </si>
  <si>
    <t>Table 3A.1.5</t>
  </si>
  <si>
    <t>Table 3A.1.8</t>
  </si>
  <si>
    <t>Table 3A.1.4,IPCC Guidelines for National Greenhouse Gas Inventories</t>
  </si>
  <si>
    <t xml:space="preserve"> IPCC Guidelines for National Greenhouse Gas Inventories</t>
  </si>
  <si>
    <t>Year</t>
  </si>
  <si>
    <t>Carbon fraction of tree biomass in the baseline; t C (t.d.m.)-1</t>
  </si>
  <si>
    <t>Default mean annual increment of above-ground biomass in forest in the region;
t d.m. ha-1 yr-1</t>
  </si>
  <si>
    <r>
      <t>Root-shoot ratio appropriate for biomass increment; t d.m. t</t>
    </r>
    <r>
      <rPr>
        <b/>
        <vertAlign val="superscript"/>
        <sz val="10"/>
        <rFont val="Arial"/>
        <family val="2"/>
      </rPr>
      <t xml:space="preserve">-1 </t>
    </r>
    <r>
      <rPr>
        <b/>
        <sz val="10"/>
        <rFont val="Arial"/>
        <family val="2"/>
      </rPr>
      <t>d.m</t>
    </r>
  </si>
  <si>
    <t>Crown cover of trees in the baseline, in baseline stratum i, at the start of the A/R CDM project activity, expressed as a fraction</t>
  </si>
  <si>
    <t>Area of stratum i in the baseline, delineated on the basis of tree crown cover at the start of the A/R CDM project activity; ha</t>
  </si>
  <si>
    <t>Average annual change in carbon stock in tree biomass in the
baseline in baseline stratum i; t CO2-e yr-1</t>
  </si>
  <si>
    <t>Crown cover of shrubs in shrub biomass stratum i at a given point
of time in year t expressed as a fraction; dimensionless</t>
  </si>
  <si>
    <t>Default above-ground biomass content in forest in the region/ country where the A/R CDM project is located; t d.m. ha-</t>
  </si>
  <si>
    <t>Ratio of shrub biomass per hectare in land having a shrub crown cover of 1.0 and default above-ground biomass content per
hectare in forest in the region/country where the A/R CDM project
is located; dimensionless</t>
  </si>
  <si>
    <t>Shrub biomass per hectare in shrub biomass stratum i at a given
point of time in year t; t d.m. ha-1</t>
  </si>
  <si>
    <t>Carbon fraction of shrub biomass; t C (t.d.m.)-1</t>
  </si>
  <si>
    <t>Root-shoot ratio for shrubs; dimensionless</t>
  </si>
  <si>
    <t>Area of shrub biomass stratum i at a given point of time in year t;
ha</t>
  </si>
  <si>
    <t>Carbon stock in shrub biomass within the project boundary at a
given point of time in year t; t CO2-e</t>
  </si>
  <si>
    <t>Rate of change in carbon stock in shrub biomass within the project
boundary during the period between a point of time in year t1 and
a point of time in year t2; t CO2-e yr-1</t>
  </si>
  <si>
    <t>Change in carbon stock in shrub biomass within the project
boundary in year t; t CO2-e</t>
  </si>
  <si>
    <t>Baseline net GHG removals by sinks in year t; t CO-e</t>
  </si>
  <si>
    <t>t</t>
  </si>
  <si>
    <r>
      <t>CF</t>
    </r>
    <r>
      <rPr>
        <b/>
        <vertAlign val="subscript"/>
        <sz val="10"/>
        <rFont val="Arial"/>
        <family val="2"/>
      </rPr>
      <t>TREE_BSL</t>
    </r>
  </si>
  <si>
    <r>
      <t>Δb</t>
    </r>
    <r>
      <rPr>
        <b/>
        <vertAlign val="subscript"/>
        <sz val="10"/>
        <rFont val="Arial"/>
        <family val="2"/>
      </rPr>
      <t>FOREST</t>
    </r>
  </si>
  <si>
    <r>
      <t>R</t>
    </r>
    <r>
      <rPr>
        <b/>
        <vertAlign val="subscript"/>
        <sz val="10"/>
        <rFont val="Arial"/>
        <family val="2"/>
      </rPr>
      <t>TREE_BSL</t>
    </r>
  </si>
  <si>
    <r>
      <t>CC</t>
    </r>
    <r>
      <rPr>
        <b/>
        <i/>
        <vertAlign val="subscript"/>
        <sz val="10"/>
        <rFont val="Arial"/>
        <family val="2"/>
      </rPr>
      <t>TREE_BSL,i</t>
    </r>
  </si>
  <si>
    <r>
      <t>A</t>
    </r>
    <r>
      <rPr>
        <b/>
        <i/>
        <vertAlign val="subscript"/>
        <sz val="10"/>
        <rFont val="Arial"/>
        <family val="2"/>
      </rPr>
      <t>BSL</t>
    </r>
    <r>
      <rPr>
        <b/>
        <vertAlign val="subscript"/>
        <sz val="10"/>
        <rFont val="Arial"/>
        <family val="2"/>
      </rPr>
      <t>,</t>
    </r>
    <r>
      <rPr>
        <b/>
        <i/>
        <vertAlign val="subscript"/>
        <sz val="10"/>
        <rFont val="Arial"/>
        <family val="2"/>
      </rPr>
      <t>i</t>
    </r>
    <r>
      <rPr>
        <b/>
        <i/>
        <sz val="10"/>
        <rFont val="Arial"/>
        <family val="2"/>
      </rPr>
      <t xml:space="preserve"> </t>
    </r>
    <r>
      <rPr>
        <b/>
        <sz val="10"/>
        <rFont val="Arial"/>
        <family val="2"/>
      </rPr>
      <t xml:space="preserve"> </t>
    </r>
  </si>
  <si>
    <r>
      <t>ΔC</t>
    </r>
    <r>
      <rPr>
        <b/>
        <vertAlign val="subscript"/>
        <sz val="10"/>
        <color theme="1"/>
        <rFont val="Arial"/>
        <family val="2"/>
      </rPr>
      <t>TREE,BSL,i</t>
    </r>
  </si>
  <si>
    <r>
      <t>CC</t>
    </r>
    <r>
      <rPr>
        <b/>
        <i/>
        <vertAlign val="subscript"/>
        <sz val="10"/>
        <rFont val="Arial"/>
        <family val="2"/>
      </rPr>
      <t>SHRUB_BSL,i</t>
    </r>
  </si>
  <si>
    <r>
      <t>b</t>
    </r>
    <r>
      <rPr>
        <b/>
        <i/>
        <vertAlign val="subscript"/>
        <sz val="10"/>
        <rFont val="Arial"/>
        <family val="2"/>
      </rPr>
      <t>FOREST</t>
    </r>
  </si>
  <si>
    <r>
      <t>BDR</t>
    </r>
    <r>
      <rPr>
        <b/>
        <i/>
        <vertAlign val="subscript"/>
        <sz val="10"/>
        <rFont val="Arial"/>
        <family val="2"/>
      </rPr>
      <t>SF</t>
    </r>
  </si>
  <si>
    <r>
      <t>B</t>
    </r>
    <r>
      <rPr>
        <b/>
        <i/>
        <vertAlign val="subscript"/>
        <sz val="10"/>
        <rFont val="Arial"/>
        <family val="2"/>
      </rPr>
      <t>SHRUB_BSL,I,t</t>
    </r>
  </si>
  <si>
    <r>
      <t>CF</t>
    </r>
    <r>
      <rPr>
        <b/>
        <vertAlign val="subscript"/>
        <sz val="10"/>
        <rFont val="Arial"/>
        <family val="2"/>
      </rPr>
      <t>s</t>
    </r>
  </si>
  <si>
    <r>
      <t>R</t>
    </r>
    <r>
      <rPr>
        <b/>
        <vertAlign val="subscript"/>
        <sz val="10"/>
        <rFont val="Arial"/>
        <family val="2"/>
      </rPr>
      <t>s</t>
    </r>
  </si>
  <si>
    <r>
      <t>A</t>
    </r>
    <r>
      <rPr>
        <b/>
        <i/>
        <vertAlign val="subscript"/>
        <sz val="10"/>
        <rFont val="Arial"/>
        <family val="2"/>
      </rPr>
      <t>SHRUB,i</t>
    </r>
  </si>
  <si>
    <r>
      <t>C</t>
    </r>
    <r>
      <rPr>
        <b/>
        <i/>
        <vertAlign val="subscript"/>
        <sz val="10"/>
        <rFont val="Arial"/>
        <family val="2"/>
      </rPr>
      <t>SHRUB_BSL,t</t>
    </r>
  </si>
  <si>
    <r>
      <t>dC</t>
    </r>
    <r>
      <rPr>
        <b/>
        <vertAlign val="subscript"/>
        <sz val="10"/>
        <rFont val="Arial"/>
        <family val="2"/>
      </rPr>
      <t>SHRUB,(t1,t2)</t>
    </r>
  </si>
  <si>
    <r>
      <t>ΔC</t>
    </r>
    <r>
      <rPr>
        <b/>
        <vertAlign val="subscript"/>
        <sz val="10"/>
        <color theme="1"/>
        <rFont val="Arial"/>
        <family val="2"/>
      </rPr>
      <t>SHRUB_BSL,t</t>
    </r>
  </si>
  <si>
    <r>
      <t>ΔC</t>
    </r>
    <r>
      <rPr>
        <b/>
        <vertAlign val="subscript"/>
        <sz val="10"/>
        <color theme="1"/>
        <rFont val="Arial"/>
        <family val="2"/>
      </rPr>
      <t>BSL,t</t>
    </r>
  </si>
  <si>
    <t>Parameter</t>
  </si>
  <si>
    <r>
      <t>SOC</t>
    </r>
    <r>
      <rPr>
        <b/>
        <vertAlign val="subscript"/>
        <sz val="11"/>
        <color theme="1"/>
        <rFont val="Calibri"/>
        <family val="2"/>
        <scheme val="minor"/>
      </rPr>
      <t>REF,i</t>
    </r>
  </si>
  <si>
    <r>
      <t>f</t>
    </r>
    <r>
      <rPr>
        <b/>
        <vertAlign val="subscript"/>
        <sz val="11"/>
        <color theme="1"/>
        <rFont val="Calibri"/>
        <family val="2"/>
        <scheme val="minor"/>
      </rPr>
      <t>LU,i</t>
    </r>
  </si>
  <si>
    <r>
      <t>f</t>
    </r>
    <r>
      <rPr>
        <b/>
        <vertAlign val="subscript"/>
        <sz val="11"/>
        <color theme="1"/>
        <rFont val="Calibri"/>
        <family val="2"/>
        <scheme val="minor"/>
      </rPr>
      <t>MG,i</t>
    </r>
  </si>
  <si>
    <r>
      <t>f</t>
    </r>
    <r>
      <rPr>
        <b/>
        <vertAlign val="subscript"/>
        <sz val="11"/>
        <color theme="1"/>
        <rFont val="Calibri"/>
        <family val="2"/>
        <scheme val="minor"/>
      </rPr>
      <t>IN,i</t>
    </r>
  </si>
  <si>
    <r>
      <t>SOC</t>
    </r>
    <r>
      <rPr>
        <b/>
        <vertAlign val="subscript"/>
        <sz val="11"/>
        <color theme="1"/>
        <rFont val="Calibri"/>
        <family val="2"/>
        <scheme val="minor"/>
      </rPr>
      <t>INITIAL,i</t>
    </r>
  </si>
  <si>
    <r>
      <t>SOC</t>
    </r>
    <r>
      <rPr>
        <b/>
        <vertAlign val="subscript"/>
        <sz val="11"/>
        <color theme="1"/>
        <rFont val="Calibri"/>
        <family val="2"/>
        <scheme val="minor"/>
      </rPr>
      <t>LOSS,i</t>
    </r>
  </si>
  <si>
    <t xml:space="preserve">Annual dSOC </t>
  </si>
  <si>
    <t>Andra Pradesh</t>
  </si>
  <si>
    <t>Madhya Pradesh</t>
  </si>
  <si>
    <t xml:space="preserve">Source (SOC estimation tool-16, V01.1.0) </t>
  </si>
  <si>
    <t>Table 3: HACsoils, Tropical Dry</t>
  </si>
  <si>
    <t xml:space="preserve">1. Long term Cultivated , Table 4 </t>
  </si>
  <si>
    <t>1. Full tillage, Table 4</t>
  </si>
  <si>
    <t>2. Medium , Table 5</t>
  </si>
  <si>
    <t>Refe/ Justificatiom</t>
  </si>
  <si>
    <t>https://oar.icrisat.org/6817/1/CurrentSc_104_10_1308-1323_2013.pdf</t>
  </si>
  <si>
    <t>Area has been continuously managed for crops for more than 20 years</t>
  </si>
  <si>
    <t>In the Baseline, Substantial soil disturbance with  frequent (within-year) tillage operations.Substantial soil disturbance with frequent tillage operations. At planting time, less than 30% of the surface is covered by residues.</t>
  </si>
  <si>
    <t xml:space="preserve">In baseline the project land is crop land.In the baseline,production of  crops yielding low residues crops . </t>
  </si>
  <si>
    <t>Monitoring Period</t>
  </si>
  <si>
    <t>The rate of change in SOC stock in stratum i=1 of the areas of land, in year t;
t C ha-1 yr-1</t>
  </si>
  <si>
    <t>The rate of change in SOC stock in stratum i=2 of the areas of land, in year t;
t C ha-1 yr-1</t>
  </si>
  <si>
    <t>The rate of change in SOC stock in stratum i=3  of the areas of land, in year t;
t C ha-1 yr-1</t>
  </si>
  <si>
    <t>The rate of change in SOC stock in stratum i=4 of the areas of land, in year t;
t C ha-1 yr-1</t>
  </si>
  <si>
    <t>The rate of change in SOC stock in stratum i=5 of the areas of land, in year t;
t C ha-1 yr-1</t>
  </si>
  <si>
    <t>The rate of change in SOC stock in stratum i=6 of the areas of land, in year t;
t C ha-1 yr-1</t>
  </si>
  <si>
    <t>The rate of change in SOC stock in stratum i=7 of the areas of land, in year t;
t C ha-1 yr-1</t>
  </si>
  <si>
    <t>The rate of change in SOC stock in stratum i=8 of the areas of land, in year t;
t C ha-1 yr-1</t>
  </si>
  <si>
    <t>The rate of change in SOC stock in stratum i=9 of the areas of land, in year t;
t C ha-1 yr-1</t>
  </si>
  <si>
    <t>The rate of change in SOC stock in stratum i=10 of the areas of land, in year t;
t C ha-1 yr-1</t>
  </si>
  <si>
    <t>The rate of change in SOC stock in stratum i=11 of the areas of land, in year t;
t C ha-1 yr-1</t>
  </si>
  <si>
    <t>The rate of change in SOC stock in stratum i=12 of the areas of land, in year t;
t C ha-1 yr-1</t>
  </si>
  <si>
    <t>The rate of change in SOC stock in stratum i=13 of the areas of land, in year t;
t C ha-1 yr-1</t>
  </si>
  <si>
    <t>The rate of change in SOC stock in stratum i=14 of the areas of land, in year t;
t C ha-1 yr-1</t>
  </si>
  <si>
    <t>The rate of change in SOC stock in stratum i=15 of the areas of land, in year t;
t C ha-1 yr-1</t>
  </si>
  <si>
    <t>The area of stratum i=1 of the areas of land; ha</t>
  </si>
  <si>
    <t>The area of stratum i=2 of the areas of land; ha</t>
  </si>
  <si>
    <t>The area of stratum i=3 of the areas of land; ha</t>
  </si>
  <si>
    <t>The area of stratum i=4 of the areas of land; ha</t>
  </si>
  <si>
    <t>The area of stratum i=5 of the areas of land; ha</t>
  </si>
  <si>
    <t>The area of stratum i=6 of the areas of land; ha</t>
  </si>
  <si>
    <t>The area of stratum i=7 of the areas of land; ha</t>
  </si>
  <si>
    <t>The area of stratum i=8 of the areas of land; ha</t>
  </si>
  <si>
    <t>The area of stratum i=9 of the areas of land; ha</t>
  </si>
  <si>
    <t>The area of stratum i=10 of the areas of land; ha</t>
  </si>
  <si>
    <t>The area of stratum i=11 of the areas of land; ha</t>
  </si>
  <si>
    <t>The area of stratum i=12 of the areas of land; ha</t>
  </si>
  <si>
    <t>The area of stratum i=13 of the areas of land; ha</t>
  </si>
  <si>
    <t>The area of stratum i=14 of the areas of land; ha</t>
  </si>
  <si>
    <t>The area of stratum i=15 of the areas of land; ha</t>
  </si>
  <si>
    <t>Change in carbon stock in SOC in project, in year t; t CO2-e</t>
  </si>
  <si>
    <r>
      <t>dSOC</t>
    </r>
    <r>
      <rPr>
        <b/>
        <vertAlign val="subscript"/>
        <sz val="11"/>
        <color theme="1"/>
        <rFont val="Calibri"/>
        <family val="2"/>
        <scheme val="minor"/>
      </rPr>
      <t>t,1</t>
    </r>
  </si>
  <si>
    <r>
      <t>dSOC</t>
    </r>
    <r>
      <rPr>
        <b/>
        <vertAlign val="subscript"/>
        <sz val="11"/>
        <color theme="1"/>
        <rFont val="Calibri"/>
        <family val="2"/>
        <scheme val="minor"/>
      </rPr>
      <t>t,2</t>
    </r>
  </si>
  <si>
    <r>
      <t>dSOC</t>
    </r>
    <r>
      <rPr>
        <b/>
        <vertAlign val="subscript"/>
        <sz val="11"/>
        <color theme="1"/>
        <rFont val="Calibri"/>
        <family val="2"/>
        <scheme val="minor"/>
      </rPr>
      <t>t,3</t>
    </r>
  </si>
  <si>
    <r>
      <t>dSOC</t>
    </r>
    <r>
      <rPr>
        <b/>
        <vertAlign val="subscript"/>
        <sz val="11"/>
        <color theme="1"/>
        <rFont val="Calibri"/>
        <family val="2"/>
        <scheme val="minor"/>
      </rPr>
      <t>t,4</t>
    </r>
  </si>
  <si>
    <r>
      <t>dSOC</t>
    </r>
    <r>
      <rPr>
        <b/>
        <vertAlign val="subscript"/>
        <sz val="11"/>
        <color theme="1"/>
        <rFont val="Calibri"/>
        <family val="2"/>
        <scheme val="minor"/>
      </rPr>
      <t>t,5</t>
    </r>
  </si>
  <si>
    <r>
      <t>dSOC</t>
    </r>
    <r>
      <rPr>
        <b/>
        <vertAlign val="subscript"/>
        <sz val="11"/>
        <color theme="1"/>
        <rFont val="Calibri"/>
        <family val="2"/>
        <scheme val="minor"/>
      </rPr>
      <t>t,6</t>
    </r>
  </si>
  <si>
    <r>
      <t>dSOC</t>
    </r>
    <r>
      <rPr>
        <b/>
        <vertAlign val="subscript"/>
        <sz val="11"/>
        <color theme="1"/>
        <rFont val="Calibri"/>
        <family val="2"/>
        <scheme val="minor"/>
      </rPr>
      <t>t,7</t>
    </r>
  </si>
  <si>
    <r>
      <t>dSOC</t>
    </r>
    <r>
      <rPr>
        <b/>
        <vertAlign val="subscript"/>
        <sz val="11"/>
        <color theme="1"/>
        <rFont val="Calibri"/>
        <family val="2"/>
        <scheme val="minor"/>
      </rPr>
      <t>t,8</t>
    </r>
  </si>
  <si>
    <r>
      <t>dSOC</t>
    </r>
    <r>
      <rPr>
        <b/>
        <vertAlign val="subscript"/>
        <sz val="11"/>
        <color theme="1"/>
        <rFont val="Calibri"/>
        <family val="2"/>
        <scheme val="minor"/>
      </rPr>
      <t>t,9</t>
    </r>
  </si>
  <si>
    <r>
      <t>dSOC</t>
    </r>
    <r>
      <rPr>
        <b/>
        <vertAlign val="subscript"/>
        <sz val="11"/>
        <color theme="1"/>
        <rFont val="Calibri"/>
        <family val="2"/>
        <scheme val="minor"/>
      </rPr>
      <t>t,10</t>
    </r>
  </si>
  <si>
    <r>
      <t>dSOC</t>
    </r>
    <r>
      <rPr>
        <b/>
        <vertAlign val="subscript"/>
        <sz val="11"/>
        <color theme="1"/>
        <rFont val="Calibri"/>
        <family val="2"/>
        <scheme val="minor"/>
      </rPr>
      <t>t,11</t>
    </r>
  </si>
  <si>
    <r>
      <t>dSOC</t>
    </r>
    <r>
      <rPr>
        <b/>
        <vertAlign val="subscript"/>
        <sz val="11"/>
        <color theme="1"/>
        <rFont val="Calibri"/>
        <family val="2"/>
        <scheme val="minor"/>
      </rPr>
      <t>t,12</t>
    </r>
  </si>
  <si>
    <r>
      <t>dSOC</t>
    </r>
    <r>
      <rPr>
        <b/>
        <vertAlign val="subscript"/>
        <sz val="11"/>
        <color theme="1"/>
        <rFont val="Calibri"/>
        <family val="2"/>
        <scheme val="minor"/>
      </rPr>
      <t>t,13</t>
    </r>
  </si>
  <si>
    <r>
      <t>dSOC</t>
    </r>
    <r>
      <rPr>
        <b/>
        <vertAlign val="subscript"/>
        <sz val="11"/>
        <color theme="1"/>
        <rFont val="Calibri"/>
        <family val="2"/>
        <scheme val="minor"/>
      </rPr>
      <t>t,14</t>
    </r>
  </si>
  <si>
    <r>
      <t>dSOC</t>
    </r>
    <r>
      <rPr>
        <b/>
        <vertAlign val="subscript"/>
        <sz val="11"/>
        <color theme="1"/>
        <rFont val="Calibri"/>
        <family val="2"/>
        <scheme val="minor"/>
      </rPr>
      <t>t,15</t>
    </r>
  </si>
  <si>
    <r>
      <t>A</t>
    </r>
    <r>
      <rPr>
        <b/>
        <vertAlign val="subscript"/>
        <sz val="11"/>
        <color theme="1"/>
        <rFont val="Calibri"/>
        <family val="2"/>
        <scheme val="minor"/>
      </rPr>
      <t>1</t>
    </r>
  </si>
  <si>
    <r>
      <t>A</t>
    </r>
    <r>
      <rPr>
        <b/>
        <vertAlign val="subscript"/>
        <sz val="11"/>
        <color theme="1"/>
        <rFont val="Calibri"/>
        <family val="2"/>
        <scheme val="minor"/>
      </rPr>
      <t>2</t>
    </r>
  </si>
  <si>
    <r>
      <t>A</t>
    </r>
    <r>
      <rPr>
        <b/>
        <vertAlign val="subscript"/>
        <sz val="11"/>
        <color theme="1"/>
        <rFont val="Calibri"/>
        <family val="2"/>
        <scheme val="minor"/>
      </rPr>
      <t>3</t>
    </r>
  </si>
  <si>
    <r>
      <t>A</t>
    </r>
    <r>
      <rPr>
        <b/>
        <vertAlign val="subscript"/>
        <sz val="11"/>
        <color theme="1"/>
        <rFont val="Calibri"/>
        <family val="2"/>
        <scheme val="minor"/>
      </rPr>
      <t>4</t>
    </r>
  </si>
  <si>
    <r>
      <t>A</t>
    </r>
    <r>
      <rPr>
        <b/>
        <vertAlign val="subscript"/>
        <sz val="11"/>
        <color theme="1"/>
        <rFont val="Calibri"/>
        <family val="2"/>
        <scheme val="minor"/>
      </rPr>
      <t>5</t>
    </r>
  </si>
  <si>
    <r>
      <t>A</t>
    </r>
    <r>
      <rPr>
        <b/>
        <vertAlign val="subscript"/>
        <sz val="11"/>
        <color theme="1"/>
        <rFont val="Calibri"/>
        <family val="2"/>
        <scheme val="minor"/>
      </rPr>
      <t>6</t>
    </r>
    <r>
      <rPr>
        <sz val="11"/>
        <color theme="1"/>
        <rFont val="Calibri"/>
        <family val="2"/>
        <scheme val="minor"/>
      </rPr>
      <t/>
    </r>
  </si>
  <si>
    <r>
      <t>A</t>
    </r>
    <r>
      <rPr>
        <b/>
        <vertAlign val="subscript"/>
        <sz val="11"/>
        <color theme="1"/>
        <rFont val="Calibri"/>
        <family val="2"/>
        <scheme val="minor"/>
      </rPr>
      <t>7</t>
    </r>
    <r>
      <rPr>
        <sz val="11"/>
        <color theme="1"/>
        <rFont val="Calibri"/>
        <family val="2"/>
        <scheme val="minor"/>
      </rPr>
      <t/>
    </r>
  </si>
  <si>
    <r>
      <t>A</t>
    </r>
    <r>
      <rPr>
        <b/>
        <vertAlign val="subscript"/>
        <sz val="11"/>
        <color theme="1"/>
        <rFont val="Calibri"/>
        <family val="2"/>
        <scheme val="minor"/>
      </rPr>
      <t>8</t>
    </r>
    <r>
      <rPr>
        <sz val="11"/>
        <color theme="1"/>
        <rFont val="Calibri"/>
        <family val="2"/>
        <scheme val="minor"/>
      </rPr>
      <t/>
    </r>
  </si>
  <si>
    <r>
      <t>A</t>
    </r>
    <r>
      <rPr>
        <b/>
        <vertAlign val="subscript"/>
        <sz val="11"/>
        <color theme="1"/>
        <rFont val="Calibri"/>
        <family val="2"/>
        <scheme val="minor"/>
      </rPr>
      <t>9</t>
    </r>
  </si>
  <si>
    <t>A10</t>
  </si>
  <si>
    <t>A11</t>
  </si>
  <si>
    <t>A12</t>
  </si>
  <si>
    <t>A13</t>
  </si>
  <si>
    <t>A14</t>
  </si>
  <si>
    <t>A15</t>
  </si>
  <si>
    <r>
      <t>∆SOC</t>
    </r>
    <r>
      <rPr>
        <b/>
        <i/>
        <vertAlign val="subscript"/>
        <sz val="10"/>
        <rFont val="Arial"/>
        <family val="2"/>
      </rPr>
      <t>AL,t</t>
    </r>
  </si>
  <si>
    <t>01/01/2019 to 31/12/2019</t>
  </si>
  <si>
    <t>01/01/2020 to 31/12/2020</t>
  </si>
  <si>
    <t>01/01/2021 to 31/12/2021</t>
  </si>
  <si>
    <t>01/01/2022 to 31/12/2022</t>
  </si>
  <si>
    <t>01/01/2023 to 31/12/2023</t>
  </si>
  <si>
    <t>01/01/2024 to 30/09/2024</t>
  </si>
  <si>
    <r>
      <t>As per the tool GHG</t>
    </r>
    <r>
      <rPr>
        <vertAlign val="subscript"/>
        <sz val="11"/>
        <color theme="1"/>
        <rFont val="Calibri (Body)"/>
      </rPr>
      <t>SPF,t</t>
    </r>
    <r>
      <rPr>
        <sz val="11"/>
        <color theme="1"/>
        <rFont val="Calibri"/>
        <family val="2"/>
        <scheme val="minor"/>
      </rPr>
      <t xml:space="preserve"> and GHG</t>
    </r>
    <r>
      <rPr>
        <vertAlign val="subscript"/>
        <sz val="11"/>
        <color theme="1"/>
        <rFont val="Calibri (Body)"/>
      </rPr>
      <t>FMF,t</t>
    </r>
    <r>
      <rPr>
        <sz val="11"/>
        <color theme="1"/>
        <rFont val="Calibri"/>
        <family val="2"/>
        <scheme val="minor"/>
      </rPr>
      <t xml:space="preserve"> are ZERO. </t>
    </r>
  </si>
  <si>
    <r>
      <t>GHG</t>
    </r>
    <r>
      <rPr>
        <vertAlign val="subscript"/>
        <sz val="11"/>
        <color theme="1"/>
        <rFont val="Calibri (Body)"/>
      </rPr>
      <t>FF_DOM,t</t>
    </r>
    <r>
      <rPr>
        <sz val="11"/>
        <color theme="1"/>
        <rFont val="Calibri"/>
        <family val="2"/>
        <scheme val="minor"/>
      </rPr>
      <t xml:space="preserve"> conservatively assumed zero since Dead Organic Matter is excluded from the GHG accounting. </t>
    </r>
  </si>
  <si>
    <r>
      <t>GHG</t>
    </r>
    <r>
      <rPr>
        <vertAlign val="subscript"/>
        <sz val="11"/>
        <color theme="1"/>
        <rFont val="Calibri (Body)"/>
      </rPr>
      <t>FF_TREE,t</t>
    </r>
    <r>
      <rPr>
        <sz val="11"/>
        <color theme="1"/>
        <rFont val="Calibri"/>
        <family val="2"/>
        <scheme val="minor"/>
      </rPr>
      <t xml:space="preserve"> is calculated as follows:</t>
    </r>
  </si>
  <si>
    <t>Strata</t>
  </si>
  <si>
    <t>Monitoring period</t>
  </si>
  <si>
    <t>Area burnt in stratum i in year t; ha</t>
  </si>
  <si>
    <t>Mean aboveground tree biomass per hectare in stratum i in year tL which is the year in which last verification was carried out before occurrence of the fire; t d.m. ha-1</t>
  </si>
  <si>
    <t>Combustion factor for stratum i; dimensionless</t>
  </si>
  <si>
    <t>Emission factor for CH4 in stratum i</t>
  </si>
  <si>
    <t>Global warming potential for CH4; dimensionless</t>
  </si>
  <si>
    <t>Emission factor for N2O in stratum i</t>
  </si>
  <si>
    <t>Global warming potential for N2O; dimensionless</t>
  </si>
  <si>
    <r>
      <t>Emission of non-CO2 gases resulting from the loss of aboveground biomass of trees due to fire (tCO</t>
    </r>
    <r>
      <rPr>
        <vertAlign val="subscript"/>
        <sz val="11"/>
        <color theme="1"/>
        <rFont val="Calibri (Body)"/>
      </rPr>
      <t>2</t>
    </r>
    <r>
      <rPr>
        <sz val="11"/>
        <color theme="1"/>
        <rFont val="Calibri"/>
        <family val="2"/>
        <scheme val="minor"/>
      </rPr>
      <t>e)</t>
    </r>
  </si>
  <si>
    <r>
      <t>i</t>
    </r>
    <r>
      <rPr>
        <vertAlign val="subscript"/>
        <sz val="11"/>
        <color theme="1"/>
        <rFont val="Calibri (Body)"/>
      </rPr>
      <t>1</t>
    </r>
  </si>
  <si>
    <r>
      <t>A</t>
    </r>
    <r>
      <rPr>
        <vertAlign val="subscript"/>
        <sz val="11"/>
        <color theme="1"/>
        <rFont val="Calibri (Body)"/>
      </rPr>
      <t>BURN,I,t</t>
    </r>
  </si>
  <si>
    <r>
      <t>b</t>
    </r>
    <r>
      <rPr>
        <vertAlign val="subscript"/>
        <sz val="11"/>
        <color theme="1"/>
        <rFont val="Calibri (Body)"/>
      </rPr>
      <t>TREE,i,tL</t>
    </r>
  </si>
  <si>
    <r>
      <t>COMF</t>
    </r>
    <r>
      <rPr>
        <vertAlign val="subscript"/>
        <sz val="11"/>
        <color theme="1"/>
        <rFont val="Calibri (Body)"/>
      </rPr>
      <t>i</t>
    </r>
  </si>
  <si>
    <r>
      <t>EF</t>
    </r>
    <r>
      <rPr>
        <vertAlign val="subscript"/>
        <sz val="11"/>
        <color theme="1"/>
        <rFont val="Calibri (Body)"/>
      </rPr>
      <t>CH4,i</t>
    </r>
  </si>
  <si>
    <r>
      <t>GWP</t>
    </r>
    <r>
      <rPr>
        <vertAlign val="subscript"/>
        <sz val="11"/>
        <color theme="1"/>
        <rFont val="Calibri (Body)"/>
      </rPr>
      <t>CH4</t>
    </r>
  </si>
  <si>
    <r>
      <t>EF</t>
    </r>
    <r>
      <rPr>
        <vertAlign val="subscript"/>
        <sz val="11"/>
        <color theme="1"/>
        <rFont val="Calibri (Body)"/>
      </rPr>
      <t>N2O,i</t>
    </r>
  </si>
  <si>
    <r>
      <t>GWP</t>
    </r>
    <r>
      <rPr>
        <vertAlign val="subscript"/>
        <sz val="11"/>
        <color theme="1"/>
        <rFont val="Calibri (Body)"/>
      </rPr>
      <t>N2O</t>
    </r>
  </si>
  <si>
    <r>
      <t>GHG</t>
    </r>
    <r>
      <rPr>
        <vertAlign val="subscript"/>
        <sz val="11"/>
        <color theme="1"/>
        <rFont val="Calibri (Body)"/>
      </rPr>
      <t>FF_TREE,t</t>
    </r>
  </si>
  <si>
    <t>01/03/2018  to 30/09/2024</t>
  </si>
  <si>
    <t>01/01/2019  to 30/09/2024</t>
  </si>
  <si>
    <t>01/01/2020  to 30/09/2024</t>
  </si>
  <si>
    <t>01/01/2021  to 30/09/2024</t>
  </si>
  <si>
    <t>01/01/2022  to 30/09/2024</t>
  </si>
  <si>
    <t>01/01/2023  to 30/09/2024</t>
  </si>
  <si>
    <t>2019 Red Sandal</t>
  </si>
  <si>
    <t>2020 Red Sandal</t>
  </si>
  <si>
    <t>2021 Red Sandal</t>
  </si>
  <si>
    <t>2022 Red Sandal</t>
  </si>
  <si>
    <t>2018 Gauva</t>
  </si>
  <si>
    <t>2019 Gauva</t>
  </si>
  <si>
    <t>2020 Gauva</t>
  </si>
  <si>
    <t>2021  Gauva</t>
  </si>
  <si>
    <t>2022 Gauva</t>
  </si>
  <si>
    <t xml:space="preserve">Year </t>
  </si>
  <si>
    <r>
      <t>Emission of non-CO2 GHGs resulting from use of fire in site preparation in year t; tCO</t>
    </r>
    <r>
      <rPr>
        <b/>
        <vertAlign val="subscript"/>
        <sz val="11"/>
        <color theme="1"/>
        <rFont val="Times New Roman"/>
        <family val="1"/>
      </rPr>
      <t>2</t>
    </r>
    <r>
      <rPr>
        <b/>
        <sz val="11"/>
        <color theme="1"/>
        <rFont val="Times New Roman"/>
        <family val="1"/>
      </rPr>
      <t>-e</t>
    </r>
  </si>
  <si>
    <r>
      <t>Emission of non-CO2 GHGs resulting from use of fire to clear the land of harvest residue prior to replanting of the land or other forest management, in year t; tCO</t>
    </r>
    <r>
      <rPr>
        <b/>
        <vertAlign val="subscript"/>
        <sz val="11"/>
        <color theme="1"/>
        <rFont val="Times New Roman"/>
        <family val="1"/>
      </rPr>
      <t>2</t>
    </r>
    <r>
      <rPr>
        <b/>
        <sz val="11"/>
        <color theme="1"/>
        <rFont val="Times New Roman"/>
        <family val="1"/>
      </rPr>
      <t>-e</t>
    </r>
  </si>
  <si>
    <t xml:space="preserve">Emission of non-CO2 GHGs resulting from fire in year t; tCO2-e </t>
  </si>
  <si>
    <r>
      <t>Emission of non-CO2 GHGs resulting from burning of biomass and forest fires within the project boundary in year t; tCO</t>
    </r>
    <r>
      <rPr>
        <b/>
        <vertAlign val="subscript"/>
        <sz val="11"/>
        <color theme="1"/>
        <rFont val="Times New Roman"/>
        <family val="1"/>
      </rPr>
      <t>2</t>
    </r>
    <r>
      <rPr>
        <b/>
        <sz val="11"/>
        <color theme="1"/>
        <rFont val="Times New Roman"/>
        <family val="1"/>
      </rPr>
      <t>-e</t>
    </r>
  </si>
  <si>
    <r>
      <t>GHG</t>
    </r>
    <r>
      <rPr>
        <b/>
        <vertAlign val="subscript"/>
        <sz val="11"/>
        <color theme="1"/>
        <rFont val="Times New Roman"/>
        <family val="1"/>
      </rPr>
      <t xml:space="preserve">SPF,t </t>
    </r>
  </si>
  <si>
    <r>
      <t>GHG</t>
    </r>
    <r>
      <rPr>
        <b/>
        <vertAlign val="subscript"/>
        <sz val="11"/>
        <color theme="1"/>
        <rFont val="Times New Roman"/>
        <family val="1"/>
      </rPr>
      <t>FMF,t</t>
    </r>
  </si>
  <si>
    <r>
      <t>GHG</t>
    </r>
    <r>
      <rPr>
        <b/>
        <vertAlign val="subscript"/>
        <sz val="11"/>
        <color theme="1"/>
        <rFont val="Times New Roman"/>
        <family val="1"/>
      </rPr>
      <t>FF,t</t>
    </r>
  </si>
  <si>
    <r>
      <t>GHG</t>
    </r>
    <r>
      <rPr>
        <b/>
        <vertAlign val="subscript"/>
        <sz val="11"/>
        <color theme="1"/>
        <rFont val="Times New Roman"/>
        <family val="1"/>
      </rPr>
      <t xml:space="preserve">E,t </t>
    </r>
  </si>
  <si>
    <t>01/03/2018 to 30/09/2024</t>
  </si>
  <si>
    <t>Age</t>
  </si>
  <si>
    <r>
      <t>Annual Leakage emissions (tCO</t>
    </r>
    <r>
      <rPr>
        <b/>
        <vertAlign val="subscript"/>
        <sz val="11"/>
        <color rgb="FFFFFFFF"/>
        <rFont val="Times New Roman"/>
        <family val="1"/>
      </rPr>
      <t>2</t>
    </r>
    <r>
      <rPr>
        <b/>
        <sz val="11"/>
        <color rgb="FFFFFFFF"/>
        <rFont val="Times New Roman"/>
        <family val="1"/>
      </rPr>
      <t>e)</t>
    </r>
  </si>
  <si>
    <r>
      <t>Total Leakage emissions (t CO</t>
    </r>
    <r>
      <rPr>
        <b/>
        <vertAlign val="subscript"/>
        <sz val="11"/>
        <color rgb="FFFFFFFF"/>
        <rFont val="Times New Roman"/>
        <family val="1"/>
      </rPr>
      <t>2</t>
    </r>
    <r>
      <rPr>
        <b/>
        <sz val="11"/>
        <color rgb="FFFFFFFF"/>
        <rFont val="Times New Roman"/>
        <family val="1"/>
      </rPr>
      <t>e)</t>
    </r>
  </si>
  <si>
    <t>No. of trees</t>
  </si>
  <si>
    <r>
      <t>A</t>
    </r>
    <r>
      <rPr>
        <vertAlign val="subscript"/>
        <sz val="11"/>
        <color theme="1"/>
        <rFont val="Times New Roman"/>
        <family val="1"/>
      </rPr>
      <t>DISP,i</t>
    </r>
  </si>
  <si>
    <r>
      <t>∆SOC</t>
    </r>
    <r>
      <rPr>
        <vertAlign val="subscript"/>
        <sz val="11"/>
        <color theme="1"/>
        <rFont val="Times New Roman"/>
        <family val="1"/>
      </rPr>
      <t>LUC,t</t>
    </r>
  </si>
  <si>
    <r>
      <t>BDR</t>
    </r>
    <r>
      <rPr>
        <vertAlign val="subscript"/>
        <sz val="11"/>
        <color theme="1"/>
        <rFont val="Times New Roman"/>
        <family val="1"/>
      </rPr>
      <t>SF</t>
    </r>
  </si>
  <si>
    <r>
      <t>b</t>
    </r>
    <r>
      <rPr>
        <vertAlign val="subscript"/>
        <sz val="11"/>
        <color theme="1"/>
        <rFont val="Times New Roman"/>
        <family val="1"/>
      </rPr>
      <t>TREE</t>
    </r>
  </si>
  <si>
    <r>
      <t>b</t>
    </r>
    <r>
      <rPr>
        <vertAlign val="subscript"/>
        <sz val="11"/>
        <color theme="1"/>
        <rFont val="Times New Roman"/>
        <family val="1"/>
      </rPr>
      <t>FOREST</t>
    </r>
    <r>
      <rPr>
        <sz val="11"/>
        <color theme="1"/>
        <rFont val="Times New Roman"/>
        <family val="1"/>
      </rPr>
      <t xml:space="preserve"> </t>
    </r>
  </si>
  <si>
    <r>
      <t>R</t>
    </r>
    <r>
      <rPr>
        <vertAlign val="subscript"/>
        <sz val="11"/>
        <color theme="1"/>
        <rFont val="Times New Roman"/>
        <family val="1"/>
      </rPr>
      <t>TREE</t>
    </r>
  </si>
  <si>
    <r>
      <t>CC</t>
    </r>
    <r>
      <rPr>
        <vertAlign val="subscript"/>
        <sz val="11"/>
        <color theme="1"/>
        <rFont val="Times New Roman"/>
        <family val="1"/>
      </rPr>
      <t>SHRUB,i</t>
    </r>
    <r>
      <rPr>
        <sz val="11"/>
        <color theme="1"/>
        <rFont val="Times New Roman"/>
        <family val="1"/>
      </rPr>
      <t xml:space="preserve"> </t>
    </r>
  </si>
  <si>
    <r>
      <rPr>
        <sz val="11"/>
        <color theme="1"/>
        <rFont val="Times New Roman"/>
        <family val="1"/>
      </rPr>
      <t>b</t>
    </r>
    <r>
      <rPr>
        <vertAlign val="subscript"/>
        <sz val="11"/>
        <color theme="1"/>
        <rFont val="Times New Roman"/>
        <family val="1"/>
      </rPr>
      <t>shrub</t>
    </r>
  </si>
  <si>
    <t>CF</t>
  </si>
  <si>
    <t>Rs</t>
  </si>
  <si>
    <r>
      <rPr>
        <b/>
        <sz val="10"/>
        <color theme="1"/>
        <rFont val="Franklin Gothic Book"/>
        <family val="2"/>
      </rPr>
      <t>Approach:</t>
    </r>
    <r>
      <rPr>
        <sz val="10"/>
        <color theme="1"/>
        <rFont val="Franklin Gothic Book"/>
        <family val="2"/>
      </rPr>
      <t xml:space="preserve">
</t>
    </r>
    <r>
      <rPr>
        <b/>
        <sz val="10"/>
        <color theme="1"/>
        <rFont val="Franklin Gothic Book"/>
        <family val="2"/>
      </rPr>
      <t>Area considered as displaced:</t>
    </r>
    <r>
      <rPr>
        <sz val="10"/>
        <color theme="1"/>
        <rFont val="Franklin Gothic Book"/>
        <family val="2"/>
      </rPr>
      <t xml:space="preserve"> As per the study titled ‘PERFORMANCE OF MANGO BASED AGROFORESTRY SYSTEM WITH DIFFERENT SUMMER VEGETABLES COMBINATIONS’, the Full shade condition was considered as 0m to 0.5m distance from the mango tree base. In this condition, land did not get full sunlight from 10pm to 3pm. Which is not suitable for agriculture. Hence, 0.5 m radius spherical area around each tree stem is considered displaced due to implementation of the project.
Since there were no trees in the pre-project scenario, the only insignificant displacement of agriculture activities has been considered as traditional seasonal agriculture practices of crops which are considered in the category of Shrubs. Hence, b</t>
    </r>
    <r>
      <rPr>
        <vertAlign val="subscript"/>
        <sz val="10"/>
        <color theme="1"/>
        <rFont val="Franklin Gothic Book"/>
        <family val="2"/>
      </rPr>
      <t>TREE</t>
    </r>
    <r>
      <rPr>
        <sz val="10"/>
        <color theme="1"/>
        <rFont val="Franklin Gothic Book"/>
        <family val="2"/>
      </rPr>
      <t xml:space="preserve"> and ∆SOC</t>
    </r>
    <r>
      <rPr>
        <vertAlign val="subscript"/>
        <sz val="10"/>
        <color theme="1"/>
        <rFont val="Franklin Gothic Book"/>
        <family val="2"/>
      </rPr>
      <t>LUC,t</t>
    </r>
    <r>
      <rPr>
        <sz val="10"/>
        <color theme="1"/>
        <rFont val="Franklin Gothic Book"/>
        <family val="2"/>
      </rPr>
      <t xml:space="preserve"> is considered as 0.
b</t>
    </r>
    <r>
      <rPr>
        <vertAlign val="subscript"/>
        <sz val="10"/>
        <color theme="1"/>
        <rFont val="Franklin Gothic Book"/>
        <family val="2"/>
      </rPr>
      <t>SHRUB</t>
    </r>
    <r>
      <rPr>
        <sz val="10"/>
        <color theme="1"/>
        <rFont val="Franklin Gothic Book"/>
        <family val="2"/>
      </rPr>
      <t>= Mean above-ground shrub biomass in land receiving the displaced activity; t d.m. ha</t>
    </r>
    <r>
      <rPr>
        <vertAlign val="superscript"/>
        <sz val="10"/>
        <color theme="1"/>
        <rFont val="Franklin Gothic Book"/>
        <family val="2"/>
      </rPr>
      <t>-1</t>
    </r>
    <r>
      <rPr>
        <sz val="10"/>
        <color theme="1"/>
        <rFont val="Franklin Gothic Book"/>
        <family val="2"/>
      </rPr>
      <t xml:space="preserve">
b</t>
    </r>
    <r>
      <rPr>
        <vertAlign val="subscript"/>
        <sz val="10"/>
        <color theme="1"/>
        <rFont val="Franklin Gothic Book"/>
        <family val="2"/>
      </rPr>
      <t>SHRUB</t>
    </r>
    <r>
      <rPr>
        <sz val="10"/>
        <color theme="1"/>
        <rFont val="Franklin Gothic Book"/>
        <family val="2"/>
      </rPr>
      <t xml:space="preserve"> is calculated using equation 27, CDM AR-Tool 14. 
b</t>
    </r>
    <r>
      <rPr>
        <vertAlign val="subscript"/>
        <sz val="10"/>
        <color theme="1"/>
        <rFont val="Franklin Gothic Book"/>
        <family val="2"/>
      </rPr>
      <t>SHRUB</t>
    </r>
    <r>
      <rPr>
        <sz val="10"/>
        <color theme="1"/>
        <rFont val="Franklin Gothic Book"/>
        <family val="2"/>
      </rPr>
      <t>= BDR</t>
    </r>
    <r>
      <rPr>
        <vertAlign val="subscript"/>
        <sz val="10"/>
        <color theme="1"/>
        <rFont val="Franklin Gothic Book"/>
        <family val="2"/>
      </rPr>
      <t>SF</t>
    </r>
    <r>
      <rPr>
        <sz val="10"/>
        <color theme="1"/>
        <rFont val="Franklin Gothic Book"/>
        <family val="2"/>
      </rPr>
      <t>*b</t>
    </r>
    <r>
      <rPr>
        <vertAlign val="subscript"/>
        <sz val="10"/>
        <color theme="1"/>
        <rFont val="Franklin Gothic Book"/>
        <family val="2"/>
      </rPr>
      <t>FOREST</t>
    </r>
    <r>
      <rPr>
        <sz val="10"/>
        <color theme="1"/>
        <rFont val="Franklin Gothic Book"/>
        <family val="2"/>
      </rPr>
      <t>*CC</t>
    </r>
    <r>
      <rPr>
        <vertAlign val="subscript"/>
        <sz val="10"/>
        <color theme="1"/>
        <rFont val="Franklin Gothic Book"/>
        <family val="2"/>
      </rPr>
      <t xml:space="preserve">SHRUB,i
</t>
    </r>
    <r>
      <rPr>
        <sz val="10"/>
        <color theme="1"/>
        <rFont val="Franklin Gothic Book"/>
        <family val="2"/>
      </rPr>
      <t>∆C</t>
    </r>
    <r>
      <rPr>
        <vertAlign val="subscript"/>
        <sz val="10"/>
        <color theme="1"/>
        <rFont val="Franklin Gothic Book"/>
        <family val="2"/>
      </rPr>
      <t>BIOMASS,t</t>
    </r>
    <r>
      <rPr>
        <sz val="10"/>
        <color theme="1"/>
        <rFont val="Franklin Gothic Book"/>
        <family val="2"/>
      </rPr>
      <t>=[1.1*b</t>
    </r>
    <r>
      <rPr>
        <vertAlign val="subscript"/>
        <sz val="10"/>
        <color theme="1"/>
        <rFont val="Franklin Gothic Book"/>
        <family val="2"/>
      </rPr>
      <t>TREE</t>
    </r>
    <r>
      <rPr>
        <sz val="10"/>
        <color theme="1"/>
        <rFont val="Franklin Gothic Book"/>
        <family val="2"/>
      </rPr>
      <t>*(1+R</t>
    </r>
    <r>
      <rPr>
        <vertAlign val="subscript"/>
        <sz val="10"/>
        <color theme="1"/>
        <rFont val="Franklin Gothic Book"/>
        <family val="2"/>
      </rPr>
      <t>TREE</t>
    </r>
    <r>
      <rPr>
        <sz val="10"/>
        <color theme="1"/>
        <rFont val="Franklin Gothic Book"/>
        <family val="2"/>
      </rPr>
      <t>)+b</t>
    </r>
    <r>
      <rPr>
        <vertAlign val="subscript"/>
        <sz val="10"/>
        <color theme="1"/>
        <rFont val="Franklin Gothic Book"/>
        <family val="2"/>
      </rPr>
      <t>SHRUB</t>
    </r>
    <r>
      <rPr>
        <sz val="10"/>
        <color theme="1"/>
        <rFont val="Franklin Gothic Book"/>
        <family val="2"/>
      </rPr>
      <t>*(1+R</t>
    </r>
    <r>
      <rPr>
        <vertAlign val="subscript"/>
        <sz val="10"/>
        <color theme="1"/>
        <rFont val="Franklin Gothic Book"/>
        <family val="2"/>
      </rPr>
      <t>S</t>
    </r>
    <r>
      <rPr>
        <sz val="10"/>
        <color theme="1"/>
        <rFont val="Franklin Gothic Book"/>
        <family val="2"/>
      </rPr>
      <t>)]*CF*A</t>
    </r>
    <r>
      <rPr>
        <vertAlign val="subscript"/>
        <sz val="10"/>
        <color theme="1"/>
        <rFont val="Franklin Gothic Book"/>
        <family val="2"/>
      </rPr>
      <t xml:space="preserve">DISP,t
</t>
    </r>
    <r>
      <rPr>
        <sz val="10"/>
        <color theme="1"/>
        <rFont val="Franklin Gothic Book"/>
        <family val="2"/>
      </rPr>
      <t>∆C</t>
    </r>
    <r>
      <rPr>
        <vertAlign val="subscript"/>
        <sz val="10"/>
        <color theme="1"/>
        <rFont val="Franklin Gothic Book"/>
        <family val="2"/>
      </rPr>
      <t>BIOMASS,t</t>
    </r>
    <r>
      <rPr>
        <sz val="10"/>
        <color theme="1"/>
        <rFont val="Franklin Gothic Book"/>
        <family val="2"/>
      </rPr>
      <t>=[1.1*0*(1+0.25)+(3.65*(1+0.4)]*0.47*A</t>
    </r>
    <r>
      <rPr>
        <vertAlign val="subscript"/>
        <sz val="10"/>
        <color theme="1"/>
        <rFont val="Franklin Gothic Book"/>
        <family val="2"/>
      </rPr>
      <t xml:space="preserve">DISP,t
</t>
    </r>
    <r>
      <rPr>
        <sz val="10"/>
        <color theme="1"/>
        <rFont val="Franklin Gothic Book"/>
        <family val="2"/>
      </rPr>
      <t xml:space="preserve">
LK</t>
    </r>
    <r>
      <rPr>
        <vertAlign val="subscript"/>
        <sz val="10"/>
        <color theme="1"/>
        <rFont val="Franklin Gothic Book"/>
        <family val="2"/>
      </rPr>
      <t>AGRIC,t</t>
    </r>
    <r>
      <rPr>
        <sz val="10"/>
        <color theme="1"/>
        <rFont val="Franklin Gothic Book"/>
        <family val="2"/>
      </rPr>
      <t>=44/12*(∆C</t>
    </r>
    <r>
      <rPr>
        <vertAlign val="subscript"/>
        <sz val="10"/>
        <color theme="1"/>
        <rFont val="Franklin Gothic Book"/>
        <family val="2"/>
      </rPr>
      <t>BIOMASS,t</t>
    </r>
    <r>
      <rPr>
        <sz val="10"/>
        <color theme="1"/>
        <rFont val="Franklin Gothic Book"/>
        <family val="2"/>
      </rPr>
      <t>+∆SOC</t>
    </r>
    <r>
      <rPr>
        <vertAlign val="subscript"/>
        <sz val="10"/>
        <color theme="1"/>
        <rFont val="Franklin Gothic Book"/>
        <family val="2"/>
      </rPr>
      <t>LUC,t</t>
    </r>
    <r>
      <rPr>
        <sz val="10"/>
        <color theme="1"/>
        <rFont val="Franklin Gothic Book"/>
        <family val="2"/>
      </rPr>
      <t>)
LK</t>
    </r>
    <r>
      <rPr>
        <vertAlign val="subscript"/>
        <sz val="10"/>
        <color theme="1"/>
        <rFont val="Franklin Gothic Book"/>
        <family val="2"/>
      </rPr>
      <t>AGRIC,t</t>
    </r>
    <r>
      <rPr>
        <sz val="10"/>
        <color theme="1"/>
        <rFont val="Franklin Gothic Book"/>
        <family val="2"/>
      </rPr>
      <t>=44/12*(∆C</t>
    </r>
    <r>
      <rPr>
        <vertAlign val="subscript"/>
        <sz val="10"/>
        <color theme="1"/>
        <rFont val="Franklin Gothic Book"/>
        <family val="2"/>
      </rPr>
      <t>BIOMASS,t</t>
    </r>
    <r>
      <rPr>
        <sz val="10"/>
        <color theme="1"/>
        <rFont val="Franklin Gothic Book"/>
        <family val="2"/>
      </rPr>
      <t>+0)</t>
    </r>
  </si>
  <si>
    <t>Reference</t>
  </si>
  <si>
    <t>http://103.7.193.12:8080/xmlui/bitstream/handle/123456789/1614/PERFORMANCE%20OF%20MANGO%20BASED%20AGROFORESTRY%20SYSTEM%20WITH%20DIFFERENT%20SUMMER%20VEGETABLES%20COMBINATIONS%20by%20MST.%20SHUBA.pdf?sequence=1&amp;isAllowed=</t>
  </si>
  <si>
    <r>
      <t>Mean tree biomass per hectare in stratum i</t>
    </r>
    <r>
      <rPr>
        <b/>
        <vertAlign val="subscript"/>
        <sz val="10"/>
        <rFont val="Arial"/>
        <family val="2"/>
      </rPr>
      <t>1</t>
    </r>
    <r>
      <rPr>
        <b/>
        <sz val="10"/>
        <rFont val="Arial"/>
        <family val="2"/>
      </rPr>
      <t xml:space="preserve"> at a given point of time in year t; t d.m. ha</t>
    </r>
    <r>
      <rPr>
        <b/>
        <vertAlign val="superscript"/>
        <sz val="10"/>
        <rFont val="Arial"/>
        <family val="2"/>
      </rPr>
      <t>-1</t>
    </r>
  </si>
  <si>
    <r>
      <t>Ratio of the area of stratum i</t>
    </r>
    <r>
      <rPr>
        <b/>
        <vertAlign val="subscript"/>
        <sz val="10"/>
        <rFont val="Arial"/>
        <family val="2"/>
      </rPr>
      <t>1</t>
    </r>
    <r>
      <rPr>
        <b/>
        <sz val="10"/>
        <rFont val="Arial"/>
        <family val="2"/>
      </rPr>
      <t xml:space="preserve"> to the sum of areas of biomass
estimation strata; dimensionless</t>
    </r>
  </si>
  <si>
    <r>
      <t>Mean tree biomass per hectare in stratum i</t>
    </r>
    <r>
      <rPr>
        <b/>
        <vertAlign val="subscript"/>
        <sz val="10"/>
        <rFont val="Arial"/>
        <family val="2"/>
      </rPr>
      <t>2</t>
    </r>
    <r>
      <rPr>
        <b/>
        <sz val="10"/>
        <rFont val="Arial"/>
        <family val="2"/>
      </rPr>
      <t xml:space="preserve"> at a given point of time in year t; t d.m. ha</t>
    </r>
    <r>
      <rPr>
        <b/>
        <vertAlign val="superscript"/>
        <sz val="10"/>
        <rFont val="Arial"/>
        <family val="2"/>
      </rPr>
      <t>-1</t>
    </r>
  </si>
  <si>
    <r>
      <t>Ratio of the area of stratum i</t>
    </r>
    <r>
      <rPr>
        <b/>
        <vertAlign val="subscript"/>
        <sz val="10"/>
        <rFont val="Arial"/>
        <family val="2"/>
      </rPr>
      <t>2</t>
    </r>
    <r>
      <rPr>
        <b/>
        <sz val="10"/>
        <rFont val="Arial"/>
        <family val="2"/>
      </rPr>
      <t xml:space="preserve"> to the sum of areas of biomass
estimation strata; dimensionless</t>
    </r>
  </si>
  <si>
    <r>
      <t>Mean tree biomass per hectare in stratum i</t>
    </r>
    <r>
      <rPr>
        <b/>
        <vertAlign val="subscript"/>
        <sz val="10"/>
        <rFont val="Arial"/>
        <family val="2"/>
      </rPr>
      <t>3</t>
    </r>
    <r>
      <rPr>
        <b/>
        <sz val="10"/>
        <rFont val="Arial"/>
        <family val="2"/>
      </rPr>
      <t xml:space="preserve"> at a given point of time in year t; t d.m. ha</t>
    </r>
    <r>
      <rPr>
        <b/>
        <vertAlign val="superscript"/>
        <sz val="10"/>
        <rFont val="Arial"/>
        <family val="2"/>
      </rPr>
      <t>-1</t>
    </r>
  </si>
  <si>
    <r>
      <t>Ratio of the area of stratum i</t>
    </r>
    <r>
      <rPr>
        <b/>
        <vertAlign val="subscript"/>
        <sz val="10"/>
        <rFont val="Arial"/>
        <family val="2"/>
      </rPr>
      <t>3</t>
    </r>
    <r>
      <rPr>
        <b/>
        <sz val="10"/>
        <rFont val="Arial"/>
        <family val="2"/>
      </rPr>
      <t xml:space="preserve"> to the sum of areas of biomass
estimation strata; dimensionless</t>
    </r>
  </si>
  <si>
    <r>
      <t>Mean tree biomass per hectare in stratum i</t>
    </r>
    <r>
      <rPr>
        <b/>
        <vertAlign val="subscript"/>
        <sz val="10"/>
        <rFont val="Arial"/>
        <family val="2"/>
      </rPr>
      <t>4</t>
    </r>
    <r>
      <rPr>
        <b/>
        <sz val="10"/>
        <rFont val="Arial"/>
        <family val="2"/>
      </rPr>
      <t xml:space="preserve"> at a given point of time in year t; t d.m. ha</t>
    </r>
    <r>
      <rPr>
        <b/>
        <vertAlign val="superscript"/>
        <sz val="10"/>
        <rFont val="Arial"/>
        <family val="2"/>
      </rPr>
      <t>-1</t>
    </r>
  </si>
  <si>
    <r>
      <t>Ratio of the area of stratum i</t>
    </r>
    <r>
      <rPr>
        <b/>
        <vertAlign val="subscript"/>
        <sz val="10"/>
        <rFont val="Arial"/>
        <family val="2"/>
      </rPr>
      <t>4</t>
    </r>
    <r>
      <rPr>
        <b/>
        <sz val="10"/>
        <rFont val="Arial"/>
        <family val="2"/>
      </rPr>
      <t xml:space="preserve"> to the sum of areas of biomass
estimation strata; dimensionless</t>
    </r>
  </si>
  <si>
    <r>
      <t>Mean tree biomass per hectare in stratum i</t>
    </r>
    <r>
      <rPr>
        <b/>
        <vertAlign val="subscript"/>
        <sz val="10"/>
        <rFont val="Arial"/>
        <family val="2"/>
      </rPr>
      <t>5</t>
    </r>
    <r>
      <rPr>
        <b/>
        <sz val="10"/>
        <rFont val="Arial"/>
        <family val="2"/>
      </rPr>
      <t xml:space="preserve"> at a given point of time in year t; t d.m. ha</t>
    </r>
    <r>
      <rPr>
        <b/>
        <vertAlign val="superscript"/>
        <sz val="10"/>
        <rFont val="Arial"/>
        <family val="2"/>
      </rPr>
      <t>-1</t>
    </r>
  </si>
  <si>
    <r>
      <t>Ratio of the area of stratum i</t>
    </r>
    <r>
      <rPr>
        <b/>
        <vertAlign val="subscript"/>
        <sz val="10"/>
        <rFont val="Arial"/>
        <family val="2"/>
      </rPr>
      <t>5</t>
    </r>
    <r>
      <rPr>
        <b/>
        <sz val="10"/>
        <rFont val="Arial"/>
        <family val="2"/>
      </rPr>
      <t xml:space="preserve"> to the sum of areas of biomass
estimation strata; dimensionless</t>
    </r>
  </si>
  <si>
    <r>
      <t>Mean tree biomass per hectare in stratum i</t>
    </r>
    <r>
      <rPr>
        <b/>
        <sz val="9"/>
        <rFont val="Arial"/>
        <family val="2"/>
      </rPr>
      <t>6</t>
    </r>
    <r>
      <rPr>
        <b/>
        <sz val="10"/>
        <rFont val="Arial"/>
        <family val="2"/>
      </rPr>
      <t xml:space="preserve"> at a given point of time in year t; t d.m. ha</t>
    </r>
    <r>
      <rPr>
        <b/>
        <vertAlign val="superscript"/>
        <sz val="10"/>
        <rFont val="Arial"/>
        <family val="2"/>
      </rPr>
      <t>-1</t>
    </r>
  </si>
  <si>
    <r>
      <t>Ratio of the area of stratum i</t>
    </r>
    <r>
      <rPr>
        <b/>
        <sz val="9"/>
        <rFont val="Arial"/>
        <family val="2"/>
      </rPr>
      <t>6</t>
    </r>
    <r>
      <rPr>
        <b/>
        <sz val="10"/>
        <rFont val="Arial"/>
        <family val="2"/>
      </rPr>
      <t xml:space="preserve"> to the sum of areas of biomass
estimation strata; dimensionless</t>
    </r>
  </si>
  <si>
    <r>
      <t>Mean tree biomass per hectare in stratum i</t>
    </r>
    <r>
      <rPr>
        <b/>
        <vertAlign val="subscript"/>
        <sz val="10"/>
        <rFont val="Arial"/>
        <family val="2"/>
      </rPr>
      <t>7</t>
    </r>
    <r>
      <rPr>
        <b/>
        <sz val="10"/>
        <rFont val="Arial"/>
        <family val="2"/>
      </rPr>
      <t xml:space="preserve"> at a given point of time in year t; t d.m. ha</t>
    </r>
    <r>
      <rPr>
        <b/>
        <vertAlign val="superscript"/>
        <sz val="10"/>
        <rFont val="Arial"/>
        <family val="2"/>
      </rPr>
      <t>-1</t>
    </r>
  </si>
  <si>
    <r>
      <t>Ratio of the area of stratum i</t>
    </r>
    <r>
      <rPr>
        <b/>
        <sz val="9"/>
        <rFont val="Arial"/>
        <family val="2"/>
      </rPr>
      <t>7</t>
    </r>
    <r>
      <rPr>
        <b/>
        <sz val="10"/>
        <rFont val="Arial"/>
        <family val="2"/>
      </rPr>
      <t xml:space="preserve"> to the sum of areas of biomass
estimation strata; dimensionless</t>
    </r>
  </si>
  <si>
    <r>
      <t>Mean tree biomass per hectare in stratum i</t>
    </r>
    <r>
      <rPr>
        <b/>
        <sz val="9"/>
        <rFont val="Arial"/>
        <family val="2"/>
      </rPr>
      <t>8</t>
    </r>
    <r>
      <rPr>
        <b/>
        <sz val="10"/>
        <rFont val="Arial"/>
        <family val="2"/>
      </rPr>
      <t xml:space="preserve"> at a given point of time in year t; t d.m. ha</t>
    </r>
    <r>
      <rPr>
        <b/>
        <vertAlign val="superscript"/>
        <sz val="10"/>
        <rFont val="Arial"/>
        <family val="2"/>
      </rPr>
      <t>-1</t>
    </r>
  </si>
  <si>
    <r>
      <t>Ratio of the area of stratum i</t>
    </r>
    <r>
      <rPr>
        <b/>
        <sz val="9"/>
        <rFont val="Arial"/>
        <family val="2"/>
      </rPr>
      <t>8</t>
    </r>
    <r>
      <rPr>
        <b/>
        <sz val="10"/>
        <rFont val="Arial"/>
        <family val="2"/>
      </rPr>
      <t xml:space="preserve"> to the sum of areas of biomass
estimation strata; dimensionless</t>
    </r>
  </si>
  <si>
    <t>Ratio of the area of stratum i9 to the sum of areas of biomass
estimation strata; dimensionless</t>
  </si>
  <si>
    <r>
      <t>Mean tree biomass per hectare in stratum i10 at a given point of time in year t; t d.m. ha</t>
    </r>
    <r>
      <rPr>
        <b/>
        <vertAlign val="superscript"/>
        <sz val="10"/>
        <rFont val="Arial"/>
        <family val="2"/>
      </rPr>
      <t>-1</t>
    </r>
  </si>
  <si>
    <r>
      <t>Mean tree biomass per hectare in stratum i11 at a given point of time in year t; t d.m. ha</t>
    </r>
    <r>
      <rPr>
        <b/>
        <vertAlign val="superscript"/>
        <sz val="10"/>
        <rFont val="Arial"/>
        <family val="2"/>
      </rPr>
      <t>-1</t>
    </r>
  </si>
  <si>
    <r>
      <t>Mean tree biomass per hectare in stratum i12 at a given point of time in year t; t d.m. ha</t>
    </r>
    <r>
      <rPr>
        <b/>
        <vertAlign val="superscript"/>
        <sz val="10"/>
        <rFont val="Arial"/>
        <family val="2"/>
      </rPr>
      <t>-1</t>
    </r>
  </si>
  <si>
    <r>
      <t>Mean tree biomass per hectare in stratum i13 at a given point of time in year t; t d.m. ha</t>
    </r>
    <r>
      <rPr>
        <b/>
        <vertAlign val="superscript"/>
        <sz val="10"/>
        <rFont val="Arial"/>
        <family val="2"/>
      </rPr>
      <t>-1</t>
    </r>
  </si>
  <si>
    <r>
      <t>Mean tree biomass per hectare in stratum i14 at a given point of time in year t; t d.m. ha</t>
    </r>
    <r>
      <rPr>
        <b/>
        <vertAlign val="superscript"/>
        <sz val="10"/>
        <rFont val="Arial"/>
        <family val="2"/>
      </rPr>
      <t>-1</t>
    </r>
  </si>
  <si>
    <r>
      <t>Mean tree biomass per hectare in stratum i15 at a given point of time in year t; t d.m. ha</t>
    </r>
    <r>
      <rPr>
        <b/>
        <vertAlign val="superscript"/>
        <sz val="10"/>
        <rFont val="Arial"/>
        <family val="2"/>
      </rPr>
      <t>-1</t>
    </r>
  </si>
  <si>
    <r>
      <t>Mean tree biomass per hectare in strata at a given point of time in year t; t d.m. ha</t>
    </r>
    <r>
      <rPr>
        <b/>
        <vertAlign val="superscript"/>
        <sz val="10"/>
        <rFont val="Arial"/>
        <family val="2"/>
      </rPr>
      <t>-1</t>
    </r>
  </si>
  <si>
    <t>Sum of areas of the biomass estimation strata within the project
boundary; ha</t>
  </si>
  <si>
    <t>Total tree biomass within the project boundary at a given point of
time in year t; t d.m.</t>
  </si>
  <si>
    <t>Uncertainty (%)</t>
  </si>
  <si>
    <t>Carbon fraction of tree biomass; t C t d.m.-1 (Default value used as per tool)</t>
  </si>
  <si>
    <t>Carbon stock in tree biomass within the project boundary at a
given point of time in year t; t CO2-e</t>
  </si>
  <si>
    <t>Change in carbon stock in tree biomass within the project
boundary in year t; t CO2-e</t>
  </si>
  <si>
    <t>Change in carbon stock in tree biomass in project in year t; t CO2-e</t>
  </si>
  <si>
    <t>Change in carbon stock in shrub biomass in project in year t; t CO2-e</t>
  </si>
  <si>
    <t>Change in carbon stock in dead wood in project in year t; t CO2-e</t>
  </si>
  <si>
    <t>Change in carbon stock in litter in project in year t; t CO2-e</t>
  </si>
  <si>
    <t>Change in the carbon stocks in project, occurring in the selected carbon pools, in year t; t CO2-e</t>
  </si>
  <si>
    <r>
      <t>Increase in non-CO</t>
    </r>
    <r>
      <rPr>
        <b/>
        <vertAlign val="subscript"/>
        <sz val="11"/>
        <color theme="1"/>
        <rFont val="Calibri"/>
        <family val="2"/>
        <scheme val="minor"/>
      </rPr>
      <t>2</t>
    </r>
    <r>
      <rPr>
        <b/>
        <sz val="11"/>
        <color theme="1"/>
        <rFont val="Calibri"/>
        <family val="2"/>
        <scheme val="minor"/>
      </rPr>
      <t xml:space="preserve"> GHG emissions within the project boundary as a result of the implementation of the A/R CDM project activity, in year t; t CO2-e</t>
    </r>
  </si>
  <si>
    <t>Actual net GHG removals by sinks, in year t; t CO2-e</t>
  </si>
  <si>
    <t>GHG emissions due to leakage, in year t; t CO2-e</t>
  </si>
  <si>
    <t>Baseline net GHG removals by sinks, in year t; t CO2-e</t>
  </si>
  <si>
    <t>Net anthropogenic GHG removals by sinks, in year t; t CO2-e</t>
  </si>
  <si>
    <t>Buffer Pool allocation</t>
  </si>
  <si>
    <t xml:space="preserve">VCUs
eligible
for
Issuance
</t>
  </si>
  <si>
    <r>
      <t>b</t>
    </r>
    <r>
      <rPr>
        <b/>
        <vertAlign val="subscript"/>
        <sz val="10"/>
        <rFont val="Arial"/>
        <family val="2"/>
      </rPr>
      <t>TREE,i,t</t>
    </r>
  </si>
  <si>
    <r>
      <t>w</t>
    </r>
    <r>
      <rPr>
        <b/>
        <vertAlign val="subscript"/>
        <sz val="10"/>
        <rFont val="Arial"/>
        <family val="2"/>
      </rPr>
      <t>1</t>
    </r>
  </si>
  <si>
    <r>
      <t>w</t>
    </r>
    <r>
      <rPr>
        <b/>
        <vertAlign val="subscript"/>
        <sz val="10"/>
        <rFont val="Arial"/>
        <family val="2"/>
      </rPr>
      <t>2</t>
    </r>
  </si>
  <si>
    <r>
      <t>w</t>
    </r>
    <r>
      <rPr>
        <b/>
        <vertAlign val="subscript"/>
        <sz val="10"/>
        <rFont val="Arial"/>
        <family val="2"/>
      </rPr>
      <t>3</t>
    </r>
  </si>
  <si>
    <r>
      <t>w</t>
    </r>
    <r>
      <rPr>
        <b/>
        <vertAlign val="subscript"/>
        <sz val="10"/>
        <rFont val="Arial"/>
        <family val="2"/>
      </rPr>
      <t>4</t>
    </r>
  </si>
  <si>
    <r>
      <t>w</t>
    </r>
    <r>
      <rPr>
        <b/>
        <vertAlign val="subscript"/>
        <sz val="10"/>
        <rFont val="Arial"/>
        <family val="2"/>
      </rPr>
      <t>5</t>
    </r>
  </si>
  <si>
    <r>
      <t>w</t>
    </r>
    <r>
      <rPr>
        <b/>
        <sz val="9"/>
        <rFont val="Arial"/>
        <family val="2"/>
      </rPr>
      <t>6</t>
    </r>
  </si>
  <si>
    <r>
      <t>w</t>
    </r>
    <r>
      <rPr>
        <b/>
        <sz val="9"/>
        <rFont val="Arial"/>
        <family val="2"/>
      </rPr>
      <t>7</t>
    </r>
  </si>
  <si>
    <r>
      <t>w</t>
    </r>
    <r>
      <rPr>
        <b/>
        <sz val="9"/>
        <rFont val="Arial"/>
        <family val="2"/>
      </rPr>
      <t>8</t>
    </r>
  </si>
  <si>
    <t>w9</t>
  </si>
  <si>
    <t>w10</t>
  </si>
  <si>
    <t>w11</t>
  </si>
  <si>
    <t>w12</t>
  </si>
  <si>
    <t>w13</t>
  </si>
  <si>
    <t>w14</t>
  </si>
  <si>
    <t>w15</t>
  </si>
  <si>
    <r>
      <t>b</t>
    </r>
    <r>
      <rPr>
        <b/>
        <vertAlign val="subscript"/>
        <sz val="10"/>
        <rFont val="Arial"/>
        <family val="2"/>
      </rPr>
      <t>TREE,t</t>
    </r>
  </si>
  <si>
    <t>A</t>
  </si>
  <si>
    <r>
      <t>B</t>
    </r>
    <r>
      <rPr>
        <b/>
        <vertAlign val="subscript"/>
        <sz val="10"/>
        <rFont val="Arial"/>
        <family val="2"/>
      </rPr>
      <t>TREE,t</t>
    </r>
  </si>
  <si>
    <t>%</t>
  </si>
  <si>
    <r>
      <t>CF</t>
    </r>
    <r>
      <rPr>
        <b/>
        <vertAlign val="subscript"/>
        <sz val="10"/>
        <rFont val="Arial"/>
        <family val="2"/>
      </rPr>
      <t>TREE</t>
    </r>
  </si>
  <si>
    <r>
      <t>C</t>
    </r>
    <r>
      <rPr>
        <b/>
        <vertAlign val="subscript"/>
        <sz val="10"/>
        <rFont val="Arial"/>
        <family val="2"/>
      </rPr>
      <t>TREE,t</t>
    </r>
  </si>
  <si>
    <r>
      <t>∆C</t>
    </r>
    <r>
      <rPr>
        <b/>
        <i/>
        <vertAlign val="subscript"/>
        <sz val="10"/>
        <rFont val="Arial"/>
        <family val="2"/>
      </rPr>
      <t>TREE,t</t>
    </r>
  </si>
  <si>
    <r>
      <t>∆C</t>
    </r>
    <r>
      <rPr>
        <b/>
        <i/>
        <vertAlign val="subscript"/>
        <sz val="10"/>
        <rFont val="Arial"/>
        <family val="2"/>
      </rPr>
      <t>TREE_PROJ,t</t>
    </r>
  </si>
  <si>
    <r>
      <t>∆C</t>
    </r>
    <r>
      <rPr>
        <b/>
        <i/>
        <vertAlign val="subscript"/>
        <sz val="10"/>
        <rFont val="Arial"/>
        <family val="2"/>
      </rPr>
      <t>SHRUB_PROJ,t</t>
    </r>
  </si>
  <si>
    <r>
      <t>∆C</t>
    </r>
    <r>
      <rPr>
        <b/>
        <i/>
        <vertAlign val="subscript"/>
        <sz val="10"/>
        <rFont val="Arial"/>
        <family val="2"/>
      </rPr>
      <t>DW_PROJ,t</t>
    </r>
  </si>
  <si>
    <r>
      <t>∆C</t>
    </r>
    <r>
      <rPr>
        <b/>
        <i/>
        <vertAlign val="subscript"/>
        <sz val="10"/>
        <rFont val="Arial"/>
        <family val="2"/>
      </rPr>
      <t>LI_PROJ,t</t>
    </r>
  </si>
  <si>
    <r>
      <t>∆C</t>
    </r>
    <r>
      <rPr>
        <b/>
        <i/>
        <vertAlign val="subscript"/>
        <sz val="10"/>
        <rFont val="Arial"/>
        <family val="2"/>
      </rPr>
      <t>P,t</t>
    </r>
  </si>
  <si>
    <r>
      <t>GHG</t>
    </r>
    <r>
      <rPr>
        <b/>
        <vertAlign val="subscript"/>
        <sz val="10"/>
        <rFont val="Arial"/>
        <family val="2"/>
      </rPr>
      <t>E,t</t>
    </r>
  </si>
  <si>
    <r>
      <t>∆C</t>
    </r>
    <r>
      <rPr>
        <b/>
        <i/>
        <vertAlign val="subscript"/>
        <sz val="10"/>
        <rFont val="Arial"/>
        <family val="2"/>
      </rPr>
      <t>ACTUAL,t</t>
    </r>
  </si>
  <si>
    <r>
      <t>LK</t>
    </r>
    <r>
      <rPr>
        <b/>
        <i/>
        <vertAlign val="subscript"/>
        <sz val="10"/>
        <rFont val="Arial"/>
        <family val="2"/>
      </rPr>
      <t>t</t>
    </r>
  </si>
  <si>
    <r>
      <t>∆C</t>
    </r>
    <r>
      <rPr>
        <b/>
        <vertAlign val="subscript"/>
        <sz val="10"/>
        <rFont val="Arial"/>
        <family val="2"/>
      </rPr>
      <t>BSL,t</t>
    </r>
  </si>
  <si>
    <r>
      <t>∆C</t>
    </r>
    <r>
      <rPr>
        <b/>
        <vertAlign val="subscript"/>
        <sz val="10"/>
        <rFont val="Arial"/>
        <family val="2"/>
      </rPr>
      <t>AR-CDM,t</t>
    </r>
  </si>
  <si>
    <t>Vintage period</t>
  </si>
  <si>
    <t>No. Of days</t>
  </si>
  <si>
    <r>
      <t>Baseline emissions (tCO</t>
    </r>
    <r>
      <rPr>
        <b/>
        <vertAlign val="subscript"/>
        <sz val="9.5"/>
        <color rgb="FFFFFFFF"/>
        <rFont val="Franklin Gothic Book"/>
        <family val="2"/>
      </rPr>
      <t>2</t>
    </r>
    <r>
      <rPr>
        <b/>
        <sz val="9.5"/>
        <color rgb="FFFFFFFF"/>
        <rFont val="Franklin Gothic Book"/>
        <family val="2"/>
      </rPr>
      <t>e)</t>
    </r>
  </si>
  <si>
    <r>
      <t>Project emissions (tCO</t>
    </r>
    <r>
      <rPr>
        <b/>
        <vertAlign val="subscript"/>
        <sz val="9.5"/>
        <color rgb="FFFFFFFF"/>
        <rFont val="Franklin Gothic Book"/>
        <family val="2"/>
      </rPr>
      <t>2</t>
    </r>
    <r>
      <rPr>
        <b/>
        <sz val="9.5"/>
        <color rgb="FFFFFFFF"/>
        <rFont val="Franklin Gothic Book"/>
        <family val="2"/>
      </rPr>
      <t>e)</t>
    </r>
  </si>
  <si>
    <r>
      <t>Project emissions to date (tCO</t>
    </r>
    <r>
      <rPr>
        <b/>
        <vertAlign val="subscript"/>
        <sz val="9.5"/>
        <color rgb="FFFFFFFF"/>
        <rFont val="Franklin Gothic Book"/>
        <family val="2"/>
      </rPr>
      <t>2</t>
    </r>
    <r>
      <rPr>
        <b/>
        <sz val="9.5"/>
        <color rgb="FFFFFFFF"/>
        <rFont val="Franklin Gothic Book"/>
        <family val="2"/>
      </rPr>
      <t>e)</t>
    </r>
  </si>
  <si>
    <r>
      <t>Leakage emissions (tCO</t>
    </r>
    <r>
      <rPr>
        <b/>
        <vertAlign val="subscript"/>
        <sz val="9.5"/>
        <color rgb="FFFFFFFF"/>
        <rFont val="Franklin Gothic Book"/>
        <family val="2"/>
      </rPr>
      <t>2</t>
    </r>
    <r>
      <rPr>
        <b/>
        <sz val="9.5"/>
        <color rgb="FFFFFFFF"/>
        <rFont val="Franklin Gothic Book"/>
        <family val="2"/>
      </rPr>
      <t>e)</t>
    </r>
  </si>
  <si>
    <t>Buffer pool allocation (tCO2e)</t>
  </si>
  <si>
    <t>Reductions VCUs (tCO2e)</t>
  </si>
  <si>
    <t>Removals VCUs (tCO2e)</t>
  </si>
  <si>
    <t>Total VCU issuance (tCO2e)</t>
  </si>
  <si>
    <t>EX ante estimatation</t>
  </si>
  <si>
    <t>Ex post estimation</t>
  </si>
  <si>
    <t>Differenses</t>
  </si>
  <si>
    <t>01/03/2018 to 31/12/2018</t>
  </si>
  <si>
    <t>Total</t>
  </si>
  <si>
    <t>Vinatge Period</t>
  </si>
  <si>
    <r>
      <t>Estimated Baseline emissions or removals (tCO</t>
    </r>
    <r>
      <rPr>
        <b/>
        <vertAlign val="subscript"/>
        <sz val="11"/>
        <color rgb="FFFFFFFF"/>
        <rFont val="Times New Roman"/>
        <family val="1"/>
      </rPr>
      <t>2</t>
    </r>
    <r>
      <rPr>
        <b/>
        <sz val="11"/>
        <color rgb="FFFFFFFF"/>
        <rFont val="Times New Roman"/>
        <family val="1"/>
      </rPr>
      <t>e)</t>
    </r>
  </si>
  <si>
    <r>
      <t>Estimated GHG emission reductions or removals (tCO</t>
    </r>
    <r>
      <rPr>
        <b/>
        <vertAlign val="subscript"/>
        <sz val="11"/>
        <color rgb="FFFFFFFF"/>
        <rFont val="Times New Roman"/>
        <family val="1"/>
      </rPr>
      <t>2</t>
    </r>
    <r>
      <rPr>
        <b/>
        <sz val="11"/>
        <color rgb="FFFFFFFF"/>
        <rFont val="Times New Roman"/>
        <family val="1"/>
      </rPr>
      <t>e)</t>
    </r>
  </si>
  <si>
    <r>
      <t>Estimated Leakage emissions (tCO</t>
    </r>
    <r>
      <rPr>
        <b/>
        <vertAlign val="subscript"/>
        <sz val="11"/>
        <color rgb="FFFFFFFF"/>
        <rFont val="Times New Roman"/>
        <family val="1"/>
      </rPr>
      <t>2</t>
    </r>
    <r>
      <rPr>
        <b/>
        <sz val="11"/>
        <color rgb="FFFFFFFF"/>
        <rFont val="Times New Roman"/>
        <family val="1"/>
      </rPr>
      <t>e)</t>
    </r>
  </si>
  <si>
    <t>Buffer pool allocation</t>
  </si>
  <si>
    <r>
      <t>Estimated reduction VCUs (tCO</t>
    </r>
    <r>
      <rPr>
        <b/>
        <vertAlign val="subscript"/>
        <sz val="11"/>
        <color rgb="FFFFFFFF"/>
        <rFont val="Times New Roman"/>
        <family val="1"/>
      </rPr>
      <t>2</t>
    </r>
    <r>
      <rPr>
        <b/>
        <sz val="11"/>
        <color rgb="FFFFFFFF"/>
        <rFont val="Times New Roman"/>
        <family val="1"/>
      </rPr>
      <t>e)</t>
    </r>
  </si>
  <si>
    <r>
      <t>Estimated removal VCUs (tCO</t>
    </r>
    <r>
      <rPr>
        <b/>
        <vertAlign val="subscript"/>
        <sz val="11"/>
        <color rgb="FFFFFFFF"/>
        <rFont val="Times New Roman"/>
        <family val="1"/>
      </rPr>
      <t>2</t>
    </r>
    <r>
      <rPr>
        <b/>
        <sz val="11"/>
        <color rgb="FFFFFFFF"/>
        <rFont val="Times New Roman"/>
        <family val="1"/>
      </rPr>
      <t>e)</t>
    </r>
  </si>
  <si>
    <r>
      <t>Estimated total VCU issuance (tCO</t>
    </r>
    <r>
      <rPr>
        <b/>
        <vertAlign val="subscript"/>
        <sz val="11"/>
        <color rgb="FFFFFFFF"/>
        <rFont val="Times New Roman"/>
        <family val="1"/>
      </rPr>
      <t>2</t>
    </r>
    <r>
      <rPr>
        <b/>
        <sz val="11"/>
        <color rgb="FFFFFFFF"/>
        <rFont val="Times New Roman"/>
        <family val="1"/>
      </rPr>
      <t>e)</t>
    </r>
  </si>
  <si>
    <t>Long Term Average Calculation</t>
  </si>
  <si>
    <t>VCS Buffer</t>
  </si>
  <si>
    <t>Vintage Period</t>
  </si>
  <si>
    <t>Baseline 
scenario: to_x0002_date GHG 
emission 
reductions 
and removals 
at year t</t>
  </si>
  <si>
    <t>Project scenario: to_x0002_date GHG emission reductions and removals at year t</t>
  </si>
  <si>
    <t>Annual change in GHG benefit (tCO2e/yr)</t>
  </si>
  <si>
    <t>Expected Total GHG Benefit to Date (tCO2e) 
(PEt-BEt)</t>
  </si>
  <si>
    <t>Total credit available each year (tCO2e/Yr)</t>
  </si>
  <si>
    <t>Buffer pool (20%)</t>
  </si>
  <si>
    <t>Total number of VCUs for issuance</t>
  </si>
  <si>
    <t>LTA value</t>
  </si>
  <si>
    <t>01/10/2024 to 31/12/2024</t>
  </si>
  <si>
    <t>01/01/2025 to 31/12/2025</t>
  </si>
  <si>
    <t>01/01/2026 to 31/12/2026</t>
  </si>
  <si>
    <t>01/01/2027 to 31/12/2027</t>
  </si>
  <si>
    <t>01/01/2028 to 31/12/2028</t>
  </si>
  <si>
    <t>01/01/2029 to 31/12/2029</t>
  </si>
  <si>
    <t>01/01/2030 to 31/12/2030</t>
  </si>
  <si>
    <t>01/01/2031 to 31/12/2031</t>
  </si>
  <si>
    <t>01/01/2032 to 31/12/2032</t>
  </si>
  <si>
    <t>01/01/2033 to 31/12/2033</t>
  </si>
  <si>
    <t>01/01/2034 to 31/12/2034</t>
  </si>
  <si>
    <t>01/01/2035 to 31/12/2035</t>
  </si>
  <si>
    <t>01/01/2036 to 31/12/2036</t>
  </si>
  <si>
    <t>01/01/2037 to 31/12/2037</t>
  </si>
  <si>
    <t>01/01/2038 to 31/12/2038</t>
  </si>
  <si>
    <t>01/01/2039 to 31/12/2039</t>
  </si>
  <si>
    <t>01/01/2040 to 31/12/2040</t>
  </si>
  <si>
    <t>01/01/2041 to 31/12/2041</t>
  </si>
  <si>
    <t>01/01/2042 to 31/12/2042</t>
  </si>
  <si>
    <t>01/01/2043 to 31/12/2043</t>
  </si>
  <si>
    <t>01/01/2044 to 31/12/2044</t>
  </si>
  <si>
    <t>01/01/2045 to 31/12/2045</t>
  </si>
  <si>
    <t>01/01/2046 to 31/12/2046</t>
  </si>
  <si>
    <t>01/01/2047 to 31/12/2047</t>
  </si>
  <si>
    <t>01/01/2048 to 31/12/2048</t>
  </si>
  <si>
    <t>01/01/2049 to 31/12/2049</t>
  </si>
  <si>
    <t>01/01/2050 to 31/12/2050</t>
  </si>
  <si>
    <t>01/01/2051 to 31/12/2051</t>
  </si>
  <si>
    <t>01/01/2052 to 31/12/2052</t>
  </si>
  <si>
    <t>01/01/2053 to 28/02/2053</t>
  </si>
  <si>
    <t>Sum</t>
  </si>
  <si>
    <t>LTA</t>
  </si>
  <si>
    <t>Plot Number</t>
  </si>
  <si>
    <t>Farmer name</t>
  </si>
  <si>
    <t>Latitude</t>
  </si>
  <si>
    <t>Longitude</t>
  </si>
  <si>
    <t>Tree no</t>
  </si>
  <si>
    <t>Girth (cm)</t>
  </si>
  <si>
    <t>Dia. (cm)</t>
  </si>
  <si>
    <t xml:space="preserve"> AGB (Kg/plant)</t>
  </si>
  <si>
    <t>BGB (Kg/Plant)</t>
  </si>
  <si>
    <t>Total biomass (kg/Plant)</t>
  </si>
  <si>
    <r>
      <t>Total plot biomass (ton/625 m</t>
    </r>
    <r>
      <rPr>
        <b/>
        <vertAlign val="superscript"/>
        <sz val="12"/>
        <rFont val="Times New Roman"/>
        <family val="1"/>
      </rPr>
      <t>2</t>
    </r>
    <r>
      <rPr>
        <b/>
        <sz val="12"/>
        <rFont val="Times New Roman"/>
        <family val="1"/>
      </rPr>
      <t>)</t>
    </r>
  </si>
  <si>
    <t>Total  biomass (ton/ha)</t>
  </si>
  <si>
    <t>Lokindam</t>
  </si>
  <si>
    <t>B</t>
  </si>
  <si>
    <t>C</t>
  </si>
  <si>
    <t>D</t>
  </si>
  <si>
    <t>E</t>
  </si>
  <si>
    <t xml:space="preserve">Rajendra </t>
  </si>
  <si>
    <t xml:space="preserve">Hemadri </t>
  </si>
  <si>
    <t>Anand Naidu</t>
  </si>
  <si>
    <t>D Vardhan</t>
  </si>
  <si>
    <t>DS</t>
  </si>
  <si>
    <t>֊</t>
  </si>
  <si>
    <t>Venkatesh reddy</t>
  </si>
  <si>
    <t>Varduraj Naidu</t>
  </si>
  <si>
    <t>Center</t>
  </si>
  <si>
    <t>Jivarathnam Naidu</t>
  </si>
  <si>
    <t>Srinivashulu</t>
  </si>
  <si>
    <t>Venikaiyal penny naidu</t>
  </si>
  <si>
    <t>Saralu</t>
  </si>
  <si>
    <t>B. Savitheriamma</t>
  </si>
  <si>
    <t>Siddhamma Naidu</t>
  </si>
  <si>
    <t>Porukodi</t>
  </si>
  <si>
    <t>Kannamma- 621</t>
  </si>
  <si>
    <t>Saylaja</t>
  </si>
  <si>
    <t xml:space="preserve">Vishwanath Naidu </t>
  </si>
  <si>
    <t xml:space="preserve">Manuswami Naidu </t>
  </si>
  <si>
    <t xml:space="preserve">Chinnuswami Reddy </t>
  </si>
  <si>
    <t xml:space="preserve">Krishnam Reddy </t>
  </si>
  <si>
    <t>Ramlingu Reddy</t>
  </si>
  <si>
    <t>MR</t>
  </si>
  <si>
    <t>Munimma Raman Reddy</t>
  </si>
  <si>
    <t xml:space="preserve">Nageshwar Rao </t>
  </si>
  <si>
    <t xml:space="preserve">Eswari </t>
  </si>
  <si>
    <t xml:space="preserve">Deekshitha </t>
  </si>
  <si>
    <t>Kannayama Naidu</t>
  </si>
  <si>
    <t xml:space="preserve">Gajendra Reddy </t>
  </si>
  <si>
    <t xml:space="preserve">M. Yogama Reddy </t>
  </si>
  <si>
    <t xml:space="preserve">Vinoth Kumar </t>
  </si>
  <si>
    <t xml:space="preserve">Vasartha </t>
  </si>
  <si>
    <t xml:space="preserve"> </t>
  </si>
  <si>
    <t>San Karaiyah</t>
  </si>
  <si>
    <t>Vidhyasagar 572</t>
  </si>
  <si>
    <t xml:space="preserve">Ananda Naidu </t>
  </si>
  <si>
    <t>Plot</t>
  </si>
  <si>
    <t>DBH in (m)</t>
  </si>
  <si>
    <r>
      <t>Stem Volume (m</t>
    </r>
    <r>
      <rPr>
        <b/>
        <vertAlign val="superscript"/>
        <sz val="12"/>
        <rFont val="Times New Roman"/>
        <family val="1"/>
      </rPr>
      <t>3</t>
    </r>
    <r>
      <rPr>
        <b/>
        <sz val="12"/>
        <rFont val="Times New Roman"/>
        <family val="1"/>
      </rPr>
      <t>)</t>
    </r>
  </si>
  <si>
    <t>Stem Biomass (ton/tree)</t>
  </si>
  <si>
    <t>AGB (ton/tree)</t>
  </si>
  <si>
    <t>BGB (ton/Plant)</t>
  </si>
  <si>
    <t>Total Biomass (ton/Plant)</t>
  </si>
  <si>
    <t xml:space="preserve">Bharat Reddy </t>
  </si>
  <si>
    <t xml:space="preserve">subbu reddy </t>
  </si>
  <si>
    <t xml:space="preserve">bharat reddy </t>
  </si>
  <si>
    <t>Total Biomass (Kg/Plant)</t>
  </si>
  <si>
    <t>Manju Bai Nandkishor</t>
  </si>
  <si>
    <t xml:space="preserve">20.032153, </t>
  </si>
  <si>
    <t xml:space="preserve">Jhammaklal Bagdiram </t>
  </si>
  <si>
    <t>Motilal</t>
  </si>
  <si>
    <t>Kailash</t>
  </si>
  <si>
    <t xml:space="preserve">Mukesh Balmukund </t>
  </si>
  <si>
    <t>Basantilal Patidar</t>
  </si>
  <si>
    <t>Bharat Shivalal</t>
  </si>
  <si>
    <t>Nathulal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</si>
</sst>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Red][&lt;0]\-General;[Black]General;[Black]General"/>
    <numFmt numFmtId="166" formatCode="0.0000"/>
    <numFmt numFmtId="167" formatCode="0.0"/>
    <numFmt numFmtId="168" formatCode="_(* #,##0_);_(* \(#,##0\);_(* &quot;-&quot;??_);_(@_)"/>
  </numFmts>
  <fonts count="6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theme="1"/>
      <name val="Times New Roman"/>
      <family val="1"/>
    </font>
    <font>
      <b/>
      <sz val="9"/>
      <color indexed="81"/>
      <name val="Tahoma"/>
      <family val="2"/>
    </font>
    <font>
      <sz val="9"/>
      <color indexed="81"/>
      <name val="Tahoma"/>
      <family val="2"/>
    </font>
    <font>
      <u/>
      <sz val="11"/>
      <color theme="10"/>
      <name val="Calibri"/>
      <family val="2"/>
      <scheme val="minor"/>
    </font>
    <font>
      <b/>
      <sz val="12"/>
      <color theme="1"/>
      <name val="Calibri"/>
      <family val="2"/>
      <scheme val="minor"/>
    </font>
    <font>
      <vertAlign val="subscript"/>
      <sz val="12"/>
      <color theme="1"/>
      <name val="Calibri"/>
      <family val="2"/>
      <scheme val="minor"/>
    </font>
    <font>
      <sz val="12"/>
      <color theme="1"/>
      <name val="Calibri"/>
      <family val="2"/>
      <scheme val="minor"/>
    </font>
    <font>
      <sz val="12"/>
      <color theme="1"/>
      <name val="Calibri"/>
      <family val="2"/>
    </font>
    <font>
      <b/>
      <sz val="10.5"/>
      <color rgb="FF4F5150"/>
      <name val="Arial"/>
      <family val="2"/>
    </font>
    <font>
      <sz val="10"/>
      <name val="Arial"/>
      <family val="2"/>
    </font>
    <font>
      <sz val="11"/>
      <name val="Arial"/>
      <family val="2"/>
    </font>
    <font>
      <sz val="8"/>
      <name val="Calibri"/>
      <family val="2"/>
      <scheme val="minor"/>
    </font>
    <font>
      <b/>
      <sz val="13"/>
      <color theme="1"/>
      <name val="Calibri"/>
      <family val="2"/>
      <scheme val="minor"/>
    </font>
    <font>
      <sz val="12"/>
      <name val="Times New Roman"/>
      <family val="1"/>
    </font>
    <font>
      <b/>
      <sz val="12"/>
      <name val="Times New Roman"/>
      <family val="1"/>
    </font>
    <font>
      <sz val="12"/>
      <name val="Calibri"/>
      <family val="2"/>
    </font>
    <font>
      <b/>
      <sz val="11"/>
      <name val="Times New Roman"/>
      <family val="1"/>
    </font>
    <font>
      <sz val="11"/>
      <name val="Times New Roman"/>
      <family val="1"/>
    </font>
    <font>
      <sz val="11"/>
      <name val="Calibri"/>
      <family val="2"/>
      <scheme val="minor"/>
    </font>
    <font>
      <i/>
      <sz val="12"/>
      <color rgb="FF1F1F1F"/>
      <name val="Calibri"/>
      <family val="2"/>
      <scheme val="minor"/>
    </font>
    <font>
      <sz val="10"/>
      <color rgb="FF222222"/>
      <name val="Arial"/>
      <family val="2"/>
    </font>
    <font>
      <i/>
      <sz val="10"/>
      <color rgb="FF222222"/>
      <name val="Arial"/>
      <family val="2"/>
    </font>
    <font>
      <i/>
      <sz val="12"/>
      <color theme="1"/>
      <name val="Calibri"/>
      <family val="2"/>
      <scheme val="minor"/>
    </font>
    <font>
      <sz val="11"/>
      <color theme="1"/>
      <name val="Times New Roman"/>
      <family val="1"/>
    </font>
    <font>
      <sz val="10"/>
      <color theme="1"/>
      <name val="Arial"/>
      <family val="2"/>
    </font>
    <font>
      <b/>
      <sz val="10"/>
      <color theme="1"/>
      <name val="Arial"/>
      <family val="2"/>
    </font>
    <font>
      <b/>
      <sz val="10"/>
      <name val="Arial"/>
      <family val="2"/>
    </font>
    <font>
      <b/>
      <vertAlign val="superscript"/>
      <sz val="10"/>
      <name val="Arial"/>
      <family val="2"/>
    </font>
    <font>
      <b/>
      <vertAlign val="subscript"/>
      <sz val="10"/>
      <name val="Arial"/>
      <family val="2"/>
    </font>
    <font>
      <b/>
      <i/>
      <sz val="10"/>
      <name val="Arial"/>
      <family val="2"/>
    </font>
    <font>
      <b/>
      <i/>
      <vertAlign val="subscript"/>
      <sz val="10"/>
      <name val="Arial"/>
      <family val="2"/>
    </font>
    <font>
      <b/>
      <vertAlign val="subscript"/>
      <sz val="10"/>
      <color theme="1"/>
      <name val="Arial"/>
      <family val="2"/>
    </font>
    <font>
      <b/>
      <vertAlign val="subscript"/>
      <sz val="11"/>
      <color theme="1"/>
      <name val="Calibri"/>
      <family val="2"/>
      <scheme val="minor"/>
    </font>
    <font>
      <sz val="11"/>
      <color indexed="8"/>
      <name val="Calibri"/>
      <family val="2"/>
      <charset val="1"/>
    </font>
    <font>
      <sz val="11"/>
      <color theme="1"/>
      <name val="Calibri Light"/>
      <family val="2"/>
      <scheme val="major"/>
    </font>
    <font>
      <sz val="10.5"/>
      <color theme="1"/>
      <name val="Franklin Gothic Book"/>
      <family val="2"/>
    </font>
    <font>
      <vertAlign val="subscript"/>
      <sz val="11"/>
      <color theme="1"/>
      <name val="Calibri (Body)"/>
    </font>
    <font>
      <b/>
      <vertAlign val="subscript"/>
      <sz val="11"/>
      <color theme="1"/>
      <name val="Times New Roman"/>
      <family val="1"/>
    </font>
    <font>
      <b/>
      <sz val="9"/>
      <name val="Arial"/>
      <family val="2"/>
    </font>
    <font>
      <vertAlign val="subscript"/>
      <sz val="11"/>
      <color theme="1"/>
      <name val="Calibri"/>
      <family val="2"/>
      <scheme val="minor"/>
    </font>
    <font>
      <sz val="11"/>
      <name val="Calibri"/>
      <family val="2"/>
    </font>
    <font>
      <sz val="11"/>
      <color theme="1"/>
      <name val="Calibri"/>
      <family val="2"/>
    </font>
    <font>
      <b/>
      <sz val="9.5"/>
      <color rgb="FFFFFFFF"/>
      <name val="Franklin Gothic Book"/>
      <family val="2"/>
    </font>
    <font>
      <b/>
      <vertAlign val="subscript"/>
      <sz val="9.5"/>
      <color rgb="FFFFFFFF"/>
      <name val="Franklin Gothic Book"/>
      <family val="2"/>
    </font>
    <font>
      <b/>
      <sz val="11"/>
      <color rgb="FFFFFFFF"/>
      <name val="Times New Roman"/>
      <family val="1"/>
    </font>
    <font>
      <b/>
      <vertAlign val="subscript"/>
      <sz val="11"/>
      <color rgb="FFFFFFFF"/>
      <name val="Times New Roman"/>
      <family val="1"/>
    </font>
    <font>
      <b/>
      <vertAlign val="superscript"/>
      <sz val="12"/>
      <name val="Times New Roman"/>
      <family val="1"/>
    </font>
    <font>
      <sz val="11"/>
      <color theme="1"/>
      <name val="Times New Roman"/>
      <family val="2"/>
    </font>
    <font>
      <vertAlign val="subscript"/>
      <sz val="11"/>
      <color theme="1"/>
      <name val="Times New Roman"/>
      <family val="1"/>
    </font>
    <font>
      <vertAlign val="subscript"/>
      <sz val="9"/>
      <color indexed="81"/>
      <name val="Tahoma"/>
      <family val="2"/>
    </font>
    <font>
      <vertAlign val="superscript"/>
      <sz val="9"/>
      <color indexed="81"/>
      <name val="Tahoma"/>
      <family val="2"/>
    </font>
    <font>
      <sz val="10"/>
      <color theme="1"/>
      <name val="Franklin Gothic Book"/>
      <family val="2"/>
    </font>
    <font>
      <b/>
      <sz val="10"/>
      <color theme="1"/>
      <name val="Franklin Gothic Book"/>
      <family val="2"/>
    </font>
    <font>
      <vertAlign val="subscript"/>
      <sz val="10"/>
      <color theme="1"/>
      <name val="Franklin Gothic Book"/>
      <family val="2"/>
    </font>
    <font>
      <vertAlign val="superscript"/>
      <sz val="10"/>
      <color theme="1"/>
      <name val="Franklin Gothic Book"/>
      <family val="2"/>
    </font>
    <font>
      <sz val="11"/>
      <color theme="1"/>
      <name val="Arial"/>
      <family val="2"/>
    </font>
    <font>
      <b/>
      <sz val="11"/>
      <color theme="1"/>
      <name val="Arial"/>
      <family val="2"/>
    </font>
    <font>
      <b/>
      <sz val="11"/>
      <name val="Arial"/>
      <family val="2"/>
    </font>
    <font>
      <i/>
      <sz val="11"/>
      <color theme="1"/>
      <name val="Arial"/>
      <family val="2"/>
    </font>
    <font>
      <i/>
      <sz val="11"/>
      <color rgb="FF1F1F1F"/>
      <name val="Arial"/>
      <family val="2"/>
    </font>
  </fonts>
  <fills count="35">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indexed="42"/>
        <bgColor indexed="64"/>
      </patternFill>
    </fill>
    <fill>
      <patternFill patternType="solid">
        <fgColor theme="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5"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rgb="FF33CCCC"/>
        <bgColor indexed="64"/>
      </patternFill>
    </fill>
    <fill>
      <patternFill patternType="solid">
        <fgColor theme="5" tint="-0.249977111117893"/>
        <bgColor indexed="64"/>
      </patternFill>
    </fill>
    <fill>
      <patternFill patternType="solid">
        <fgColor theme="4"/>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249977111117893"/>
        <bgColor indexed="64"/>
      </patternFill>
    </fill>
    <fill>
      <patternFill patternType="solid">
        <fgColor theme="9" tint="-0.249977111117893"/>
        <bgColor indexed="64"/>
      </patternFill>
    </fill>
    <fill>
      <patternFill patternType="solid">
        <fgColor rgb="FF2B3957"/>
        <bgColor indexed="64"/>
      </patternFill>
    </fill>
    <fill>
      <patternFill patternType="solid">
        <fgColor rgb="FF00B050"/>
        <bgColor indexed="64"/>
      </patternFill>
    </fill>
  </fills>
  <borders count="38">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style="thick">
        <color indexed="64"/>
      </left>
      <right style="thick">
        <color indexed="64"/>
      </right>
      <top style="thick">
        <color indexed="64"/>
      </top>
      <bottom style="thick">
        <color indexed="64"/>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6">
    <xf numFmtId="0" fontId="0" fillId="0" borderId="0"/>
    <xf numFmtId="164" fontId="1" fillId="0" borderId="0" applyFont="0" applyFill="0" applyBorder="0" applyAlignment="0" applyProtection="0"/>
    <xf numFmtId="0" fontId="7" fillId="0" borderId="0" applyNumberFormat="0" applyFill="0" applyBorder="0" applyAlignment="0" applyProtection="0"/>
    <xf numFmtId="165" fontId="13" fillId="4" borderId="13">
      <alignment wrapText="1"/>
      <protection locked="0"/>
    </xf>
    <xf numFmtId="0" fontId="13" fillId="0" borderId="0"/>
    <xf numFmtId="0" fontId="37" fillId="0" borderId="0"/>
  </cellStyleXfs>
  <cellXfs count="457">
    <xf numFmtId="0" fontId="0" fillId="0" borderId="0" xfId="0"/>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10" fillId="0" borderId="8" xfId="0" applyFont="1" applyBorder="1" applyAlignment="1">
      <alignment horizontal="center" vertical="center"/>
    </xf>
    <xf numFmtId="0" fontId="7" fillId="0" borderId="8" xfId="2" applyBorder="1" applyAlignment="1">
      <alignment horizontal="center" vertical="center"/>
    </xf>
    <xf numFmtId="10" fontId="10" fillId="0" borderId="8"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0" fillId="0" borderId="10" xfId="0" applyFont="1" applyBorder="1" applyAlignment="1">
      <alignment horizontal="center" vertical="center"/>
    </xf>
    <xf numFmtId="0" fontId="0" fillId="0" borderId="2" xfId="0" applyBorder="1"/>
    <xf numFmtId="165" fontId="14" fillId="5" borderId="14" xfId="3" applyFont="1" applyFill="1" applyBorder="1" applyAlignment="1">
      <protection locked="0"/>
    </xf>
    <xf numFmtId="14" fontId="0" fillId="0" borderId="0" xfId="0" applyNumberFormat="1"/>
    <xf numFmtId="166" fontId="0" fillId="0" borderId="0" xfId="0" applyNumberFormat="1"/>
    <xf numFmtId="2" fontId="0" fillId="0" borderId="0" xfId="0" applyNumberFormat="1"/>
    <xf numFmtId="10" fontId="10" fillId="0" borderId="9" xfId="0" applyNumberFormat="1" applyFont="1" applyBorder="1" applyAlignment="1">
      <alignment horizontal="center" vertical="center"/>
    </xf>
    <xf numFmtId="0" fontId="17" fillId="0" borderId="2" xfId="0" applyFont="1" applyBorder="1" applyAlignment="1">
      <alignment vertical="center"/>
    </xf>
    <xf numFmtId="0" fontId="17" fillId="0" borderId="15" xfId="0" applyFont="1" applyBorder="1" applyAlignment="1">
      <alignment vertical="center"/>
    </xf>
    <xf numFmtId="0" fontId="17" fillId="0" borderId="15" xfId="0" applyFont="1" applyBorder="1" applyAlignment="1">
      <alignment vertical="center" wrapText="1"/>
    </xf>
    <xf numFmtId="0" fontId="17" fillId="0" borderId="1" xfId="0" applyFont="1" applyBorder="1" applyAlignment="1">
      <alignment vertical="center"/>
    </xf>
    <xf numFmtId="0" fontId="18" fillId="2" borderId="18" xfId="0" applyFont="1" applyFill="1" applyBorder="1" applyAlignment="1">
      <alignment horizontal="center" vertical="center" wrapText="1"/>
    </xf>
    <xf numFmtId="0" fontId="17" fillId="7" borderId="2" xfId="0" applyFont="1" applyFill="1" applyBorder="1" applyAlignment="1">
      <alignment horizontal="center" vertical="center"/>
    </xf>
    <xf numFmtId="167" fontId="17" fillId="7" borderId="2" xfId="0" applyNumberFormat="1" applyFont="1" applyFill="1" applyBorder="1" applyAlignment="1">
      <alignment horizontal="center" vertical="center"/>
    </xf>
    <xf numFmtId="0" fontId="17" fillId="8" borderId="2" xfId="0" applyFont="1" applyFill="1" applyBorder="1" applyAlignment="1">
      <alignment horizontal="center" vertical="center"/>
    </xf>
    <xf numFmtId="1" fontId="17" fillId="8" borderId="2" xfId="0" applyNumberFormat="1" applyFont="1" applyFill="1" applyBorder="1" applyAlignment="1">
      <alignment horizontal="center" vertical="center"/>
    </xf>
    <xf numFmtId="167" fontId="17" fillId="8" borderId="2" xfId="0" applyNumberFormat="1" applyFont="1" applyFill="1" applyBorder="1" applyAlignment="1">
      <alignment horizontal="center" vertical="center"/>
    </xf>
    <xf numFmtId="0" fontId="17" fillId="9" borderId="2" xfId="0" applyFont="1" applyFill="1" applyBorder="1" applyAlignment="1">
      <alignment horizontal="center" vertical="center"/>
    </xf>
    <xf numFmtId="167" fontId="17" fillId="9" borderId="2" xfId="0" applyNumberFormat="1" applyFont="1" applyFill="1" applyBorder="1" applyAlignment="1">
      <alignment horizontal="center" vertical="center"/>
    </xf>
    <xf numFmtId="0" fontId="17" fillId="10" borderId="2" xfId="0" applyFont="1" applyFill="1" applyBorder="1" applyAlignment="1">
      <alignment horizontal="center" vertical="center"/>
    </xf>
    <xf numFmtId="0" fontId="17" fillId="5" borderId="2" xfId="0" applyFont="1" applyFill="1" applyBorder="1" applyAlignment="1">
      <alignment horizontal="center" vertical="center"/>
    </xf>
    <xf numFmtId="167" fontId="17" fillId="5" borderId="2" xfId="0" applyNumberFormat="1" applyFont="1" applyFill="1" applyBorder="1" applyAlignment="1">
      <alignment horizontal="center" vertical="center"/>
    </xf>
    <xf numFmtId="0" fontId="17" fillId="11" borderId="2" xfId="0" applyFont="1" applyFill="1" applyBorder="1" applyAlignment="1">
      <alignment horizontal="center" vertical="center"/>
    </xf>
    <xf numFmtId="167" fontId="17" fillId="11" borderId="2" xfId="0" applyNumberFormat="1" applyFont="1" applyFill="1" applyBorder="1" applyAlignment="1">
      <alignment horizontal="center" vertical="center"/>
    </xf>
    <xf numFmtId="0" fontId="17" fillId="12" borderId="2" xfId="0" applyFont="1" applyFill="1" applyBorder="1" applyAlignment="1">
      <alignment horizontal="center" vertical="center"/>
    </xf>
    <xf numFmtId="167" fontId="17" fillId="12" borderId="2" xfId="0" applyNumberFormat="1" applyFont="1" applyFill="1" applyBorder="1" applyAlignment="1">
      <alignment horizontal="center" vertical="center"/>
    </xf>
    <xf numFmtId="0" fontId="18" fillId="5" borderId="2" xfId="0" applyFont="1" applyFill="1" applyBorder="1" applyAlignment="1">
      <alignment horizontal="center" vertical="center"/>
    </xf>
    <xf numFmtId="0" fontId="18" fillId="13" borderId="2" xfId="0" applyFont="1" applyFill="1" applyBorder="1" applyAlignment="1">
      <alignment horizontal="center" vertical="center"/>
    </xf>
    <xf numFmtId="0" fontId="17" fillId="13" borderId="2" xfId="0" applyFont="1" applyFill="1" applyBorder="1" applyAlignment="1">
      <alignment horizontal="center" vertical="center"/>
    </xf>
    <xf numFmtId="167" fontId="17" fillId="13" borderId="2" xfId="0" applyNumberFormat="1" applyFont="1" applyFill="1" applyBorder="1" applyAlignment="1">
      <alignment horizontal="center" vertical="center"/>
    </xf>
    <xf numFmtId="0" fontId="17" fillId="14" borderId="2" xfId="0" applyFont="1" applyFill="1" applyBorder="1" applyAlignment="1">
      <alignment horizontal="center" vertical="center"/>
    </xf>
    <xf numFmtId="167" fontId="17" fillId="14" borderId="2" xfId="0" applyNumberFormat="1" applyFont="1" applyFill="1" applyBorder="1" applyAlignment="1">
      <alignment horizontal="center" vertical="center"/>
    </xf>
    <xf numFmtId="0" fontId="17" fillId="15" borderId="2" xfId="0" applyFont="1" applyFill="1" applyBorder="1" applyAlignment="1">
      <alignment horizontal="center" vertical="center"/>
    </xf>
    <xf numFmtId="167" fontId="17" fillId="15" borderId="2" xfId="0" applyNumberFormat="1" applyFont="1" applyFill="1" applyBorder="1" applyAlignment="1">
      <alignment horizontal="center" vertical="center"/>
    </xf>
    <xf numFmtId="0" fontId="17" fillId="16" borderId="2" xfId="0" applyFont="1" applyFill="1" applyBorder="1" applyAlignment="1">
      <alignment horizontal="center" vertical="center"/>
    </xf>
    <xf numFmtId="167" fontId="17" fillId="16" borderId="2" xfId="0" applyNumberFormat="1" applyFont="1" applyFill="1" applyBorder="1" applyAlignment="1">
      <alignment horizontal="center" vertical="center"/>
    </xf>
    <xf numFmtId="0" fontId="17" fillId="5" borderId="21" xfId="0" applyFont="1" applyFill="1" applyBorder="1" applyAlignment="1">
      <alignment horizontal="center" vertical="center"/>
    </xf>
    <xf numFmtId="167" fontId="17" fillId="5" borderId="21" xfId="0" applyNumberFormat="1" applyFont="1" applyFill="1" applyBorder="1" applyAlignment="1">
      <alignment horizontal="center" vertical="center"/>
    </xf>
    <xf numFmtId="0" fontId="17" fillId="0" borderId="16" xfId="0" applyFont="1" applyBorder="1" applyAlignment="1">
      <alignment vertical="center"/>
    </xf>
    <xf numFmtId="0" fontId="17" fillId="0" borderId="16" xfId="0" applyFont="1" applyBorder="1" applyAlignment="1">
      <alignment vertical="center" wrapText="1"/>
    </xf>
    <xf numFmtId="167" fontId="17" fillId="0" borderId="16" xfId="0" applyNumberFormat="1" applyFont="1" applyBorder="1" applyAlignment="1">
      <alignment vertical="center"/>
    </xf>
    <xf numFmtId="0" fontId="17" fillId="0" borderId="2" xfId="0" applyFont="1" applyBorder="1" applyAlignment="1">
      <alignment vertical="center" wrapText="1"/>
    </xf>
    <xf numFmtId="167" fontId="17" fillId="0" borderId="2" xfId="0" applyNumberFormat="1" applyFont="1" applyBorder="1" applyAlignment="1">
      <alignment vertical="center"/>
    </xf>
    <xf numFmtId="167" fontId="19" fillId="11" borderId="2" xfId="0" applyNumberFormat="1" applyFont="1" applyFill="1" applyBorder="1" applyAlignment="1">
      <alignment horizontal="center" vertical="center"/>
    </xf>
    <xf numFmtId="0" fontId="0" fillId="0" borderId="0" xfId="0" applyAlignment="1">
      <alignment vertical="center"/>
    </xf>
    <xf numFmtId="2" fontId="0" fillId="0" borderId="2" xfId="0" applyNumberFormat="1" applyBorder="1"/>
    <xf numFmtId="0" fontId="0" fillId="0" borderId="2" xfId="0" applyBorder="1" applyAlignment="1">
      <alignment horizontal="center" vertical="center"/>
    </xf>
    <xf numFmtId="2" fontId="0" fillId="0" borderId="2" xfId="0" applyNumberFormat="1" applyBorder="1" applyAlignment="1">
      <alignment horizontal="center"/>
    </xf>
    <xf numFmtId="0" fontId="0" fillId="0" borderId="2" xfId="0" applyBorder="1" applyAlignment="1">
      <alignment horizontal="center"/>
    </xf>
    <xf numFmtId="1" fontId="0" fillId="0" borderId="2" xfId="0" applyNumberFormat="1" applyBorder="1" applyAlignment="1">
      <alignment horizontal="center"/>
    </xf>
    <xf numFmtId="2" fontId="0" fillId="0" borderId="2" xfId="0" applyNumberFormat="1" applyBorder="1" applyAlignment="1">
      <alignment horizontal="center" vertical="center"/>
    </xf>
    <xf numFmtId="2" fontId="19" fillId="11" borderId="2" xfId="0" applyNumberFormat="1" applyFont="1" applyFill="1" applyBorder="1" applyAlignment="1">
      <alignment horizontal="center" vertical="center"/>
    </xf>
    <xf numFmtId="2" fontId="0" fillId="16" borderId="2" xfId="0" applyNumberFormat="1" applyFill="1" applyBorder="1" applyAlignment="1">
      <alignment horizontal="center" vertical="center"/>
    </xf>
    <xf numFmtId="0" fontId="21" fillId="16" borderId="2" xfId="0" applyFont="1" applyFill="1" applyBorder="1" applyAlignment="1">
      <alignment horizontal="center" vertical="center"/>
    </xf>
    <xf numFmtId="2" fontId="21" fillId="16" borderId="2" xfId="0" applyNumberFormat="1" applyFont="1" applyFill="1" applyBorder="1" applyAlignment="1">
      <alignment horizontal="center" vertical="center"/>
    </xf>
    <xf numFmtId="0" fontId="22" fillId="0" borderId="16" xfId="0" applyFont="1" applyBorder="1" applyAlignment="1">
      <alignment horizontal="center" vertical="center"/>
    </xf>
    <xf numFmtId="0" fontId="22" fillId="0" borderId="16" xfId="0" applyFont="1" applyBorder="1" applyAlignment="1">
      <alignment horizontal="center" vertical="center" wrapText="1"/>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2" fontId="0" fillId="16" borderId="2" xfId="0" applyNumberFormat="1" applyFill="1" applyBorder="1" applyAlignment="1">
      <alignment horizontal="center"/>
    </xf>
    <xf numFmtId="0" fontId="21" fillId="19" borderId="2" xfId="0" applyFont="1" applyFill="1" applyBorder="1" applyAlignment="1">
      <alignment horizontal="center" vertical="center"/>
    </xf>
    <xf numFmtId="2" fontId="21" fillId="19" borderId="2" xfId="0" applyNumberFormat="1" applyFont="1" applyFill="1" applyBorder="1" applyAlignment="1">
      <alignment horizontal="center" vertical="center"/>
    </xf>
    <xf numFmtId="2" fontId="0" fillId="19" borderId="2" xfId="0" applyNumberFormat="1" applyFill="1" applyBorder="1" applyAlignment="1">
      <alignment horizontal="center"/>
    </xf>
    <xf numFmtId="2" fontId="0" fillId="19" borderId="2" xfId="0" applyNumberFormat="1" applyFill="1" applyBorder="1" applyAlignment="1">
      <alignment horizontal="center" vertical="center"/>
    </xf>
    <xf numFmtId="0" fontId="21" fillId="20" borderId="2" xfId="0" applyFont="1" applyFill="1" applyBorder="1" applyAlignment="1">
      <alignment horizontal="center" vertical="center"/>
    </xf>
    <xf numFmtId="0" fontId="21" fillId="21" borderId="2" xfId="0" applyFont="1" applyFill="1" applyBorder="1" applyAlignment="1">
      <alignment horizontal="center" vertical="center"/>
    </xf>
    <xf numFmtId="2" fontId="21" fillId="21" borderId="2" xfId="0" applyNumberFormat="1" applyFont="1" applyFill="1" applyBorder="1" applyAlignment="1">
      <alignment horizontal="center" vertical="center"/>
    </xf>
    <xf numFmtId="2" fontId="0" fillId="21" borderId="2" xfId="0" applyNumberFormat="1" applyFill="1" applyBorder="1" applyAlignment="1">
      <alignment horizontal="center"/>
    </xf>
    <xf numFmtId="0" fontId="21" fillId="15" borderId="2" xfId="0" applyFont="1" applyFill="1" applyBorder="1" applyAlignment="1">
      <alignment horizontal="center" vertical="center"/>
    </xf>
    <xf numFmtId="2" fontId="21" fillId="15" borderId="2" xfId="0" applyNumberFormat="1" applyFont="1" applyFill="1" applyBorder="1" applyAlignment="1">
      <alignment horizontal="center" vertical="center"/>
    </xf>
    <xf numFmtId="2" fontId="0" fillId="15" borderId="2" xfId="0" applyNumberFormat="1" applyFill="1" applyBorder="1" applyAlignment="1">
      <alignment horizontal="center"/>
    </xf>
    <xf numFmtId="2" fontId="0" fillId="15" borderId="2" xfId="0" applyNumberFormat="1" applyFill="1" applyBorder="1" applyAlignment="1">
      <alignment horizontal="center" vertical="center"/>
    </xf>
    <xf numFmtId="0" fontId="21" fillId="14" borderId="2" xfId="0" applyFont="1" applyFill="1" applyBorder="1" applyAlignment="1">
      <alignment horizontal="center" vertical="center"/>
    </xf>
    <xf numFmtId="2" fontId="21" fillId="14" borderId="2" xfId="0" applyNumberFormat="1" applyFont="1" applyFill="1" applyBorder="1" applyAlignment="1">
      <alignment horizontal="center" vertical="center"/>
    </xf>
    <xf numFmtId="2" fontId="0" fillId="14" borderId="2" xfId="0" applyNumberFormat="1" applyFill="1" applyBorder="1" applyAlignment="1">
      <alignment horizontal="center"/>
    </xf>
    <xf numFmtId="0" fontId="21" fillId="12" borderId="2" xfId="0" applyFont="1" applyFill="1" applyBorder="1" applyAlignment="1">
      <alignment horizontal="center" vertical="center"/>
    </xf>
    <xf numFmtId="2" fontId="21" fillId="12" borderId="2" xfId="0" applyNumberFormat="1" applyFont="1" applyFill="1" applyBorder="1" applyAlignment="1">
      <alignment horizontal="center" vertical="center"/>
    </xf>
    <xf numFmtId="2" fontId="0" fillId="12" borderId="2" xfId="0" applyNumberFormat="1" applyFill="1" applyBorder="1" applyAlignment="1">
      <alignment horizontal="center"/>
    </xf>
    <xf numFmtId="2" fontId="0" fillId="12" borderId="2" xfId="0" applyNumberFormat="1" applyFill="1" applyBorder="1" applyAlignment="1">
      <alignment horizontal="center" vertical="center"/>
    </xf>
    <xf numFmtId="0" fontId="21" fillId="12" borderId="21" xfId="0" applyFont="1" applyFill="1" applyBorder="1" applyAlignment="1">
      <alignment horizontal="center" vertical="center"/>
    </xf>
    <xf numFmtId="2" fontId="21" fillId="12" borderId="21" xfId="0" applyNumberFormat="1" applyFont="1" applyFill="1" applyBorder="1" applyAlignment="1">
      <alignment horizontal="center" vertical="center"/>
    </xf>
    <xf numFmtId="0" fontId="21" fillId="22" borderId="2" xfId="0" applyFont="1" applyFill="1" applyBorder="1" applyAlignment="1">
      <alignment horizontal="center" vertical="center"/>
    </xf>
    <xf numFmtId="2" fontId="21" fillId="22" borderId="2" xfId="0" applyNumberFormat="1" applyFont="1" applyFill="1" applyBorder="1" applyAlignment="1">
      <alignment horizontal="center" vertical="center"/>
    </xf>
    <xf numFmtId="2" fontId="0" fillId="22" borderId="2" xfId="0" applyNumberFormat="1" applyFill="1" applyBorder="1" applyAlignment="1">
      <alignment horizontal="center"/>
    </xf>
    <xf numFmtId="2" fontId="0" fillId="22" borderId="2" xfId="0" applyNumberFormat="1" applyFill="1" applyBorder="1" applyAlignment="1">
      <alignment horizontal="center" vertical="center"/>
    </xf>
    <xf numFmtId="0" fontId="0" fillId="16" borderId="2" xfId="0" applyFill="1" applyBorder="1" applyAlignment="1">
      <alignment horizontal="center"/>
    </xf>
    <xf numFmtId="0" fontId="0" fillId="22" borderId="2" xfId="0" applyFill="1" applyBorder="1" applyAlignment="1">
      <alignment horizontal="center"/>
    </xf>
    <xf numFmtId="0" fontId="17" fillId="0" borderId="1" xfId="0" applyFont="1" applyBorder="1" applyAlignment="1">
      <alignment wrapText="1"/>
    </xf>
    <xf numFmtId="0" fontId="3" fillId="0" borderId="0" xfId="0" applyFont="1"/>
    <xf numFmtId="1" fontId="0" fillId="0" borderId="2" xfId="0" applyNumberFormat="1" applyBorder="1"/>
    <xf numFmtId="0" fontId="17" fillId="22" borderId="2" xfId="0" applyFont="1" applyFill="1" applyBorder="1" applyAlignment="1">
      <alignment horizontal="center" vertical="center" wrapText="1"/>
    </xf>
    <xf numFmtId="0" fontId="17" fillId="22" borderId="2" xfId="0" applyFont="1" applyFill="1" applyBorder="1" applyAlignment="1">
      <alignment horizontal="center" wrapText="1"/>
    </xf>
    <xf numFmtId="2" fontId="17" fillId="22" borderId="2" xfId="0" applyNumberFormat="1" applyFont="1" applyFill="1" applyBorder="1" applyAlignment="1">
      <alignment horizontal="center" vertical="center" wrapText="1"/>
    </xf>
    <xf numFmtId="2" fontId="17" fillId="22" borderId="2" xfId="0" applyNumberFormat="1" applyFont="1" applyFill="1" applyBorder="1" applyAlignment="1">
      <alignment horizontal="center" wrapText="1"/>
    </xf>
    <xf numFmtId="0" fontId="17" fillId="0" borderId="2" xfId="0" applyFont="1" applyBorder="1" applyAlignment="1">
      <alignment horizontal="center" vertical="center" wrapText="1"/>
    </xf>
    <xf numFmtId="2" fontId="17" fillId="0" borderId="2" xfId="0" applyNumberFormat="1" applyFont="1" applyBorder="1" applyAlignment="1">
      <alignment horizontal="center" vertical="center" wrapText="1"/>
    </xf>
    <xf numFmtId="0" fontId="17" fillId="0" borderId="21" xfId="0" applyFont="1" applyBorder="1" applyAlignment="1">
      <alignment horizontal="center" vertical="center" wrapText="1"/>
    </xf>
    <xf numFmtId="2" fontId="17" fillId="0" borderId="21" xfId="0" applyNumberFormat="1" applyFont="1" applyBorder="1" applyAlignment="1">
      <alignment horizontal="center" vertical="center" wrapText="1"/>
    </xf>
    <xf numFmtId="0" fontId="0" fillId="19" borderId="2" xfId="0" applyFill="1" applyBorder="1" applyAlignment="1">
      <alignment horizontal="center" vertical="center"/>
    </xf>
    <xf numFmtId="0" fontId="22" fillId="23" borderId="2" xfId="0" applyFont="1" applyFill="1" applyBorder="1"/>
    <xf numFmtId="0" fontId="22" fillId="0" borderId="2" xfId="0" applyFont="1" applyBorder="1"/>
    <xf numFmtId="2" fontId="22" fillId="23" borderId="2" xfId="0" applyNumberFormat="1" applyFont="1" applyFill="1" applyBorder="1" applyAlignment="1">
      <alignment horizontal="center"/>
    </xf>
    <xf numFmtId="2" fontId="0" fillId="23" borderId="2" xfId="0" applyNumberFormat="1" applyFill="1" applyBorder="1" applyAlignment="1">
      <alignment horizontal="center"/>
    </xf>
    <xf numFmtId="2" fontId="22" fillId="0" borderId="2" xfId="0" applyNumberFormat="1" applyFont="1" applyBorder="1" applyAlignment="1">
      <alignment horizontal="center"/>
    </xf>
    <xf numFmtId="2" fontId="0" fillId="24" borderId="2" xfId="0" applyNumberFormat="1" applyFill="1" applyBorder="1" applyAlignment="1">
      <alignment horizontal="center" vertical="center"/>
    </xf>
    <xf numFmtId="2" fontId="17" fillId="24" borderId="2" xfId="0" applyNumberFormat="1" applyFont="1" applyFill="1" applyBorder="1" applyAlignment="1">
      <alignment horizontal="center" vertical="center"/>
    </xf>
    <xf numFmtId="2" fontId="17" fillId="0" borderId="2" xfId="0" applyNumberFormat="1" applyFont="1" applyBorder="1" applyAlignment="1">
      <alignment horizontal="center" vertical="center"/>
    </xf>
    <xf numFmtId="0" fontId="0" fillId="21" borderId="2" xfId="0" applyFill="1" applyBorder="1" applyAlignment="1">
      <alignment horizontal="center" vertical="center"/>
    </xf>
    <xf numFmtId="0" fontId="0" fillId="9" borderId="2" xfId="0" applyFill="1" applyBorder="1" applyAlignment="1">
      <alignment horizontal="center" vertical="center"/>
    </xf>
    <xf numFmtId="2" fontId="0" fillId="9" borderId="2" xfId="0" applyNumberFormat="1" applyFill="1" applyBorder="1" applyAlignment="1">
      <alignment horizontal="center"/>
    </xf>
    <xf numFmtId="0" fontId="18" fillId="2" borderId="2" xfId="0" applyFont="1" applyFill="1" applyBorder="1" applyAlignment="1">
      <alignment vertical="center" wrapText="1"/>
    </xf>
    <xf numFmtId="167" fontId="0" fillId="0" borderId="2" xfId="0" applyNumberFormat="1" applyBorder="1" applyAlignment="1">
      <alignment horizontal="center" vertical="center"/>
    </xf>
    <xf numFmtId="1" fontId="17" fillId="0" borderId="2" xfId="0" applyNumberFormat="1" applyFont="1" applyBorder="1" applyAlignment="1">
      <alignment horizontal="center" vertical="center" wrapText="1"/>
    </xf>
    <xf numFmtId="1" fontId="17" fillId="24" borderId="2" xfId="0" applyNumberFormat="1" applyFont="1" applyFill="1" applyBorder="1" applyAlignment="1">
      <alignment horizontal="center" vertical="center" wrapText="1"/>
    </xf>
    <xf numFmtId="2" fontId="17" fillId="26" borderId="2" xfId="0" applyNumberFormat="1" applyFont="1" applyFill="1" applyBorder="1" applyAlignment="1">
      <alignment horizontal="center" vertical="center"/>
    </xf>
    <xf numFmtId="1" fontId="17" fillId="26" borderId="2" xfId="0" applyNumberFormat="1" applyFont="1" applyFill="1" applyBorder="1" applyAlignment="1">
      <alignment horizontal="center" vertical="center" wrapText="1"/>
    </xf>
    <xf numFmtId="2" fontId="0" fillId="26" borderId="2" xfId="0" applyNumberFormat="1" applyFill="1" applyBorder="1" applyAlignment="1">
      <alignment horizontal="center" vertical="center"/>
    </xf>
    <xf numFmtId="0" fontId="8" fillId="3" borderId="23" xfId="0" applyFont="1" applyFill="1" applyBorder="1" applyAlignment="1">
      <alignment horizontal="center" vertical="center"/>
    </xf>
    <xf numFmtId="0" fontId="8" fillId="3" borderId="24" xfId="0" applyFont="1" applyFill="1" applyBorder="1" applyAlignment="1">
      <alignment horizontal="center" vertical="center"/>
    </xf>
    <xf numFmtId="0" fontId="0" fillId="0" borderId="25" xfId="0" applyBorder="1" applyAlignment="1">
      <alignment horizontal="center"/>
    </xf>
    <xf numFmtId="0" fontId="0" fillId="0" borderId="26" xfId="0" applyBorder="1" applyAlignment="1">
      <alignment horizontal="center"/>
    </xf>
    <xf numFmtId="2" fontId="22" fillId="16" borderId="2" xfId="0" applyNumberFormat="1" applyFont="1" applyFill="1" applyBorder="1" applyAlignment="1">
      <alignment horizontal="center" vertical="center"/>
    </xf>
    <xf numFmtId="1" fontId="0" fillId="0" borderId="0" xfId="0" applyNumberFormat="1"/>
    <xf numFmtId="0" fontId="22" fillId="16" borderId="2" xfId="0" applyFont="1" applyFill="1" applyBorder="1" applyAlignment="1">
      <alignment horizontal="center"/>
    </xf>
    <xf numFmtId="2" fontId="22" fillId="27" borderId="2" xfId="0" applyNumberFormat="1" applyFont="1" applyFill="1" applyBorder="1" applyAlignment="1">
      <alignment horizontal="center" vertical="center"/>
    </xf>
    <xf numFmtId="0" fontId="22" fillId="27" borderId="2" xfId="0" applyFont="1" applyFill="1" applyBorder="1" applyAlignment="1">
      <alignment horizontal="center"/>
    </xf>
    <xf numFmtId="2" fontId="0" fillId="27" borderId="2" xfId="0" applyNumberFormat="1" applyFill="1" applyBorder="1" applyAlignment="1">
      <alignment horizontal="center" vertical="center"/>
    </xf>
    <xf numFmtId="0" fontId="0" fillId="8" borderId="2" xfId="0" applyFill="1" applyBorder="1" applyAlignment="1">
      <alignment horizontal="center"/>
    </xf>
    <xf numFmtId="2" fontId="0" fillId="8" borderId="2" xfId="0" applyNumberFormat="1" applyFill="1" applyBorder="1" applyAlignment="1">
      <alignment horizontal="center"/>
    </xf>
    <xf numFmtId="2" fontId="0" fillId="8" borderId="2" xfId="0" applyNumberFormat="1" applyFill="1" applyBorder="1" applyAlignment="1">
      <alignment horizontal="center" vertical="center"/>
    </xf>
    <xf numFmtId="0" fontId="22" fillId="15" borderId="2" xfId="0" applyFont="1" applyFill="1" applyBorder="1"/>
    <xf numFmtId="2" fontId="22" fillId="15" borderId="2" xfId="0" applyNumberFormat="1" applyFont="1" applyFill="1" applyBorder="1" applyAlignment="1">
      <alignment horizontal="center" vertical="center"/>
    </xf>
    <xf numFmtId="0" fontId="0" fillId="12" borderId="2" xfId="0" applyFill="1" applyBorder="1" applyAlignment="1">
      <alignment horizontal="center"/>
    </xf>
    <xf numFmtId="0" fontId="22" fillId="28" borderId="2" xfId="0" applyFont="1" applyFill="1" applyBorder="1"/>
    <xf numFmtId="2" fontId="0" fillId="28" borderId="2" xfId="0" applyNumberFormat="1" applyFill="1" applyBorder="1" applyAlignment="1">
      <alignment horizontal="center"/>
    </xf>
    <xf numFmtId="2" fontId="0" fillId="28" borderId="2" xfId="0" applyNumberFormat="1" applyFill="1" applyBorder="1" applyAlignment="1">
      <alignment horizontal="center" vertical="center"/>
    </xf>
    <xf numFmtId="0" fontId="0" fillId="18" borderId="2" xfId="0" applyFill="1" applyBorder="1" applyAlignment="1">
      <alignment horizontal="center"/>
    </xf>
    <xf numFmtId="2" fontId="0" fillId="18" borderId="2" xfId="0" applyNumberFormat="1" applyFill="1" applyBorder="1" applyAlignment="1">
      <alignment horizontal="center"/>
    </xf>
    <xf numFmtId="2" fontId="0" fillId="18" borderId="2" xfId="0" applyNumberFormat="1" applyFill="1" applyBorder="1" applyAlignment="1">
      <alignment horizontal="center" vertical="center"/>
    </xf>
    <xf numFmtId="0" fontId="0" fillId="17" borderId="2" xfId="0" applyFill="1" applyBorder="1" applyAlignment="1">
      <alignment horizontal="center"/>
    </xf>
    <xf numFmtId="2" fontId="0" fillId="17" borderId="2" xfId="0" applyNumberFormat="1" applyFill="1" applyBorder="1" applyAlignment="1">
      <alignment horizontal="center"/>
    </xf>
    <xf numFmtId="2" fontId="0" fillId="17" borderId="2" xfId="0" applyNumberFormat="1" applyFill="1" applyBorder="1" applyAlignment="1">
      <alignment horizontal="center" vertical="center"/>
    </xf>
    <xf numFmtId="0" fontId="0" fillId="0" borderId="21" xfId="0" applyBorder="1" applyAlignment="1">
      <alignment horizontal="center" vertical="center"/>
    </xf>
    <xf numFmtId="166" fontId="0" fillId="0" borderId="2" xfId="0" applyNumberFormat="1" applyBorder="1"/>
    <xf numFmtId="0" fontId="0" fillId="26" borderId="2" xfId="0" applyFill="1" applyBorder="1" applyAlignment="1">
      <alignment horizontal="center"/>
    </xf>
    <xf numFmtId="2" fontId="0" fillId="26" borderId="2" xfId="0" applyNumberFormat="1" applyFill="1" applyBorder="1" applyAlignment="1">
      <alignment horizontal="center"/>
    </xf>
    <xf numFmtId="0" fontId="0" fillId="12" borderId="2" xfId="0" applyFill="1" applyBorder="1" applyAlignment="1">
      <alignment horizontal="left"/>
    </xf>
    <xf numFmtId="0" fontId="0" fillId="18" borderId="2" xfId="0" applyFill="1" applyBorder="1" applyAlignment="1">
      <alignment horizontal="left"/>
    </xf>
    <xf numFmtId="0" fontId="0" fillId="17" borderId="2" xfId="0" applyFill="1" applyBorder="1" applyAlignment="1">
      <alignment horizontal="left"/>
    </xf>
    <xf numFmtId="0" fontId="0" fillId="8" borderId="2" xfId="0" applyFill="1" applyBorder="1" applyAlignment="1">
      <alignment horizontal="left"/>
    </xf>
    <xf numFmtId="0" fontId="0" fillId="13" borderId="2" xfId="0" applyFill="1" applyBorder="1" applyAlignment="1">
      <alignment horizontal="center" vertical="center"/>
    </xf>
    <xf numFmtId="167" fontId="27" fillId="13" borderId="2" xfId="0" applyNumberFormat="1" applyFont="1" applyFill="1" applyBorder="1" applyAlignment="1">
      <alignment horizontal="center" vertical="center"/>
    </xf>
    <xf numFmtId="0" fontId="0" fillId="26" borderId="2" xfId="0" applyFill="1" applyBorder="1" applyAlignment="1">
      <alignment horizontal="center" vertical="center"/>
    </xf>
    <xf numFmtId="167" fontId="0" fillId="26" borderId="2" xfId="0" applyNumberFormat="1" applyFill="1" applyBorder="1" applyAlignment="1">
      <alignment horizontal="center" vertical="center"/>
    </xf>
    <xf numFmtId="2" fontId="0" fillId="13" borderId="2" xfId="0" applyNumberFormat="1" applyFill="1" applyBorder="1" applyAlignment="1">
      <alignment horizontal="center"/>
    </xf>
    <xf numFmtId="2" fontId="0" fillId="13" borderId="2" xfId="0" applyNumberFormat="1" applyFill="1" applyBorder="1" applyAlignment="1">
      <alignment horizontal="center" vertical="center"/>
    </xf>
    <xf numFmtId="167" fontId="27" fillId="0" borderId="2" xfId="0" applyNumberFormat="1" applyFont="1" applyBorder="1" applyAlignment="1">
      <alignment horizontal="center" vertical="center"/>
    </xf>
    <xf numFmtId="167" fontId="27" fillId="0" borderId="21" xfId="0" applyNumberFormat="1" applyFont="1" applyBorder="1" applyAlignment="1">
      <alignment horizontal="center" vertical="center"/>
    </xf>
    <xf numFmtId="0" fontId="0" fillId="0" borderId="2" xfId="0" applyBorder="1" applyAlignment="1">
      <alignment vertical="center"/>
    </xf>
    <xf numFmtId="2" fontId="27" fillId="0" borderId="2" xfId="0" applyNumberFormat="1" applyFont="1" applyBorder="1" applyAlignment="1">
      <alignment horizontal="center" vertical="center"/>
    </xf>
    <xf numFmtId="2" fontId="27" fillId="13" borderId="2" xfId="0" applyNumberFormat="1" applyFont="1" applyFill="1" applyBorder="1" applyAlignment="1">
      <alignment horizontal="center" vertical="center"/>
    </xf>
    <xf numFmtId="0" fontId="0" fillId="29" borderId="2" xfId="0" applyFill="1" applyBorder="1" applyAlignment="1">
      <alignment horizontal="center"/>
    </xf>
    <xf numFmtId="2" fontId="0" fillId="29" borderId="2" xfId="0" applyNumberFormat="1" applyFill="1" applyBorder="1" applyAlignment="1">
      <alignment horizontal="center"/>
    </xf>
    <xf numFmtId="0" fontId="29" fillId="0" borderId="2" xfId="0" applyFont="1" applyBorder="1" applyAlignment="1">
      <alignment horizontal="center" vertical="top" wrapText="1"/>
    </xf>
    <xf numFmtId="0" fontId="30" fillId="0" borderId="2" xfId="0" applyFont="1" applyBorder="1" applyAlignment="1">
      <alignment vertical="top" wrapText="1"/>
    </xf>
    <xf numFmtId="0" fontId="30" fillId="0" borderId="2" xfId="0" applyFont="1" applyBorder="1" applyAlignment="1">
      <alignment horizontal="left" vertical="top" wrapText="1"/>
    </xf>
    <xf numFmtId="0" fontId="30" fillId="0" borderId="2" xfId="0" applyFont="1" applyBorder="1" applyAlignment="1">
      <alignment horizontal="justify" vertical="top" wrapText="1"/>
    </xf>
    <xf numFmtId="0" fontId="29" fillId="0" borderId="2" xfId="0" applyFont="1" applyBorder="1" applyAlignment="1">
      <alignment vertical="top" wrapText="1"/>
    </xf>
    <xf numFmtId="0" fontId="29" fillId="5" borderId="2" xfId="0" applyFont="1" applyFill="1" applyBorder="1" applyAlignment="1">
      <alignment vertical="top" wrapText="1"/>
    </xf>
    <xf numFmtId="2" fontId="29" fillId="0" borderId="2" xfId="0" applyNumberFormat="1" applyFont="1" applyBorder="1" applyAlignment="1">
      <alignment vertical="top" wrapText="1"/>
    </xf>
    <xf numFmtId="0" fontId="29" fillId="0" borderId="2" xfId="0" applyFont="1" applyBorder="1" applyAlignment="1">
      <alignment horizontal="center"/>
    </xf>
    <xf numFmtId="0" fontId="30" fillId="0" borderId="2" xfId="0" applyFont="1" applyBorder="1" applyAlignment="1">
      <alignment horizontal="center"/>
    </xf>
    <xf numFmtId="0" fontId="33" fillId="0" borderId="2" xfId="0" applyFont="1" applyBorder="1" applyAlignment="1">
      <alignment horizontal="center"/>
    </xf>
    <xf numFmtId="0" fontId="33" fillId="5" borderId="2" xfId="0" applyFont="1" applyFill="1" applyBorder="1" applyAlignment="1">
      <alignment horizontal="center"/>
    </xf>
    <xf numFmtId="2" fontId="33" fillId="0" borderId="2" xfId="0" applyNumberFormat="1" applyFont="1" applyBorder="1" applyAlignment="1">
      <alignment horizontal="center"/>
    </xf>
    <xf numFmtId="2" fontId="30" fillId="0" borderId="2" xfId="0" applyNumberFormat="1" applyFont="1" applyBorder="1" applyAlignment="1">
      <alignment horizontal="center"/>
    </xf>
    <xf numFmtId="2" fontId="29" fillId="0" borderId="2" xfId="0" applyNumberFormat="1" applyFont="1" applyBorder="1" applyAlignment="1">
      <alignment horizontal="center"/>
    </xf>
    <xf numFmtId="0" fontId="13" fillId="0" borderId="2" xfId="4" applyBorder="1"/>
    <xf numFmtId="0" fontId="28" fillId="0" borderId="2" xfId="0" applyFont="1" applyBorder="1" applyAlignment="1">
      <alignment horizontal="center"/>
    </xf>
    <xf numFmtId="0" fontId="28" fillId="0" borderId="2" xfId="0" applyFont="1" applyBorder="1"/>
    <xf numFmtId="2" fontId="28" fillId="0" borderId="2" xfId="0" applyNumberFormat="1" applyFont="1" applyBorder="1"/>
    <xf numFmtId="0" fontId="28" fillId="5" borderId="2" xfId="0" applyFont="1" applyFill="1" applyBorder="1"/>
    <xf numFmtId="0" fontId="0" fillId="0" borderId="0" xfId="0" applyAlignment="1">
      <alignment wrapText="1"/>
    </xf>
    <xf numFmtId="0" fontId="0" fillId="5" borderId="15" xfId="0" applyFill="1" applyBorder="1"/>
    <xf numFmtId="0" fontId="3" fillId="30" borderId="2" xfId="0" applyFont="1" applyFill="1" applyBorder="1"/>
    <xf numFmtId="0" fontId="3" fillId="0" borderId="0" xfId="0" applyFont="1" applyAlignment="1">
      <alignment vertical="top" wrapText="1"/>
    </xf>
    <xf numFmtId="0" fontId="0" fillId="31" borderId="18" xfId="0" applyFill="1" applyBorder="1" applyAlignment="1">
      <alignment horizontal="center" vertical="center" wrapText="1"/>
    </xf>
    <xf numFmtId="0" fontId="3" fillId="0" borderId="2" xfId="0" applyFont="1" applyBorder="1" applyAlignment="1">
      <alignment horizontal="center"/>
    </xf>
    <xf numFmtId="0" fontId="38" fillId="0" borderId="0" xfId="0" applyFont="1"/>
    <xf numFmtId="2" fontId="38" fillId="0" borderId="2" xfId="0" applyNumberFormat="1" applyFont="1" applyBorder="1"/>
    <xf numFmtId="2" fontId="38" fillId="0" borderId="2" xfId="0" applyNumberFormat="1" applyFont="1" applyBorder="1" applyAlignment="1">
      <alignment horizontal="right"/>
    </xf>
    <xf numFmtId="0" fontId="3" fillId="0" borderId="2" xfId="0" applyFont="1" applyBorder="1"/>
    <xf numFmtId="2" fontId="20" fillId="0" borderId="2" xfId="5" applyNumberFormat="1" applyFont="1" applyBorder="1" applyAlignment="1">
      <alignment horizontal="center" vertical="top"/>
    </xf>
    <xf numFmtId="4" fontId="20" fillId="0" borderId="2" xfId="5" applyNumberFormat="1" applyFont="1" applyBorder="1" applyAlignment="1">
      <alignment horizontal="center" vertical="center"/>
    </xf>
    <xf numFmtId="2" fontId="20" fillId="0" borderId="2" xfId="5" applyNumberFormat="1" applyFont="1" applyBorder="1" applyAlignment="1">
      <alignment horizontal="center" vertical="center"/>
    </xf>
    <xf numFmtId="0" fontId="20" fillId="0" borderId="2" xfId="5" applyFont="1" applyBorder="1" applyAlignment="1">
      <alignment horizontal="center" vertical="center"/>
    </xf>
    <xf numFmtId="0" fontId="27" fillId="0" borderId="2" xfId="0" applyFont="1" applyBorder="1" applyAlignment="1" applyProtection="1">
      <alignment horizontal="center" vertical="top"/>
      <protection locked="0"/>
    </xf>
    <xf numFmtId="0" fontId="21" fillId="0" borderId="2" xfId="0" applyFont="1" applyBorder="1" applyAlignment="1" applyProtection="1">
      <alignment horizontal="center" vertical="center"/>
      <protection locked="0"/>
    </xf>
    <xf numFmtId="0" fontId="27" fillId="0" borderId="2" xfId="0" applyFont="1" applyBorder="1" applyAlignment="1" applyProtection="1">
      <alignment horizontal="center" vertical="center"/>
      <protection locked="0"/>
    </xf>
    <xf numFmtId="0" fontId="7" fillId="0" borderId="2" xfId="2" applyFill="1" applyBorder="1" applyAlignment="1"/>
    <xf numFmtId="0" fontId="21" fillId="0" borderId="2" xfId="2" applyFont="1" applyFill="1" applyBorder="1" applyAlignment="1">
      <alignment horizontal="center" vertical="center"/>
    </xf>
    <xf numFmtId="0" fontId="0" fillId="31" borderId="17" xfId="0" applyFill="1" applyBorder="1" applyAlignment="1">
      <alignment horizontal="center" vertical="center" wrapText="1"/>
    </xf>
    <xf numFmtId="0" fontId="0" fillId="31" borderId="7" xfId="0" applyFill="1" applyBorder="1" applyAlignment="1">
      <alignment horizontal="center" vertical="center" wrapText="1"/>
    </xf>
    <xf numFmtId="0" fontId="0" fillId="0" borderId="0" xfId="0" applyAlignment="1">
      <alignment horizontal="center" vertical="center" wrapText="1"/>
    </xf>
    <xf numFmtId="0" fontId="0" fillId="31" borderId="19" xfId="0" applyFill="1" applyBorder="1"/>
    <xf numFmtId="0" fontId="0" fillId="31" borderId="2" xfId="0" applyFill="1" applyBorder="1"/>
    <xf numFmtId="0" fontId="0" fillId="31" borderId="27" xfId="0" applyFill="1" applyBorder="1"/>
    <xf numFmtId="2" fontId="0" fillId="0" borderId="27" xfId="0" applyNumberFormat="1" applyBorder="1"/>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 fillId="0" borderId="18" xfId="0" applyFont="1" applyBorder="1" applyAlignment="1">
      <alignment horizontal="center" vertical="center" wrapText="1"/>
    </xf>
    <xf numFmtId="0" fontId="3" fillId="0" borderId="18" xfId="0" applyFont="1" applyBorder="1" applyAlignment="1">
      <alignment horizontal="center" vertical="center" wrapText="1"/>
    </xf>
    <xf numFmtId="0" fontId="4" fillId="0" borderId="7"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7" xfId="0" applyFont="1" applyBorder="1" applyAlignment="1">
      <alignment horizontal="center" vertical="center" wrapText="1"/>
    </xf>
    <xf numFmtId="0" fontId="13" fillId="0" borderId="19" xfId="4" applyBorder="1"/>
    <xf numFmtId="0" fontId="0" fillId="0" borderId="27" xfId="0" applyBorder="1"/>
    <xf numFmtId="0" fontId="30" fillId="5" borderId="2" xfId="0" applyFont="1" applyFill="1" applyBorder="1" applyAlignment="1">
      <alignment vertical="top" wrapText="1"/>
    </xf>
    <xf numFmtId="2" fontId="30" fillId="5" borderId="2" xfId="0" applyNumberFormat="1" applyFont="1" applyFill="1" applyBorder="1" applyAlignment="1">
      <alignment vertical="top" wrapText="1"/>
    </xf>
    <xf numFmtId="166" fontId="30" fillId="5" borderId="2" xfId="0" applyNumberFormat="1" applyFont="1" applyFill="1" applyBorder="1" applyAlignment="1">
      <alignment vertical="top" wrapText="1"/>
    </xf>
    <xf numFmtId="2" fontId="30" fillId="5" borderId="2" xfId="0" applyNumberFormat="1" applyFont="1" applyFill="1" applyBorder="1" applyAlignment="1">
      <alignment horizontal="left" vertical="top" wrapText="1"/>
    </xf>
    <xf numFmtId="0" fontId="0" fillId="5" borderId="0" xfId="0" applyFill="1" applyAlignment="1">
      <alignment wrapText="1"/>
    </xf>
    <xf numFmtId="0" fontId="30" fillId="5" borderId="2" xfId="0" applyFont="1" applyFill="1" applyBorder="1" applyAlignment="1">
      <alignment horizontal="center"/>
    </xf>
    <xf numFmtId="2" fontId="30" fillId="5" borderId="2" xfId="0" applyNumberFormat="1" applyFont="1" applyFill="1" applyBorder="1" applyAlignment="1">
      <alignment horizontal="center"/>
    </xf>
    <xf numFmtId="166" fontId="30" fillId="5" borderId="2" xfId="0" applyNumberFormat="1" applyFont="1" applyFill="1" applyBorder="1" applyAlignment="1">
      <alignment horizontal="center"/>
    </xf>
    <xf numFmtId="3" fontId="30" fillId="5" borderId="2" xfId="0" applyNumberFormat="1" applyFont="1" applyFill="1" applyBorder="1" applyAlignment="1">
      <alignment horizontal="center"/>
    </xf>
    <xf numFmtId="0" fontId="3" fillId="5" borderId="0" xfId="0" applyFont="1" applyFill="1"/>
    <xf numFmtId="2" fontId="22" fillId="5" borderId="2" xfId="0" applyNumberFormat="1" applyFont="1" applyFill="1" applyBorder="1" applyAlignment="1">
      <alignment horizontal="center"/>
    </xf>
    <xf numFmtId="10" fontId="22" fillId="5" borderId="2" xfId="0" applyNumberFormat="1" applyFont="1" applyFill="1" applyBorder="1" applyAlignment="1">
      <alignment horizontal="center"/>
    </xf>
    <xf numFmtId="164" fontId="22" fillId="5" borderId="2" xfId="1" applyFont="1" applyFill="1" applyBorder="1" applyAlignment="1">
      <alignment horizontal="center"/>
    </xf>
    <xf numFmtId="1" fontId="22" fillId="5" borderId="2" xfId="1" applyNumberFormat="1" applyFont="1" applyFill="1" applyBorder="1" applyAlignment="1">
      <alignment horizontal="center"/>
    </xf>
    <xf numFmtId="2" fontId="2" fillId="5" borderId="22" xfId="0" applyNumberFormat="1" applyFont="1" applyFill="1" applyBorder="1" applyAlignment="1">
      <alignment horizontal="center" vertical="center" wrapText="1"/>
    </xf>
    <xf numFmtId="2" fontId="2" fillId="5" borderId="0" xfId="0" applyNumberFormat="1" applyFont="1" applyFill="1" applyAlignment="1">
      <alignment horizontal="center"/>
    </xf>
    <xf numFmtId="3" fontId="0" fillId="0" borderId="0" xfId="0" applyNumberFormat="1"/>
    <xf numFmtId="0" fontId="0" fillId="0" borderId="2" xfId="0" applyBorder="1" applyAlignment="1">
      <alignment horizontal="left"/>
    </xf>
    <xf numFmtId="0" fontId="12" fillId="2" borderId="2" xfId="0" applyFont="1" applyFill="1" applyBorder="1" applyAlignment="1">
      <alignment horizontal="center" vertical="center"/>
    </xf>
    <xf numFmtId="165" fontId="14" fillId="5" borderId="2" xfId="3" applyFont="1" applyFill="1" applyBorder="1" applyAlignment="1">
      <alignment horizontal="center" wrapText="1"/>
      <protection locked="0"/>
    </xf>
    <xf numFmtId="165" fontId="14" fillId="5" borderId="2" xfId="3" applyFont="1" applyFill="1" applyBorder="1" applyAlignment="1">
      <alignment horizontal="left"/>
      <protection locked="0"/>
    </xf>
    <xf numFmtId="2" fontId="19" fillId="22" borderId="2" xfId="0" applyNumberFormat="1" applyFont="1" applyFill="1" applyBorder="1" applyAlignment="1">
      <alignment horizontal="center" vertical="center" wrapText="1"/>
    </xf>
    <xf numFmtId="2" fontId="44" fillId="23" borderId="2" xfId="0" applyNumberFormat="1" applyFont="1" applyFill="1" applyBorder="1" applyAlignment="1">
      <alignment horizontal="center"/>
    </xf>
    <xf numFmtId="2" fontId="19" fillId="24" borderId="2" xfId="0" applyNumberFormat="1" applyFont="1" applyFill="1" applyBorder="1" applyAlignment="1">
      <alignment horizontal="center" vertical="center"/>
    </xf>
    <xf numFmtId="2" fontId="44" fillId="16" borderId="2" xfId="0" applyNumberFormat="1" applyFont="1" applyFill="1" applyBorder="1" applyAlignment="1">
      <alignment horizontal="center" vertical="center"/>
    </xf>
    <xf numFmtId="2" fontId="45" fillId="28" borderId="2" xfId="0" applyNumberFormat="1" applyFont="1" applyFill="1" applyBorder="1" applyAlignment="1">
      <alignment horizontal="center"/>
    </xf>
    <xf numFmtId="10" fontId="0" fillId="21" borderId="0" xfId="0" applyNumberFormat="1" applyFill="1"/>
    <xf numFmtId="1" fontId="46" fillId="33" borderId="2" xfId="0" applyNumberFormat="1" applyFont="1" applyFill="1" applyBorder="1" applyAlignment="1">
      <alignment vertical="center" wrapText="1"/>
    </xf>
    <xf numFmtId="1" fontId="3" fillId="0" borderId="2" xfId="0" applyNumberFormat="1" applyFont="1" applyBorder="1"/>
    <xf numFmtId="0" fontId="42" fillId="14" borderId="15" xfId="4" applyFont="1" applyFill="1" applyBorder="1" applyAlignment="1">
      <alignment horizontal="center" vertical="center" wrapText="1"/>
    </xf>
    <xf numFmtId="0" fontId="42" fillId="14" borderId="2" xfId="4" applyFont="1" applyFill="1" applyBorder="1" applyAlignment="1">
      <alignment horizontal="center" vertical="center" wrapText="1"/>
    </xf>
    <xf numFmtId="0" fontId="3" fillId="34" borderId="16" xfId="0" applyFont="1" applyFill="1" applyBorder="1"/>
    <xf numFmtId="1" fontId="3" fillId="34" borderId="16" xfId="0" applyNumberFormat="1" applyFont="1" applyFill="1" applyBorder="1"/>
    <xf numFmtId="0" fontId="3" fillId="34" borderId="2" xfId="0" applyFont="1" applyFill="1" applyBorder="1"/>
    <xf numFmtId="1" fontId="3" fillId="34" borderId="2" xfId="0" applyNumberFormat="1" applyFont="1" applyFill="1" applyBorder="1"/>
    <xf numFmtId="0" fontId="48" fillId="33" borderId="10" xfId="0" applyFont="1" applyFill="1" applyBorder="1" applyAlignment="1">
      <alignment horizontal="left" vertical="top" wrapText="1"/>
    </xf>
    <xf numFmtId="0" fontId="48" fillId="33" borderId="4" xfId="0" applyFont="1" applyFill="1" applyBorder="1" applyAlignment="1">
      <alignment vertical="top" wrapText="1"/>
    </xf>
    <xf numFmtId="0" fontId="48" fillId="33" borderId="4" xfId="0" applyFont="1" applyFill="1" applyBorder="1" applyAlignment="1">
      <alignment horizontal="left" vertical="top" wrapText="1"/>
    </xf>
    <xf numFmtId="0" fontId="48" fillId="33" borderId="5" xfId="0" applyFont="1" applyFill="1" applyBorder="1" applyAlignment="1">
      <alignment vertical="top" wrapText="1"/>
    </xf>
    <xf numFmtId="0" fontId="48" fillId="33" borderId="24" xfId="0" applyFont="1" applyFill="1" applyBorder="1" applyAlignment="1">
      <alignment vertical="top" wrapText="1"/>
    </xf>
    <xf numFmtId="0" fontId="17" fillId="0" borderId="1" xfId="0" applyFont="1" applyBorder="1" applyAlignment="1">
      <alignment vertical="center" wrapText="1"/>
    </xf>
    <xf numFmtId="0" fontId="18" fillId="2" borderId="17" xfId="0" applyFont="1" applyFill="1" applyBorder="1" applyAlignment="1">
      <alignment horizontal="center" vertical="center" wrapText="1"/>
    </xf>
    <xf numFmtId="167" fontId="18" fillId="2" borderId="18" xfId="0"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20" fillId="2" borderId="2" xfId="0" applyFont="1" applyFill="1" applyBorder="1" applyAlignment="1">
      <alignment horizontal="center" vertical="center" wrapText="1"/>
    </xf>
    <xf numFmtId="167" fontId="20" fillId="2" borderId="2" xfId="0" applyNumberFormat="1" applyFont="1" applyFill="1" applyBorder="1" applyAlignment="1">
      <alignment horizontal="center" vertical="center" wrapText="1"/>
    </xf>
    <xf numFmtId="0" fontId="26" fillId="0" borderId="8" xfId="0" applyFont="1" applyBorder="1" applyAlignment="1">
      <alignment horizontal="center" vertical="center" wrapText="1"/>
    </xf>
    <xf numFmtId="0" fontId="26" fillId="0" borderId="9" xfId="0" applyFont="1" applyBorder="1" applyAlignment="1">
      <alignment horizontal="center" vertical="center" wrapText="1"/>
    </xf>
    <xf numFmtId="0" fontId="8" fillId="3" borderId="5" xfId="0" applyFont="1" applyFill="1" applyBorder="1" applyAlignment="1">
      <alignment horizontal="center" vertical="center" wrapText="1"/>
    </xf>
    <xf numFmtId="0" fontId="23" fillId="0" borderId="26" xfId="0" applyFont="1" applyBorder="1" applyAlignment="1">
      <alignment horizontal="center" wrapText="1"/>
    </xf>
    <xf numFmtId="0" fontId="3" fillId="0" borderId="0" xfId="0" applyFont="1" applyAlignment="1">
      <alignment wrapText="1"/>
    </xf>
    <xf numFmtId="0" fontId="27" fillId="0" borderId="0" xfId="0" applyFont="1"/>
    <xf numFmtId="168" fontId="27" fillId="0" borderId="2" xfId="1" applyNumberFormat="1" applyFont="1" applyBorder="1" applyAlignment="1">
      <alignment horizontal="center" vertical="center"/>
    </xf>
    <xf numFmtId="2" fontId="27" fillId="0" borderId="0" xfId="0" applyNumberFormat="1" applyFont="1"/>
    <xf numFmtId="1" fontId="27" fillId="0" borderId="0" xfId="0" applyNumberFormat="1" applyFont="1"/>
    <xf numFmtId="0" fontId="51" fillId="0" borderId="0" xfId="0" applyFont="1"/>
    <xf numFmtId="0" fontId="27" fillId="0" borderId="17" xfId="0" applyFont="1" applyBorder="1"/>
    <xf numFmtId="2" fontId="27" fillId="0" borderId="18" xfId="0" applyNumberFormat="1" applyFont="1" applyBorder="1"/>
    <xf numFmtId="0" fontId="27" fillId="0" borderId="18" xfId="0" applyFont="1" applyBorder="1"/>
    <xf numFmtId="0" fontId="27" fillId="0" borderId="7" xfId="0" applyFont="1" applyBorder="1"/>
    <xf numFmtId="3" fontId="27" fillId="0" borderId="0" xfId="0" applyNumberFormat="1" applyFont="1"/>
    <xf numFmtId="0" fontId="27" fillId="0" borderId="19" xfId="0" applyFont="1" applyBorder="1"/>
    <xf numFmtId="0" fontId="27" fillId="0" borderId="2" xfId="0" applyFont="1" applyBorder="1"/>
    <xf numFmtId="0" fontId="27" fillId="0" borderId="27" xfId="0" applyFont="1" applyBorder="1"/>
    <xf numFmtId="0" fontId="27" fillId="0" borderId="20" xfId="0" applyFont="1" applyBorder="1"/>
    <xf numFmtId="0" fontId="27" fillId="0" borderId="21" xfId="0" applyFont="1" applyBorder="1"/>
    <xf numFmtId="2" fontId="27" fillId="0" borderId="30" xfId="0" applyNumberFormat="1" applyFont="1" applyBorder="1"/>
    <xf numFmtId="0" fontId="48" fillId="33" borderId="17" xfId="0" applyFont="1" applyFill="1" applyBorder="1" applyAlignment="1">
      <alignment horizontal="center" vertical="center"/>
    </xf>
    <xf numFmtId="0" fontId="48" fillId="33" borderId="18" xfId="0" applyFont="1" applyFill="1" applyBorder="1" applyAlignment="1">
      <alignment horizontal="center" vertical="center"/>
    </xf>
    <xf numFmtId="0" fontId="48" fillId="33" borderId="18" xfId="0" applyFont="1" applyFill="1" applyBorder="1" applyAlignment="1">
      <alignment horizontal="center" vertical="center" wrapText="1"/>
    </xf>
    <xf numFmtId="0" fontId="48" fillId="33" borderId="7" xfId="0" applyFont="1" applyFill="1" applyBorder="1" applyAlignment="1">
      <alignment horizontal="center" vertical="center" wrapText="1"/>
    </xf>
    <xf numFmtId="0" fontId="27" fillId="0" borderId="2" xfId="0" applyFont="1" applyBorder="1" applyAlignment="1">
      <alignment horizontal="center" vertical="center"/>
    </xf>
    <xf numFmtId="3" fontId="27" fillId="0" borderId="2" xfId="0" applyNumberFormat="1" applyFont="1" applyBorder="1"/>
    <xf numFmtId="2" fontId="38" fillId="2" borderId="16" xfId="0" applyNumberFormat="1" applyFont="1" applyFill="1" applyBorder="1" applyAlignment="1">
      <alignment horizontal="right"/>
    </xf>
    <xf numFmtId="0" fontId="3" fillId="0" borderId="18" xfId="0" applyFont="1" applyBorder="1" applyAlignment="1">
      <alignment horizontal="center" vertical="top" wrapText="1"/>
    </xf>
    <xf numFmtId="2" fontId="30" fillId="0" borderId="7" xfId="0" applyNumberFormat="1" applyFont="1" applyBorder="1" applyAlignment="1">
      <alignment horizontal="center" vertical="top" wrapText="1"/>
    </xf>
    <xf numFmtId="0" fontId="30" fillId="0" borderId="19" xfId="0" applyFont="1" applyBorder="1" applyAlignment="1">
      <alignment horizontal="center"/>
    </xf>
    <xf numFmtId="2" fontId="30" fillId="0" borderId="27" xfId="0" applyNumberFormat="1" applyFont="1" applyBorder="1" applyAlignment="1">
      <alignment horizontal="center"/>
    </xf>
    <xf numFmtId="0" fontId="39" fillId="0" borderId="19" xfId="0" applyFont="1" applyBorder="1" applyAlignment="1">
      <alignment vertical="center" wrapText="1"/>
    </xf>
    <xf numFmtId="2" fontId="38" fillId="0" borderId="27" xfId="0" applyNumberFormat="1" applyFont="1" applyBorder="1"/>
    <xf numFmtId="1" fontId="22" fillId="0" borderId="2" xfId="0" applyNumberFormat="1" applyFont="1" applyBorder="1" applyAlignment="1">
      <alignment horizontal="center"/>
    </xf>
    <xf numFmtId="1" fontId="0" fillId="30" borderId="2" xfId="0" applyNumberFormat="1" applyFill="1" applyBorder="1" applyAlignment="1">
      <alignment horizontal="center"/>
    </xf>
    <xf numFmtId="168" fontId="0" fillId="0" borderId="2" xfId="1" applyNumberFormat="1" applyFont="1" applyBorder="1" applyAlignment="1">
      <alignment horizontal="center"/>
    </xf>
    <xf numFmtId="168" fontId="3" fillId="0" borderId="2" xfId="1" applyNumberFormat="1" applyFont="1" applyBorder="1" applyAlignment="1">
      <alignment horizontal="center"/>
    </xf>
    <xf numFmtId="2" fontId="4" fillId="0" borderId="2" xfId="0" applyNumberFormat="1" applyFont="1" applyBorder="1" applyAlignment="1">
      <alignment horizontal="center"/>
    </xf>
    <xf numFmtId="1" fontId="3" fillId="0" borderId="2" xfId="0" applyNumberFormat="1" applyFont="1" applyBorder="1" applyAlignment="1">
      <alignment horizontal="center"/>
    </xf>
    <xf numFmtId="9" fontId="27" fillId="0" borderId="2" xfId="0" applyNumberFormat="1" applyFont="1" applyBorder="1"/>
    <xf numFmtId="0" fontId="52" fillId="0" borderId="19" xfId="0" applyFont="1" applyBorder="1"/>
    <xf numFmtId="0" fontId="27" fillId="0" borderId="2" xfId="0" applyFont="1" applyBorder="1" applyAlignment="1">
      <alignment vertical="center"/>
    </xf>
    <xf numFmtId="168" fontId="27" fillId="0" borderId="2" xfId="1" applyNumberFormat="1" applyFont="1" applyBorder="1"/>
    <xf numFmtId="10" fontId="0" fillId="0" borderId="2" xfId="0" applyNumberFormat="1" applyBorder="1"/>
    <xf numFmtId="168" fontId="0" fillId="0" borderId="2" xfId="0" applyNumberFormat="1" applyBorder="1"/>
    <xf numFmtId="0" fontId="59" fillId="0" borderId="33" xfId="0" applyFont="1" applyBorder="1" applyAlignment="1">
      <alignment horizontal="left"/>
    </xf>
    <xf numFmtId="0" fontId="59" fillId="0" borderId="34" xfId="0" applyFont="1" applyBorder="1" applyAlignment="1">
      <alignment horizontal="left"/>
    </xf>
    <xf numFmtId="0" fontId="59" fillId="0" borderId="35" xfId="0" applyFont="1" applyBorder="1" applyAlignment="1">
      <alignment horizontal="left"/>
    </xf>
    <xf numFmtId="0" fontId="1" fillId="0" borderId="32" xfId="0" applyFont="1" applyBorder="1" applyAlignment="1">
      <alignment horizontal="left"/>
    </xf>
    <xf numFmtId="0" fontId="62" fillId="0" borderId="28" xfId="0" applyFont="1" applyBorder="1" applyAlignment="1">
      <alignment horizontal="left" vertical="center" wrapText="1"/>
    </xf>
    <xf numFmtId="0" fontId="1" fillId="0" borderId="34" xfId="0" applyFont="1" applyBorder="1" applyAlignment="1">
      <alignment horizontal="left"/>
    </xf>
    <xf numFmtId="0" fontId="62" fillId="0" borderId="36" xfId="0" applyFont="1" applyBorder="1" applyAlignment="1">
      <alignment horizontal="left" vertical="center" wrapText="1"/>
    </xf>
    <xf numFmtId="0" fontId="1" fillId="0" borderId="35" xfId="0" applyFont="1" applyBorder="1" applyAlignment="1">
      <alignment horizontal="left"/>
    </xf>
    <xf numFmtId="0" fontId="63" fillId="0" borderId="37" xfId="0" applyFont="1" applyBorder="1" applyAlignment="1">
      <alignment horizontal="left" wrapText="1"/>
    </xf>
    <xf numFmtId="165" fontId="61" fillId="2" borderId="8" xfId="3" applyFont="1" applyFill="1" applyBorder="1" applyAlignment="1">
      <alignment horizontal="left"/>
      <protection locked="0"/>
    </xf>
    <xf numFmtId="0" fontId="60" fillId="2" borderId="10" xfId="0" applyFont="1" applyFill="1" applyBorder="1" applyAlignment="1">
      <alignment horizontal="left"/>
    </xf>
    <xf numFmtId="0" fontId="7" fillId="0" borderId="0" xfId="2"/>
    <xf numFmtId="1" fontId="39" fillId="0" borderId="2" xfId="1" applyNumberFormat="1" applyFont="1" applyBorder="1" applyAlignment="1">
      <alignment horizontal="center"/>
    </xf>
    <xf numFmtId="0" fontId="4" fillId="2" borderId="11" xfId="0" applyFont="1" applyFill="1" applyBorder="1" applyAlignment="1">
      <alignment horizontal="center"/>
    </xf>
    <xf numFmtId="0" fontId="4" fillId="2" borderId="12" xfId="0" applyFont="1" applyFill="1" applyBorder="1" applyAlignment="1">
      <alignment horizontal="center"/>
    </xf>
    <xf numFmtId="2" fontId="0" fillId="8" borderId="2" xfId="0" applyNumberFormat="1" applyFill="1" applyBorder="1" applyAlignment="1">
      <alignment horizontal="center" vertical="center"/>
    </xf>
    <xf numFmtId="0" fontId="0" fillId="8" borderId="15" xfId="0" applyFill="1" applyBorder="1" applyAlignment="1">
      <alignment horizontal="left" vertical="center"/>
    </xf>
    <xf numFmtId="0" fontId="0" fillId="8" borderId="16" xfId="0" applyFill="1" applyBorder="1" applyAlignment="1">
      <alignment horizontal="left" vertical="center"/>
    </xf>
    <xf numFmtId="2" fontId="0" fillId="26" borderId="2" xfId="0" applyNumberFormat="1" applyFill="1" applyBorder="1" applyAlignment="1">
      <alignment horizontal="center" vertical="center"/>
    </xf>
    <xf numFmtId="0" fontId="0" fillId="26" borderId="15" xfId="0" applyFill="1" applyBorder="1" applyAlignment="1">
      <alignment horizontal="left" vertical="center"/>
    </xf>
    <xf numFmtId="0" fontId="0" fillId="26" borderId="16" xfId="0" applyFill="1" applyBorder="1" applyAlignment="1">
      <alignment horizontal="left" vertical="center"/>
    </xf>
    <xf numFmtId="2" fontId="0" fillId="0" borderId="2" xfId="0" applyNumberFormat="1" applyBorder="1" applyAlignment="1">
      <alignment horizontal="center" vertical="center"/>
    </xf>
    <xf numFmtId="0" fontId="0" fillId="0" borderId="2" xfId="0" applyBorder="1" applyAlignment="1">
      <alignment horizontal="center" vertical="center"/>
    </xf>
    <xf numFmtId="2" fontId="0" fillId="9" borderId="2" xfId="0" applyNumberFormat="1" applyFill="1" applyBorder="1" applyAlignment="1">
      <alignment horizontal="center" vertical="center"/>
    </xf>
    <xf numFmtId="0" fontId="0" fillId="9" borderId="2" xfId="0" applyFill="1" applyBorder="1" applyAlignment="1">
      <alignment horizontal="left" vertical="center"/>
    </xf>
    <xf numFmtId="2" fontId="0" fillId="21" borderId="2" xfId="0" applyNumberFormat="1" applyFill="1" applyBorder="1" applyAlignment="1">
      <alignment horizontal="center" vertical="center"/>
    </xf>
    <xf numFmtId="0" fontId="0" fillId="21" borderId="15" xfId="0" applyFill="1" applyBorder="1" applyAlignment="1">
      <alignment horizontal="left" vertical="center"/>
    </xf>
    <xf numFmtId="0" fontId="0" fillId="21" borderId="16" xfId="0" applyFill="1" applyBorder="1" applyAlignment="1">
      <alignment horizontal="left" vertical="center"/>
    </xf>
    <xf numFmtId="0" fontId="0" fillId="0" borderId="2" xfId="0" applyBorder="1" applyAlignment="1">
      <alignment horizontal="left" vertical="center"/>
    </xf>
    <xf numFmtId="2" fontId="0" fillId="19" borderId="2" xfId="0" applyNumberFormat="1" applyFill="1" applyBorder="1" applyAlignment="1">
      <alignment horizontal="center" vertical="center"/>
    </xf>
    <xf numFmtId="0" fontId="0" fillId="19" borderId="2" xfId="0" applyFill="1" applyBorder="1" applyAlignment="1">
      <alignment horizontal="left" vertical="center"/>
    </xf>
    <xf numFmtId="0" fontId="16" fillId="6" borderId="2" xfId="0" applyFont="1" applyFill="1" applyBorder="1" applyAlignment="1">
      <alignment horizontal="center"/>
    </xf>
    <xf numFmtId="0" fontId="16" fillId="6" borderId="15" xfId="0" applyFont="1" applyFill="1" applyBorder="1" applyAlignment="1">
      <alignment horizontal="center"/>
    </xf>
    <xf numFmtId="0" fontId="16" fillId="6" borderId="16" xfId="0" applyFont="1" applyFill="1" applyBorder="1" applyAlignment="1">
      <alignment horizontal="center"/>
    </xf>
    <xf numFmtId="0" fontId="0" fillId="16" borderId="2" xfId="0" applyFill="1" applyBorder="1" applyAlignment="1">
      <alignment horizontal="left" vertical="center"/>
    </xf>
    <xf numFmtId="2" fontId="0" fillId="16" borderId="2" xfId="0" applyNumberFormat="1" applyFill="1" applyBorder="1" applyAlignment="1">
      <alignment horizontal="center" vertical="center"/>
    </xf>
    <xf numFmtId="2" fontId="0" fillId="22" borderId="2" xfId="0" applyNumberFormat="1" applyFill="1" applyBorder="1" applyAlignment="1">
      <alignment horizontal="center" vertical="center"/>
    </xf>
    <xf numFmtId="0" fontId="0" fillId="22" borderId="2" xfId="0" applyFill="1" applyBorder="1" applyAlignment="1">
      <alignment horizontal="left" vertical="center"/>
    </xf>
    <xf numFmtId="0" fontId="16" fillId="32" borderId="2" xfId="0" applyFont="1" applyFill="1" applyBorder="1" applyAlignment="1">
      <alignment horizontal="center" vertical="center" wrapText="1"/>
    </xf>
    <xf numFmtId="0" fontId="0" fillId="0" borderId="15" xfId="0" applyBorder="1" applyAlignment="1">
      <alignment horizontal="left" vertical="center"/>
    </xf>
    <xf numFmtId="0" fontId="0" fillId="0" borderId="16" xfId="0" applyBorder="1" applyAlignment="1">
      <alignment horizontal="left" vertical="center"/>
    </xf>
    <xf numFmtId="0" fontId="16" fillId="6" borderId="2" xfId="0" applyFont="1" applyFill="1" applyBorder="1" applyAlignment="1">
      <alignment horizontal="center" wrapText="1"/>
    </xf>
    <xf numFmtId="0" fontId="3" fillId="23" borderId="28" xfId="0" applyFont="1" applyFill="1" applyBorder="1" applyAlignment="1">
      <alignment horizontal="center"/>
    </xf>
    <xf numFmtId="0" fontId="3" fillId="23" borderId="29" xfId="0" applyFont="1" applyFill="1" applyBorder="1" applyAlignment="1">
      <alignment horizontal="center"/>
    </xf>
    <xf numFmtId="0" fontId="16" fillId="6" borderId="15" xfId="0" applyFont="1" applyFill="1" applyBorder="1" applyAlignment="1">
      <alignment horizontal="center" wrapText="1"/>
    </xf>
    <xf numFmtId="0" fontId="16" fillId="6" borderId="16" xfId="0" applyFont="1" applyFill="1" applyBorder="1" applyAlignment="1">
      <alignment horizontal="center" wrapText="1"/>
    </xf>
    <xf numFmtId="0" fontId="28" fillId="0" borderId="2" xfId="0" applyFont="1" applyBorder="1" applyAlignment="1">
      <alignment horizontal="center" vertical="top" wrapText="1"/>
    </xf>
    <xf numFmtId="0" fontId="55" fillId="0" borderId="2" xfId="0" applyFont="1" applyBorder="1" applyAlignment="1">
      <alignment horizontal="left" vertical="top" wrapText="1"/>
    </xf>
    <xf numFmtId="0" fontId="7" fillId="0" borderId="31" xfId="2" applyBorder="1" applyAlignment="1">
      <alignment horizontal="center"/>
    </xf>
    <xf numFmtId="0" fontId="27" fillId="0" borderId="31" xfId="0" applyFont="1" applyBorder="1" applyAlignment="1">
      <alignment horizontal="center"/>
    </xf>
    <xf numFmtId="0" fontId="42" fillId="25" borderId="2" xfId="4" applyFont="1" applyFill="1" applyBorder="1" applyAlignment="1">
      <alignment horizontal="center" vertical="center" wrapText="1"/>
    </xf>
    <xf numFmtId="0" fontId="42" fillId="25" borderId="2" xfId="4" applyFont="1" applyFill="1" applyBorder="1" applyAlignment="1">
      <alignment horizontal="center"/>
    </xf>
    <xf numFmtId="0" fontId="17" fillId="9" borderId="19" xfId="0" applyFont="1" applyFill="1" applyBorder="1" applyAlignment="1">
      <alignment horizontal="center" vertical="center"/>
    </xf>
    <xf numFmtId="0" fontId="17" fillId="9" borderId="2"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5" borderId="20" xfId="0" applyFont="1" applyFill="1" applyBorder="1" applyAlignment="1">
      <alignment horizontal="center" vertical="center"/>
    </xf>
    <xf numFmtId="0" fontId="17" fillId="5" borderId="2" xfId="0" applyFont="1" applyFill="1" applyBorder="1" applyAlignment="1">
      <alignment horizontal="center" vertical="center" wrapText="1"/>
    </xf>
    <xf numFmtId="0" fontId="17" fillId="5" borderId="21" xfId="0" applyFont="1" applyFill="1" applyBorder="1" applyAlignment="1">
      <alignment horizontal="center" vertical="center" wrapText="1"/>
    </xf>
    <xf numFmtId="0" fontId="17" fillId="14" borderId="19" xfId="0" applyFont="1" applyFill="1" applyBorder="1" applyAlignment="1">
      <alignment horizontal="center" vertical="center"/>
    </xf>
    <xf numFmtId="0" fontId="17" fillId="14" borderId="2" xfId="0" applyFont="1" applyFill="1" applyBorder="1" applyAlignment="1">
      <alignment horizontal="center" vertical="center" wrapText="1"/>
    </xf>
    <xf numFmtId="0" fontId="17" fillId="15" borderId="19" xfId="0" applyFont="1" applyFill="1" applyBorder="1" applyAlignment="1">
      <alignment horizontal="center" vertical="center"/>
    </xf>
    <xf numFmtId="0" fontId="17" fillId="15" borderId="2" xfId="0" applyFont="1" applyFill="1" applyBorder="1" applyAlignment="1">
      <alignment horizontal="center" vertical="center" wrapText="1"/>
    </xf>
    <xf numFmtId="0" fontId="17" fillId="16" borderId="19" xfId="0" applyFont="1" applyFill="1" applyBorder="1" applyAlignment="1">
      <alignment horizontal="center" vertical="center"/>
    </xf>
    <xf numFmtId="0" fontId="17" fillId="16" borderId="2" xfId="0" applyFont="1" applyFill="1" applyBorder="1" applyAlignment="1">
      <alignment horizontal="center" vertical="center" wrapText="1"/>
    </xf>
    <xf numFmtId="0" fontId="17" fillId="13" borderId="19" xfId="0" applyFont="1" applyFill="1" applyBorder="1" applyAlignment="1">
      <alignment horizontal="center" vertical="center"/>
    </xf>
    <xf numFmtId="0" fontId="17" fillId="13" borderId="2" xfId="0" applyFont="1" applyFill="1" applyBorder="1" applyAlignment="1">
      <alignment horizontal="center" vertical="center" wrapText="1"/>
    </xf>
    <xf numFmtId="0" fontId="17" fillId="7" borderId="19" xfId="0" applyFont="1" applyFill="1" applyBorder="1" applyAlignment="1">
      <alignment horizontal="center" vertical="center"/>
    </xf>
    <xf numFmtId="0" fontId="17" fillId="7" borderId="2" xfId="0" applyFont="1" applyFill="1" applyBorder="1" applyAlignment="1">
      <alignment horizontal="center" vertical="center" wrapText="1"/>
    </xf>
    <xf numFmtId="0" fontId="17" fillId="11" borderId="19" xfId="0" applyFont="1" applyFill="1" applyBorder="1" applyAlignment="1">
      <alignment horizontal="center" vertical="center"/>
    </xf>
    <xf numFmtId="0" fontId="17" fillId="11" borderId="2" xfId="0" applyFont="1" applyFill="1" applyBorder="1" applyAlignment="1">
      <alignment horizontal="center" vertical="center" wrapText="1"/>
    </xf>
    <xf numFmtId="0" fontId="17" fillId="12" borderId="19" xfId="0" applyFont="1" applyFill="1" applyBorder="1" applyAlignment="1">
      <alignment horizontal="center" vertical="center"/>
    </xf>
    <xf numFmtId="0" fontId="17" fillId="12" borderId="2" xfId="0" applyFont="1" applyFill="1" applyBorder="1" applyAlignment="1">
      <alignment horizontal="center" vertical="center" wrapText="1"/>
    </xf>
    <xf numFmtId="0" fontId="17" fillId="8" borderId="19" xfId="0" applyFont="1" applyFill="1" applyBorder="1" applyAlignment="1">
      <alignment horizontal="center" vertical="center"/>
    </xf>
    <xf numFmtId="0" fontId="17" fillId="8" borderId="2" xfId="0" applyFont="1" applyFill="1" applyBorder="1" applyAlignment="1">
      <alignment horizontal="center" vertical="center" wrapText="1"/>
    </xf>
    <xf numFmtId="2" fontId="0" fillId="12" borderId="2" xfId="0" applyNumberFormat="1" applyFill="1" applyBorder="1" applyAlignment="1">
      <alignment horizontal="center" vertical="center"/>
    </xf>
    <xf numFmtId="2" fontId="0" fillId="15" borderId="2" xfId="0" applyNumberFormat="1" applyFill="1" applyBorder="1" applyAlignment="1">
      <alignment horizontal="center" vertical="center"/>
    </xf>
    <xf numFmtId="2" fontId="0" fillId="14" borderId="2" xfId="0" applyNumberFormat="1" applyFill="1" applyBorder="1" applyAlignment="1">
      <alignment horizontal="center" vertical="center"/>
    </xf>
    <xf numFmtId="0" fontId="21" fillId="12" borderId="19" xfId="0" applyFont="1" applyFill="1" applyBorder="1" applyAlignment="1">
      <alignment horizontal="center" vertical="center"/>
    </xf>
    <xf numFmtId="0" fontId="21" fillId="12" borderId="20" xfId="0" applyFont="1" applyFill="1" applyBorder="1" applyAlignment="1">
      <alignment horizontal="center" vertical="center"/>
    </xf>
    <xf numFmtId="0" fontId="21" fillId="16" borderId="2" xfId="0" applyFont="1" applyFill="1" applyBorder="1" applyAlignment="1">
      <alignment horizontal="center" vertical="center" wrapText="1"/>
    </xf>
    <xf numFmtId="0" fontId="21" fillId="19" borderId="2" xfId="0" applyFont="1" applyFill="1" applyBorder="1" applyAlignment="1">
      <alignment horizontal="center" vertical="center" wrapText="1"/>
    </xf>
    <xf numFmtId="0" fontId="21" fillId="21" borderId="2" xfId="0" applyFont="1" applyFill="1" applyBorder="1" applyAlignment="1">
      <alignment horizontal="center" vertical="center" wrapText="1"/>
    </xf>
    <xf numFmtId="0" fontId="21" fillId="15" borderId="2" xfId="0" applyFont="1" applyFill="1" applyBorder="1" applyAlignment="1">
      <alignment horizontal="center" vertical="center" wrapText="1"/>
    </xf>
    <xf numFmtId="0" fontId="21" fillId="14" borderId="2" xfId="0" applyFont="1" applyFill="1" applyBorder="1" applyAlignment="1">
      <alignment horizontal="center" vertical="center" wrapText="1"/>
    </xf>
    <xf numFmtId="0" fontId="21" fillId="22" borderId="2" xfId="0" applyFont="1" applyFill="1" applyBorder="1" applyAlignment="1">
      <alignment horizontal="center" vertical="center" wrapText="1"/>
    </xf>
    <xf numFmtId="0" fontId="21" fillId="12" borderId="2" xfId="0" applyFont="1" applyFill="1" applyBorder="1" applyAlignment="1">
      <alignment horizontal="center" vertical="center" wrapText="1"/>
    </xf>
    <xf numFmtId="0" fontId="21" fillId="12" borderId="21" xfId="0" applyFont="1" applyFill="1" applyBorder="1" applyAlignment="1">
      <alignment horizontal="center" vertical="center" wrapText="1"/>
    </xf>
    <xf numFmtId="0" fontId="21" fillId="15" borderId="19" xfId="0" applyFont="1" applyFill="1" applyBorder="1" applyAlignment="1">
      <alignment horizontal="center" vertical="center" wrapText="1"/>
    </xf>
    <xf numFmtId="0" fontId="21" fillId="14" borderId="19" xfId="0" applyFont="1" applyFill="1" applyBorder="1" applyAlignment="1">
      <alignment horizontal="center" vertical="center"/>
    </xf>
    <xf numFmtId="0" fontId="21" fillId="22" borderId="19" xfId="0" applyFont="1" applyFill="1" applyBorder="1" applyAlignment="1">
      <alignment horizontal="center" vertical="center"/>
    </xf>
    <xf numFmtId="0" fontId="21" fillId="16" borderId="19" xfId="0" applyFont="1" applyFill="1" applyBorder="1" applyAlignment="1">
      <alignment horizontal="center" vertical="center"/>
    </xf>
    <xf numFmtId="0" fontId="21" fillId="19" borderId="19" xfId="0" applyFont="1" applyFill="1" applyBorder="1" applyAlignment="1">
      <alignment horizontal="center" vertical="center"/>
    </xf>
    <xf numFmtId="0" fontId="21" fillId="21" borderId="19" xfId="0" applyFont="1" applyFill="1" applyBorder="1" applyAlignment="1">
      <alignment horizontal="center" vertical="center"/>
    </xf>
    <xf numFmtId="0" fontId="17" fillId="22" borderId="19" xfId="0" applyFont="1" applyFill="1" applyBorder="1" applyAlignment="1">
      <alignment horizontal="center" vertical="center" wrapText="1"/>
    </xf>
    <xf numFmtId="0" fontId="17" fillId="2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19" xfId="0" applyFont="1" applyBorder="1" applyAlignment="1">
      <alignment horizontal="center" vertical="center" wrapText="1"/>
    </xf>
    <xf numFmtId="0" fontId="17" fillId="0" borderId="20" xfId="0" applyFont="1" applyBorder="1" applyAlignment="1">
      <alignment horizontal="center" vertical="center" wrapText="1"/>
    </xf>
    <xf numFmtId="2" fontId="0" fillId="23" borderId="2" xfId="0" applyNumberFormat="1" applyFill="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center" vertical="center" wrapText="1"/>
    </xf>
    <xf numFmtId="0" fontId="22" fillId="23" borderId="2" xfId="0" applyFont="1" applyFill="1" applyBorder="1" applyAlignment="1">
      <alignment horizontal="center" vertical="center"/>
    </xf>
    <xf numFmtId="0" fontId="22" fillId="23" borderId="2" xfId="0" applyFont="1" applyFill="1" applyBorder="1" applyAlignment="1">
      <alignment horizontal="center" vertical="center" wrapText="1"/>
    </xf>
    <xf numFmtId="2" fontId="0" fillId="24" borderId="2" xfId="0" applyNumberFormat="1" applyFill="1" applyBorder="1" applyAlignment="1">
      <alignment horizontal="center" vertical="center"/>
    </xf>
    <xf numFmtId="1" fontId="17" fillId="24" borderId="2" xfId="0" applyNumberFormat="1" applyFont="1" applyFill="1" applyBorder="1" applyAlignment="1">
      <alignment horizontal="center" vertical="center"/>
    </xf>
    <xf numFmtId="2" fontId="17" fillId="24" borderId="2" xfId="0" applyNumberFormat="1" applyFont="1" applyFill="1" applyBorder="1" applyAlignment="1">
      <alignment horizontal="center" vertical="center" wrapText="1"/>
    </xf>
    <xf numFmtId="1" fontId="17" fillId="0" borderId="2" xfId="0" applyNumberFormat="1" applyFont="1" applyBorder="1" applyAlignment="1">
      <alignment horizontal="center" vertical="center"/>
    </xf>
    <xf numFmtId="2" fontId="17" fillId="0" borderId="2" xfId="0" applyNumberFormat="1" applyFont="1" applyBorder="1" applyAlignment="1">
      <alignment horizontal="center" vertical="center" wrapText="1"/>
    </xf>
    <xf numFmtId="2" fontId="17" fillId="26" borderId="2" xfId="0" applyNumberFormat="1" applyFont="1" applyFill="1" applyBorder="1" applyAlignment="1">
      <alignment horizontal="center" vertical="center"/>
    </xf>
    <xf numFmtId="2" fontId="17" fillId="0" borderId="2" xfId="0" applyNumberFormat="1" applyFont="1" applyBorder="1" applyAlignment="1">
      <alignment horizontal="center" vertical="center"/>
    </xf>
    <xf numFmtId="0" fontId="17" fillId="26" borderId="2" xfId="0" applyFont="1" applyFill="1" applyBorder="1" applyAlignment="1">
      <alignment horizontal="center" vertical="center"/>
    </xf>
    <xf numFmtId="0" fontId="17" fillId="26" borderId="2" xfId="0" applyFont="1" applyFill="1" applyBorder="1" applyAlignment="1">
      <alignment horizontal="center" vertical="center" wrapText="1"/>
    </xf>
    <xf numFmtId="0" fontId="17" fillId="0" borderId="2" xfId="0" applyFont="1" applyBorder="1" applyAlignment="1">
      <alignment horizontal="center" vertical="center"/>
    </xf>
    <xf numFmtId="2" fontId="22" fillId="16" borderId="2" xfId="0" applyNumberFormat="1" applyFont="1" applyFill="1" applyBorder="1" applyAlignment="1">
      <alignment horizontal="center" vertical="center" wrapText="1"/>
    </xf>
    <xf numFmtId="2" fontId="22" fillId="27" borderId="2" xfId="0" applyNumberFormat="1" applyFont="1" applyFill="1" applyBorder="1" applyAlignment="1">
      <alignment horizontal="center" vertical="center"/>
    </xf>
    <xf numFmtId="0" fontId="22" fillId="16" borderId="2" xfId="0" applyFont="1" applyFill="1" applyBorder="1" applyAlignment="1">
      <alignment horizontal="center" vertical="center" wrapText="1"/>
    </xf>
    <xf numFmtId="0" fontId="22" fillId="27" borderId="2" xfId="0" applyFont="1" applyFill="1" applyBorder="1" applyAlignment="1">
      <alignment horizontal="center" vertical="center"/>
    </xf>
    <xf numFmtId="0" fontId="22" fillId="27" borderId="2" xfId="0" applyFont="1" applyFill="1" applyBorder="1" applyAlignment="1">
      <alignment horizontal="center" vertical="center" wrapText="1"/>
    </xf>
    <xf numFmtId="0" fontId="22" fillId="15" borderId="2" xfId="0" applyFont="1" applyFill="1" applyBorder="1" applyAlignment="1">
      <alignment horizontal="center" vertical="center"/>
    </xf>
    <xf numFmtId="2" fontId="22" fillId="15" borderId="2" xfId="0" applyNumberFormat="1" applyFont="1" applyFill="1" applyBorder="1" applyAlignment="1">
      <alignment horizontal="center" vertical="center"/>
    </xf>
    <xf numFmtId="0" fontId="22" fillId="28" borderId="2" xfId="0" applyFont="1" applyFill="1" applyBorder="1" applyAlignment="1">
      <alignment horizontal="center" vertical="center"/>
    </xf>
    <xf numFmtId="2" fontId="0" fillId="28" borderId="2" xfId="0" applyNumberFormat="1" applyFill="1" applyBorder="1" applyAlignment="1">
      <alignment horizontal="center" vertical="center"/>
    </xf>
    <xf numFmtId="0" fontId="0" fillId="28" borderId="2" xfId="0" applyFill="1" applyBorder="1" applyAlignment="1">
      <alignment horizontal="center" vertical="center"/>
    </xf>
    <xf numFmtId="0" fontId="22" fillId="15" borderId="2" xfId="0" applyFont="1" applyFill="1" applyBorder="1" applyAlignment="1">
      <alignment horizontal="center" vertical="center" wrapText="1"/>
    </xf>
    <xf numFmtId="0" fontId="0" fillId="15" borderId="2" xfId="0"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2" fontId="0" fillId="13" borderId="2" xfId="0" applyNumberFormat="1" applyFill="1" applyBorder="1" applyAlignment="1">
      <alignment horizontal="center" vertical="center"/>
    </xf>
    <xf numFmtId="0" fontId="0" fillId="13" borderId="19" xfId="0" applyFill="1" applyBorder="1" applyAlignment="1">
      <alignment horizontal="center" vertical="center"/>
    </xf>
    <xf numFmtId="0" fontId="0" fillId="13" borderId="2" xfId="0" applyFill="1" applyBorder="1" applyAlignment="1">
      <alignment horizontal="center" vertical="center"/>
    </xf>
    <xf numFmtId="0" fontId="0" fillId="26" borderId="19" xfId="0" applyFill="1" applyBorder="1" applyAlignment="1">
      <alignment horizontal="center" vertical="center"/>
    </xf>
    <xf numFmtId="0" fontId="0" fillId="26" borderId="2" xfId="0" applyFill="1" applyBorder="1" applyAlignment="1">
      <alignment horizontal="center" vertical="center"/>
    </xf>
  </cellXfs>
  <cellStyles count="6">
    <cellStyle name="Comma" xfId="1" builtinId="3"/>
    <cellStyle name="dar Data Entry non-negative" xfId="3" xr:uid="{EC20B55E-5669-4FE8-ACDB-DD97CF24A5AB}"/>
    <cellStyle name="Excel Built-in Normal 1" xfId="5" xr:uid="{46297792-3140-4A3D-9BA1-663529200294}"/>
    <cellStyle name="Hyperlink" xfId="2" builtinId="8"/>
    <cellStyle name="Normal" xfId="0" builtinId="0"/>
    <cellStyle name="Normal 2" xfId="4" xr:uid="{8DDEEF43-C625-4B0E-9A30-4169818660A7}"/>
  </cellStyles>
  <dxfs count="0"/>
  <tableStyles count="0" defaultTableStyle="TableStyleMedium2" defaultPivotStyle="PivotStyleLight16"/>
  <colors>
    <mruColors>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5" Type="http://schemas.openxmlformats.org/officeDocument/2006/relationships/image" Target="../media/image11.emf"/><Relationship Id="rId4" Type="http://schemas.openxmlformats.org/officeDocument/2006/relationships/image" Target="../media/image10.emf"/></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5.png"/></Relationships>
</file>

<file path=xl/drawings/_rels/drawing5.xml.rels><?xml version="1.0" encoding="UTF-8" standalone="yes"?>
<Relationships xmlns="http://schemas.openxmlformats.org/package/2006/relationships"><Relationship Id="rId3" Type="http://schemas.openxmlformats.org/officeDocument/2006/relationships/image" Target="../media/image19.png"/><Relationship Id="rId7" Type="http://schemas.openxmlformats.org/officeDocument/2006/relationships/image" Target="../media/image23.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drawing1.xml><?xml version="1.0" encoding="utf-8"?>
<xdr:wsDr xmlns:xdr="http://schemas.openxmlformats.org/drawingml/2006/spreadsheetDrawing" xmlns:a="http://schemas.openxmlformats.org/drawingml/2006/main">
  <xdr:twoCellAnchor editAs="oneCell">
    <xdr:from>
      <xdr:col>0</xdr:col>
      <xdr:colOff>114301</xdr:colOff>
      <xdr:row>5</xdr:row>
      <xdr:rowOff>158751</xdr:rowOff>
    </xdr:from>
    <xdr:to>
      <xdr:col>5</xdr:col>
      <xdr:colOff>166159</xdr:colOff>
      <xdr:row>8</xdr:row>
      <xdr:rowOff>53976</xdr:rowOff>
    </xdr:to>
    <xdr:pic>
      <xdr:nvPicPr>
        <xdr:cNvPr id="2" name="Picture 1">
          <a:extLst>
            <a:ext uri="{FF2B5EF4-FFF2-40B4-BE49-F238E27FC236}">
              <a16:creationId xmlns:a16="http://schemas.microsoft.com/office/drawing/2014/main" id="{EB35DE29-C5C2-4363-B3BC-51E2C277E1BA}"/>
            </a:ext>
          </a:extLst>
        </xdr:cNvPr>
        <xdr:cNvPicPr/>
      </xdr:nvPicPr>
      <xdr:blipFill>
        <a:blip xmlns:r="http://schemas.openxmlformats.org/officeDocument/2006/relationships" r:embed="rId1"/>
        <a:srcRect/>
        <a:stretch>
          <a:fillRect/>
        </a:stretch>
      </xdr:blipFill>
      <xdr:spPr bwMode="auto">
        <a:xfrm>
          <a:off x="114301" y="1187451"/>
          <a:ext cx="4242858" cy="466725"/>
        </a:xfrm>
        <a:prstGeom prst="rect">
          <a:avLst/>
        </a:prstGeom>
        <a:noFill/>
        <a:ln w="9525">
          <a:noFill/>
          <a:miter lim="800000"/>
          <a:headEnd/>
          <a:tailEnd/>
        </a:ln>
      </xdr:spPr>
    </xdr:pic>
    <xdr:clientData/>
  </xdr:twoCellAnchor>
  <xdr:twoCellAnchor editAs="oneCell">
    <xdr:from>
      <xdr:col>0</xdr:col>
      <xdr:colOff>0</xdr:colOff>
      <xdr:row>3</xdr:row>
      <xdr:rowOff>69850</xdr:rowOff>
    </xdr:from>
    <xdr:to>
      <xdr:col>6</xdr:col>
      <xdr:colOff>66675</xdr:colOff>
      <xdr:row>6</xdr:row>
      <xdr:rowOff>100542</xdr:rowOff>
    </xdr:to>
    <xdr:pic>
      <xdr:nvPicPr>
        <xdr:cNvPr id="3" name="Picture 1">
          <a:extLst>
            <a:ext uri="{FF2B5EF4-FFF2-40B4-BE49-F238E27FC236}">
              <a16:creationId xmlns:a16="http://schemas.microsoft.com/office/drawing/2014/main" id="{6A9EF4DF-CE3C-44DB-8838-0AA8497AE1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641350"/>
          <a:ext cx="5238750" cy="678392"/>
        </a:xfrm>
        <a:prstGeom prst="rect">
          <a:avLst/>
        </a:prstGeom>
        <a:noFill/>
        <a:ln w="1">
          <a:noFill/>
          <a:miter lim="800000"/>
          <a:headEnd/>
          <a:tailEnd type="none" w="med" len="med"/>
        </a:ln>
        <a:effectLst/>
      </xdr:spPr>
    </xdr:pic>
    <xdr:clientData/>
  </xdr:twoCellAnchor>
  <xdr:twoCellAnchor editAs="oneCell">
    <xdr:from>
      <xdr:col>0</xdr:col>
      <xdr:colOff>152400</xdr:colOff>
      <xdr:row>8</xdr:row>
      <xdr:rowOff>2116</xdr:rowOff>
    </xdr:from>
    <xdr:to>
      <xdr:col>2</xdr:col>
      <xdr:colOff>690034</xdr:colOff>
      <xdr:row>10</xdr:row>
      <xdr:rowOff>170392</xdr:rowOff>
    </xdr:to>
    <xdr:pic>
      <xdr:nvPicPr>
        <xdr:cNvPr id="4" name="Picture 3">
          <a:extLst>
            <a:ext uri="{FF2B5EF4-FFF2-40B4-BE49-F238E27FC236}">
              <a16:creationId xmlns:a16="http://schemas.microsoft.com/office/drawing/2014/main" id="{CDA4CE56-CA14-4E83-94D3-F597BDCE0AD1}"/>
            </a:ext>
          </a:extLst>
        </xdr:cNvPr>
        <xdr:cNvPicPr/>
      </xdr:nvPicPr>
      <xdr:blipFill>
        <a:blip xmlns:r="http://schemas.openxmlformats.org/officeDocument/2006/relationships" r:embed="rId3"/>
        <a:srcRect/>
        <a:stretch>
          <a:fillRect/>
        </a:stretch>
      </xdr:blipFill>
      <xdr:spPr bwMode="auto">
        <a:xfrm>
          <a:off x="152400" y="1602316"/>
          <a:ext cx="2014009" cy="549276"/>
        </a:xfrm>
        <a:prstGeom prst="rect">
          <a:avLst/>
        </a:prstGeom>
        <a:noFill/>
        <a:ln w="9525">
          <a:noFill/>
          <a:miter lim="800000"/>
          <a:headEnd/>
          <a:tailEnd/>
        </a:ln>
      </xdr:spPr>
    </xdr:pic>
    <xdr:clientData/>
  </xdr:twoCellAnchor>
  <xdr:twoCellAnchor editAs="oneCell">
    <xdr:from>
      <xdr:col>7</xdr:col>
      <xdr:colOff>35983</xdr:colOff>
      <xdr:row>3</xdr:row>
      <xdr:rowOff>0</xdr:rowOff>
    </xdr:from>
    <xdr:to>
      <xdr:col>12</xdr:col>
      <xdr:colOff>789515</xdr:colOff>
      <xdr:row>7</xdr:row>
      <xdr:rowOff>57150</xdr:rowOff>
    </xdr:to>
    <xdr:pic>
      <xdr:nvPicPr>
        <xdr:cNvPr id="5" name="Picture 5">
          <a:extLst>
            <a:ext uri="{FF2B5EF4-FFF2-40B4-BE49-F238E27FC236}">
              <a16:creationId xmlns:a16="http://schemas.microsoft.com/office/drawing/2014/main" id="{2212C7B1-F047-49C7-B20F-DC73422DB8A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084358" y="571500"/>
          <a:ext cx="5935132" cy="895350"/>
        </a:xfrm>
        <a:prstGeom prst="rect">
          <a:avLst/>
        </a:prstGeom>
        <a:noFill/>
      </xdr:spPr>
    </xdr:pic>
    <xdr:clientData/>
  </xdr:twoCellAnchor>
  <xdr:twoCellAnchor editAs="oneCell">
    <xdr:from>
      <xdr:col>7</xdr:col>
      <xdr:colOff>57150</xdr:colOff>
      <xdr:row>6</xdr:row>
      <xdr:rowOff>80433</xdr:rowOff>
    </xdr:from>
    <xdr:to>
      <xdr:col>12</xdr:col>
      <xdr:colOff>890058</xdr:colOff>
      <xdr:row>8</xdr:row>
      <xdr:rowOff>128058</xdr:rowOff>
    </xdr:to>
    <xdr:pic>
      <xdr:nvPicPr>
        <xdr:cNvPr id="6" name="Picture 6">
          <a:extLst>
            <a:ext uri="{FF2B5EF4-FFF2-40B4-BE49-F238E27FC236}">
              <a16:creationId xmlns:a16="http://schemas.microsoft.com/office/drawing/2014/main" id="{0DDD82C3-FF88-45CF-930D-A56173D1E2C7}"/>
            </a:ext>
          </a:extLst>
        </xdr:cNvPr>
        <xdr:cNvPicPr>
          <a:picLocks noChangeAspect="1" noChangeArrowheads="1"/>
        </xdr:cNvPicPr>
      </xdr:nvPicPr>
      <xdr:blipFill>
        <a:blip xmlns:r="http://schemas.openxmlformats.org/officeDocument/2006/relationships" r:embed="rId5"/>
        <a:srcRect/>
        <a:stretch>
          <a:fillRect/>
        </a:stretch>
      </xdr:blipFill>
      <xdr:spPr bwMode="auto">
        <a:xfrm>
          <a:off x="6105525" y="1299633"/>
          <a:ext cx="6014508" cy="428625"/>
        </a:xfrm>
        <a:prstGeom prst="rect">
          <a:avLst/>
        </a:prstGeom>
        <a:noFill/>
      </xdr:spPr>
    </xdr:pic>
    <xdr:clientData/>
  </xdr:twoCellAnchor>
  <xdr:twoCellAnchor editAs="oneCell">
    <xdr:from>
      <xdr:col>0</xdr:col>
      <xdr:colOff>0</xdr:colOff>
      <xdr:row>0</xdr:row>
      <xdr:rowOff>114300</xdr:rowOff>
    </xdr:from>
    <xdr:to>
      <xdr:col>9</xdr:col>
      <xdr:colOff>525101</xdr:colOff>
      <xdr:row>3</xdr:row>
      <xdr:rowOff>123825</xdr:rowOff>
    </xdr:to>
    <xdr:pic>
      <xdr:nvPicPr>
        <xdr:cNvPr id="7" name="Picture 6">
          <a:extLst>
            <a:ext uri="{FF2B5EF4-FFF2-40B4-BE49-F238E27FC236}">
              <a16:creationId xmlns:a16="http://schemas.microsoft.com/office/drawing/2014/main" id="{3B1C817B-32E3-4977-B178-421A53379FC1}"/>
            </a:ext>
          </a:extLst>
        </xdr:cNvPr>
        <xdr:cNvPicPr>
          <a:picLocks noChangeAspect="1"/>
        </xdr:cNvPicPr>
      </xdr:nvPicPr>
      <xdr:blipFill>
        <a:blip xmlns:r="http://schemas.openxmlformats.org/officeDocument/2006/relationships" r:embed="rId6"/>
        <a:stretch>
          <a:fillRect/>
        </a:stretch>
      </xdr:blipFill>
      <xdr:spPr>
        <a:xfrm>
          <a:off x="0" y="114300"/>
          <a:ext cx="8754701" cy="581025"/>
        </a:xfrm>
        <a:prstGeom prst="rect">
          <a:avLst/>
        </a:prstGeom>
      </xdr:spPr>
    </xdr:pic>
    <xdr:clientData/>
  </xdr:twoCellAnchor>
  <xdr:twoCellAnchor editAs="oneCell">
    <xdr:from>
      <xdr:col>0</xdr:col>
      <xdr:colOff>114301</xdr:colOff>
      <xdr:row>5</xdr:row>
      <xdr:rowOff>158751</xdr:rowOff>
    </xdr:from>
    <xdr:to>
      <xdr:col>5</xdr:col>
      <xdr:colOff>166159</xdr:colOff>
      <xdr:row>8</xdr:row>
      <xdr:rowOff>53976</xdr:rowOff>
    </xdr:to>
    <xdr:pic>
      <xdr:nvPicPr>
        <xdr:cNvPr id="8" name="Picture 7">
          <a:extLst>
            <a:ext uri="{FF2B5EF4-FFF2-40B4-BE49-F238E27FC236}">
              <a16:creationId xmlns:a16="http://schemas.microsoft.com/office/drawing/2014/main" id="{190DDA50-EE11-42CD-84E2-64EC46FE52E5}"/>
            </a:ext>
          </a:extLst>
        </xdr:cNvPr>
        <xdr:cNvPicPr/>
      </xdr:nvPicPr>
      <xdr:blipFill>
        <a:blip xmlns:r="http://schemas.openxmlformats.org/officeDocument/2006/relationships" r:embed="rId1"/>
        <a:srcRect/>
        <a:stretch>
          <a:fillRect/>
        </a:stretch>
      </xdr:blipFill>
      <xdr:spPr bwMode="auto">
        <a:xfrm>
          <a:off x="114301" y="1187451"/>
          <a:ext cx="4242858" cy="466725"/>
        </a:xfrm>
        <a:prstGeom prst="rect">
          <a:avLst/>
        </a:prstGeom>
        <a:noFill/>
        <a:ln w="9525">
          <a:noFill/>
          <a:miter lim="800000"/>
          <a:headEnd/>
          <a:tailEnd/>
        </a:ln>
      </xdr:spPr>
    </xdr:pic>
    <xdr:clientData/>
  </xdr:twoCellAnchor>
  <xdr:twoCellAnchor editAs="oneCell">
    <xdr:from>
      <xdr:col>0</xdr:col>
      <xdr:colOff>0</xdr:colOff>
      <xdr:row>3</xdr:row>
      <xdr:rowOff>69850</xdr:rowOff>
    </xdr:from>
    <xdr:to>
      <xdr:col>6</xdr:col>
      <xdr:colOff>66675</xdr:colOff>
      <xdr:row>6</xdr:row>
      <xdr:rowOff>24342</xdr:rowOff>
    </xdr:to>
    <xdr:pic>
      <xdr:nvPicPr>
        <xdr:cNvPr id="9" name="Picture 1">
          <a:extLst>
            <a:ext uri="{FF2B5EF4-FFF2-40B4-BE49-F238E27FC236}">
              <a16:creationId xmlns:a16="http://schemas.microsoft.com/office/drawing/2014/main" id="{983882F5-ECB0-487F-A141-41AADFC17D34}"/>
            </a:ext>
          </a:extLst>
        </xdr:cNvPr>
        <xdr:cNvPicPr>
          <a:picLocks noChangeAspect="1" noChangeArrowheads="1"/>
        </xdr:cNvPicPr>
      </xdr:nvPicPr>
      <xdr:blipFill>
        <a:blip xmlns:r="http://schemas.openxmlformats.org/officeDocument/2006/relationships" r:embed="rId2"/>
        <a:srcRect/>
        <a:stretch>
          <a:fillRect/>
        </a:stretch>
      </xdr:blipFill>
      <xdr:spPr bwMode="auto">
        <a:xfrm>
          <a:off x="0" y="641350"/>
          <a:ext cx="5238750" cy="602192"/>
        </a:xfrm>
        <a:prstGeom prst="rect">
          <a:avLst/>
        </a:prstGeom>
        <a:noFill/>
        <a:ln w="1">
          <a:noFill/>
          <a:miter lim="800000"/>
          <a:headEnd/>
          <a:tailEnd type="none" w="med" len="med"/>
        </a:ln>
        <a:effectLst/>
      </xdr:spPr>
    </xdr:pic>
    <xdr:clientData/>
  </xdr:twoCellAnchor>
  <xdr:twoCellAnchor editAs="oneCell">
    <xdr:from>
      <xdr:col>0</xdr:col>
      <xdr:colOff>152400</xdr:colOff>
      <xdr:row>8</xdr:row>
      <xdr:rowOff>2116</xdr:rowOff>
    </xdr:from>
    <xdr:to>
      <xdr:col>2</xdr:col>
      <xdr:colOff>690034</xdr:colOff>
      <xdr:row>10</xdr:row>
      <xdr:rowOff>170392</xdr:rowOff>
    </xdr:to>
    <xdr:pic>
      <xdr:nvPicPr>
        <xdr:cNvPr id="10" name="Picture 9">
          <a:extLst>
            <a:ext uri="{FF2B5EF4-FFF2-40B4-BE49-F238E27FC236}">
              <a16:creationId xmlns:a16="http://schemas.microsoft.com/office/drawing/2014/main" id="{BA002FF0-8834-47E6-9BD5-FE1A19C7F8D8}"/>
            </a:ext>
          </a:extLst>
        </xdr:cNvPr>
        <xdr:cNvPicPr/>
      </xdr:nvPicPr>
      <xdr:blipFill>
        <a:blip xmlns:r="http://schemas.openxmlformats.org/officeDocument/2006/relationships" r:embed="rId3"/>
        <a:srcRect/>
        <a:stretch>
          <a:fillRect/>
        </a:stretch>
      </xdr:blipFill>
      <xdr:spPr bwMode="auto">
        <a:xfrm>
          <a:off x="152400" y="1602316"/>
          <a:ext cx="2014009" cy="549276"/>
        </a:xfrm>
        <a:prstGeom prst="rect">
          <a:avLst/>
        </a:prstGeom>
        <a:noFill/>
        <a:ln w="9525">
          <a:noFill/>
          <a:miter lim="800000"/>
          <a:headEnd/>
          <a:tailEnd/>
        </a:ln>
      </xdr:spPr>
    </xdr:pic>
    <xdr:clientData/>
  </xdr:twoCellAnchor>
  <xdr:twoCellAnchor editAs="oneCell">
    <xdr:from>
      <xdr:col>7</xdr:col>
      <xdr:colOff>35983</xdr:colOff>
      <xdr:row>3</xdr:row>
      <xdr:rowOff>0</xdr:rowOff>
    </xdr:from>
    <xdr:to>
      <xdr:col>12</xdr:col>
      <xdr:colOff>789515</xdr:colOff>
      <xdr:row>6</xdr:row>
      <xdr:rowOff>171450</xdr:rowOff>
    </xdr:to>
    <xdr:pic>
      <xdr:nvPicPr>
        <xdr:cNvPr id="11" name="Picture 5">
          <a:extLst>
            <a:ext uri="{FF2B5EF4-FFF2-40B4-BE49-F238E27FC236}">
              <a16:creationId xmlns:a16="http://schemas.microsoft.com/office/drawing/2014/main" id="{C7195C6A-8256-49DD-A038-2CDEED89C9D6}"/>
            </a:ext>
          </a:extLst>
        </xdr:cNvPr>
        <xdr:cNvPicPr>
          <a:picLocks noChangeAspect="1" noChangeArrowheads="1"/>
        </xdr:cNvPicPr>
      </xdr:nvPicPr>
      <xdr:blipFill>
        <a:blip xmlns:r="http://schemas.openxmlformats.org/officeDocument/2006/relationships" r:embed="rId4"/>
        <a:srcRect/>
        <a:stretch>
          <a:fillRect/>
        </a:stretch>
      </xdr:blipFill>
      <xdr:spPr bwMode="auto">
        <a:xfrm>
          <a:off x="6084358" y="571500"/>
          <a:ext cx="5935132" cy="819150"/>
        </a:xfrm>
        <a:prstGeom prst="rect">
          <a:avLst/>
        </a:prstGeom>
        <a:noFill/>
      </xdr:spPr>
    </xdr:pic>
    <xdr:clientData/>
  </xdr:twoCellAnchor>
  <xdr:twoCellAnchor editAs="oneCell">
    <xdr:from>
      <xdr:col>7</xdr:col>
      <xdr:colOff>57150</xdr:colOff>
      <xdr:row>6</xdr:row>
      <xdr:rowOff>80433</xdr:rowOff>
    </xdr:from>
    <xdr:to>
      <xdr:col>12</xdr:col>
      <xdr:colOff>890058</xdr:colOff>
      <xdr:row>8</xdr:row>
      <xdr:rowOff>128058</xdr:rowOff>
    </xdr:to>
    <xdr:pic>
      <xdr:nvPicPr>
        <xdr:cNvPr id="12" name="Picture 6">
          <a:extLst>
            <a:ext uri="{FF2B5EF4-FFF2-40B4-BE49-F238E27FC236}">
              <a16:creationId xmlns:a16="http://schemas.microsoft.com/office/drawing/2014/main" id="{531BCC1B-F324-4084-A975-0656F6B39CFC}"/>
            </a:ext>
          </a:extLst>
        </xdr:cNvPr>
        <xdr:cNvPicPr>
          <a:picLocks noChangeAspect="1" noChangeArrowheads="1"/>
        </xdr:cNvPicPr>
      </xdr:nvPicPr>
      <xdr:blipFill>
        <a:blip xmlns:r="http://schemas.openxmlformats.org/officeDocument/2006/relationships" r:embed="rId5"/>
        <a:srcRect/>
        <a:stretch>
          <a:fillRect/>
        </a:stretch>
      </xdr:blipFill>
      <xdr:spPr bwMode="auto">
        <a:xfrm>
          <a:off x="6105525" y="1299633"/>
          <a:ext cx="6014508" cy="428625"/>
        </a:xfrm>
        <a:prstGeom prst="rect">
          <a:avLst/>
        </a:prstGeom>
        <a:noFill/>
      </xdr:spPr>
    </xdr:pic>
    <xdr:clientData/>
  </xdr:twoCellAnchor>
  <xdr:twoCellAnchor editAs="oneCell">
    <xdr:from>
      <xdr:col>0</xdr:col>
      <xdr:colOff>0</xdr:colOff>
      <xdr:row>0</xdr:row>
      <xdr:rowOff>114300</xdr:rowOff>
    </xdr:from>
    <xdr:to>
      <xdr:col>9</xdr:col>
      <xdr:colOff>525101</xdr:colOff>
      <xdr:row>3</xdr:row>
      <xdr:rowOff>123825</xdr:rowOff>
    </xdr:to>
    <xdr:pic>
      <xdr:nvPicPr>
        <xdr:cNvPr id="13" name="Picture 12">
          <a:extLst>
            <a:ext uri="{FF2B5EF4-FFF2-40B4-BE49-F238E27FC236}">
              <a16:creationId xmlns:a16="http://schemas.microsoft.com/office/drawing/2014/main" id="{00178B46-5A20-4EBD-A8C2-0C3095976D4B}"/>
            </a:ext>
          </a:extLst>
        </xdr:cNvPr>
        <xdr:cNvPicPr>
          <a:picLocks noChangeAspect="1"/>
        </xdr:cNvPicPr>
      </xdr:nvPicPr>
      <xdr:blipFill>
        <a:blip xmlns:r="http://schemas.openxmlformats.org/officeDocument/2006/relationships" r:embed="rId6"/>
        <a:stretch>
          <a:fillRect/>
        </a:stretch>
      </xdr:blipFill>
      <xdr:spPr>
        <a:xfrm>
          <a:off x="0" y="114300"/>
          <a:ext cx="8754701" cy="5810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41</xdr:col>
      <xdr:colOff>47625</xdr:colOff>
      <xdr:row>0</xdr:row>
      <xdr:rowOff>28575</xdr:rowOff>
    </xdr:from>
    <xdr:to>
      <xdr:col>45</xdr:col>
      <xdr:colOff>228598</xdr:colOff>
      <xdr:row>3</xdr:row>
      <xdr:rowOff>0</xdr:rowOff>
    </xdr:to>
    <xdr:pic>
      <xdr:nvPicPr>
        <xdr:cNvPr id="2" name="Picture 6">
          <a:extLst>
            <a:ext uri="{FF2B5EF4-FFF2-40B4-BE49-F238E27FC236}">
              <a16:creationId xmlns:a16="http://schemas.microsoft.com/office/drawing/2014/main" id="{1D1465F5-0FD7-43DC-A92C-7B397AE89B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974300" y="28575"/>
          <a:ext cx="2619374" cy="542925"/>
        </a:xfrm>
        <a:prstGeom prst="rect">
          <a:avLst/>
        </a:prstGeom>
        <a:noFill/>
      </xdr:spPr>
    </xdr:pic>
    <xdr:clientData/>
  </xdr:twoCellAnchor>
  <xdr:twoCellAnchor editAs="oneCell">
    <xdr:from>
      <xdr:col>1</xdr:col>
      <xdr:colOff>28576</xdr:colOff>
      <xdr:row>0</xdr:row>
      <xdr:rowOff>76200</xdr:rowOff>
    </xdr:from>
    <xdr:to>
      <xdr:col>2</xdr:col>
      <xdr:colOff>456910</xdr:colOff>
      <xdr:row>2</xdr:row>
      <xdr:rowOff>866</xdr:rowOff>
    </xdr:to>
    <xdr:pic>
      <xdr:nvPicPr>
        <xdr:cNvPr id="3" name="Picture 2">
          <a:extLst>
            <a:ext uri="{FF2B5EF4-FFF2-40B4-BE49-F238E27FC236}">
              <a16:creationId xmlns:a16="http://schemas.microsoft.com/office/drawing/2014/main" id="{FACD6D99-708F-4879-AD17-2CBB3D3250C6}"/>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19126" y="76200"/>
          <a:ext cx="2442191" cy="305666"/>
        </a:xfrm>
        <a:prstGeom prst="rect">
          <a:avLst/>
        </a:prstGeom>
        <a:noFill/>
      </xdr:spPr>
    </xdr:pic>
    <xdr:clientData/>
  </xdr:twoCellAnchor>
  <xdr:twoCellAnchor editAs="oneCell">
    <xdr:from>
      <xdr:col>2</xdr:col>
      <xdr:colOff>619125</xdr:colOff>
      <xdr:row>2</xdr:row>
      <xdr:rowOff>57150</xdr:rowOff>
    </xdr:from>
    <xdr:to>
      <xdr:col>4</xdr:col>
      <xdr:colOff>573559</xdr:colOff>
      <xdr:row>4</xdr:row>
      <xdr:rowOff>38100</xdr:rowOff>
    </xdr:to>
    <xdr:pic>
      <xdr:nvPicPr>
        <xdr:cNvPr id="4" name="Picture 3">
          <a:extLst>
            <a:ext uri="{FF2B5EF4-FFF2-40B4-BE49-F238E27FC236}">
              <a16:creationId xmlns:a16="http://schemas.microsoft.com/office/drawing/2014/main" id="{61ACEAAD-A7F0-4765-948B-630F9E8F6E38}"/>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209800" y="438150"/>
          <a:ext cx="1926109" cy="361950"/>
        </a:xfrm>
        <a:prstGeom prst="rect">
          <a:avLst/>
        </a:prstGeom>
        <a:noFill/>
      </xdr:spPr>
    </xdr:pic>
    <xdr:clientData/>
  </xdr:twoCellAnchor>
  <xdr:twoCellAnchor editAs="oneCell">
    <xdr:from>
      <xdr:col>8</xdr:col>
      <xdr:colOff>590550</xdr:colOff>
      <xdr:row>0</xdr:row>
      <xdr:rowOff>133350</xdr:rowOff>
    </xdr:from>
    <xdr:to>
      <xdr:col>12</xdr:col>
      <xdr:colOff>104776</xdr:colOff>
      <xdr:row>3</xdr:row>
      <xdr:rowOff>57150</xdr:rowOff>
    </xdr:to>
    <xdr:pic>
      <xdr:nvPicPr>
        <xdr:cNvPr id="5" name="Picture 4">
          <a:extLst>
            <a:ext uri="{FF2B5EF4-FFF2-40B4-BE49-F238E27FC236}">
              <a16:creationId xmlns:a16="http://schemas.microsoft.com/office/drawing/2014/main" id="{6A17D0F2-54C7-4296-B413-012EA68821AB}"/>
            </a:ext>
          </a:extLst>
        </xdr:cNvPr>
        <xdr:cNvPicPr>
          <a:picLocks noChangeAspect="1" noChangeArrowheads="1"/>
        </xdr:cNvPicPr>
      </xdr:nvPicPr>
      <xdr:blipFill>
        <a:blip xmlns:r="http://schemas.openxmlformats.org/officeDocument/2006/relationships" r:embed="rId4"/>
        <a:srcRect/>
        <a:stretch>
          <a:fillRect/>
        </a:stretch>
      </xdr:blipFill>
      <xdr:spPr bwMode="auto">
        <a:xfrm>
          <a:off x="7858125" y="133350"/>
          <a:ext cx="2581276" cy="495300"/>
        </a:xfrm>
        <a:prstGeom prst="rect">
          <a:avLst/>
        </a:prstGeom>
        <a:noFill/>
      </xdr:spPr>
    </xdr:pic>
    <xdr:clientData/>
  </xdr:twoCellAnchor>
  <xdr:twoCellAnchor editAs="oneCell">
    <xdr:from>
      <xdr:col>8</xdr:col>
      <xdr:colOff>400050</xdr:colOff>
      <xdr:row>5</xdr:row>
      <xdr:rowOff>38100</xdr:rowOff>
    </xdr:from>
    <xdr:to>
      <xdr:col>14</xdr:col>
      <xdr:colOff>561974</xdr:colOff>
      <xdr:row>8</xdr:row>
      <xdr:rowOff>134541</xdr:rowOff>
    </xdr:to>
    <xdr:pic>
      <xdr:nvPicPr>
        <xdr:cNvPr id="6" name="Picture 5">
          <a:extLst>
            <a:ext uri="{FF2B5EF4-FFF2-40B4-BE49-F238E27FC236}">
              <a16:creationId xmlns:a16="http://schemas.microsoft.com/office/drawing/2014/main" id="{AE114E27-0F1D-4003-907D-4A9932E3A28F}"/>
            </a:ext>
          </a:extLst>
        </xdr:cNvPr>
        <xdr:cNvPicPr>
          <a:picLocks noChangeAspect="1" noChangeArrowheads="1"/>
        </xdr:cNvPicPr>
      </xdr:nvPicPr>
      <xdr:blipFill>
        <a:blip xmlns:r="http://schemas.openxmlformats.org/officeDocument/2006/relationships" r:embed="rId5"/>
        <a:srcRect/>
        <a:stretch>
          <a:fillRect/>
        </a:stretch>
      </xdr:blipFill>
      <xdr:spPr bwMode="auto">
        <a:xfrm>
          <a:off x="7667625" y="990600"/>
          <a:ext cx="4772024" cy="667941"/>
        </a:xfrm>
        <a:prstGeom prst="rect">
          <a:avLst/>
        </a:prstGeom>
        <a:noFill/>
      </xdr:spPr>
    </xdr:pic>
    <xdr:clientData/>
  </xdr:twoCellAnchor>
  <xdr:twoCellAnchor editAs="oneCell">
    <xdr:from>
      <xdr:col>20</xdr:col>
      <xdr:colOff>0</xdr:colOff>
      <xdr:row>1</xdr:row>
      <xdr:rowOff>0</xdr:rowOff>
    </xdr:from>
    <xdr:to>
      <xdr:col>23</xdr:col>
      <xdr:colOff>390524</xdr:colOff>
      <xdr:row>3</xdr:row>
      <xdr:rowOff>161925</xdr:rowOff>
    </xdr:to>
    <xdr:pic>
      <xdr:nvPicPr>
        <xdr:cNvPr id="7" name="Picture 6">
          <a:extLst>
            <a:ext uri="{FF2B5EF4-FFF2-40B4-BE49-F238E27FC236}">
              <a16:creationId xmlns:a16="http://schemas.microsoft.com/office/drawing/2014/main" id="{77CA8ACD-594B-42BB-988A-FF0E52E1EE9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25275" y="190500"/>
          <a:ext cx="2695574" cy="542925"/>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504825</xdr:colOff>
      <xdr:row>0</xdr:row>
      <xdr:rowOff>171450</xdr:rowOff>
    </xdr:from>
    <xdr:to>
      <xdr:col>1</xdr:col>
      <xdr:colOff>1781174</xdr:colOff>
      <xdr:row>3</xdr:row>
      <xdr:rowOff>19050</xdr:rowOff>
    </xdr:to>
    <xdr:pic>
      <xdr:nvPicPr>
        <xdr:cNvPr id="2" name="Picture 1">
          <a:extLst>
            <a:ext uri="{FF2B5EF4-FFF2-40B4-BE49-F238E27FC236}">
              <a16:creationId xmlns:a16="http://schemas.microsoft.com/office/drawing/2014/main" id="{5A785371-E191-4025-939B-9068F9370D8D}"/>
            </a:ext>
          </a:extLst>
        </xdr:cNvPr>
        <xdr:cNvPicPr/>
      </xdr:nvPicPr>
      <xdr:blipFill>
        <a:blip xmlns:r="http://schemas.openxmlformats.org/officeDocument/2006/relationships" r:embed="rId1"/>
        <a:srcRect/>
        <a:stretch>
          <a:fillRect/>
        </a:stretch>
      </xdr:blipFill>
      <xdr:spPr bwMode="auto">
        <a:xfrm>
          <a:off x="504825" y="171450"/>
          <a:ext cx="2505074" cy="419100"/>
        </a:xfrm>
        <a:prstGeom prst="rect">
          <a:avLst/>
        </a:prstGeom>
        <a:noFill/>
        <a:ln w="9525">
          <a:noFill/>
          <a:miter lim="800000"/>
          <a:headEnd/>
          <a:tailEnd/>
        </a:ln>
      </xdr:spPr>
    </xdr:pic>
    <xdr:clientData/>
  </xdr:twoCellAnchor>
  <xdr:twoCellAnchor editAs="oneCell">
    <xdr:from>
      <xdr:col>0</xdr:col>
      <xdr:colOff>482600</xdr:colOff>
      <xdr:row>5</xdr:row>
      <xdr:rowOff>25400</xdr:rowOff>
    </xdr:from>
    <xdr:to>
      <xdr:col>2</xdr:col>
      <xdr:colOff>168486</xdr:colOff>
      <xdr:row>7</xdr:row>
      <xdr:rowOff>143299</xdr:rowOff>
    </xdr:to>
    <xdr:pic>
      <xdr:nvPicPr>
        <xdr:cNvPr id="3" name="Picture 2">
          <a:extLst>
            <a:ext uri="{FF2B5EF4-FFF2-40B4-BE49-F238E27FC236}">
              <a16:creationId xmlns:a16="http://schemas.microsoft.com/office/drawing/2014/main" id="{BEDE7997-B94D-4868-B39B-07D3536A2DC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482600" y="1025525"/>
          <a:ext cx="2829136" cy="498899"/>
        </a:xfrm>
        <a:prstGeom prst="rect">
          <a:avLst/>
        </a:prstGeom>
      </xdr:spPr>
    </xdr:pic>
    <xdr:clientData/>
  </xdr:twoCellAnchor>
  <xdr:twoCellAnchor editAs="oneCell">
    <xdr:from>
      <xdr:col>0</xdr:col>
      <xdr:colOff>0</xdr:colOff>
      <xdr:row>11</xdr:row>
      <xdr:rowOff>0</xdr:rowOff>
    </xdr:from>
    <xdr:to>
      <xdr:col>3</xdr:col>
      <xdr:colOff>1128183</xdr:colOff>
      <xdr:row>13</xdr:row>
      <xdr:rowOff>67099</xdr:rowOff>
    </xdr:to>
    <xdr:pic>
      <xdr:nvPicPr>
        <xdr:cNvPr id="4" name="Picture 3">
          <a:extLst>
            <a:ext uri="{FF2B5EF4-FFF2-40B4-BE49-F238E27FC236}">
              <a16:creationId xmlns:a16="http://schemas.microsoft.com/office/drawing/2014/main" id="{404521E5-F057-4E49-A494-D8F5D6EB0455}"/>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238375"/>
          <a:ext cx="4919133" cy="448099"/>
        </a:xfrm>
        <a:prstGeom prst="rect">
          <a:avLst/>
        </a:prstGeom>
      </xdr:spPr>
    </xdr:pic>
    <xdr:clientData/>
  </xdr:twoCellAnchor>
  <xdr:twoCellAnchor editAs="oneCell">
    <xdr:from>
      <xdr:col>1</xdr:col>
      <xdr:colOff>504825</xdr:colOff>
      <xdr:row>0</xdr:row>
      <xdr:rowOff>171450</xdr:rowOff>
    </xdr:from>
    <xdr:to>
      <xdr:col>3</xdr:col>
      <xdr:colOff>619124</xdr:colOff>
      <xdr:row>3</xdr:row>
      <xdr:rowOff>19050</xdr:rowOff>
    </xdr:to>
    <xdr:pic>
      <xdr:nvPicPr>
        <xdr:cNvPr id="5" name="Picture 4">
          <a:extLst>
            <a:ext uri="{FF2B5EF4-FFF2-40B4-BE49-F238E27FC236}">
              <a16:creationId xmlns:a16="http://schemas.microsoft.com/office/drawing/2014/main" id="{58C4B037-C535-4C54-A997-1AD36DB1692E}"/>
            </a:ext>
          </a:extLst>
        </xdr:cNvPr>
        <xdr:cNvPicPr/>
      </xdr:nvPicPr>
      <xdr:blipFill>
        <a:blip xmlns:r="http://schemas.openxmlformats.org/officeDocument/2006/relationships" r:embed="rId1"/>
        <a:srcRect/>
        <a:stretch>
          <a:fillRect/>
        </a:stretch>
      </xdr:blipFill>
      <xdr:spPr bwMode="auto">
        <a:xfrm>
          <a:off x="1095375" y="171450"/>
          <a:ext cx="2695574" cy="419100"/>
        </a:xfrm>
        <a:prstGeom prst="rect">
          <a:avLst/>
        </a:prstGeom>
        <a:noFill/>
        <a:ln w="9525">
          <a:noFill/>
          <a:miter lim="800000"/>
          <a:headEnd/>
          <a:tailEnd/>
        </a:ln>
      </xdr:spPr>
    </xdr:pic>
    <xdr:clientData/>
  </xdr:twoCellAnchor>
  <xdr:twoCellAnchor editAs="oneCell">
    <xdr:from>
      <xdr:col>1</xdr:col>
      <xdr:colOff>482600</xdr:colOff>
      <xdr:row>5</xdr:row>
      <xdr:rowOff>25400</xdr:rowOff>
    </xdr:from>
    <xdr:to>
      <xdr:col>3</xdr:col>
      <xdr:colOff>920961</xdr:colOff>
      <xdr:row>7</xdr:row>
      <xdr:rowOff>143299</xdr:rowOff>
    </xdr:to>
    <xdr:pic>
      <xdr:nvPicPr>
        <xdr:cNvPr id="6" name="Picture 5">
          <a:extLst>
            <a:ext uri="{FF2B5EF4-FFF2-40B4-BE49-F238E27FC236}">
              <a16:creationId xmlns:a16="http://schemas.microsoft.com/office/drawing/2014/main" id="{79CCF752-AA0F-40EB-838F-A7CA73569277}"/>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073150" y="1025525"/>
          <a:ext cx="3019636" cy="498899"/>
        </a:xfrm>
        <a:prstGeom prst="rect">
          <a:avLst/>
        </a:prstGeom>
      </xdr:spPr>
    </xdr:pic>
    <xdr:clientData/>
  </xdr:twoCellAnchor>
  <xdr:twoCellAnchor editAs="oneCell">
    <xdr:from>
      <xdr:col>1</xdr:col>
      <xdr:colOff>0</xdr:colOff>
      <xdr:row>11</xdr:row>
      <xdr:rowOff>0</xdr:rowOff>
    </xdr:from>
    <xdr:to>
      <xdr:col>5</xdr:col>
      <xdr:colOff>23283</xdr:colOff>
      <xdr:row>13</xdr:row>
      <xdr:rowOff>67099</xdr:rowOff>
    </xdr:to>
    <xdr:pic>
      <xdr:nvPicPr>
        <xdr:cNvPr id="7" name="Picture 6">
          <a:extLst>
            <a:ext uri="{FF2B5EF4-FFF2-40B4-BE49-F238E27FC236}">
              <a16:creationId xmlns:a16="http://schemas.microsoft.com/office/drawing/2014/main" id="{87A2BFD0-3850-4A73-9821-6438DB44A1F2}"/>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90550" y="2238375"/>
          <a:ext cx="5223933" cy="448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28576</xdr:colOff>
      <xdr:row>0</xdr:row>
      <xdr:rowOff>66675</xdr:rowOff>
    </xdr:from>
    <xdr:to>
      <xdr:col>12</xdr:col>
      <xdr:colOff>457201</xdr:colOff>
      <xdr:row>7</xdr:row>
      <xdr:rowOff>121376</xdr:rowOff>
    </xdr:to>
    <xdr:pic>
      <xdr:nvPicPr>
        <xdr:cNvPr id="2" name="Picture 1">
          <a:extLst>
            <a:ext uri="{FF2B5EF4-FFF2-40B4-BE49-F238E27FC236}">
              <a16:creationId xmlns:a16="http://schemas.microsoft.com/office/drawing/2014/main" id="{67FE78F0-8D27-4C6C-A83A-7D5735320ECF}"/>
            </a:ext>
          </a:extLst>
        </xdr:cNvPr>
        <xdr:cNvPicPr>
          <a:picLocks noChangeAspect="1"/>
        </xdr:cNvPicPr>
      </xdr:nvPicPr>
      <xdr:blipFill>
        <a:blip xmlns:r="http://schemas.openxmlformats.org/officeDocument/2006/relationships" r:embed="rId1"/>
        <a:stretch>
          <a:fillRect/>
        </a:stretch>
      </xdr:blipFill>
      <xdr:spPr>
        <a:xfrm>
          <a:off x="6743701" y="66675"/>
          <a:ext cx="3886200" cy="1967545"/>
        </a:xfrm>
        <a:prstGeom prst="rect">
          <a:avLst/>
        </a:prstGeom>
      </xdr:spPr>
    </xdr:pic>
    <xdr:clientData/>
  </xdr:twoCellAnchor>
  <xdr:twoCellAnchor editAs="oneCell">
    <xdr:from>
      <xdr:col>6</xdr:col>
      <xdr:colOff>66675</xdr:colOff>
      <xdr:row>8</xdr:row>
      <xdr:rowOff>123825</xdr:rowOff>
    </xdr:from>
    <xdr:to>
      <xdr:col>14</xdr:col>
      <xdr:colOff>532380</xdr:colOff>
      <xdr:row>10</xdr:row>
      <xdr:rowOff>12963</xdr:rowOff>
    </xdr:to>
    <xdr:pic>
      <xdr:nvPicPr>
        <xdr:cNvPr id="3" name="Picture 2">
          <a:extLst>
            <a:ext uri="{FF2B5EF4-FFF2-40B4-BE49-F238E27FC236}">
              <a16:creationId xmlns:a16="http://schemas.microsoft.com/office/drawing/2014/main" id="{B45ABCB1-0C29-4B26-8E7A-2683CFC614C0}"/>
            </a:ext>
          </a:extLst>
        </xdr:cNvPr>
        <xdr:cNvPicPr>
          <a:picLocks noChangeAspect="1"/>
        </xdr:cNvPicPr>
      </xdr:nvPicPr>
      <xdr:blipFill>
        <a:blip xmlns:r="http://schemas.openxmlformats.org/officeDocument/2006/relationships" r:embed="rId2"/>
        <a:stretch>
          <a:fillRect/>
        </a:stretch>
      </xdr:blipFill>
      <xdr:spPr>
        <a:xfrm>
          <a:off x="6781800" y="2238375"/>
          <a:ext cx="5295900" cy="26673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171450</xdr:colOff>
      <xdr:row>0</xdr:row>
      <xdr:rowOff>66675</xdr:rowOff>
    </xdr:from>
    <xdr:to>
      <xdr:col>5</xdr:col>
      <xdr:colOff>565417</xdr:colOff>
      <xdr:row>3</xdr:row>
      <xdr:rowOff>0</xdr:rowOff>
    </xdr:to>
    <xdr:pic>
      <xdr:nvPicPr>
        <xdr:cNvPr id="2" name="Picture 1">
          <a:extLst>
            <a:ext uri="{FF2B5EF4-FFF2-40B4-BE49-F238E27FC236}">
              <a16:creationId xmlns:a16="http://schemas.microsoft.com/office/drawing/2014/main" id="{393A6876-CF5A-4063-BCA2-0D762D6BDF7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1450" y="66675"/>
          <a:ext cx="5604142" cy="504825"/>
        </a:xfrm>
        <a:prstGeom prst="rect">
          <a:avLst/>
        </a:prstGeom>
        <a:noFill/>
        <a:ln w="1">
          <a:noFill/>
          <a:miter lim="800000"/>
          <a:headEnd/>
          <a:tailEnd type="none" w="med" len="med"/>
        </a:ln>
        <a:effectLst/>
      </xdr:spPr>
    </xdr:pic>
    <xdr:clientData/>
  </xdr:twoCellAnchor>
  <xdr:twoCellAnchor editAs="oneCell">
    <xdr:from>
      <xdr:col>7</xdr:col>
      <xdr:colOff>695325</xdr:colOff>
      <xdr:row>0</xdr:row>
      <xdr:rowOff>28575</xdr:rowOff>
    </xdr:from>
    <xdr:to>
      <xdr:col>13</xdr:col>
      <xdr:colOff>563395</xdr:colOff>
      <xdr:row>3</xdr:row>
      <xdr:rowOff>0</xdr:rowOff>
    </xdr:to>
    <xdr:pic>
      <xdr:nvPicPr>
        <xdr:cNvPr id="3" name="Picture 3">
          <a:extLst>
            <a:ext uri="{FF2B5EF4-FFF2-40B4-BE49-F238E27FC236}">
              <a16:creationId xmlns:a16="http://schemas.microsoft.com/office/drawing/2014/main" id="{A94CAF93-53A1-4AF0-9A93-595840FC41A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6096000" y="28575"/>
          <a:ext cx="5392570" cy="542925"/>
        </a:xfrm>
        <a:prstGeom prst="rect">
          <a:avLst/>
        </a:prstGeom>
        <a:noFill/>
        <a:ln w="1">
          <a:noFill/>
          <a:miter lim="800000"/>
          <a:headEnd/>
          <a:tailEnd type="none" w="med" len="med"/>
        </a:ln>
        <a:effectLst/>
      </xdr:spPr>
    </xdr:pic>
    <xdr:clientData/>
  </xdr:twoCellAnchor>
  <xdr:twoCellAnchor editAs="oneCell">
    <xdr:from>
      <xdr:col>0</xdr:col>
      <xdr:colOff>85725</xdr:colOff>
      <xdr:row>3</xdr:row>
      <xdr:rowOff>66676</xdr:rowOff>
    </xdr:from>
    <xdr:to>
      <xdr:col>5</xdr:col>
      <xdr:colOff>165367</xdr:colOff>
      <xdr:row>5</xdr:row>
      <xdr:rowOff>123826</xdr:rowOff>
    </xdr:to>
    <xdr:pic>
      <xdr:nvPicPr>
        <xdr:cNvPr id="4" name="Picture 4">
          <a:extLst>
            <a:ext uri="{FF2B5EF4-FFF2-40B4-BE49-F238E27FC236}">
              <a16:creationId xmlns:a16="http://schemas.microsoft.com/office/drawing/2014/main" id="{7416068E-649D-4C7B-9DE0-77AEBC0EDE06}"/>
            </a:ext>
          </a:extLst>
        </xdr:cNvPr>
        <xdr:cNvPicPr>
          <a:picLocks noChangeAspect="1" noChangeArrowheads="1"/>
        </xdr:cNvPicPr>
      </xdr:nvPicPr>
      <xdr:blipFill>
        <a:blip xmlns:r="http://schemas.openxmlformats.org/officeDocument/2006/relationships" r:embed="rId3"/>
        <a:srcRect/>
        <a:stretch>
          <a:fillRect/>
        </a:stretch>
      </xdr:blipFill>
      <xdr:spPr bwMode="auto">
        <a:xfrm>
          <a:off x="85725" y="638176"/>
          <a:ext cx="5270767" cy="438150"/>
        </a:xfrm>
        <a:prstGeom prst="rect">
          <a:avLst/>
        </a:prstGeom>
        <a:noFill/>
        <a:ln w="1">
          <a:noFill/>
          <a:miter lim="800000"/>
          <a:headEnd/>
          <a:tailEnd type="none" w="med" len="med"/>
        </a:ln>
        <a:effectLst/>
      </xdr:spPr>
    </xdr:pic>
    <xdr:clientData/>
  </xdr:twoCellAnchor>
  <xdr:twoCellAnchor editAs="oneCell">
    <xdr:from>
      <xdr:col>7</xdr:col>
      <xdr:colOff>542925</xdr:colOff>
      <xdr:row>3</xdr:row>
      <xdr:rowOff>19050</xdr:rowOff>
    </xdr:from>
    <xdr:to>
      <xdr:col>13</xdr:col>
      <xdr:colOff>458620</xdr:colOff>
      <xdr:row>5</xdr:row>
      <xdr:rowOff>161925</xdr:rowOff>
    </xdr:to>
    <xdr:pic>
      <xdr:nvPicPr>
        <xdr:cNvPr id="5" name="Picture 5">
          <a:extLst>
            <a:ext uri="{FF2B5EF4-FFF2-40B4-BE49-F238E27FC236}">
              <a16:creationId xmlns:a16="http://schemas.microsoft.com/office/drawing/2014/main" id="{48E8DEC8-7C30-42F9-839E-98E5A5034B65}"/>
            </a:ext>
          </a:extLst>
        </xdr:cNvPr>
        <xdr:cNvPicPr>
          <a:picLocks noChangeAspect="1" noChangeArrowheads="1"/>
        </xdr:cNvPicPr>
      </xdr:nvPicPr>
      <xdr:blipFill>
        <a:blip xmlns:r="http://schemas.openxmlformats.org/officeDocument/2006/relationships" r:embed="rId4"/>
        <a:srcRect/>
        <a:stretch>
          <a:fillRect/>
        </a:stretch>
      </xdr:blipFill>
      <xdr:spPr bwMode="auto">
        <a:xfrm>
          <a:off x="5943600" y="590550"/>
          <a:ext cx="5459245" cy="523875"/>
        </a:xfrm>
        <a:prstGeom prst="rect">
          <a:avLst/>
        </a:prstGeom>
        <a:noFill/>
        <a:ln w="1">
          <a:noFill/>
          <a:miter lim="800000"/>
          <a:headEnd/>
          <a:tailEnd type="none" w="med" len="med"/>
        </a:ln>
        <a:effectLst/>
      </xdr:spPr>
    </xdr:pic>
    <xdr:clientData/>
  </xdr:twoCellAnchor>
  <xdr:twoCellAnchor editAs="oneCell">
    <xdr:from>
      <xdr:col>39</xdr:col>
      <xdr:colOff>533400</xdr:colOff>
      <xdr:row>0</xdr:row>
      <xdr:rowOff>0</xdr:rowOff>
    </xdr:from>
    <xdr:to>
      <xdr:col>44</xdr:col>
      <xdr:colOff>400692</xdr:colOff>
      <xdr:row>3</xdr:row>
      <xdr:rowOff>0</xdr:rowOff>
    </xdr:to>
    <xdr:pic>
      <xdr:nvPicPr>
        <xdr:cNvPr id="6" name="Picture 2">
          <a:extLst>
            <a:ext uri="{FF2B5EF4-FFF2-40B4-BE49-F238E27FC236}">
              <a16:creationId xmlns:a16="http://schemas.microsoft.com/office/drawing/2014/main" id="{092ABA35-208E-490A-A9B2-345CDE2A246C}"/>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4079200" y="0"/>
          <a:ext cx="4096392" cy="571500"/>
        </a:xfrm>
        <a:prstGeom prst="rect">
          <a:avLst/>
        </a:prstGeom>
        <a:noFill/>
        <a:ln w="1">
          <a:noFill/>
          <a:miter lim="800000"/>
          <a:headEnd/>
          <a:tailEnd type="none" w="med" len="med"/>
        </a:ln>
        <a:effectLst/>
      </xdr:spPr>
    </xdr:pic>
    <xdr:clientData/>
  </xdr:twoCellAnchor>
  <xdr:twoCellAnchor editAs="oneCell">
    <xdr:from>
      <xdr:col>45</xdr:col>
      <xdr:colOff>123825</xdr:colOff>
      <xdr:row>2</xdr:row>
      <xdr:rowOff>57150</xdr:rowOff>
    </xdr:from>
    <xdr:to>
      <xdr:col>48</xdr:col>
      <xdr:colOff>586161</xdr:colOff>
      <xdr:row>5</xdr:row>
      <xdr:rowOff>0</xdr:rowOff>
    </xdr:to>
    <xdr:pic>
      <xdr:nvPicPr>
        <xdr:cNvPr id="7" name="Picture 3">
          <a:extLst>
            <a:ext uri="{FF2B5EF4-FFF2-40B4-BE49-F238E27FC236}">
              <a16:creationId xmlns:a16="http://schemas.microsoft.com/office/drawing/2014/main" id="{99AACE86-A6D0-44E8-B61D-BD0C900B4085}"/>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8775025" y="438150"/>
          <a:ext cx="3738936" cy="514350"/>
        </a:xfrm>
        <a:prstGeom prst="rect">
          <a:avLst/>
        </a:prstGeom>
        <a:noFill/>
        <a:ln w="1">
          <a:noFill/>
          <a:miter lim="800000"/>
          <a:headEnd/>
          <a:tailEnd type="none" w="med" len="med"/>
        </a:ln>
        <a:effectLst/>
      </xdr:spPr>
    </xdr:pic>
    <xdr:clientData/>
  </xdr:twoCellAnchor>
  <xdr:twoCellAnchor editAs="oneCell">
    <xdr:from>
      <xdr:col>49</xdr:col>
      <xdr:colOff>695325</xdr:colOff>
      <xdr:row>1</xdr:row>
      <xdr:rowOff>19050</xdr:rowOff>
    </xdr:from>
    <xdr:to>
      <xdr:col>54</xdr:col>
      <xdr:colOff>423823</xdr:colOff>
      <xdr:row>3</xdr:row>
      <xdr:rowOff>19050</xdr:rowOff>
    </xdr:to>
    <xdr:pic>
      <xdr:nvPicPr>
        <xdr:cNvPr id="8" name="Picture 4">
          <a:extLst>
            <a:ext uri="{FF2B5EF4-FFF2-40B4-BE49-F238E27FC236}">
              <a16:creationId xmlns:a16="http://schemas.microsoft.com/office/drawing/2014/main" id="{4CA7BE03-5469-4983-9843-3994BE039E4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33337500" y="209550"/>
          <a:ext cx="3652798" cy="381000"/>
        </a:xfrm>
        <a:prstGeom prst="rect">
          <a:avLst/>
        </a:prstGeom>
        <a:noFill/>
        <a:ln w="1">
          <a:noFill/>
          <a:miter lim="800000"/>
          <a:headEnd/>
          <a:tailEnd type="none" w="med" len="med"/>
        </a:ln>
        <a:effec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Y:\Operations%20-%20NBS\Pankaj%20Tomar\Pankaj\1.%20Verra,%20CDM,%20CCB,%20Plan%20VIVO,%20GS\CDM\Methodologies\ARWG30_SOC_Tool_Multizones%20(3).xls" TargetMode="External"/><Relationship Id="rId1" Type="http://schemas.openxmlformats.org/officeDocument/2006/relationships/externalLinkPath" Target="file:///Y:\Operations%20-%20NBS\Pankaj%20Tomar\Pankaj\1.%20Verra,%20CDM,%20CCB,%20Plan%20VIVO,%20GS\CDM\Methodologies\ARWG30_SOC_Tool_Multizones%2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ons"/>
      <sheetName val="Cover Sheet"/>
      <sheetName val="Calculator"/>
      <sheetName val="IPCC Major Climate Zones"/>
      <sheetName val="IPCC Tables"/>
      <sheetName val="Notes"/>
    </sheetNames>
    <sheetDataSet>
      <sheetData sheetId="0"/>
      <sheetData sheetId="1"/>
      <sheetData sheetId="2"/>
      <sheetData sheetId="3"/>
      <sheetData sheetId="4">
        <row r="2">
          <cell r="K2" t="str">
            <v>1. Long-term cultivated cropland</v>
          </cell>
          <cell r="L2" t="str">
            <v>2. Short-term or set aside cropland</v>
          </cell>
          <cell r="M2" t="str">
            <v>3. Grassland</v>
          </cell>
          <cell r="Q2" t="str">
            <v>1. Full tillage</v>
          </cell>
          <cell r="R2" t="str">
            <v>2. Reduced tillage</v>
          </cell>
          <cell r="S2" t="str">
            <v>3. No-till</v>
          </cell>
          <cell r="W2" t="str">
            <v>1. Improved</v>
          </cell>
          <cell r="X2" t="str">
            <v>2. Nominal</v>
          </cell>
          <cell r="Y2" t="str">
            <v>3. Moderately degraded</v>
          </cell>
          <cell r="Z2" t="str">
            <v>4. Severely degraded</v>
          </cell>
        </row>
        <row r="15">
          <cell r="C15" t="str">
            <v>1. Low</v>
          </cell>
          <cell r="D15" t="str">
            <v>2. Medium</v>
          </cell>
          <cell r="E15" t="str">
            <v>3. High without manure</v>
          </cell>
          <cell r="F15" t="str">
            <v>4. High with manure</v>
          </cell>
          <cell r="K15" t="str">
            <v>1. Low</v>
          </cell>
          <cell r="L15" t="str">
            <v>2. Medium</v>
          </cell>
          <cell r="M15" t="str">
            <v>3. High</v>
          </cell>
        </row>
      </sheetData>
      <sheetData sheetId="5"/>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www.tandfonline.com/doi/pdf/10.1080/17583004.2019.1642043" TargetMode="External"/></Relationships>
</file>

<file path=xl/worksheets/_rels/sheet1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oar.icrisat.org/6817/1/CurrentSc_104_10_1308-1323_2013.pdf"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hyperlink" Target="http://103.7.193.12:8080/xmlui/bitstream/handle/123456789/1614/PERFORMANCE%20OF%20MANGO%20BASED%20AGROFORESTRY%20SYSTEM%20WITH%20DIFFERENT%20SUMMER%20VEGETABLES%20COMBINATIONS%20by%20MST.%20SHUBA.pdf?sequence=1&amp;isAllowed="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04CD0-CFE2-40FC-A0C4-9F712338CEBB}">
  <dimension ref="A1:O32"/>
  <sheetViews>
    <sheetView workbookViewId="0">
      <selection activeCell="D6" sqref="D6"/>
    </sheetView>
  </sheetViews>
  <sheetFormatPr defaultRowHeight="15"/>
  <cols>
    <col min="2" max="2" width="10.85546875" customWidth="1"/>
    <col min="3" max="3" width="25.28515625" customWidth="1"/>
    <col min="4" max="4" width="59.5703125" customWidth="1"/>
    <col min="5" max="5" width="19.140625" customWidth="1"/>
    <col min="6" max="6" width="35.85546875" bestFit="1" customWidth="1"/>
    <col min="8" max="8" width="43.28515625" bestFit="1" customWidth="1"/>
    <col min="11" max="11" width="9.7109375" bestFit="1" customWidth="1"/>
  </cols>
  <sheetData>
    <row r="1" spans="1:15" ht="15.75" thickBot="1">
      <c r="A1" s="336" t="s">
        <v>0</v>
      </c>
      <c r="B1" s="337"/>
      <c r="C1" s="337"/>
      <c r="D1" s="337"/>
      <c r="E1" s="337"/>
      <c r="F1" s="337"/>
      <c r="G1" s="337"/>
      <c r="H1" s="337"/>
      <c r="I1" s="337"/>
      <c r="J1" s="337"/>
      <c r="K1" s="337"/>
    </row>
    <row r="2" spans="1:15" ht="19.5" thickBot="1">
      <c r="A2" s="1" t="s">
        <v>1</v>
      </c>
      <c r="B2" s="2" t="s">
        <v>2</v>
      </c>
      <c r="C2" s="3" t="s">
        <v>3</v>
      </c>
      <c r="D2" s="3" t="s">
        <v>4</v>
      </c>
      <c r="E2" s="3" t="s">
        <v>5</v>
      </c>
      <c r="F2" s="3" t="s">
        <v>6</v>
      </c>
      <c r="G2" s="3" t="s">
        <v>7</v>
      </c>
      <c r="H2" s="3" t="s">
        <v>8</v>
      </c>
      <c r="I2" s="3" t="s">
        <v>9</v>
      </c>
      <c r="J2" s="4" t="s">
        <v>10</v>
      </c>
      <c r="K2" s="5" t="s">
        <v>11</v>
      </c>
    </row>
    <row r="3" spans="1:15" ht="16.5" thickBot="1">
      <c r="A3" s="6">
        <v>1</v>
      </c>
      <c r="B3" s="6" t="s">
        <v>12</v>
      </c>
      <c r="C3" s="277" t="s">
        <v>13</v>
      </c>
      <c r="D3" s="6" t="s">
        <v>14</v>
      </c>
      <c r="E3" s="7" t="s">
        <v>15</v>
      </c>
      <c r="F3" s="6">
        <v>0.25</v>
      </c>
      <c r="G3" s="6">
        <v>0.47</v>
      </c>
      <c r="H3" s="8">
        <v>0.01</v>
      </c>
      <c r="I3" s="6">
        <v>0.37</v>
      </c>
      <c r="J3" s="8">
        <v>0.01</v>
      </c>
      <c r="K3" s="9">
        <v>3.67</v>
      </c>
    </row>
    <row r="4" spans="1:15" ht="16.5" thickBot="1">
      <c r="A4" s="10">
        <v>2</v>
      </c>
      <c r="B4" s="10" t="s">
        <v>16</v>
      </c>
      <c r="C4" s="278" t="s">
        <v>17</v>
      </c>
      <c r="D4" s="11" t="s">
        <v>18</v>
      </c>
      <c r="E4" s="10" t="s">
        <v>19</v>
      </c>
      <c r="F4" s="10">
        <v>0.25</v>
      </c>
      <c r="G4" s="10">
        <v>0.47</v>
      </c>
      <c r="H4" s="18">
        <v>0.01</v>
      </c>
      <c r="I4" s="10">
        <v>0.37</v>
      </c>
      <c r="J4" s="18">
        <v>0.01</v>
      </c>
      <c r="K4" s="12">
        <v>3.67</v>
      </c>
    </row>
    <row r="5" spans="1:15">
      <c r="C5" s="194"/>
    </row>
    <row r="6" spans="1:15" ht="15.75" thickBot="1">
      <c r="C6" s="194"/>
    </row>
    <row r="7" spans="1:15" ht="19.5" thickBot="1">
      <c r="A7" s="129" t="s">
        <v>1</v>
      </c>
      <c r="B7" s="2" t="s">
        <v>2</v>
      </c>
      <c r="C7" s="279" t="s">
        <v>3</v>
      </c>
      <c r="D7" s="2" t="s">
        <v>20</v>
      </c>
      <c r="E7" s="3" t="s">
        <v>5</v>
      </c>
      <c r="F7" s="2" t="s">
        <v>21</v>
      </c>
      <c r="G7" s="3" t="s">
        <v>5</v>
      </c>
      <c r="H7" s="2" t="s">
        <v>22</v>
      </c>
      <c r="I7" s="2" t="s">
        <v>23</v>
      </c>
      <c r="J7" s="3" t="s">
        <v>5</v>
      </c>
      <c r="K7" s="2" t="s">
        <v>6</v>
      </c>
      <c r="L7" s="2" t="s">
        <v>8</v>
      </c>
      <c r="M7" s="2" t="s">
        <v>9</v>
      </c>
      <c r="N7" s="2" t="s">
        <v>10</v>
      </c>
      <c r="O7" s="130" t="s">
        <v>11</v>
      </c>
    </row>
    <row r="8" spans="1:15" ht="16.5" thickBot="1">
      <c r="A8" s="131">
        <v>3</v>
      </c>
      <c r="B8" s="132" t="s">
        <v>24</v>
      </c>
      <c r="C8" s="280" t="s">
        <v>25</v>
      </c>
      <c r="D8" s="132" t="s">
        <v>26</v>
      </c>
      <c r="E8" s="60" t="s">
        <v>27</v>
      </c>
      <c r="F8" s="60">
        <v>1.59</v>
      </c>
      <c r="G8" s="60" t="s">
        <v>28</v>
      </c>
      <c r="H8" s="60">
        <v>0.47</v>
      </c>
      <c r="I8" s="60">
        <v>0.44</v>
      </c>
      <c r="J8" s="60" t="s">
        <v>29</v>
      </c>
      <c r="K8" s="60">
        <v>0.25</v>
      </c>
      <c r="L8" s="60">
        <v>0.01</v>
      </c>
      <c r="M8" s="60">
        <v>0.37</v>
      </c>
      <c r="N8" s="60">
        <v>0.01</v>
      </c>
      <c r="O8" s="60">
        <v>3.67</v>
      </c>
    </row>
    <row r="11" spans="1:15">
      <c r="A11" s="249" t="s">
        <v>1</v>
      </c>
      <c r="B11" s="249" t="s">
        <v>30</v>
      </c>
      <c r="C11" s="249" t="s">
        <v>31</v>
      </c>
      <c r="D11" s="249" t="s">
        <v>32</v>
      </c>
      <c r="E11" s="249" t="s">
        <v>33</v>
      </c>
      <c r="F11" s="249" t="s">
        <v>34</v>
      </c>
      <c r="G11" s="249" t="s">
        <v>35</v>
      </c>
      <c r="H11" s="249" t="s">
        <v>36</v>
      </c>
    </row>
    <row r="12" spans="1:15">
      <c r="A12" s="60">
        <v>1</v>
      </c>
      <c r="B12" s="251" t="s">
        <v>37</v>
      </c>
      <c r="C12" s="60" t="s">
        <v>38</v>
      </c>
      <c r="D12" s="250">
        <v>258.02</v>
      </c>
      <c r="E12" s="59">
        <f>D12/SUM($D$12:$D$26)</f>
        <v>0.28859360669306305</v>
      </c>
      <c r="F12" s="60">
        <v>14</v>
      </c>
      <c r="G12" s="60">
        <v>6.25E-2</v>
      </c>
      <c r="H12" s="60">
        <v>6.58</v>
      </c>
      <c r="J12" s="15"/>
      <c r="K12" s="15"/>
    </row>
    <row r="13" spans="1:15">
      <c r="A13" s="60">
        <v>2</v>
      </c>
      <c r="B13" s="251" t="s">
        <v>39</v>
      </c>
      <c r="C13" s="60" t="s">
        <v>40</v>
      </c>
      <c r="D13" s="250">
        <v>115.32</v>
      </c>
      <c r="E13" s="59">
        <f t="shared" ref="E13:E26" si="0">D13/SUM($D$12:$D$26)</f>
        <v>0.12898463190389906</v>
      </c>
      <c r="F13" s="60">
        <v>7</v>
      </c>
      <c r="G13" s="60">
        <v>6.25E-2</v>
      </c>
      <c r="H13" s="60">
        <v>5.75</v>
      </c>
    </row>
    <row r="14" spans="1:15">
      <c r="A14" s="60">
        <v>3</v>
      </c>
      <c r="B14" s="251" t="s">
        <v>41</v>
      </c>
      <c r="C14" s="60" t="s">
        <v>42</v>
      </c>
      <c r="D14" s="250">
        <v>76.959999999999994</v>
      </c>
      <c r="E14" s="59">
        <f t="shared" si="0"/>
        <v>8.6079234055879902E-2</v>
      </c>
      <c r="F14" s="60">
        <v>4</v>
      </c>
      <c r="G14" s="60">
        <v>6.25E-2</v>
      </c>
      <c r="H14" s="60">
        <v>4.75</v>
      </c>
    </row>
    <row r="15" spans="1:15">
      <c r="A15" s="60">
        <v>4</v>
      </c>
      <c r="B15" s="251" t="s">
        <v>43</v>
      </c>
      <c r="C15" s="60" t="s">
        <v>44</v>
      </c>
      <c r="D15" s="250">
        <v>93.61</v>
      </c>
      <c r="E15" s="59">
        <f t="shared" si="0"/>
        <v>0.1047021452698924</v>
      </c>
      <c r="F15" s="60">
        <v>4</v>
      </c>
      <c r="G15" s="60">
        <v>6.25E-2</v>
      </c>
      <c r="H15" s="60">
        <v>3.75</v>
      </c>
    </row>
    <row r="16" spans="1:15">
      <c r="A16" s="60">
        <v>5</v>
      </c>
      <c r="B16" s="251" t="s">
        <v>45</v>
      </c>
      <c r="C16" s="60" t="s">
        <v>46</v>
      </c>
      <c r="D16" s="250">
        <v>74.86</v>
      </c>
      <c r="E16" s="59">
        <f t="shared" si="0"/>
        <v>8.3730398407265719E-2</v>
      </c>
      <c r="F16" s="60">
        <v>2</v>
      </c>
      <c r="G16" s="60">
        <v>6.25E-2</v>
      </c>
      <c r="H16" s="60">
        <v>2.75</v>
      </c>
    </row>
    <row r="17" spans="1:8">
      <c r="A17" s="60">
        <v>6</v>
      </c>
      <c r="B17" s="251" t="s">
        <v>47</v>
      </c>
      <c r="C17" s="60" t="s">
        <v>48</v>
      </c>
      <c r="D17" s="250">
        <v>68.5</v>
      </c>
      <c r="E17" s="59">
        <f t="shared" si="0"/>
        <v>7.6616781871462758E-2</v>
      </c>
      <c r="F17" s="60">
        <v>2</v>
      </c>
      <c r="G17" s="60">
        <v>6.25E-2</v>
      </c>
      <c r="H17" s="60">
        <v>1.75</v>
      </c>
    </row>
    <row r="18" spans="1:8">
      <c r="A18" s="60">
        <v>7</v>
      </c>
      <c r="B18" s="251" t="s">
        <v>49</v>
      </c>
      <c r="C18" s="60" t="s">
        <v>50</v>
      </c>
      <c r="D18" s="250">
        <v>22.09</v>
      </c>
      <c r="E18" s="59">
        <f t="shared" si="0"/>
        <v>2.4707514037089231E-2</v>
      </c>
      <c r="F18" s="60">
        <v>2</v>
      </c>
      <c r="G18" s="60">
        <v>6.25E-2</v>
      </c>
      <c r="H18" s="60">
        <v>5.75</v>
      </c>
    </row>
    <row r="19" spans="1:8">
      <c r="A19" s="60">
        <v>8</v>
      </c>
      <c r="B19" s="251" t="s">
        <v>51</v>
      </c>
      <c r="C19" s="60" t="s">
        <v>52</v>
      </c>
      <c r="D19" s="250">
        <v>19</v>
      </c>
      <c r="E19" s="59">
        <f t="shared" si="0"/>
        <v>2.1251370154128358E-2</v>
      </c>
      <c r="F19" s="60">
        <v>1</v>
      </c>
      <c r="G19" s="60">
        <v>6.25E-2</v>
      </c>
      <c r="H19" s="60">
        <v>4.75</v>
      </c>
    </row>
    <row r="20" spans="1:8">
      <c r="A20" s="60">
        <v>9</v>
      </c>
      <c r="B20" s="251" t="s">
        <v>53</v>
      </c>
      <c r="C20" s="60" t="s">
        <v>54</v>
      </c>
      <c r="D20" s="250">
        <v>12.1</v>
      </c>
      <c r="E20" s="59">
        <f t="shared" si="0"/>
        <v>1.3533767308681742E-2</v>
      </c>
      <c r="F20" s="60">
        <v>1</v>
      </c>
      <c r="G20" s="60">
        <v>6.25E-2</v>
      </c>
      <c r="H20" s="60">
        <v>3.75</v>
      </c>
    </row>
    <row r="21" spans="1:8">
      <c r="A21" s="60">
        <v>10</v>
      </c>
      <c r="B21" s="251" t="s">
        <v>55</v>
      </c>
      <c r="C21" s="60" t="s">
        <v>56</v>
      </c>
      <c r="D21" s="250">
        <v>27.77</v>
      </c>
      <c r="E21" s="59">
        <f t="shared" si="0"/>
        <v>3.1060555220007603E-2</v>
      </c>
      <c r="F21" s="60">
        <v>1</v>
      </c>
      <c r="G21" s="60">
        <v>6.25E-2</v>
      </c>
      <c r="H21" s="60">
        <v>2.75</v>
      </c>
    </row>
    <row r="22" spans="1:8">
      <c r="A22" s="60">
        <v>11</v>
      </c>
      <c r="B22" s="251" t="s">
        <v>57</v>
      </c>
      <c r="C22" s="60" t="s">
        <v>58</v>
      </c>
      <c r="D22" s="250">
        <v>15.79</v>
      </c>
      <c r="E22" s="59">
        <f t="shared" si="0"/>
        <v>1.7661007091246669E-2</v>
      </c>
      <c r="F22" s="60">
        <v>1</v>
      </c>
      <c r="G22" s="60">
        <v>2.2499999999999999E-2</v>
      </c>
      <c r="H22" s="60">
        <f>H12</f>
        <v>6.58</v>
      </c>
    </row>
    <row r="23" spans="1:8">
      <c r="A23" s="60">
        <v>12</v>
      </c>
      <c r="B23" s="251" t="s">
        <v>59</v>
      </c>
      <c r="C23" s="60" t="s">
        <v>60</v>
      </c>
      <c r="D23" s="250">
        <v>20</v>
      </c>
      <c r="E23" s="59">
        <f t="shared" si="0"/>
        <v>2.2369863320135113E-2</v>
      </c>
      <c r="F23" s="60">
        <v>2</v>
      </c>
      <c r="G23" s="60">
        <v>2.2499999999999999E-2</v>
      </c>
      <c r="H23" s="60">
        <v>5.75</v>
      </c>
    </row>
    <row r="24" spans="1:8">
      <c r="A24" s="60">
        <v>13</v>
      </c>
      <c r="B24" s="251" t="s">
        <v>61</v>
      </c>
      <c r="C24" s="60" t="s">
        <v>62</v>
      </c>
      <c r="D24" s="250">
        <v>14.63</v>
      </c>
      <c r="E24" s="59">
        <f t="shared" si="0"/>
        <v>1.6363555018678835E-2</v>
      </c>
      <c r="F24" s="60">
        <v>4</v>
      </c>
      <c r="G24" s="60">
        <v>2.2499999999999999E-2</v>
      </c>
      <c r="H24" s="60">
        <v>4.75</v>
      </c>
    </row>
    <row r="25" spans="1:8">
      <c r="A25" s="60">
        <v>14</v>
      </c>
      <c r="B25" s="251" t="s">
        <v>63</v>
      </c>
      <c r="C25" s="60" t="s">
        <v>64</v>
      </c>
      <c r="D25" s="250">
        <v>43.96</v>
      </c>
      <c r="E25" s="59">
        <f t="shared" si="0"/>
        <v>4.9168959577656976E-2</v>
      </c>
      <c r="F25" s="60">
        <v>1</v>
      </c>
      <c r="G25" s="60">
        <v>2.2499999999999999E-2</v>
      </c>
      <c r="H25" s="60">
        <v>3.75</v>
      </c>
    </row>
    <row r="26" spans="1:8">
      <c r="A26" s="60">
        <v>15</v>
      </c>
      <c r="B26" s="251" t="s">
        <v>65</v>
      </c>
      <c r="C26" s="60" t="s">
        <v>66</v>
      </c>
      <c r="D26" s="250">
        <f>30.79+0.66</f>
        <v>31.45</v>
      </c>
      <c r="E26" s="59">
        <f t="shared" si="0"/>
        <v>3.517661007091246E-2</v>
      </c>
      <c r="F26" s="60">
        <v>1</v>
      </c>
      <c r="G26" s="60">
        <v>2.2499999999999999E-2</v>
      </c>
      <c r="H26" s="60">
        <v>2.75</v>
      </c>
    </row>
    <row r="28" spans="1:8" ht="15.75" thickBot="1"/>
    <row r="29" spans="1:8" ht="15.75" thickBot="1">
      <c r="B29" s="332" t="s">
        <v>67</v>
      </c>
      <c r="C29" s="333" t="s">
        <v>2</v>
      </c>
      <c r="D29" s="333" t="s">
        <v>68</v>
      </c>
    </row>
    <row r="30" spans="1:8">
      <c r="B30" s="326">
        <v>1</v>
      </c>
      <c r="C30" s="327" t="s">
        <v>13</v>
      </c>
      <c r="D30" s="323" t="s">
        <v>69</v>
      </c>
    </row>
    <row r="31" spans="1:8">
      <c r="B31" s="328">
        <v>2</v>
      </c>
      <c r="C31" s="329" t="s">
        <v>17</v>
      </c>
      <c r="D31" s="324" t="s">
        <v>70</v>
      </c>
    </row>
    <row r="32" spans="1:8" ht="15.75" customHeight="1" thickBot="1">
      <c r="B32" s="330">
        <v>3</v>
      </c>
      <c r="C32" s="331" t="s">
        <v>25</v>
      </c>
      <c r="D32" s="325" t="s">
        <v>70</v>
      </c>
    </row>
  </sheetData>
  <mergeCells count="1">
    <mergeCell ref="A1:K1"/>
  </mergeCells>
  <phoneticPr fontId="15" type="noConversion"/>
  <hyperlinks>
    <hyperlink ref="E3" r:id="rId1" xr:uid="{E14BF17D-C8EC-42BD-94F0-C0886108DCEB}"/>
  </hyperlinks>
  <pageMargins left="0.7" right="0.7" top="0.75" bottom="0.75" header="0.3" footer="0.3"/>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E9D915-05D0-4312-8DA3-D4BB5C1A3AC0}">
  <dimension ref="A2:Q43"/>
  <sheetViews>
    <sheetView topLeftCell="A30" zoomScale="92" workbookViewId="0">
      <selection activeCell="D4" sqref="D4"/>
    </sheetView>
  </sheetViews>
  <sheetFormatPr defaultRowHeight="15"/>
  <cols>
    <col min="1" max="1" width="23.5703125" bestFit="1" customWidth="1"/>
    <col min="3" max="4" width="10.28515625" bestFit="1" customWidth="1"/>
    <col min="7" max="7" width="9" bestFit="1" customWidth="1"/>
    <col min="8" max="8" width="20.5703125" customWidth="1"/>
    <col min="9" max="9" width="21.85546875" customWidth="1"/>
    <col min="13" max="13" width="14.7109375" bestFit="1" customWidth="1"/>
    <col min="14" max="14" width="9.7109375" bestFit="1" customWidth="1"/>
    <col min="15" max="15" width="10.7109375" bestFit="1" customWidth="1"/>
  </cols>
  <sheetData>
    <row r="2" spans="1:17">
      <c r="C2" s="373" t="s">
        <v>389</v>
      </c>
      <c r="D2" s="373"/>
      <c r="E2" s="373"/>
      <c r="F2" s="373"/>
      <c r="G2" s="373"/>
      <c r="H2" s="374" t="s">
        <v>390</v>
      </c>
      <c r="I2" s="374"/>
    </row>
    <row r="3" spans="1:17" ht="108">
      <c r="A3" t="s">
        <v>391</v>
      </c>
      <c r="B3" s="260" t="s">
        <v>102</v>
      </c>
      <c r="C3" s="260" t="s">
        <v>392</v>
      </c>
      <c r="D3" s="260" t="s">
        <v>393</v>
      </c>
      <c r="E3" s="260" t="s">
        <v>394</v>
      </c>
      <c r="F3" s="260" t="s">
        <v>395</v>
      </c>
      <c r="G3" s="260" t="s">
        <v>396</v>
      </c>
      <c r="H3" s="260" t="s">
        <v>397</v>
      </c>
      <c r="I3" s="260" t="s">
        <v>398</v>
      </c>
      <c r="J3" s="261" t="s">
        <v>399</v>
      </c>
    </row>
    <row r="4" spans="1:17">
      <c r="A4" s="13" t="s">
        <v>379</v>
      </c>
      <c r="B4" s="59">
        <v>0.84</v>
      </c>
      <c r="C4" s="59">
        <f>'Vintage Period '!D4</f>
        <v>0</v>
      </c>
      <c r="D4" s="61">
        <f>'Vintage Period '!F4</f>
        <v>8741.1173838932973</v>
      </c>
      <c r="E4" s="61">
        <f>D4-0</f>
        <v>8741.1173838932973</v>
      </c>
      <c r="F4" s="61">
        <f>D4-C4</f>
        <v>8741.1173838932973</v>
      </c>
      <c r="G4" s="61">
        <f>F4-0</f>
        <v>8741.1173838932973</v>
      </c>
      <c r="H4" s="61">
        <f>G4*20%</f>
        <v>1748.2234767786595</v>
      </c>
      <c r="I4" s="61">
        <f>G4-H4</f>
        <v>6992.8939071146378</v>
      </c>
      <c r="J4" s="61">
        <f>F$42</f>
        <v>169623.37737386135</v>
      </c>
      <c r="N4" s="15"/>
      <c r="O4" s="15"/>
      <c r="Q4" s="17"/>
    </row>
    <row r="5" spans="1:17">
      <c r="A5" s="13" t="s">
        <v>221</v>
      </c>
      <c r="B5" s="59">
        <f>B4+1</f>
        <v>1.8399999999999999</v>
      </c>
      <c r="C5" s="59">
        <f>'Vintage Period '!D5</f>
        <v>0</v>
      </c>
      <c r="D5" s="61">
        <f>'Vintage Period '!F5</f>
        <v>19201.798843306584</v>
      </c>
      <c r="E5" s="61">
        <f>D5-D4</f>
        <v>10460.681459413287</v>
      </c>
      <c r="F5" s="61">
        <f>D5-C5</f>
        <v>19201.798843306584</v>
      </c>
      <c r="G5" s="311">
        <f>F5-F4</f>
        <v>10460.681459413287</v>
      </c>
      <c r="H5" s="61">
        <f t="shared" ref="H5:H40" si="0">G5*20%</f>
        <v>2092.1362918826576</v>
      </c>
      <c r="I5" s="61">
        <f t="shared" ref="I5:I40" si="1">G5-H5</f>
        <v>8368.5451675306285</v>
      </c>
      <c r="J5" s="61">
        <f t="shared" ref="J5:J40" si="2">F$42</f>
        <v>169623.37737386135</v>
      </c>
    </row>
    <row r="6" spans="1:17">
      <c r="A6" s="13" t="s">
        <v>222</v>
      </c>
      <c r="B6" s="59">
        <f>B5+1</f>
        <v>2.84</v>
      </c>
      <c r="C6" s="59">
        <f>'Vintage Period '!D6</f>
        <v>0</v>
      </c>
      <c r="D6" s="61">
        <f>'Vintage Period '!F6</f>
        <v>29662.480302719872</v>
      </c>
      <c r="E6" s="61">
        <f>D6-D5</f>
        <v>10460.681459413288</v>
      </c>
      <c r="F6" s="61">
        <f>D6-C6</f>
        <v>29662.480302719872</v>
      </c>
      <c r="G6" s="311">
        <f t="shared" ref="G6:G23" si="3">F6-F5</f>
        <v>10460.681459413288</v>
      </c>
      <c r="H6" s="61">
        <f t="shared" si="0"/>
        <v>2092.1362918826576</v>
      </c>
      <c r="I6" s="61">
        <f t="shared" si="1"/>
        <v>8368.5451675306304</v>
      </c>
      <c r="J6" s="61">
        <f t="shared" si="2"/>
        <v>169623.37737386135</v>
      </c>
    </row>
    <row r="7" spans="1:17">
      <c r="A7" s="13" t="s">
        <v>223</v>
      </c>
      <c r="B7" s="59">
        <f>B6+1</f>
        <v>3.84</v>
      </c>
      <c r="C7" s="59">
        <f>'Vintage Period '!D7</f>
        <v>0</v>
      </c>
      <c r="D7" s="61">
        <f>'Vintage Period '!F7</f>
        <v>40123.161762133161</v>
      </c>
      <c r="E7" s="61">
        <f>D7-D6</f>
        <v>10460.681459413288</v>
      </c>
      <c r="F7" s="61">
        <f t="shared" ref="F7:F34" si="4">D7-C7</f>
        <v>40123.161762133161</v>
      </c>
      <c r="G7" s="311">
        <f t="shared" si="3"/>
        <v>10460.681459413288</v>
      </c>
      <c r="H7" s="61">
        <f t="shared" si="0"/>
        <v>2092.1362918826576</v>
      </c>
      <c r="I7" s="61">
        <f t="shared" si="1"/>
        <v>8368.5451675306304</v>
      </c>
      <c r="J7" s="61">
        <f t="shared" si="2"/>
        <v>169623.37737386135</v>
      </c>
    </row>
    <row r="8" spans="1:17">
      <c r="A8" s="13" t="s">
        <v>224</v>
      </c>
      <c r="B8" s="59">
        <f>B7+1</f>
        <v>4.84</v>
      </c>
      <c r="C8" s="59">
        <f>'Vintage Period '!D8</f>
        <v>0</v>
      </c>
      <c r="D8" s="61">
        <f>'Vintage Period '!F8</f>
        <v>50583.843221546449</v>
      </c>
      <c r="E8" s="61">
        <f t="shared" ref="E8:E39" si="5">D8-D7</f>
        <v>10460.681459413288</v>
      </c>
      <c r="F8" s="61">
        <f t="shared" si="4"/>
        <v>50583.843221546449</v>
      </c>
      <c r="G8" s="311">
        <f t="shared" si="3"/>
        <v>10460.681459413288</v>
      </c>
      <c r="H8" s="61">
        <f t="shared" si="0"/>
        <v>2092.1362918826576</v>
      </c>
      <c r="I8" s="61">
        <f t="shared" si="1"/>
        <v>8368.5451675306304</v>
      </c>
      <c r="J8" s="61">
        <f t="shared" si="2"/>
        <v>169623.37737386135</v>
      </c>
    </row>
    <row r="9" spans="1:17">
      <c r="A9" s="13" t="s">
        <v>225</v>
      </c>
      <c r="B9" s="59">
        <f>B8+1</f>
        <v>5.84</v>
      </c>
      <c r="C9" s="59">
        <f>'Vintage Period '!D9</f>
        <v>0</v>
      </c>
      <c r="D9" s="61">
        <f>'Vintage Period '!F9</f>
        <v>61044.524680959737</v>
      </c>
      <c r="E9" s="61">
        <f t="shared" si="5"/>
        <v>10460.681459413288</v>
      </c>
      <c r="F9" s="61">
        <f t="shared" si="4"/>
        <v>61044.524680959737</v>
      </c>
      <c r="G9" s="311">
        <f t="shared" si="3"/>
        <v>10460.681459413288</v>
      </c>
      <c r="H9" s="61">
        <f t="shared" si="0"/>
        <v>2092.1362918826576</v>
      </c>
      <c r="I9" s="61">
        <f t="shared" si="1"/>
        <v>8368.5451675306304</v>
      </c>
      <c r="J9" s="61">
        <f t="shared" si="2"/>
        <v>169623.37737386135</v>
      </c>
    </row>
    <row r="10" spans="1:17">
      <c r="A10" s="13" t="s">
        <v>226</v>
      </c>
      <c r="B10" s="59">
        <v>6.58</v>
      </c>
      <c r="C10" s="59">
        <f>'Vintage Period '!D10</f>
        <v>0</v>
      </c>
      <c r="D10" s="312">
        <f>'Vintage Period '!F10</f>
        <v>67148.977149055718</v>
      </c>
      <c r="E10" s="61">
        <f t="shared" si="5"/>
        <v>6104.4524680959803</v>
      </c>
      <c r="F10" s="61">
        <f t="shared" si="4"/>
        <v>67148.977149055718</v>
      </c>
      <c r="G10" s="311">
        <f t="shared" si="3"/>
        <v>6104.4524680959803</v>
      </c>
      <c r="H10" s="61">
        <f t="shared" si="0"/>
        <v>1220.8904936191961</v>
      </c>
      <c r="I10" s="61">
        <f t="shared" si="1"/>
        <v>4883.5619744767846</v>
      </c>
      <c r="J10" s="61">
        <f t="shared" si="2"/>
        <v>169623.37737386135</v>
      </c>
    </row>
    <row r="11" spans="1:17">
      <c r="A11" s="101" t="s">
        <v>400</v>
      </c>
      <c r="B11" s="59">
        <v>6.84</v>
      </c>
      <c r="C11" s="59">
        <f>TREND(C9:C10,B9:B10,B11:B$40,TRUE)</f>
        <v>0</v>
      </c>
      <c r="D11" s="61">
        <f>TREND(D9:D10,B9:B10,B11:B$40,TRUE)</f>
        <v>69293.784772981322</v>
      </c>
      <c r="E11" s="61">
        <f t="shared" si="5"/>
        <v>2144.8076239256043</v>
      </c>
      <c r="F11" s="61">
        <f>D11-C11</f>
        <v>69293.784772981322</v>
      </c>
      <c r="G11" s="311">
        <f t="shared" si="3"/>
        <v>2144.8076239256043</v>
      </c>
      <c r="H11" s="61">
        <f t="shared" si="0"/>
        <v>428.9615247851209</v>
      </c>
      <c r="I11" s="61">
        <f t="shared" si="1"/>
        <v>1715.8460991404834</v>
      </c>
      <c r="J11" s="61">
        <f t="shared" si="2"/>
        <v>169623.37737386135</v>
      </c>
    </row>
    <row r="12" spans="1:17">
      <c r="A12" s="155" t="s">
        <v>401</v>
      </c>
      <c r="B12" s="59">
        <f>B11+1</f>
        <v>7.84</v>
      </c>
      <c r="C12" s="59">
        <f>TREND(C10:C11,B10:B11,B12:B$40,TRUE)</f>
        <v>0</v>
      </c>
      <c r="D12" s="61">
        <f>TREND(D10:D11,B10:B11,B12:B$40,TRUE)</f>
        <v>77543.044865002885</v>
      </c>
      <c r="E12" s="61">
        <f t="shared" si="5"/>
        <v>8249.2600920215627</v>
      </c>
      <c r="F12" s="61">
        <f t="shared" si="4"/>
        <v>77543.044865002885</v>
      </c>
      <c r="G12" s="311">
        <f t="shared" si="3"/>
        <v>8249.2600920215627</v>
      </c>
      <c r="H12" s="61">
        <f t="shared" si="0"/>
        <v>1649.8520184043127</v>
      </c>
      <c r="I12" s="61">
        <f t="shared" si="1"/>
        <v>6599.40807361725</v>
      </c>
      <c r="J12" s="61">
        <f t="shared" si="2"/>
        <v>169623.37737386135</v>
      </c>
    </row>
    <row r="13" spans="1:17">
      <c r="A13" s="155" t="s">
        <v>402</v>
      </c>
      <c r="B13" s="59">
        <f t="shared" ref="B13:B39" si="6">B12+1</f>
        <v>8.84</v>
      </c>
      <c r="C13" s="59">
        <f>TREND(C11:C12,B11:B12,B13:B$40,TRUE)</f>
        <v>0</v>
      </c>
      <c r="D13" s="61">
        <f>TREND(D11:D12,B11:B12,B13:B$40,TRUE)</f>
        <v>85792.304957024462</v>
      </c>
      <c r="E13" s="61">
        <f t="shared" si="5"/>
        <v>8249.2600920215773</v>
      </c>
      <c r="F13" s="61">
        <f t="shared" si="4"/>
        <v>85792.304957024462</v>
      </c>
      <c r="G13" s="311">
        <f t="shared" si="3"/>
        <v>8249.2600920215773</v>
      </c>
      <c r="H13" s="61">
        <f t="shared" si="0"/>
        <v>1649.8520184043155</v>
      </c>
      <c r="I13" s="61">
        <f t="shared" si="1"/>
        <v>6599.4080736172618</v>
      </c>
      <c r="J13" s="61">
        <f t="shared" si="2"/>
        <v>169623.37737386135</v>
      </c>
    </row>
    <row r="14" spans="1:17">
      <c r="A14" s="155" t="s">
        <v>403</v>
      </c>
      <c r="B14" s="59">
        <f t="shared" si="6"/>
        <v>9.84</v>
      </c>
      <c r="C14" s="59">
        <f>TREND(C12:C13,B12:B13,B14:B$40,TRUE)</f>
        <v>0</v>
      </c>
      <c r="D14" s="61">
        <f>TREND(D12:D13,B12:B13,B14:B$40,TRUE)</f>
        <v>94041.565049046039</v>
      </c>
      <c r="E14" s="61">
        <f t="shared" si="5"/>
        <v>8249.2600920215773</v>
      </c>
      <c r="F14" s="61">
        <f t="shared" si="4"/>
        <v>94041.565049046039</v>
      </c>
      <c r="G14" s="311">
        <f t="shared" si="3"/>
        <v>8249.2600920215773</v>
      </c>
      <c r="H14" s="61">
        <f t="shared" si="0"/>
        <v>1649.8520184043155</v>
      </c>
      <c r="I14" s="61">
        <f t="shared" si="1"/>
        <v>6599.4080736172618</v>
      </c>
      <c r="J14" s="61">
        <f t="shared" si="2"/>
        <v>169623.37737386135</v>
      </c>
    </row>
    <row r="15" spans="1:17">
      <c r="A15" s="155" t="s">
        <v>404</v>
      </c>
      <c r="B15" s="59">
        <f t="shared" si="6"/>
        <v>10.84</v>
      </c>
      <c r="C15" s="59">
        <f>TREND(C13:C14,B13:B14,B15:B$40,TRUE)</f>
        <v>0</v>
      </c>
      <c r="D15" s="61">
        <f>TREND(D13:D14,B13:B14,B15:B$40,TRUE)</f>
        <v>102290.82514106762</v>
      </c>
      <c r="E15" s="61">
        <f t="shared" si="5"/>
        <v>8249.2600920215773</v>
      </c>
      <c r="F15" s="61">
        <f t="shared" si="4"/>
        <v>102290.82514106762</v>
      </c>
      <c r="G15" s="311">
        <f t="shared" si="3"/>
        <v>8249.2600920215773</v>
      </c>
      <c r="H15" s="61">
        <f t="shared" si="0"/>
        <v>1649.8520184043155</v>
      </c>
      <c r="I15" s="61">
        <f t="shared" si="1"/>
        <v>6599.4080736172618</v>
      </c>
      <c r="J15" s="61">
        <f t="shared" si="2"/>
        <v>169623.37737386135</v>
      </c>
    </row>
    <row r="16" spans="1:17">
      <c r="A16" s="155" t="s">
        <v>405</v>
      </c>
      <c r="B16" s="59">
        <f t="shared" si="6"/>
        <v>11.84</v>
      </c>
      <c r="C16" s="59">
        <f>TREND(C14:C15,B14:B15,B16:B$40,TRUE)</f>
        <v>0</v>
      </c>
      <c r="D16" s="61">
        <f>TREND(D14:D15,B14:B15,B16:B$40,TRUE)</f>
        <v>110540.08523308919</v>
      </c>
      <c r="E16" s="61">
        <f t="shared" si="5"/>
        <v>8249.2600920215773</v>
      </c>
      <c r="F16" s="61">
        <f t="shared" si="4"/>
        <v>110540.08523308919</v>
      </c>
      <c r="G16" s="311">
        <f t="shared" si="3"/>
        <v>8249.2600920215773</v>
      </c>
      <c r="H16" s="61">
        <f t="shared" si="0"/>
        <v>1649.8520184043155</v>
      </c>
      <c r="I16" s="61">
        <f t="shared" si="1"/>
        <v>6599.4080736172618</v>
      </c>
      <c r="J16" s="61">
        <f t="shared" si="2"/>
        <v>169623.37737386135</v>
      </c>
    </row>
    <row r="17" spans="1:10">
      <c r="A17" s="155" t="s">
        <v>406</v>
      </c>
      <c r="B17" s="59">
        <f t="shared" si="6"/>
        <v>12.84</v>
      </c>
      <c r="C17" s="59">
        <f>TREND(C15:C16,B15:B16,B17:B$40,TRUE)</f>
        <v>0</v>
      </c>
      <c r="D17" s="61">
        <f>TREND(D15:D16,B15:B16,B17:B$40,TRUE)</f>
        <v>118789.34532511079</v>
      </c>
      <c r="E17" s="61">
        <f t="shared" si="5"/>
        <v>8249.2600920215918</v>
      </c>
      <c r="F17" s="61">
        <f t="shared" si="4"/>
        <v>118789.34532511079</v>
      </c>
      <c r="G17" s="311">
        <f t="shared" si="3"/>
        <v>8249.2600920215918</v>
      </c>
      <c r="H17" s="61">
        <f t="shared" si="0"/>
        <v>1649.8520184043184</v>
      </c>
      <c r="I17" s="61">
        <f t="shared" si="1"/>
        <v>6599.4080736172737</v>
      </c>
      <c r="J17" s="61">
        <f t="shared" si="2"/>
        <v>169623.37737386135</v>
      </c>
    </row>
    <row r="18" spans="1:10">
      <c r="A18" s="155" t="s">
        <v>407</v>
      </c>
      <c r="B18" s="59">
        <f t="shared" si="6"/>
        <v>13.84</v>
      </c>
      <c r="C18" s="59">
        <f>TREND(C16:C17,B16:B17,B18:B$40,TRUE)</f>
        <v>0</v>
      </c>
      <c r="D18" s="61">
        <f>TREND(D16:D17,B16:B17,B18:B$40,TRUE)</f>
        <v>127038.60541713238</v>
      </c>
      <c r="E18" s="61">
        <f t="shared" si="5"/>
        <v>8249.2600920215918</v>
      </c>
      <c r="F18" s="61">
        <f t="shared" si="4"/>
        <v>127038.60541713238</v>
      </c>
      <c r="G18" s="311">
        <f t="shared" si="3"/>
        <v>8249.2600920215918</v>
      </c>
      <c r="H18" s="61">
        <f t="shared" si="0"/>
        <v>1649.8520184043184</v>
      </c>
      <c r="I18" s="61">
        <f t="shared" si="1"/>
        <v>6599.4080736172737</v>
      </c>
      <c r="J18" s="61">
        <f t="shared" si="2"/>
        <v>169623.37737386135</v>
      </c>
    </row>
    <row r="19" spans="1:10">
      <c r="A19" s="155" t="s">
        <v>408</v>
      </c>
      <c r="B19" s="59">
        <f t="shared" si="6"/>
        <v>14.84</v>
      </c>
      <c r="C19" s="59">
        <f>TREND(C17:C18,B17:B18,B19:B$40,TRUE)</f>
        <v>0</v>
      </c>
      <c r="D19" s="61">
        <f>TREND(D17:D18,B17:B18,B19:B$40,TRUE)</f>
        <v>135287.86550915395</v>
      </c>
      <c r="E19" s="61">
        <f t="shared" si="5"/>
        <v>8249.2600920215773</v>
      </c>
      <c r="F19" s="61">
        <f t="shared" si="4"/>
        <v>135287.86550915395</v>
      </c>
      <c r="G19" s="311">
        <f t="shared" si="3"/>
        <v>8249.2600920215773</v>
      </c>
      <c r="H19" s="61">
        <f t="shared" si="0"/>
        <v>1649.8520184043155</v>
      </c>
      <c r="I19" s="61">
        <f t="shared" si="1"/>
        <v>6599.4080736172618</v>
      </c>
      <c r="J19" s="61">
        <f t="shared" si="2"/>
        <v>169623.37737386135</v>
      </c>
    </row>
    <row r="20" spans="1:10">
      <c r="A20" s="155" t="s">
        <v>409</v>
      </c>
      <c r="B20" s="59">
        <f t="shared" si="6"/>
        <v>15.84</v>
      </c>
      <c r="C20" s="59">
        <f>TREND(C18:C19,B18:B19,B20:B$40,TRUE)</f>
        <v>0</v>
      </c>
      <c r="D20" s="61">
        <f>TREND(D18:D19,B18:B19,B20:B$40,TRUE)</f>
        <v>143537.12560117553</v>
      </c>
      <c r="E20" s="61">
        <f t="shared" si="5"/>
        <v>8249.2600920215773</v>
      </c>
      <c r="F20" s="61">
        <f t="shared" si="4"/>
        <v>143537.12560117553</v>
      </c>
      <c r="G20" s="311">
        <f t="shared" si="3"/>
        <v>8249.2600920215773</v>
      </c>
      <c r="H20" s="61">
        <f t="shared" si="0"/>
        <v>1649.8520184043155</v>
      </c>
      <c r="I20" s="61">
        <f t="shared" si="1"/>
        <v>6599.4080736172618</v>
      </c>
      <c r="J20" s="61">
        <f t="shared" si="2"/>
        <v>169623.37737386135</v>
      </c>
    </row>
    <row r="21" spans="1:10">
      <c r="A21" s="155" t="s">
        <v>410</v>
      </c>
      <c r="B21" s="59">
        <f t="shared" si="6"/>
        <v>16.84</v>
      </c>
      <c r="C21" s="59">
        <f>TREND(C19:C20,B19:B20,B21:B$40,TRUE)</f>
        <v>0</v>
      </c>
      <c r="D21" s="61">
        <f>TREND(D19:D20,B19:B20,B21:B$40,TRUE)</f>
        <v>151786.38569319714</v>
      </c>
      <c r="E21" s="61">
        <f t="shared" si="5"/>
        <v>8249.2600920216064</v>
      </c>
      <c r="F21" s="61">
        <f t="shared" si="4"/>
        <v>151786.38569319714</v>
      </c>
      <c r="G21" s="311">
        <f t="shared" si="3"/>
        <v>8249.2600920216064</v>
      </c>
      <c r="H21" s="61">
        <f t="shared" si="0"/>
        <v>1649.8520184043214</v>
      </c>
      <c r="I21" s="61">
        <f t="shared" si="1"/>
        <v>6599.4080736172855</v>
      </c>
      <c r="J21" s="61">
        <f t="shared" si="2"/>
        <v>169623.37737386135</v>
      </c>
    </row>
    <row r="22" spans="1:10">
      <c r="A22" s="155" t="s">
        <v>411</v>
      </c>
      <c r="B22" s="59">
        <f t="shared" si="6"/>
        <v>17.84</v>
      </c>
      <c r="C22" s="59">
        <f>TREND(C20:C21,B20:B21,B22:B$40,TRUE)</f>
        <v>0</v>
      </c>
      <c r="D22" s="61">
        <f>TREND(D20:D21,B20:B21,B22:B$40,TRUE)</f>
        <v>160035.64578521875</v>
      </c>
      <c r="E22" s="61">
        <f t="shared" si="5"/>
        <v>8249.2600920216064</v>
      </c>
      <c r="F22" s="61">
        <f t="shared" si="4"/>
        <v>160035.64578521875</v>
      </c>
      <c r="G22" s="311">
        <f t="shared" si="3"/>
        <v>8249.2600920216064</v>
      </c>
      <c r="H22" s="61">
        <f t="shared" si="0"/>
        <v>1649.8520184043214</v>
      </c>
      <c r="I22" s="61">
        <f t="shared" si="1"/>
        <v>6599.4080736172855</v>
      </c>
      <c r="J22" s="61">
        <f t="shared" si="2"/>
        <v>169623.37737386135</v>
      </c>
    </row>
    <row r="23" spans="1:10">
      <c r="A23" s="155" t="s">
        <v>412</v>
      </c>
      <c r="B23" s="59">
        <f t="shared" si="6"/>
        <v>18.84</v>
      </c>
      <c r="C23" s="59">
        <f>TREND(C21:C22,B21:B22,B23:B$40,TRUE)</f>
        <v>0</v>
      </c>
      <c r="D23" s="61">
        <f>TREND(D21:D22,B21:B22,B23:B$40,TRUE)</f>
        <v>168284.90587724035</v>
      </c>
      <c r="E23" s="61">
        <f t="shared" si="5"/>
        <v>8249.2600920216064</v>
      </c>
      <c r="F23" s="61">
        <f t="shared" si="4"/>
        <v>168284.90587724035</v>
      </c>
      <c r="G23" s="311">
        <f t="shared" si="3"/>
        <v>8249.2600920216064</v>
      </c>
      <c r="H23" s="61">
        <f t="shared" si="0"/>
        <v>1649.8520184043214</v>
      </c>
      <c r="I23" s="61">
        <f t="shared" si="1"/>
        <v>6599.4080736172855</v>
      </c>
      <c r="J23" s="61">
        <f t="shared" si="2"/>
        <v>169623.37737386135</v>
      </c>
    </row>
    <row r="24" spans="1:10">
      <c r="A24" s="155" t="s">
        <v>413</v>
      </c>
      <c r="B24" s="59">
        <f t="shared" si="6"/>
        <v>19.84</v>
      </c>
      <c r="C24" s="59">
        <f>TREND(C22:C23,B22:B23,B24:B$40,TRUE)</f>
        <v>0</v>
      </c>
      <c r="D24" s="61">
        <f>TREND(D22:D23,B22:B23,B24:B$40,TRUE)</f>
        <v>176534.16596926196</v>
      </c>
      <c r="E24" s="61">
        <f t="shared" si="5"/>
        <v>8249.2600920216064</v>
      </c>
      <c r="F24" s="61">
        <f t="shared" si="4"/>
        <v>176534.16596926196</v>
      </c>
      <c r="G24" s="311">
        <f>F42-SUM(G4:G23)</f>
        <v>1338.4714966210013</v>
      </c>
      <c r="H24" s="61">
        <f t="shared" si="0"/>
        <v>267.69429932420024</v>
      </c>
      <c r="I24" s="61">
        <f t="shared" si="1"/>
        <v>1070.777197296801</v>
      </c>
      <c r="J24" s="61">
        <f t="shared" si="2"/>
        <v>169623.37737386135</v>
      </c>
    </row>
    <row r="25" spans="1:10">
      <c r="A25" s="155" t="s">
        <v>414</v>
      </c>
      <c r="B25" s="59">
        <f t="shared" si="6"/>
        <v>20.84</v>
      </c>
      <c r="C25" s="59">
        <f>TREND(C23:C24,B23:B24,B25:B$40,TRUE)</f>
        <v>0</v>
      </c>
      <c r="D25" s="61">
        <f>TREND(D23:D24,B23:B24,B25:B$40,TRUE)</f>
        <v>184783.42606128356</v>
      </c>
      <c r="E25" s="61">
        <f t="shared" si="5"/>
        <v>8249.2600920216064</v>
      </c>
      <c r="F25" s="61">
        <f t="shared" si="4"/>
        <v>184783.42606128356</v>
      </c>
      <c r="G25" s="60">
        <v>0</v>
      </c>
      <c r="H25" s="61">
        <f t="shared" si="0"/>
        <v>0</v>
      </c>
      <c r="I25" s="61">
        <f t="shared" si="1"/>
        <v>0</v>
      </c>
      <c r="J25" s="61">
        <f t="shared" si="2"/>
        <v>169623.37737386135</v>
      </c>
    </row>
    <row r="26" spans="1:10">
      <c r="A26" s="155" t="s">
        <v>415</v>
      </c>
      <c r="B26" s="59">
        <f t="shared" si="6"/>
        <v>21.84</v>
      </c>
      <c r="C26" s="59">
        <f>TREND(C24:C25,B24:B25,B26:B$40,TRUE)</f>
        <v>0</v>
      </c>
      <c r="D26" s="61">
        <f>TREND(D24:D25,B24:B25,B26:B$40,TRUE)</f>
        <v>193032.68615330517</v>
      </c>
      <c r="E26" s="61">
        <f t="shared" si="5"/>
        <v>8249.2600920216064</v>
      </c>
      <c r="F26" s="61">
        <f t="shared" si="4"/>
        <v>193032.68615330517</v>
      </c>
      <c r="G26" s="60">
        <v>0</v>
      </c>
      <c r="H26" s="61">
        <f t="shared" si="0"/>
        <v>0</v>
      </c>
      <c r="I26" s="61">
        <f t="shared" si="1"/>
        <v>0</v>
      </c>
      <c r="J26" s="61">
        <f t="shared" si="2"/>
        <v>169623.37737386135</v>
      </c>
    </row>
    <row r="27" spans="1:10">
      <c r="A27" s="155" t="s">
        <v>416</v>
      </c>
      <c r="B27" s="59">
        <f t="shared" si="6"/>
        <v>22.84</v>
      </c>
      <c r="C27" s="59">
        <f>TREND(C25:C26,B25:B26,B27:B$40,TRUE)</f>
        <v>0</v>
      </c>
      <c r="D27" s="61">
        <f>TREND(D25:D26,B25:B26,B27:B$40,TRUE)</f>
        <v>201281.94624532678</v>
      </c>
      <c r="E27" s="61">
        <f t="shared" si="5"/>
        <v>8249.2600920216064</v>
      </c>
      <c r="F27" s="61">
        <f t="shared" si="4"/>
        <v>201281.94624532678</v>
      </c>
      <c r="G27" s="60">
        <v>0</v>
      </c>
      <c r="H27" s="61">
        <f t="shared" si="0"/>
        <v>0</v>
      </c>
      <c r="I27" s="61">
        <f t="shared" si="1"/>
        <v>0</v>
      </c>
      <c r="J27" s="61">
        <f t="shared" si="2"/>
        <v>169623.37737386135</v>
      </c>
    </row>
    <row r="28" spans="1:10">
      <c r="A28" s="155" t="s">
        <v>417</v>
      </c>
      <c r="B28" s="59">
        <f t="shared" si="6"/>
        <v>23.84</v>
      </c>
      <c r="C28" s="59">
        <f>TREND(C26:C27,B26:B27,B28:B$40,TRUE)</f>
        <v>0</v>
      </c>
      <c r="D28" s="61">
        <f>TREND(D26:D27,B26:B27,B28:B$40,TRUE)</f>
        <v>209531.20633734838</v>
      </c>
      <c r="E28" s="61">
        <f t="shared" si="5"/>
        <v>8249.2600920216064</v>
      </c>
      <c r="F28" s="61">
        <f t="shared" si="4"/>
        <v>209531.20633734838</v>
      </c>
      <c r="G28" s="60">
        <v>0</v>
      </c>
      <c r="H28" s="61">
        <f t="shared" si="0"/>
        <v>0</v>
      </c>
      <c r="I28" s="61">
        <f t="shared" si="1"/>
        <v>0</v>
      </c>
      <c r="J28" s="61">
        <f t="shared" si="2"/>
        <v>169623.37737386135</v>
      </c>
    </row>
    <row r="29" spans="1:10">
      <c r="A29" s="155" t="s">
        <v>418</v>
      </c>
      <c r="B29" s="59">
        <f t="shared" si="6"/>
        <v>24.84</v>
      </c>
      <c r="C29" s="59">
        <f>TREND(C27:C28,B27:B28,B29:B$40,TRUE)</f>
        <v>0</v>
      </c>
      <c r="D29" s="61">
        <f>TREND(D27:D28,B27:B28,B29:B$40,TRUE)</f>
        <v>217780.46642936999</v>
      </c>
      <c r="E29" s="61">
        <f t="shared" si="5"/>
        <v>8249.2600920216064</v>
      </c>
      <c r="F29" s="61">
        <f t="shared" si="4"/>
        <v>217780.46642936999</v>
      </c>
      <c r="G29" s="60">
        <v>0</v>
      </c>
      <c r="H29" s="61">
        <f t="shared" si="0"/>
        <v>0</v>
      </c>
      <c r="I29" s="61">
        <f t="shared" si="1"/>
        <v>0</v>
      </c>
      <c r="J29" s="61">
        <f t="shared" si="2"/>
        <v>169623.37737386135</v>
      </c>
    </row>
    <row r="30" spans="1:10">
      <c r="A30" s="155" t="s">
        <v>419</v>
      </c>
      <c r="B30" s="59">
        <f t="shared" si="6"/>
        <v>25.84</v>
      </c>
      <c r="C30" s="59">
        <f>TREND(C28:C29,B28:B29,B30:B$40,TRUE)</f>
        <v>0</v>
      </c>
      <c r="D30" s="61">
        <f>TREND(D28:D29,B28:B29,B30:B$40,TRUE)</f>
        <v>226029.7265213916</v>
      </c>
      <c r="E30" s="61">
        <f t="shared" si="5"/>
        <v>8249.2600920216064</v>
      </c>
      <c r="F30" s="61">
        <f t="shared" si="4"/>
        <v>226029.7265213916</v>
      </c>
      <c r="G30" s="60">
        <v>0</v>
      </c>
      <c r="H30" s="61">
        <f t="shared" si="0"/>
        <v>0</v>
      </c>
      <c r="I30" s="61">
        <f t="shared" si="1"/>
        <v>0</v>
      </c>
      <c r="J30" s="61">
        <f t="shared" si="2"/>
        <v>169623.37737386135</v>
      </c>
    </row>
    <row r="31" spans="1:10">
      <c r="A31" s="155" t="s">
        <v>420</v>
      </c>
      <c r="B31" s="59">
        <f t="shared" si="6"/>
        <v>26.84</v>
      </c>
      <c r="C31" s="59">
        <f>TREND(C29:C30,B29:B30,B31:B$40,TRUE)</f>
        <v>0</v>
      </c>
      <c r="D31" s="61">
        <f>TREND(D29:D30,B29:B30,B31:B$40,TRUE)</f>
        <v>234278.9866134132</v>
      </c>
      <c r="E31" s="61">
        <f t="shared" si="5"/>
        <v>8249.2600920216064</v>
      </c>
      <c r="F31" s="61">
        <f t="shared" si="4"/>
        <v>234278.9866134132</v>
      </c>
      <c r="G31" s="60">
        <v>0</v>
      </c>
      <c r="H31" s="61">
        <f t="shared" si="0"/>
        <v>0</v>
      </c>
      <c r="I31" s="61">
        <f t="shared" si="1"/>
        <v>0</v>
      </c>
      <c r="J31" s="61">
        <f t="shared" si="2"/>
        <v>169623.37737386135</v>
      </c>
    </row>
    <row r="32" spans="1:10">
      <c r="A32" s="155" t="s">
        <v>421</v>
      </c>
      <c r="B32" s="59">
        <f t="shared" si="6"/>
        <v>27.84</v>
      </c>
      <c r="C32" s="59">
        <f>TREND(C30:C31,B30:B31,B32:B$40,TRUE)</f>
        <v>0</v>
      </c>
      <c r="D32" s="61">
        <f>TREND(D30:D31,B30:B31,B32:B$40,TRUE)</f>
        <v>242528.24670543481</v>
      </c>
      <c r="E32" s="61">
        <f t="shared" si="5"/>
        <v>8249.2600920216064</v>
      </c>
      <c r="F32" s="61">
        <f t="shared" si="4"/>
        <v>242528.24670543481</v>
      </c>
      <c r="G32" s="60">
        <v>0</v>
      </c>
      <c r="H32" s="61">
        <f t="shared" si="0"/>
        <v>0</v>
      </c>
      <c r="I32" s="61">
        <f t="shared" si="1"/>
        <v>0</v>
      </c>
      <c r="J32" s="61">
        <f t="shared" si="2"/>
        <v>169623.37737386135</v>
      </c>
    </row>
    <row r="33" spans="1:10">
      <c r="A33" s="155" t="s">
        <v>422</v>
      </c>
      <c r="B33" s="59">
        <f t="shared" si="6"/>
        <v>28.84</v>
      </c>
      <c r="C33" s="59">
        <f>TREND(C31:C32,B31:B32,B33:B$40,TRUE)</f>
        <v>0</v>
      </c>
      <c r="D33" s="61">
        <f>TREND(D31:D32,B31:B32,B33:B$40,TRUE)</f>
        <v>250777.50679745642</v>
      </c>
      <c r="E33" s="61">
        <f t="shared" si="5"/>
        <v>8249.2600920216064</v>
      </c>
      <c r="F33" s="61">
        <f t="shared" si="4"/>
        <v>250777.50679745642</v>
      </c>
      <c r="G33" s="60">
        <v>0</v>
      </c>
      <c r="H33" s="61">
        <f t="shared" si="0"/>
        <v>0</v>
      </c>
      <c r="I33" s="61">
        <f t="shared" si="1"/>
        <v>0</v>
      </c>
      <c r="J33" s="61">
        <f t="shared" si="2"/>
        <v>169623.37737386135</v>
      </c>
    </row>
    <row r="34" spans="1:10">
      <c r="A34" s="155" t="s">
        <v>423</v>
      </c>
      <c r="B34" s="59">
        <f t="shared" si="6"/>
        <v>29.84</v>
      </c>
      <c r="C34" s="59">
        <f>TREND(C32:C33,B32:B33,B34:B$40,TRUE)</f>
        <v>0</v>
      </c>
      <c r="D34" s="61">
        <f>TREND(D32:D33,B32:B33,B34:B$40,TRUE)</f>
        <v>259026.76688947802</v>
      </c>
      <c r="E34" s="61">
        <f t="shared" si="5"/>
        <v>8249.2600920216064</v>
      </c>
      <c r="F34" s="61">
        <f t="shared" si="4"/>
        <v>259026.76688947802</v>
      </c>
      <c r="G34" s="60">
        <v>0</v>
      </c>
      <c r="H34" s="61">
        <f t="shared" si="0"/>
        <v>0</v>
      </c>
      <c r="I34" s="61">
        <f t="shared" si="1"/>
        <v>0</v>
      </c>
      <c r="J34" s="61">
        <f t="shared" si="2"/>
        <v>169623.37737386135</v>
      </c>
    </row>
    <row r="35" spans="1:10">
      <c r="A35" s="155" t="s">
        <v>424</v>
      </c>
      <c r="B35" s="59">
        <f t="shared" si="6"/>
        <v>30.84</v>
      </c>
      <c r="C35" s="59">
        <f>TREND(C33:C34,B33:B34,B35:B$40,TRUE)</f>
        <v>0</v>
      </c>
      <c r="D35" s="61">
        <f>TREND(D33:D34,B33:B34,B35:B$40,TRUE)</f>
        <v>267276.02698149963</v>
      </c>
      <c r="E35" s="61">
        <f t="shared" si="5"/>
        <v>8249.2600920216064</v>
      </c>
      <c r="F35" s="61">
        <f>D35-C35</f>
        <v>267276.02698149963</v>
      </c>
      <c r="G35" s="61">
        <v>0</v>
      </c>
      <c r="H35" s="61">
        <f t="shared" si="0"/>
        <v>0</v>
      </c>
      <c r="I35" s="61">
        <f t="shared" si="1"/>
        <v>0</v>
      </c>
      <c r="J35" s="61">
        <f t="shared" si="2"/>
        <v>169623.37737386135</v>
      </c>
    </row>
    <row r="36" spans="1:10">
      <c r="A36" s="155" t="s">
        <v>425</v>
      </c>
      <c r="B36" s="59">
        <f t="shared" si="6"/>
        <v>31.84</v>
      </c>
      <c r="C36" s="59">
        <f>TREND(C34:C35,B34:B35,B36:B$40,TRUE)</f>
        <v>0</v>
      </c>
      <c r="D36" s="61">
        <f>TREND(D34:D35,B34:B35,B36:B$40,TRUE)</f>
        <v>275525.28707352118</v>
      </c>
      <c r="E36" s="61">
        <f t="shared" si="5"/>
        <v>8249.2600920215482</v>
      </c>
      <c r="F36" s="61">
        <f t="shared" ref="F36:F39" si="7">D36-C36</f>
        <v>275525.28707352118</v>
      </c>
      <c r="G36" s="61">
        <v>0</v>
      </c>
      <c r="H36" s="61">
        <f t="shared" si="0"/>
        <v>0</v>
      </c>
      <c r="I36" s="61">
        <f t="shared" si="1"/>
        <v>0</v>
      </c>
      <c r="J36" s="61">
        <f t="shared" si="2"/>
        <v>169623.37737386135</v>
      </c>
    </row>
    <row r="37" spans="1:10">
      <c r="A37" s="155" t="s">
        <v>426</v>
      </c>
      <c r="B37" s="59">
        <f t="shared" si="6"/>
        <v>32.840000000000003</v>
      </c>
      <c r="C37" s="59">
        <f>TREND(C35:C36,B35:B36,B37:B$40,TRUE)</f>
        <v>0</v>
      </c>
      <c r="D37" s="61">
        <f>TREND(D35:D36,B35:B36,B37:B$40,TRUE)</f>
        <v>283774.54716554272</v>
      </c>
      <c r="E37" s="61">
        <f t="shared" si="5"/>
        <v>8249.2600920215482</v>
      </c>
      <c r="F37" s="61">
        <f t="shared" si="7"/>
        <v>283774.54716554272</v>
      </c>
      <c r="G37" s="61">
        <v>0</v>
      </c>
      <c r="H37" s="61">
        <f t="shared" si="0"/>
        <v>0</v>
      </c>
      <c r="I37" s="61">
        <f t="shared" si="1"/>
        <v>0</v>
      </c>
      <c r="J37" s="61">
        <f t="shared" si="2"/>
        <v>169623.37737386135</v>
      </c>
    </row>
    <row r="38" spans="1:10">
      <c r="A38" s="155" t="s">
        <v>427</v>
      </c>
      <c r="B38" s="59">
        <f t="shared" si="6"/>
        <v>33.840000000000003</v>
      </c>
      <c r="C38" s="59">
        <f>TREND(C36:C37,B36:B37,B38:B$40,TRUE)</f>
        <v>0</v>
      </c>
      <c r="D38" s="61">
        <f>TREND(D36:D37,B36:B37,B38:B$40,TRUE)</f>
        <v>292023.80725756421</v>
      </c>
      <c r="E38" s="61">
        <f t="shared" si="5"/>
        <v>8249.26009202149</v>
      </c>
      <c r="F38" s="61">
        <f t="shared" si="7"/>
        <v>292023.80725756421</v>
      </c>
      <c r="G38" s="61">
        <v>0</v>
      </c>
      <c r="H38" s="61">
        <f t="shared" si="0"/>
        <v>0</v>
      </c>
      <c r="I38" s="61">
        <f t="shared" si="1"/>
        <v>0</v>
      </c>
      <c r="J38" s="61">
        <f t="shared" si="2"/>
        <v>169623.37737386135</v>
      </c>
    </row>
    <row r="39" spans="1:10">
      <c r="A39" s="155" t="s">
        <v>428</v>
      </c>
      <c r="B39" s="59">
        <f t="shared" si="6"/>
        <v>34.840000000000003</v>
      </c>
      <c r="C39" s="59">
        <f>TREND(C37:C38,B37:B38,B39:B$40,TRUE)</f>
        <v>0</v>
      </c>
      <c r="D39" s="61">
        <f>TREND(D37:D38,B37:B38,B39:B$40,TRUE)</f>
        <v>300273.06734958565</v>
      </c>
      <c r="E39" s="61">
        <f t="shared" si="5"/>
        <v>8249.2600920214318</v>
      </c>
      <c r="F39" s="61">
        <f t="shared" si="7"/>
        <v>300273.06734958565</v>
      </c>
      <c r="G39" s="61">
        <v>0</v>
      </c>
      <c r="H39" s="61">
        <f t="shared" si="0"/>
        <v>0</v>
      </c>
      <c r="I39" s="61">
        <f t="shared" si="1"/>
        <v>0</v>
      </c>
      <c r="J39" s="61">
        <f t="shared" si="2"/>
        <v>169623.37737386135</v>
      </c>
    </row>
    <row r="40" spans="1:10">
      <c r="A40" s="155" t="s">
        <v>429</v>
      </c>
      <c r="B40" s="59">
        <v>35</v>
      </c>
      <c r="C40" s="59">
        <f>TREND(C38:C39,B38:B39,B40:B$40,TRUE)</f>
        <v>0</v>
      </c>
      <c r="D40" s="61">
        <f>TREND(D38:D39,B38:B39,B40:B$40,TRUE)</f>
        <v>301592.94896430906</v>
      </c>
      <c r="E40" s="61">
        <f>D40-D39</f>
        <v>1319.8816147234174</v>
      </c>
      <c r="F40" s="61">
        <f>D40-C40</f>
        <v>301592.94896430906</v>
      </c>
      <c r="G40" s="61">
        <v>0</v>
      </c>
      <c r="H40" s="61">
        <f t="shared" si="0"/>
        <v>0</v>
      </c>
      <c r="I40" s="61">
        <f t="shared" si="1"/>
        <v>0</v>
      </c>
      <c r="J40" s="61">
        <f t="shared" si="2"/>
        <v>169623.37737386135</v>
      </c>
    </row>
    <row r="41" spans="1:10">
      <c r="A41" s="16"/>
      <c r="E41" s="262" t="s">
        <v>430</v>
      </c>
      <c r="F41" s="263">
        <f>SUM(F4:F40)</f>
        <v>5936818.2080851477</v>
      </c>
    </row>
    <row r="42" spans="1:10">
      <c r="A42" s="16"/>
      <c r="E42" s="264" t="s">
        <v>431</v>
      </c>
      <c r="F42" s="265">
        <f>F41/35</f>
        <v>169623.37737386135</v>
      </c>
    </row>
    <row r="43" spans="1:10">
      <c r="F43" s="134"/>
    </row>
  </sheetData>
  <mergeCells count="2">
    <mergeCell ref="C2:G2"/>
    <mergeCell ref="H2:I2"/>
  </mergeCells>
  <phoneticPr fontId="15" type="noConversion"/>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DA1F-27DA-4BA1-BAAD-19F52041212E}">
  <dimension ref="A1:M261"/>
  <sheetViews>
    <sheetView topLeftCell="E1" zoomScale="97" workbookViewId="0">
      <selection activeCell="K4" sqref="K4"/>
    </sheetView>
  </sheetViews>
  <sheetFormatPr defaultRowHeight="15.75"/>
  <cols>
    <col min="1" max="1" width="9.140625" style="19"/>
    <col min="2" max="2" width="14.85546875" style="19" bestFit="1" customWidth="1"/>
    <col min="3" max="3" width="9.5703125" style="53" bestFit="1" customWidth="1"/>
    <col min="4" max="4" width="13.5703125" style="19" customWidth="1"/>
    <col min="5" max="5" width="17.28515625" style="19" bestFit="1" customWidth="1"/>
    <col min="6" max="6" width="10.85546875" style="19" customWidth="1"/>
    <col min="7" max="7" width="19.85546875" style="19" customWidth="1"/>
    <col min="8" max="8" width="16.7109375" style="54" bestFit="1" customWidth="1"/>
    <col min="9" max="9" width="22.5703125" bestFit="1" customWidth="1"/>
    <col min="10" max="10" width="11.85546875" customWidth="1"/>
    <col min="11" max="11" width="11" customWidth="1"/>
    <col min="12" max="12" width="14.42578125" style="56" customWidth="1"/>
    <col min="13" max="13" width="11.5703125" style="56" customWidth="1"/>
  </cols>
  <sheetData>
    <row r="1" spans="1:13" ht="16.5" thickBot="1">
      <c r="C1" s="19"/>
      <c r="H1" s="19"/>
    </row>
    <row r="2" spans="1:13" ht="16.5" thickBot="1">
      <c r="B2" s="20"/>
      <c r="C2" s="20"/>
      <c r="D2" s="21"/>
      <c r="E2" s="20"/>
      <c r="F2" s="20"/>
      <c r="G2" s="20"/>
      <c r="H2" s="20"/>
      <c r="I2" s="6"/>
    </row>
    <row r="3" spans="1:13" s="194" customFormat="1" ht="50.25">
      <c r="A3" s="271"/>
      <c r="B3" s="272" t="s">
        <v>432</v>
      </c>
      <c r="C3" s="23" t="s">
        <v>433</v>
      </c>
      <c r="D3" s="23" t="s">
        <v>434</v>
      </c>
      <c r="E3" s="23" t="s">
        <v>435</v>
      </c>
      <c r="F3" s="23" t="s">
        <v>436</v>
      </c>
      <c r="G3" s="23" t="s">
        <v>437</v>
      </c>
      <c r="H3" s="273" t="s">
        <v>438</v>
      </c>
      <c r="I3" s="272" t="s">
        <v>439</v>
      </c>
      <c r="J3" s="272" t="s">
        <v>440</v>
      </c>
      <c r="K3" s="272" t="s">
        <v>441</v>
      </c>
      <c r="L3" s="272" t="s">
        <v>442</v>
      </c>
      <c r="M3" s="272" t="s">
        <v>443</v>
      </c>
    </row>
    <row r="4" spans="1:13">
      <c r="A4" s="22"/>
      <c r="B4" s="389">
        <v>1</v>
      </c>
      <c r="C4" s="390" t="s">
        <v>444</v>
      </c>
      <c r="D4" s="24" t="s">
        <v>350</v>
      </c>
      <c r="E4" s="24"/>
      <c r="F4" s="24">
        <v>1</v>
      </c>
      <c r="G4" s="25">
        <v>38.5</v>
      </c>
      <c r="H4" s="25">
        <f t="shared" ref="H4:H51" si="0">G4/3.14</f>
        <v>12.261146496815286</v>
      </c>
      <c r="I4" s="59">
        <f>30.4*EXP(-5.07*EXP(-0.26*H4)+1.277)</f>
        <v>88.434485897848504</v>
      </c>
      <c r="J4" s="59">
        <f>I4*'Key Data'!$F$3</f>
        <v>22.108621474462126</v>
      </c>
      <c r="K4" s="59">
        <f>I4+J4</f>
        <v>110.54310737231063</v>
      </c>
      <c r="L4" s="344">
        <f>SUM(K4:K19)/1000</f>
        <v>1.8260734031930437</v>
      </c>
      <c r="M4" s="344">
        <f>(L4/625)*10000</f>
        <v>29.217174451088699</v>
      </c>
    </row>
    <row r="5" spans="1:13">
      <c r="A5" s="22"/>
      <c r="B5" s="389"/>
      <c r="C5" s="390"/>
      <c r="D5" s="24">
        <v>13.278456</v>
      </c>
      <c r="E5" s="24">
        <v>79.202430000000007</v>
      </c>
      <c r="F5" s="24">
        <v>2</v>
      </c>
      <c r="G5" s="25">
        <v>46</v>
      </c>
      <c r="H5" s="25">
        <f t="shared" si="0"/>
        <v>14.64968152866242</v>
      </c>
      <c r="I5" s="59">
        <f t="shared" ref="I5:I68" si="1">30.4*EXP(-5.07*EXP(-0.26*H5)+1.277)</f>
        <v>97.419820513451157</v>
      </c>
      <c r="J5" s="59">
        <f>I5*'Key Data'!$F$3</f>
        <v>24.354955128362789</v>
      </c>
      <c r="K5" s="59">
        <f t="shared" ref="K5:K68" si="2">I5+J5</f>
        <v>121.77477564181395</v>
      </c>
      <c r="L5" s="344"/>
      <c r="M5" s="344"/>
    </row>
    <row r="6" spans="1:13">
      <c r="A6" s="22"/>
      <c r="B6" s="389"/>
      <c r="C6" s="390"/>
      <c r="D6" s="24" t="s">
        <v>445</v>
      </c>
      <c r="E6" s="24"/>
      <c r="F6" s="24">
        <v>3</v>
      </c>
      <c r="G6" s="25">
        <v>34.5</v>
      </c>
      <c r="H6" s="25">
        <f t="shared" si="0"/>
        <v>10.987261146496815</v>
      </c>
      <c r="I6" s="59">
        <f t="shared" si="1"/>
        <v>81.461190941682815</v>
      </c>
      <c r="J6" s="59">
        <f>I6*'Key Data'!$F$3</f>
        <v>20.365297735420704</v>
      </c>
      <c r="K6" s="59">
        <f t="shared" si="2"/>
        <v>101.82648867710353</v>
      </c>
      <c r="L6" s="344"/>
      <c r="M6" s="344"/>
    </row>
    <row r="7" spans="1:13">
      <c r="A7" s="22"/>
      <c r="B7" s="389"/>
      <c r="C7" s="390"/>
      <c r="D7" s="24">
        <v>13.278465000000001</v>
      </c>
      <c r="E7" s="24">
        <v>79.207430000000002</v>
      </c>
      <c r="F7" s="24">
        <v>4</v>
      </c>
      <c r="G7" s="25">
        <v>61</v>
      </c>
      <c r="H7" s="25">
        <f t="shared" si="0"/>
        <v>19.426751592356688</v>
      </c>
      <c r="I7" s="59">
        <f t="shared" si="1"/>
        <v>105.52821094553939</v>
      </c>
      <c r="J7" s="59">
        <f>I7*'Key Data'!$F$3</f>
        <v>26.382052736384846</v>
      </c>
      <c r="K7" s="59">
        <f t="shared" si="2"/>
        <v>131.91026368192422</v>
      </c>
      <c r="L7" s="344"/>
      <c r="M7" s="344"/>
    </row>
    <row r="8" spans="1:13">
      <c r="A8" s="22"/>
      <c r="B8" s="389"/>
      <c r="C8" s="390"/>
      <c r="D8" s="24" t="s">
        <v>446</v>
      </c>
      <c r="E8" s="24"/>
      <c r="F8" s="24">
        <v>5</v>
      </c>
      <c r="G8" s="25">
        <v>55</v>
      </c>
      <c r="H8" s="25">
        <f t="shared" si="0"/>
        <v>17.515923566878982</v>
      </c>
      <c r="I8" s="59">
        <f t="shared" si="1"/>
        <v>103.34658411791347</v>
      </c>
      <c r="J8" s="59">
        <f>I8*'Key Data'!$F$3</f>
        <v>25.836646029478366</v>
      </c>
      <c r="K8" s="59">
        <f t="shared" si="2"/>
        <v>129.18323014739184</v>
      </c>
      <c r="L8" s="344"/>
      <c r="M8" s="344"/>
    </row>
    <row r="9" spans="1:13">
      <c r="A9" s="22"/>
      <c r="B9" s="389"/>
      <c r="C9" s="390"/>
      <c r="D9" s="24">
        <v>13.278625</v>
      </c>
      <c r="E9" s="24">
        <v>79.202690000000004</v>
      </c>
      <c r="F9" s="24">
        <v>6</v>
      </c>
      <c r="G9" s="25">
        <v>14</v>
      </c>
      <c r="H9" s="25">
        <f t="shared" si="0"/>
        <v>4.4585987261146496</v>
      </c>
      <c r="I9" s="59">
        <f t="shared" si="1"/>
        <v>22.216880839369029</v>
      </c>
      <c r="J9" s="59">
        <f>I9*'Key Data'!$F$3</f>
        <v>5.5542202098422573</v>
      </c>
      <c r="K9" s="59">
        <f t="shared" si="2"/>
        <v>27.771101049211286</v>
      </c>
      <c r="L9" s="344"/>
      <c r="M9" s="344"/>
    </row>
    <row r="10" spans="1:13">
      <c r="A10" s="22"/>
      <c r="B10" s="389"/>
      <c r="C10" s="390"/>
      <c r="D10" s="24" t="s">
        <v>447</v>
      </c>
      <c r="E10" s="24"/>
      <c r="F10" s="24">
        <v>7</v>
      </c>
      <c r="G10" s="25">
        <v>44.5</v>
      </c>
      <c r="H10" s="25">
        <f t="shared" si="0"/>
        <v>14.171974522292993</v>
      </c>
      <c r="I10" s="59">
        <f t="shared" si="1"/>
        <v>95.982267081716614</v>
      </c>
      <c r="J10" s="59">
        <f>I10*'Key Data'!$F$3</f>
        <v>23.995566770429154</v>
      </c>
      <c r="K10" s="59">
        <f t="shared" si="2"/>
        <v>119.97783385214576</v>
      </c>
      <c r="L10" s="344"/>
      <c r="M10" s="344"/>
    </row>
    <row r="11" spans="1:13">
      <c r="A11" s="22"/>
      <c r="B11" s="389"/>
      <c r="C11" s="390"/>
      <c r="D11" s="24">
        <v>13.278668</v>
      </c>
      <c r="E11" s="24">
        <v>79.202483000000001</v>
      </c>
      <c r="F11" s="24">
        <v>8</v>
      </c>
      <c r="G11" s="25">
        <v>49</v>
      </c>
      <c r="H11" s="25">
        <f t="shared" si="0"/>
        <v>15.605095541401273</v>
      </c>
      <c r="I11" s="59">
        <f t="shared" si="1"/>
        <v>99.85866326147945</v>
      </c>
      <c r="J11" s="59">
        <f>I11*'Key Data'!$F$3</f>
        <v>24.964665815369862</v>
      </c>
      <c r="K11" s="59">
        <f t="shared" si="2"/>
        <v>124.82332907684932</v>
      </c>
      <c r="L11" s="344"/>
      <c r="M11" s="344"/>
    </row>
    <row r="12" spans="1:13">
      <c r="A12" s="22"/>
      <c r="B12" s="389"/>
      <c r="C12" s="390"/>
      <c r="D12" s="24" t="s">
        <v>448</v>
      </c>
      <c r="E12" s="24"/>
      <c r="F12" s="24">
        <v>9</v>
      </c>
      <c r="G12" s="25">
        <v>54.9</v>
      </c>
      <c r="H12" s="25">
        <f t="shared" si="0"/>
        <v>17.484076433121018</v>
      </c>
      <c r="I12" s="59">
        <f t="shared" si="1"/>
        <v>103.30074747459435</v>
      </c>
      <c r="J12" s="59">
        <f>I12*'Key Data'!$F$3</f>
        <v>25.825186868648586</v>
      </c>
      <c r="K12" s="59">
        <f t="shared" si="2"/>
        <v>129.12593434324293</v>
      </c>
      <c r="L12" s="344"/>
      <c r="M12" s="344"/>
    </row>
    <row r="13" spans="1:13">
      <c r="A13" s="22"/>
      <c r="B13" s="389"/>
      <c r="C13" s="390"/>
      <c r="D13" s="24">
        <v>13.278575</v>
      </c>
      <c r="E13" s="24">
        <v>79.202567000000002</v>
      </c>
      <c r="F13" s="24">
        <v>10</v>
      </c>
      <c r="G13" s="25">
        <v>54.5</v>
      </c>
      <c r="H13" s="25">
        <f t="shared" si="0"/>
        <v>17.35668789808917</v>
      </c>
      <c r="I13" s="59">
        <f t="shared" si="1"/>
        <v>103.11376887493688</v>
      </c>
      <c r="J13" s="59">
        <f>I13*'Key Data'!$F$3</f>
        <v>25.77844221873422</v>
      </c>
      <c r="K13" s="59">
        <f t="shared" si="2"/>
        <v>128.89221109367111</v>
      </c>
      <c r="L13" s="344"/>
      <c r="M13" s="344"/>
    </row>
    <row r="14" spans="1:13">
      <c r="A14" s="22"/>
      <c r="B14" s="389"/>
      <c r="C14" s="390"/>
      <c r="D14" s="24"/>
      <c r="E14" s="24"/>
      <c r="F14" s="24">
        <v>11</v>
      </c>
      <c r="G14" s="25">
        <v>44.5</v>
      </c>
      <c r="H14" s="25">
        <f t="shared" si="0"/>
        <v>14.171974522292993</v>
      </c>
      <c r="I14" s="59">
        <f t="shared" si="1"/>
        <v>95.982267081716614</v>
      </c>
      <c r="J14" s="59">
        <f>I14*'Key Data'!$F$3</f>
        <v>23.995566770429154</v>
      </c>
      <c r="K14" s="59">
        <f t="shared" si="2"/>
        <v>119.97783385214576</v>
      </c>
      <c r="L14" s="344"/>
      <c r="M14" s="344"/>
    </row>
    <row r="15" spans="1:13">
      <c r="A15" s="22"/>
      <c r="B15" s="389"/>
      <c r="C15" s="390"/>
      <c r="D15" s="24"/>
      <c r="E15" s="24"/>
      <c r="F15" s="24">
        <v>12</v>
      </c>
      <c r="G15" s="25">
        <v>49.5</v>
      </c>
      <c r="H15" s="25">
        <f t="shared" si="0"/>
        <v>15.764331210191083</v>
      </c>
      <c r="I15" s="59">
        <f t="shared" si="1"/>
        <v>100.21441490790885</v>
      </c>
      <c r="J15" s="59">
        <f>I15*'Key Data'!$F$3</f>
        <v>25.053603726977212</v>
      </c>
      <c r="K15" s="59">
        <f t="shared" si="2"/>
        <v>125.26801863488606</v>
      </c>
      <c r="L15" s="344"/>
      <c r="M15" s="344"/>
    </row>
    <row r="16" spans="1:13">
      <c r="A16" s="22"/>
      <c r="B16" s="389"/>
      <c r="C16" s="390"/>
      <c r="D16" s="24"/>
      <c r="E16" s="24"/>
      <c r="F16" s="24">
        <v>13</v>
      </c>
      <c r="G16" s="25">
        <v>53.5</v>
      </c>
      <c r="H16" s="25">
        <f t="shared" si="0"/>
        <v>17.038216560509554</v>
      </c>
      <c r="I16" s="59">
        <f t="shared" si="1"/>
        <v>102.61994382473823</v>
      </c>
      <c r="J16" s="59">
        <f>I16*'Key Data'!$F$3</f>
        <v>25.654985956184557</v>
      </c>
      <c r="K16" s="59">
        <f t="shared" si="2"/>
        <v>128.27492978092278</v>
      </c>
      <c r="L16" s="344"/>
      <c r="M16" s="344"/>
    </row>
    <row r="17" spans="1:13">
      <c r="A17" s="22"/>
      <c r="B17" s="389"/>
      <c r="C17" s="390"/>
      <c r="D17" s="24"/>
      <c r="E17" s="24"/>
      <c r="F17" s="24">
        <v>14</v>
      </c>
      <c r="G17" s="25">
        <v>46</v>
      </c>
      <c r="H17" s="25">
        <f t="shared" si="0"/>
        <v>14.64968152866242</v>
      </c>
      <c r="I17" s="59">
        <f t="shared" si="1"/>
        <v>97.419820513451157</v>
      </c>
      <c r="J17" s="59">
        <f>I17*'Key Data'!$F$3</f>
        <v>24.354955128362789</v>
      </c>
      <c r="K17" s="59">
        <f t="shared" si="2"/>
        <v>121.77477564181395</v>
      </c>
      <c r="L17" s="344"/>
      <c r="M17" s="344"/>
    </row>
    <row r="18" spans="1:13">
      <c r="A18" s="22"/>
      <c r="B18" s="389"/>
      <c r="C18" s="390"/>
      <c r="D18" s="24"/>
      <c r="E18" s="24"/>
      <c r="F18" s="24">
        <v>15</v>
      </c>
      <c r="G18" s="25">
        <v>40.5</v>
      </c>
      <c r="H18" s="25">
        <f t="shared" si="0"/>
        <v>12.898089171974522</v>
      </c>
      <c r="I18" s="59">
        <f t="shared" si="1"/>
        <v>91.303304541138814</v>
      </c>
      <c r="J18" s="59">
        <f>I18*'Key Data'!$F$3</f>
        <v>22.825826135284704</v>
      </c>
      <c r="K18" s="59">
        <f t="shared" si="2"/>
        <v>114.12913067642351</v>
      </c>
      <c r="L18" s="344"/>
      <c r="M18" s="344"/>
    </row>
    <row r="19" spans="1:13">
      <c r="A19" s="22"/>
      <c r="B19" s="389"/>
      <c r="C19" s="390"/>
      <c r="D19" s="24"/>
      <c r="E19" s="24"/>
      <c r="F19" s="24">
        <v>16</v>
      </c>
      <c r="G19" s="25">
        <v>30.5</v>
      </c>
      <c r="H19" s="25">
        <f t="shared" si="0"/>
        <v>9.7133757961783438</v>
      </c>
      <c r="I19" s="59">
        <f t="shared" si="1"/>
        <v>72.65635173694983</v>
      </c>
      <c r="J19" s="59">
        <f>I19*'Key Data'!$F$3</f>
        <v>18.164087934237457</v>
      </c>
      <c r="K19" s="59">
        <f t="shared" si="2"/>
        <v>90.820439671187287</v>
      </c>
      <c r="L19" s="344"/>
      <c r="M19" s="344"/>
    </row>
    <row r="20" spans="1:13">
      <c r="A20" s="22"/>
      <c r="B20" s="395">
        <v>2</v>
      </c>
      <c r="C20" s="396" t="s">
        <v>449</v>
      </c>
      <c r="D20" s="26" t="s">
        <v>350</v>
      </c>
      <c r="E20" s="26"/>
      <c r="F20" s="27">
        <v>1</v>
      </c>
      <c r="G20" s="28">
        <v>60.5</v>
      </c>
      <c r="H20" s="28">
        <f t="shared" si="0"/>
        <v>19.267515923566879</v>
      </c>
      <c r="I20" s="59">
        <f t="shared" si="1"/>
        <v>105.38349665761297</v>
      </c>
      <c r="J20" s="59">
        <f>I20*'Key Data'!$F$3</f>
        <v>26.345874164403241</v>
      </c>
      <c r="K20" s="59">
        <f t="shared" si="2"/>
        <v>131.72937082201622</v>
      </c>
      <c r="L20" s="344">
        <f>SUM(K20:K35)/1000</f>
        <v>2.1099056803135121</v>
      </c>
      <c r="M20" s="344">
        <f>(L20/625)*10000</f>
        <v>33.758490885016194</v>
      </c>
    </row>
    <row r="21" spans="1:13">
      <c r="A21" s="22"/>
      <c r="B21" s="395"/>
      <c r="C21" s="396"/>
      <c r="D21" s="26">
        <v>13.297136999999999</v>
      </c>
      <c r="E21" s="26">
        <v>79.203856000000002</v>
      </c>
      <c r="F21" s="27">
        <v>2</v>
      </c>
      <c r="G21" s="28">
        <v>62.5</v>
      </c>
      <c r="H21" s="28">
        <f t="shared" si="0"/>
        <v>19.904458598726112</v>
      </c>
      <c r="I21" s="59">
        <f t="shared" si="1"/>
        <v>105.92911613339652</v>
      </c>
      <c r="J21" s="59">
        <f>I21*'Key Data'!$F$3</f>
        <v>26.48227903334913</v>
      </c>
      <c r="K21" s="59">
        <f t="shared" si="2"/>
        <v>132.41139516674565</v>
      </c>
      <c r="L21" s="344"/>
      <c r="M21" s="344"/>
    </row>
    <row r="22" spans="1:13">
      <c r="A22" s="22"/>
      <c r="B22" s="395"/>
      <c r="C22" s="396"/>
      <c r="D22" s="26" t="s">
        <v>445</v>
      </c>
      <c r="E22" s="26"/>
      <c r="F22" s="27">
        <v>3</v>
      </c>
      <c r="G22" s="28">
        <v>55.5</v>
      </c>
      <c r="H22" s="28">
        <f t="shared" si="0"/>
        <v>17.67515923566879</v>
      </c>
      <c r="I22" s="59">
        <f t="shared" si="1"/>
        <v>103.57045141886734</v>
      </c>
      <c r="J22" s="59">
        <f>I22*'Key Data'!$F$3</f>
        <v>25.892612854716834</v>
      </c>
      <c r="K22" s="59">
        <f t="shared" si="2"/>
        <v>129.46306427358417</v>
      </c>
      <c r="L22" s="344"/>
      <c r="M22" s="344"/>
    </row>
    <row r="23" spans="1:13">
      <c r="A23" s="22"/>
      <c r="B23" s="395"/>
      <c r="C23" s="396"/>
      <c r="D23" s="26">
        <v>13.296898300000001</v>
      </c>
      <c r="E23" s="26">
        <v>79.203811999999999</v>
      </c>
      <c r="F23" s="27">
        <v>4</v>
      </c>
      <c r="G23" s="28">
        <v>47</v>
      </c>
      <c r="H23" s="28">
        <f t="shared" si="0"/>
        <v>14.968152866242038</v>
      </c>
      <c r="I23" s="59">
        <f t="shared" si="1"/>
        <v>98.293983126644591</v>
      </c>
      <c r="J23" s="59">
        <f>I23*'Key Data'!$F$3</f>
        <v>24.573495781661148</v>
      </c>
      <c r="K23" s="59">
        <f t="shared" si="2"/>
        <v>122.86747890830574</v>
      </c>
      <c r="L23" s="344"/>
      <c r="M23" s="344"/>
    </row>
    <row r="24" spans="1:13">
      <c r="A24" s="22"/>
      <c r="B24" s="395"/>
      <c r="C24" s="396"/>
      <c r="D24" s="26" t="s">
        <v>446</v>
      </c>
      <c r="E24" s="26"/>
      <c r="F24" s="27">
        <v>5</v>
      </c>
      <c r="G24" s="28">
        <v>83.5</v>
      </c>
      <c r="H24" s="28">
        <f t="shared" si="0"/>
        <v>26.592356687898089</v>
      </c>
      <c r="I24" s="59">
        <f t="shared" si="1"/>
        <v>108.46247218597412</v>
      </c>
      <c r="J24" s="59">
        <f>I24*'Key Data'!$F$3</f>
        <v>27.11561804649353</v>
      </c>
      <c r="K24" s="59">
        <f t="shared" si="2"/>
        <v>135.57809023246764</v>
      </c>
      <c r="L24" s="344"/>
      <c r="M24" s="344"/>
    </row>
    <row r="25" spans="1:13">
      <c r="A25" s="22"/>
      <c r="B25" s="395"/>
      <c r="C25" s="396"/>
      <c r="D25" s="26">
        <v>13.296958</v>
      </c>
      <c r="E25" s="26">
        <v>79.204025999999999</v>
      </c>
      <c r="F25" s="27">
        <v>6</v>
      </c>
      <c r="G25" s="28">
        <v>70.5</v>
      </c>
      <c r="H25" s="28">
        <f t="shared" si="0"/>
        <v>22.452229299363058</v>
      </c>
      <c r="I25" s="59">
        <f t="shared" si="1"/>
        <v>107.41061761640849</v>
      </c>
      <c r="J25" s="59">
        <f>I25*'Key Data'!$F$3</f>
        <v>26.852654404102122</v>
      </c>
      <c r="K25" s="59">
        <f t="shared" si="2"/>
        <v>134.26327202051061</v>
      </c>
      <c r="L25" s="344"/>
      <c r="M25" s="344"/>
    </row>
    <row r="26" spans="1:13">
      <c r="A26" s="22"/>
      <c r="B26" s="395"/>
      <c r="C26" s="396"/>
      <c r="D26" s="26" t="s">
        <v>447</v>
      </c>
      <c r="E26" s="26"/>
      <c r="F26" s="27">
        <v>7</v>
      </c>
      <c r="G26" s="28">
        <v>65</v>
      </c>
      <c r="H26" s="28">
        <f t="shared" si="0"/>
        <v>20.700636942675157</v>
      </c>
      <c r="I26" s="59">
        <f t="shared" si="1"/>
        <v>106.49856262815956</v>
      </c>
      <c r="J26" s="59">
        <f>I26*'Key Data'!$F$3</f>
        <v>26.62464065703989</v>
      </c>
      <c r="K26" s="59">
        <f t="shared" si="2"/>
        <v>133.12320328519945</v>
      </c>
      <c r="L26" s="344"/>
      <c r="M26" s="344"/>
    </row>
    <row r="27" spans="1:13">
      <c r="A27" s="22"/>
      <c r="B27" s="395"/>
      <c r="C27" s="396"/>
      <c r="D27" s="26">
        <v>13.297122</v>
      </c>
      <c r="E27" s="26">
        <v>79.204048</v>
      </c>
      <c r="F27" s="27">
        <v>8</v>
      </c>
      <c r="G27" s="28">
        <v>50</v>
      </c>
      <c r="H27" s="28">
        <f t="shared" si="0"/>
        <v>15.923566878980891</v>
      </c>
      <c r="I27" s="59">
        <f t="shared" si="1"/>
        <v>100.55692997803489</v>
      </c>
      <c r="J27" s="59">
        <f>I27*'Key Data'!$F$3</f>
        <v>25.139232494508722</v>
      </c>
      <c r="K27" s="59">
        <f t="shared" si="2"/>
        <v>125.69616247254361</v>
      </c>
      <c r="L27" s="344"/>
      <c r="M27" s="344"/>
    </row>
    <row r="28" spans="1:13">
      <c r="A28" s="22"/>
      <c r="B28" s="395"/>
      <c r="C28" s="396"/>
      <c r="D28" s="26" t="s">
        <v>448</v>
      </c>
      <c r="E28" s="26"/>
      <c r="F28" s="27">
        <v>9</v>
      </c>
      <c r="G28" s="28">
        <v>64</v>
      </c>
      <c r="H28" s="28">
        <f t="shared" si="0"/>
        <v>20.38216560509554</v>
      </c>
      <c r="I28" s="59">
        <f t="shared" si="1"/>
        <v>106.28446193284658</v>
      </c>
      <c r="J28" s="59">
        <f>I28*'Key Data'!$F$3</f>
        <v>26.571115483211646</v>
      </c>
      <c r="K28" s="59">
        <f t="shared" si="2"/>
        <v>132.85557741605822</v>
      </c>
      <c r="L28" s="344"/>
      <c r="M28" s="344"/>
    </row>
    <row r="29" spans="1:13">
      <c r="A29" s="22"/>
      <c r="B29" s="395"/>
      <c r="C29" s="396"/>
      <c r="D29" s="26">
        <v>13.297045000000001</v>
      </c>
      <c r="E29" s="26">
        <v>79.203805000000003</v>
      </c>
      <c r="F29" s="27">
        <v>10</v>
      </c>
      <c r="G29" s="28">
        <v>68.5</v>
      </c>
      <c r="H29" s="28">
        <f t="shared" si="0"/>
        <v>21.815286624203821</v>
      </c>
      <c r="I29" s="59">
        <f t="shared" si="1"/>
        <v>107.12500390758242</v>
      </c>
      <c r="J29" s="59">
        <f>I29*'Key Data'!$F$3</f>
        <v>26.781250976895606</v>
      </c>
      <c r="K29" s="59">
        <f t="shared" si="2"/>
        <v>133.90625488447802</v>
      </c>
      <c r="L29" s="344"/>
      <c r="M29" s="344"/>
    </row>
    <row r="30" spans="1:13">
      <c r="A30" s="22"/>
      <c r="B30" s="395"/>
      <c r="C30" s="396"/>
      <c r="D30" s="26"/>
      <c r="E30" s="26"/>
      <c r="F30" s="27">
        <v>11</v>
      </c>
      <c r="G30" s="28">
        <v>83</v>
      </c>
      <c r="H30" s="28">
        <f t="shared" si="0"/>
        <v>26.433121019108277</v>
      </c>
      <c r="I30" s="59">
        <f t="shared" si="1"/>
        <v>108.43937502901721</v>
      </c>
      <c r="J30" s="59">
        <f>I30*'Key Data'!$F$3</f>
        <v>27.109843757254303</v>
      </c>
      <c r="K30" s="59">
        <f t="shared" si="2"/>
        <v>135.54921878627152</v>
      </c>
      <c r="L30" s="344"/>
      <c r="M30" s="344"/>
    </row>
    <row r="31" spans="1:13">
      <c r="A31" s="22"/>
      <c r="B31" s="395"/>
      <c r="C31" s="396"/>
      <c r="D31" s="26"/>
      <c r="E31" s="26"/>
      <c r="F31" s="27">
        <v>12</v>
      </c>
      <c r="G31" s="28">
        <v>56.5</v>
      </c>
      <c r="H31" s="28">
        <f t="shared" si="0"/>
        <v>17.993630573248407</v>
      </c>
      <c r="I31" s="59">
        <f t="shared" si="1"/>
        <v>103.99263041159999</v>
      </c>
      <c r="J31" s="59">
        <f>I31*'Key Data'!$F$3</f>
        <v>25.998157602899997</v>
      </c>
      <c r="K31" s="59">
        <f t="shared" si="2"/>
        <v>129.9907880145</v>
      </c>
      <c r="L31" s="344"/>
      <c r="M31" s="344"/>
    </row>
    <row r="32" spans="1:13">
      <c r="A32" s="22"/>
      <c r="B32" s="395"/>
      <c r="C32" s="396"/>
      <c r="D32" s="26"/>
      <c r="E32" s="26"/>
      <c r="F32" s="27">
        <v>13</v>
      </c>
      <c r="G32" s="28">
        <v>79.5</v>
      </c>
      <c r="H32" s="28">
        <f t="shared" si="0"/>
        <v>25.318471337579616</v>
      </c>
      <c r="I32" s="59">
        <f t="shared" si="1"/>
        <v>108.24810973696711</v>
      </c>
      <c r="J32" s="59">
        <f>I32*'Key Data'!$F$3</f>
        <v>27.062027434241777</v>
      </c>
      <c r="K32" s="59">
        <f t="shared" si="2"/>
        <v>135.31013717120888</v>
      </c>
      <c r="L32" s="344"/>
      <c r="M32" s="344"/>
    </row>
    <row r="33" spans="1:13">
      <c r="A33" s="22"/>
      <c r="B33" s="395"/>
      <c r="C33" s="396"/>
      <c r="D33" s="26"/>
      <c r="E33" s="26"/>
      <c r="F33" s="27">
        <v>14</v>
      </c>
      <c r="G33" s="28">
        <v>59.5</v>
      </c>
      <c r="H33" s="28">
        <f t="shared" si="0"/>
        <v>18.949044585987259</v>
      </c>
      <c r="I33" s="59">
        <f t="shared" si="1"/>
        <v>105.07611863457613</v>
      </c>
      <c r="J33" s="59">
        <f>I33*'Key Data'!$F$3</f>
        <v>26.269029658644033</v>
      </c>
      <c r="K33" s="59">
        <f t="shared" si="2"/>
        <v>131.34514829322018</v>
      </c>
      <c r="L33" s="344"/>
      <c r="M33" s="344"/>
    </row>
    <row r="34" spans="1:13">
      <c r="A34" s="22"/>
      <c r="B34" s="395"/>
      <c r="C34" s="396"/>
      <c r="D34" s="26"/>
      <c r="E34" s="26"/>
      <c r="F34" s="27">
        <v>15</v>
      </c>
      <c r="G34" s="28">
        <v>68.5</v>
      </c>
      <c r="H34" s="28">
        <f t="shared" si="0"/>
        <v>21.815286624203821</v>
      </c>
      <c r="I34" s="59">
        <f t="shared" si="1"/>
        <v>107.12500390758242</v>
      </c>
      <c r="J34" s="59">
        <f>I34*'Key Data'!$F$3</f>
        <v>26.781250976895606</v>
      </c>
      <c r="K34" s="59">
        <f t="shared" si="2"/>
        <v>133.90625488447802</v>
      </c>
      <c r="L34" s="344"/>
      <c r="M34" s="344"/>
    </row>
    <row r="35" spans="1:13">
      <c r="A35" s="22"/>
      <c r="B35" s="395"/>
      <c r="C35" s="396"/>
      <c r="D35" s="26"/>
      <c r="E35" s="26"/>
      <c r="F35" s="27">
        <v>16</v>
      </c>
      <c r="G35" s="28">
        <v>61</v>
      </c>
      <c r="H35" s="28">
        <f t="shared" si="0"/>
        <v>19.426751592356688</v>
      </c>
      <c r="I35" s="59">
        <f t="shared" si="1"/>
        <v>105.52821094553939</v>
      </c>
      <c r="J35" s="59">
        <f>I35*'Key Data'!$F$3</f>
        <v>26.382052736384846</v>
      </c>
      <c r="K35" s="59">
        <f t="shared" si="2"/>
        <v>131.91026368192422</v>
      </c>
      <c r="L35" s="344"/>
      <c r="M35" s="344"/>
    </row>
    <row r="36" spans="1:13">
      <c r="A36" s="22"/>
      <c r="B36" s="375">
        <v>3</v>
      </c>
      <c r="C36" s="376" t="s">
        <v>450</v>
      </c>
      <c r="D36" s="29" t="s">
        <v>350</v>
      </c>
      <c r="E36" s="29"/>
      <c r="F36" s="29">
        <v>1</v>
      </c>
      <c r="G36" s="30">
        <v>55.5</v>
      </c>
      <c r="H36" s="30">
        <f t="shared" si="0"/>
        <v>17.67515923566879</v>
      </c>
      <c r="I36" s="59">
        <f t="shared" si="1"/>
        <v>103.57045141886734</v>
      </c>
      <c r="J36" s="59">
        <f>I36*'Key Data'!$F$3</f>
        <v>25.892612854716834</v>
      </c>
      <c r="K36" s="59">
        <f t="shared" si="2"/>
        <v>129.46306427358417</v>
      </c>
      <c r="L36" s="344">
        <f>SUM(K36:K51)/1000</f>
        <v>2.070735177721025</v>
      </c>
      <c r="M36" s="344">
        <f>(L36/625)*10000</f>
        <v>33.1317628435364</v>
      </c>
    </row>
    <row r="37" spans="1:13">
      <c r="A37" s="22"/>
      <c r="B37" s="375"/>
      <c r="C37" s="376"/>
      <c r="D37" s="31">
        <v>13.302569999999999</v>
      </c>
      <c r="E37" s="31">
        <v>79.311809999999994</v>
      </c>
      <c r="F37" s="29">
        <v>2</v>
      </c>
      <c r="G37" s="30">
        <v>58</v>
      </c>
      <c r="H37" s="30">
        <f t="shared" si="0"/>
        <v>18.471337579617835</v>
      </c>
      <c r="I37" s="59">
        <f t="shared" si="1"/>
        <v>104.56657614406886</v>
      </c>
      <c r="J37" s="59">
        <f>I37*'Key Data'!$F$3</f>
        <v>26.141644036017215</v>
      </c>
      <c r="K37" s="59">
        <f t="shared" si="2"/>
        <v>130.70822018008607</v>
      </c>
      <c r="L37" s="344"/>
      <c r="M37" s="344"/>
    </row>
    <row r="38" spans="1:13">
      <c r="A38" s="22"/>
      <c r="B38" s="375"/>
      <c r="C38" s="376"/>
      <c r="D38" s="29" t="s">
        <v>445</v>
      </c>
      <c r="E38" s="29"/>
      <c r="F38" s="29">
        <v>3</v>
      </c>
      <c r="G38" s="30">
        <v>55</v>
      </c>
      <c r="H38" s="30">
        <f t="shared" si="0"/>
        <v>17.515923566878982</v>
      </c>
      <c r="I38" s="59">
        <f t="shared" si="1"/>
        <v>103.34658411791347</v>
      </c>
      <c r="J38" s="59">
        <f>I38*'Key Data'!$F$3</f>
        <v>25.836646029478366</v>
      </c>
      <c r="K38" s="59">
        <f t="shared" si="2"/>
        <v>129.18323014739184</v>
      </c>
      <c r="L38" s="344"/>
      <c r="M38" s="344"/>
    </row>
    <row r="39" spans="1:13">
      <c r="A39" s="22"/>
      <c r="B39" s="375"/>
      <c r="C39" s="376"/>
      <c r="D39" s="31">
        <v>13.30259</v>
      </c>
      <c r="E39" s="31">
        <v>79.312029999999993</v>
      </c>
      <c r="F39" s="29">
        <v>4</v>
      </c>
      <c r="G39" s="30">
        <v>55.5</v>
      </c>
      <c r="H39" s="30">
        <f t="shared" si="0"/>
        <v>17.67515923566879</v>
      </c>
      <c r="I39" s="59">
        <f t="shared" si="1"/>
        <v>103.57045141886734</v>
      </c>
      <c r="J39" s="59">
        <f>I39*'Key Data'!$F$3</f>
        <v>25.892612854716834</v>
      </c>
      <c r="K39" s="59">
        <f t="shared" si="2"/>
        <v>129.46306427358417</v>
      </c>
      <c r="L39" s="344"/>
      <c r="M39" s="344"/>
    </row>
    <row r="40" spans="1:13">
      <c r="A40" s="22"/>
      <c r="B40" s="375"/>
      <c r="C40" s="376"/>
      <c r="D40" s="29" t="s">
        <v>446</v>
      </c>
      <c r="E40" s="29"/>
      <c r="F40" s="29">
        <v>5</v>
      </c>
      <c r="G40" s="30">
        <v>57.5</v>
      </c>
      <c r="H40" s="30">
        <f t="shared" si="0"/>
        <v>18.312101910828027</v>
      </c>
      <c r="I40" s="59">
        <f t="shared" si="1"/>
        <v>104.38278110345003</v>
      </c>
      <c r="J40" s="59">
        <f>I40*'Key Data'!$F$3</f>
        <v>26.095695275862507</v>
      </c>
      <c r="K40" s="59">
        <f t="shared" si="2"/>
        <v>130.47847637931253</v>
      </c>
      <c r="L40" s="344"/>
      <c r="M40" s="344"/>
    </row>
    <row r="41" spans="1:13">
      <c r="A41" s="22"/>
      <c r="B41" s="375"/>
      <c r="C41" s="376"/>
      <c r="D41" s="31">
        <v>13.302759999999999</v>
      </c>
      <c r="E41" s="31">
        <v>79.311989999999994</v>
      </c>
      <c r="F41" s="29">
        <v>6</v>
      </c>
      <c r="G41" s="30">
        <v>43.4</v>
      </c>
      <c r="H41" s="30">
        <f t="shared" si="0"/>
        <v>13.821656050955413</v>
      </c>
      <c r="I41" s="59">
        <f t="shared" si="1"/>
        <v>94.824342597604442</v>
      </c>
      <c r="J41" s="59">
        <f>I41*'Key Data'!$F$3</f>
        <v>23.706085649401111</v>
      </c>
      <c r="K41" s="59">
        <f t="shared" si="2"/>
        <v>118.53042824700555</v>
      </c>
      <c r="L41" s="344"/>
      <c r="M41" s="344"/>
    </row>
    <row r="42" spans="1:13">
      <c r="A42" s="22"/>
      <c r="B42" s="375"/>
      <c r="C42" s="376"/>
      <c r="D42" s="29" t="s">
        <v>447</v>
      </c>
      <c r="E42" s="29"/>
      <c r="F42" s="29">
        <v>7</v>
      </c>
      <c r="G42" s="30">
        <v>56</v>
      </c>
      <c r="H42" s="30">
        <f t="shared" si="0"/>
        <v>17.834394904458598</v>
      </c>
      <c r="I42" s="59">
        <f t="shared" si="1"/>
        <v>103.78569539111585</v>
      </c>
      <c r="J42" s="59">
        <f>I42*'Key Data'!$F$3</f>
        <v>25.946423847778963</v>
      </c>
      <c r="K42" s="59">
        <f t="shared" si="2"/>
        <v>129.73211923889482</v>
      </c>
      <c r="L42" s="344"/>
      <c r="M42" s="344"/>
    </row>
    <row r="43" spans="1:13">
      <c r="A43" s="22"/>
      <c r="B43" s="375"/>
      <c r="C43" s="376"/>
      <c r="D43" s="31">
        <v>13.30275</v>
      </c>
      <c r="E43" s="31">
        <v>79.311809999999994</v>
      </c>
      <c r="F43" s="29">
        <v>8</v>
      </c>
      <c r="G43" s="30">
        <v>64</v>
      </c>
      <c r="H43" s="30">
        <f t="shared" si="0"/>
        <v>20.38216560509554</v>
      </c>
      <c r="I43" s="59">
        <f t="shared" si="1"/>
        <v>106.28446193284658</v>
      </c>
      <c r="J43" s="59">
        <f>I43*'Key Data'!$F$3</f>
        <v>26.571115483211646</v>
      </c>
      <c r="K43" s="59">
        <f t="shared" si="2"/>
        <v>132.85557741605822</v>
      </c>
      <c r="L43" s="344"/>
      <c r="M43" s="344"/>
    </row>
    <row r="44" spans="1:13">
      <c r="A44" s="22"/>
      <c r="B44" s="375"/>
      <c r="C44" s="376"/>
      <c r="D44" s="29" t="s">
        <v>448</v>
      </c>
      <c r="E44" s="29"/>
      <c r="F44" s="29">
        <v>9</v>
      </c>
      <c r="G44" s="30">
        <v>60</v>
      </c>
      <c r="H44" s="30">
        <f t="shared" si="0"/>
        <v>19.108280254777068</v>
      </c>
      <c r="I44" s="59">
        <f t="shared" si="1"/>
        <v>105.23287646701387</v>
      </c>
      <c r="J44" s="59">
        <f>I44*'Key Data'!$F$3</f>
        <v>26.308219116753467</v>
      </c>
      <c r="K44" s="59">
        <f t="shared" si="2"/>
        <v>131.54109558376734</v>
      </c>
      <c r="L44" s="344"/>
      <c r="M44" s="344"/>
    </row>
    <row r="45" spans="1:13">
      <c r="A45" s="22"/>
      <c r="B45" s="375"/>
      <c r="C45" s="376"/>
      <c r="D45" s="31">
        <v>13.302630000000001</v>
      </c>
      <c r="E45" s="31">
        <v>79.311850000000007</v>
      </c>
      <c r="F45" s="29">
        <v>10</v>
      </c>
      <c r="G45" s="30">
        <v>58.5</v>
      </c>
      <c r="H45" s="30">
        <f t="shared" si="0"/>
        <v>18.630573248407643</v>
      </c>
      <c r="I45" s="59">
        <f t="shared" si="1"/>
        <v>104.74322139691874</v>
      </c>
      <c r="J45" s="59">
        <f>I45*'Key Data'!$F$3</f>
        <v>26.185805349229685</v>
      </c>
      <c r="K45" s="59">
        <f t="shared" si="2"/>
        <v>130.92902674614842</v>
      </c>
      <c r="L45" s="344"/>
      <c r="M45" s="344"/>
    </row>
    <row r="46" spans="1:13">
      <c r="A46" s="22"/>
      <c r="B46" s="375"/>
      <c r="C46" s="376"/>
      <c r="D46" s="29"/>
      <c r="E46" s="29"/>
      <c r="F46" s="29">
        <v>11</v>
      </c>
      <c r="G46" s="30">
        <v>61.5</v>
      </c>
      <c r="H46" s="30">
        <f t="shared" si="0"/>
        <v>19.585987261146496</v>
      </c>
      <c r="I46" s="59">
        <f t="shared" si="1"/>
        <v>105.66724300321192</v>
      </c>
      <c r="J46" s="59">
        <f>I46*'Key Data'!$F$3</f>
        <v>26.416810750802981</v>
      </c>
      <c r="K46" s="59">
        <f t="shared" si="2"/>
        <v>132.08405375401492</v>
      </c>
      <c r="L46" s="344"/>
      <c r="M46" s="344"/>
    </row>
    <row r="47" spans="1:13">
      <c r="A47" s="22"/>
      <c r="B47" s="375"/>
      <c r="C47" s="376"/>
      <c r="D47" s="29"/>
      <c r="E47" s="29"/>
      <c r="F47" s="29">
        <v>12</v>
      </c>
      <c r="G47" s="30">
        <v>51.5</v>
      </c>
      <c r="H47" s="30">
        <f t="shared" si="0"/>
        <v>16.401273885350317</v>
      </c>
      <c r="I47" s="59">
        <f t="shared" si="1"/>
        <v>101.50945831821122</v>
      </c>
      <c r="J47" s="59">
        <f>I47*'Key Data'!$F$3</f>
        <v>25.377364579552804</v>
      </c>
      <c r="K47" s="59">
        <f t="shared" si="2"/>
        <v>126.88682289776402</v>
      </c>
      <c r="L47" s="344"/>
      <c r="M47" s="344"/>
    </row>
    <row r="48" spans="1:13">
      <c r="A48" s="22"/>
      <c r="B48" s="375"/>
      <c r="C48" s="376"/>
      <c r="D48" s="29"/>
      <c r="E48" s="29"/>
      <c r="F48" s="29">
        <v>13</v>
      </c>
      <c r="G48" s="30">
        <v>50.5</v>
      </c>
      <c r="H48" s="30">
        <f t="shared" si="0"/>
        <v>16.082802547770701</v>
      </c>
      <c r="I48" s="59">
        <f t="shared" si="1"/>
        <v>100.88665437711673</v>
      </c>
      <c r="J48" s="59">
        <f>I48*'Key Data'!$F$3</f>
        <v>25.221663594279182</v>
      </c>
      <c r="K48" s="59">
        <f t="shared" si="2"/>
        <v>126.10831797139591</v>
      </c>
      <c r="L48" s="344"/>
      <c r="M48" s="344"/>
    </row>
    <row r="49" spans="1:13">
      <c r="A49" s="22"/>
      <c r="B49" s="375"/>
      <c r="C49" s="376"/>
      <c r="D49" s="29"/>
      <c r="E49" s="29"/>
      <c r="F49" s="29">
        <v>14</v>
      </c>
      <c r="G49" s="30">
        <v>56.5</v>
      </c>
      <c r="H49" s="30">
        <f t="shared" si="0"/>
        <v>17.993630573248407</v>
      </c>
      <c r="I49" s="59">
        <f t="shared" si="1"/>
        <v>103.99263041159999</v>
      </c>
      <c r="J49" s="59">
        <f>I49*'Key Data'!$F$3</f>
        <v>25.998157602899997</v>
      </c>
      <c r="K49" s="59">
        <f t="shared" si="2"/>
        <v>129.9907880145</v>
      </c>
      <c r="L49" s="344"/>
      <c r="M49" s="344"/>
    </row>
    <row r="50" spans="1:13">
      <c r="A50" s="22"/>
      <c r="B50" s="375"/>
      <c r="C50" s="376"/>
      <c r="D50" s="29"/>
      <c r="E50" s="29"/>
      <c r="F50" s="29">
        <v>15</v>
      </c>
      <c r="G50" s="30">
        <v>55</v>
      </c>
      <c r="H50" s="30">
        <f t="shared" si="0"/>
        <v>17.515923566878982</v>
      </c>
      <c r="I50" s="59">
        <f t="shared" si="1"/>
        <v>103.34658411791347</v>
      </c>
      <c r="J50" s="59">
        <f>I50*'Key Data'!$F$3</f>
        <v>25.836646029478366</v>
      </c>
      <c r="K50" s="59">
        <f t="shared" si="2"/>
        <v>129.18323014739184</v>
      </c>
      <c r="L50" s="344"/>
      <c r="M50" s="344"/>
    </row>
    <row r="51" spans="1:13">
      <c r="A51" s="22"/>
      <c r="B51" s="375"/>
      <c r="C51" s="376"/>
      <c r="D51" s="29"/>
      <c r="E51" s="29"/>
      <c r="F51" s="29">
        <v>16</v>
      </c>
      <c r="G51" s="30">
        <v>67</v>
      </c>
      <c r="H51" s="30">
        <f t="shared" si="0"/>
        <v>21.337579617834393</v>
      </c>
      <c r="I51" s="59">
        <f t="shared" si="1"/>
        <v>106.87812996010015</v>
      </c>
      <c r="J51" s="59">
        <f>I51*'Key Data'!$F$3</f>
        <v>26.719532490025038</v>
      </c>
      <c r="K51" s="59">
        <f t="shared" si="2"/>
        <v>133.5976624501252</v>
      </c>
      <c r="L51" s="344"/>
      <c r="M51" s="344"/>
    </row>
    <row r="52" spans="1:13">
      <c r="A52" s="22"/>
      <c r="B52" s="377">
        <v>4</v>
      </c>
      <c r="C52" s="379" t="s">
        <v>451</v>
      </c>
      <c r="D52" s="32" t="s">
        <v>350</v>
      </c>
      <c r="E52" s="32"/>
      <c r="F52" s="32">
        <v>1</v>
      </c>
      <c r="G52" s="33">
        <v>59</v>
      </c>
      <c r="H52" s="33">
        <f>G52/3.14</f>
        <v>18.789808917197451</v>
      </c>
      <c r="I52" s="59">
        <f t="shared" si="1"/>
        <v>104.91298312828849</v>
      </c>
      <c r="J52" s="59">
        <f>I52*'Key Data'!$F$3</f>
        <v>26.228245782072122</v>
      </c>
      <c r="K52" s="59">
        <f t="shared" si="2"/>
        <v>131.14122891036061</v>
      </c>
      <c r="L52" s="344">
        <f>SUM(K52:K67)/1000</f>
        <v>1.8969928559371585</v>
      </c>
      <c r="M52" s="344">
        <f>(L52/625)*10000</f>
        <v>30.351885694994536</v>
      </c>
    </row>
    <row r="53" spans="1:13">
      <c r="A53" s="22"/>
      <c r="B53" s="377"/>
      <c r="C53" s="379"/>
      <c r="D53" s="32">
        <v>13.277850000000001</v>
      </c>
      <c r="E53" s="32">
        <v>79.362219999999994</v>
      </c>
      <c r="F53" s="32">
        <v>2</v>
      </c>
      <c r="G53" s="33">
        <v>53</v>
      </c>
      <c r="H53" s="33">
        <f t="shared" ref="H53:H116" si="3">G53/3.14</f>
        <v>16.878980891719745</v>
      </c>
      <c r="I53" s="59">
        <f t="shared" si="1"/>
        <v>102.35823199607594</v>
      </c>
      <c r="J53" s="59">
        <f>I53*'Key Data'!$F$3</f>
        <v>25.589557999018986</v>
      </c>
      <c r="K53" s="59">
        <f t="shared" si="2"/>
        <v>127.94778999509492</v>
      </c>
      <c r="L53" s="344"/>
      <c r="M53" s="344"/>
    </row>
    <row r="54" spans="1:13">
      <c r="A54" s="22"/>
      <c r="B54" s="377"/>
      <c r="C54" s="379"/>
      <c r="D54" s="32" t="s">
        <v>445</v>
      </c>
      <c r="E54" s="32"/>
      <c r="F54" s="32">
        <v>3</v>
      </c>
      <c r="G54" s="33">
        <v>58.5</v>
      </c>
      <c r="H54" s="33">
        <f t="shared" si="3"/>
        <v>18.630573248407643</v>
      </c>
      <c r="I54" s="59">
        <f t="shared" si="1"/>
        <v>104.74322139691874</v>
      </c>
      <c r="J54" s="59">
        <f>I54*'Key Data'!$F$3</f>
        <v>26.185805349229685</v>
      </c>
      <c r="K54" s="59">
        <f t="shared" si="2"/>
        <v>130.92902674614842</v>
      </c>
      <c r="L54" s="344"/>
      <c r="M54" s="344"/>
    </row>
    <row r="55" spans="1:13">
      <c r="A55" s="22"/>
      <c r="B55" s="377"/>
      <c r="C55" s="379"/>
      <c r="D55" s="32">
        <v>13.27806</v>
      </c>
      <c r="E55" s="32">
        <v>79.362120000000004</v>
      </c>
      <c r="F55" s="32">
        <v>4</v>
      </c>
      <c r="G55" s="33">
        <v>42</v>
      </c>
      <c r="H55" s="33">
        <f t="shared" si="3"/>
        <v>13.375796178343949</v>
      </c>
      <c r="I55" s="59">
        <f t="shared" si="1"/>
        <v>93.213305341133093</v>
      </c>
      <c r="J55" s="59">
        <f>I55*'Key Data'!$F$3</f>
        <v>23.303326335283273</v>
      </c>
      <c r="K55" s="59">
        <f t="shared" si="2"/>
        <v>116.51663167641637</v>
      </c>
      <c r="L55" s="344"/>
      <c r="M55" s="344"/>
    </row>
    <row r="56" spans="1:13">
      <c r="A56" s="22"/>
      <c r="B56" s="377"/>
      <c r="C56" s="379"/>
      <c r="D56" s="32" t="s">
        <v>446</v>
      </c>
      <c r="E56" s="32"/>
      <c r="F56" s="32">
        <v>5</v>
      </c>
      <c r="G56" s="33">
        <v>50.5</v>
      </c>
      <c r="H56" s="33">
        <f t="shared" si="3"/>
        <v>16.082802547770701</v>
      </c>
      <c r="I56" s="59">
        <f t="shared" si="1"/>
        <v>100.88665437711673</v>
      </c>
      <c r="J56" s="59">
        <f>I56*'Key Data'!$F$3</f>
        <v>25.221663594279182</v>
      </c>
      <c r="K56" s="59">
        <f t="shared" si="2"/>
        <v>126.10831797139591</v>
      </c>
      <c r="L56" s="344"/>
      <c r="M56" s="344"/>
    </row>
    <row r="57" spans="1:13">
      <c r="A57" s="22"/>
      <c r="B57" s="377"/>
      <c r="C57" s="379"/>
      <c r="D57" s="32">
        <v>13.27797</v>
      </c>
      <c r="E57" s="32">
        <v>79.361919999999998</v>
      </c>
      <c r="F57" s="32">
        <v>6</v>
      </c>
      <c r="G57" s="33">
        <v>40.5</v>
      </c>
      <c r="H57" s="33">
        <f t="shared" si="3"/>
        <v>12.898089171974522</v>
      </c>
      <c r="I57" s="59">
        <f t="shared" si="1"/>
        <v>91.303304541138814</v>
      </c>
      <c r="J57" s="59">
        <f>I57*'Key Data'!$F$3</f>
        <v>22.825826135284704</v>
      </c>
      <c r="K57" s="59">
        <f t="shared" si="2"/>
        <v>114.12913067642351</v>
      </c>
      <c r="L57" s="344"/>
      <c r="M57" s="344"/>
    </row>
    <row r="58" spans="1:13">
      <c r="A58" s="22"/>
      <c r="B58" s="377"/>
      <c r="C58" s="379"/>
      <c r="D58" s="32" t="s">
        <v>447</v>
      </c>
      <c r="E58" s="32"/>
      <c r="F58" s="32">
        <v>7</v>
      </c>
      <c r="G58" s="33">
        <v>55.5</v>
      </c>
      <c r="H58" s="33">
        <f t="shared" si="3"/>
        <v>17.67515923566879</v>
      </c>
      <c r="I58" s="59">
        <f t="shared" si="1"/>
        <v>103.57045141886734</v>
      </c>
      <c r="J58" s="59">
        <f>I58*'Key Data'!$F$3</f>
        <v>25.892612854716834</v>
      </c>
      <c r="K58" s="59">
        <f t="shared" si="2"/>
        <v>129.46306427358417</v>
      </c>
      <c r="L58" s="344"/>
      <c r="M58" s="344"/>
    </row>
    <row r="59" spans="1:13">
      <c r="A59" s="22"/>
      <c r="B59" s="377"/>
      <c r="C59" s="379"/>
      <c r="D59" s="32">
        <v>13.27778</v>
      </c>
      <c r="E59" s="32">
        <v>79.361999999999995</v>
      </c>
      <c r="F59" s="32">
        <v>8</v>
      </c>
      <c r="G59" s="33">
        <v>48</v>
      </c>
      <c r="H59" s="33">
        <f t="shared" si="3"/>
        <v>15.286624203821656</v>
      </c>
      <c r="I59" s="59">
        <f t="shared" si="1"/>
        <v>99.105610669934464</v>
      </c>
      <c r="J59" s="59">
        <f>I59*'Key Data'!$F$3</f>
        <v>24.776402667483616</v>
      </c>
      <c r="K59" s="59">
        <f t="shared" si="2"/>
        <v>123.88201333741807</v>
      </c>
      <c r="L59" s="344"/>
      <c r="M59" s="344"/>
    </row>
    <row r="60" spans="1:13">
      <c r="A60" s="22"/>
      <c r="B60" s="377"/>
      <c r="C60" s="379"/>
      <c r="D60" s="32" t="s">
        <v>448</v>
      </c>
      <c r="E60" s="32"/>
      <c r="F60" s="32">
        <v>9</v>
      </c>
      <c r="G60" s="33">
        <v>54</v>
      </c>
      <c r="H60" s="33">
        <f t="shared" si="3"/>
        <v>17.197452229299362</v>
      </c>
      <c r="I60" s="59">
        <f t="shared" si="1"/>
        <v>102.87167065451364</v>
      </c>
      <c r="J60" s="59">
        <f>I60*'Key Data'!$F$3</f>
        <v>25.717917663628409</v>
      </c>
      <c r="K60" s="59">
        <f t="shared" si="2"/>
        <v>128.58958831814203</v>
      </c>
      <c r="L60" s="344"/>
      <c r="M60" s="344"/>
    </row>
    <row r="61" spans="1:13">
      <c r="A61" s="22"/>
      <c r="B61" s="377"/>
      <c r="C61" s="379"/>
      <c r="D61" s="32">
        <v>13.277810000000001</v>
      </c>
      <c r="E61" s="32">
        <v>79.362099999999998</v>
      </c>
      <c r="F61" s="32">
        <v>10</v>
      </c>
      <c r="G61" s="33">
        <v>48</v>
      </c>
      <c r="H61" s="33">
        <f t="shared" si="3"/>
        <v>15.286624203821656</v>
      </c>
      <c r="I61" s="59">
        <f t="shared" si="1"/>
        <v>99.105610669934464</v>
      </c>
      <c r="J61" s="59">
        <f>I61*'Key Data'!$F$3</f>
        <v>24.776402667483616</v>
      </c>
      <c r="K61" s="59">
        <f t="shared" si="2"/>
        <v>123.88201333741807</v>
      </c>
      <c r="L61" s="344"/>
      <c r="M61" s="344"/>
    </row>
    <row r="62" spans="1:13">
      <c r="A62" s="22"/>
      <c r="B62" s="377"/>
      <c r="C62" s="379"/>
      <c r="D62" s="32"/>
      <c r="E62" s="32"/>
      <c r="F62" s="32">
        <v>11</v>
      </c>
      <c r="G62" s="33">
        <v>47.5</v>
      </c>
      <c r="H62" s="33">
        <f t="shared" si="3"/>
        <v>15.127388535031846</v>
      </c>
      <c r="I62" s="59">
        <f t="shared" si="1"/>
        <v>98.707362361024764</v>
      </c>
      <c r="J62" s="59">
        <f>I62*'Key Data'!$F$3</f>
        <v>24.676840590256191</v>
      </c>
      <c r="K62" s="59">
        <f t="shared" si="2"/>
        <v>123.38420295128095</v>
      </c>
      <c r="L62" s="344"/>
      <c r="M62" s="344"/>
    </row>
    <row r="63" spans="1:13">
      <c r="A63" s="22"/>
      <c r="B63" s="377"/>
      <c r="C63" s="379"/>
      <c r="D63" s="32"/>
      <c r="E63" s="32"/>
      <c r="F63" s="32">
        <v>12</v>
      </c>
      <c r="G63" s="33">
        <v>37.5</v>
      </c>
      <c r="H63" s="33">
        <f t="shared" si="3"/>
        <v>11.942675159235668</v>
      </c>
      <c r="I63" s="59">
        <f t="shared" si="1"/>
        <v>86.851868889739876</v>
      </c>
      <c r="J63" s="59">
        <f>I63*'Key Data'!$F$3</f>
        <v>21.712967222434969</v>
      </c>
      <c r="K63" s="59">
        <f t="shared" si="2"/>
        <v>108.56483611217485</v>
      </c>
      <c r="L63" s="344"/>
      <c r="M63" s="344"/>
    </row>
    <row r="64" spans="1:13">
      <c r="A64" s="22"/>
      <c r="B64" s="377"/>
      <c r="C64" s="379"/>
      <c r="D64" s="32"/>
      <c r="E64" s="32"/>
      <c r="F64" s="32">
        <v>13</v>
      </c>
      <c r="G64" s="33">
        <v>36.5</v>
      </c>
      <c r="H64" s="33">
        <f t="shared" si="3"/>
        <v>11.624203821656051</v>
      </c>
      <c r="I64" s="59">
        <f t="shared" si="1"/>
        <v>85.16470767390777</v>
      </c>
      <c r="J64" s="59">
        <f>I64*'Key Data'!$F$3</f>
        <v>21.291176918476943</v>
      </c>
      <c r="K64" s="59">
        <f t="shared" si="2"/>
        <v>106.45588459238471</v>
      </c>
      <c r="L64" s="344"/>
      <c r="M64" s="344"/>
    </row>
    <row r="65" spans="1:13">
      <c r="A65" s="22"/>
      <c r="B65" s="377"/>
      <c r="C65" s="379"/>
      <c r="D65" s="32"/>
      <c r="E65" s="32"/>
      <c r="F65" s="32">
        <v>14</v>
      </c>
      <c r="G65" s="33">
        <v>39.5</v>
      </c>
      <c r="H65" s="33">
        <f t="shared" si="3"/>
        <v>12.579617834394904</v>
      </c>
      <c r="I65" s="59">
        <f t="shared" si="1"/>
        <v>89.916816641509769</v>
      </c>
      <c r="J65" s="59">
        <f>I65*'Key Data'!$F$3</f>
        <v>22.479204160377442</v>
      </c>
      <c r="K65" s="59">
        <f t="shared" si="2"/>
        <v>112.3960208018872</v>
      </c>
      <c r="L65" s="344"/>
      <c r="M65" s="344"/>
    </row>
    <row r="66" spans="1:13">
      <c r="A66" s="22"/>
      <c r="B66" s="377"/>
      <c r="C66" s="379"/>
      <c r="D66" s="32"/>
      <c r="E66" s="32"/>
      <c r="F66" s="32">
        <v>15</v>
      </c>
      <c r="G66" s="33">
        <v>37</v>
      </c>
      <c r="H66" s="33">
        <f t="shared" si="3"/>
        <v>11.783439490445859</v>
      </c>
      <c r="I66" s="59">
        <f t="shared" si="1"/>
        <v>86.021612861952391</v>
      </c>
      <c r="J66" s="59">
        <f>I66*'Key Data'!$F$3</f>
        <v>21.505403215488098</v>
      </c>
      <c r="K66" s="59">
        <f t="shared" si="2"/>
        <v>107.52701607744049</v>
      </c>
      <c r="L66" s="344"/>
      <c r="M66" s="344"/>
    </row>
    <row r="67" spans="1:13">
      <c r="A67" s="22"/>
      <c r="B67" s="377"/>
      <c r="C67" s="379"/>
      <c r="D67" s="32"/>
      <c r="E67" s="32"/>
      <c r="F67" s="32">
        <v>16</v>
      </c>
      <c r="G67" s="33">
        <v>29</v>
      </c>
      <c r="H67" s="33">
        <f t="shared" si="3"/>
        <v>9.2356687898089174</v>
      </c>
      <c r="I67" s="59">
        <f t="shared" si="1"/>
        <v>68.860872127670262</v>
      </c>
      <c r="J67" s="59">
        <f>I67*'Key Data'!$F$3</f>
        <v>17.215218031917566</v>
      </c>
      <c r="K67" s="59">
        <f t="shared" si="2"/>
        <v>86.076090159587835</v>
      </c>
      <c r="L67" s="344"/>
      <c r="M67" s="344"/>
    </row>
    <row r="68" spans="1:13">
      <c r="A68" s="22"/>
      <c r="B68" s="391">
        <v>5</v>
      </c>
      <c r="C68" s="392" t="s">
        <v>452</v>
      </c>
      <c r="D68" s="34" t="s">
        <v>350</v>
      </c>
      <c r="E68" s="34"/>
      <c r="F68" s="34">
        <v>1</v>
      </c>
      <c r="G68" s="35">
        <v>56.5</v>
      </c>
      <c r="H68" s="35">
        <f t="shared" si="3"/>
        <v>17.993630573248407</v>
      </c>
      <c r="I68" s="59">
        <f t="shared" si="1"/>
        <v>103.99263041159999</v>
      </c>
      <c r="J68" s="59">
        <f>I68*'Key Data'!$F$3</f>
        <v>25.998157602899997</v>
      </c>
      <c r="K68" s="59">
        <f t="shared" si="2"/>
        <v>129.9907880145</v>
      </c>
      <c r="L68" s="344">
        <f>SUM(K68:K87)/1000</f>
        <v>2.2757617600817404</v>
      </c>
      <c r="M68" s="344">
        <f>(L68/625)*10000</f>
        <v>36.412188161307846</v>
      </c>
    </row>
    <row r="69" spans="1:13">
      <c r="A69" s="22"/>
      <c r="B69" s="391"/>
      <c r="C69" s="392"/>
      <c r="D69" s="34">
        <v>13.202030000000001</v>
      </c>
      <c r="E69" s="34">
        <v>79.212829999999997</v>
      </c>
      <c r="F69" s="34">
        <v>2</v>
      </c>
      <c r="G69" s="35">
        <v>56</v>
      </c>
      <c r="H69" s="35">
        <f t="shared" si="3"/>
        <v>17.834394904458598</v>
      </c>
      <c r="I69" s="59">
        <f t="shared" ref="I69:I132" si="4">30.4*EXP(-5.07*EXP(-0.26*H69)+1.277)</f>
        <v>103.78569539111585</v>
      </c>
      <c r="J69" s="59">
        <f>I69*'Key Data'!$F$3</f>
        <v>25.946423847778963</v>
      </c>
      <c r="K69" s="59">
        <f t="shared" ref="K69:K132" si="5">I69+J69</f>
        <v>129.73211923889482</v>
      </c>
      <c r="L69" s="344"/>
      <c r="M69" s="344"/>
    </row>
    <row r="70" spans="1:13">
      <c r="A70" s="22"/>
      <c r="B70" s="391"/>
      <c r="C70" s="392"/>
      <c r="D70" s="34" t="s">
        <v>445</v>
      </c>
      <c r="E70" s="34"/>
      <c r="F70" s="34">
        <v>3</v>
      </c>
      <c r="G70" s="35">
        <v>42</v>
      </c>
      <c r="H70" s="35">
        <f t="shared" si="3"/>
        <v>13.375796178343949</v>
      </c>
      <c r="I70" s="59">
        <f t="shared" si="4"/>
        <v>93.213305341133093</v>
      </c>
      <c r="J70" s="59">
        <f>I70*'Key Data'!$F$3</f>
        <v>23.303326335283273</v>
      </c>
      <c r="K70" s="59">
        <f t="shared" si="5"/>
        <v>116.51663167641637</v>
      </c>
      <c r="L70" s="344"/>
      <c r="M70" s="344"/>
    </row>
    <row r="71" spans="1:13">
      <c r="A71" s="22"/>
      <c r="B71" s="391"/>
      <c r="C71" s="392"/>
      <c r="D71" s="34">
        <v>13.258990000000001</v>
      </c>
      <c r="E71" s="34">
        <v>79.232860000000002</v>
      </c>
      <c r="F71" s="34">
        <v>4</v>
      </c>
      <c r="G71" s="35">
        <v>55</v>
      </c>
      <c r="H71" s="35">
        <f t="shared" si="3"/>
        <v>17.515923566878982</v>
      </c>
      <c r="I71" s="59">
        <f t="shared" si="4"/>
        <v>103.34658411791347</v>
      </c>
      <c r="J71" s="59">
        <f>I71*'Key Data'!$F$3</f>
        <v>25.836646029478366</v>
      </c>
      <c r="K71" s="59">
        <f t="shared" si="5"/>
        <v>129.18323014739184</v>
      </c>
      <c r="L71" s="344"/>
      <c r="M71" s="344"/>
    </row>
    <row r="72" spans="1:13">
      <c r="A72" s="22"/>
      <c r="B72" s="391"/>
      <c r="C72" s="392"/>
      <c r="D72" s="34" t="s">
        <v>446</v>
      </c>
      <c r="E72" s="34"/>
      <c r="F72" s="34">
        <v>5</v>
      </c>
      <c r="G72" s="35">
        <v>45</v>
      </c>
      <c r="H72" s="35">
        <f t="shared" si="3"/>
        <v>14.331210191082802</v>
      </c>
      <c r="I72" s="59">
        <f t="shared" si="4"/>
        <v>96.479001445443316</v>
      </c>
      <c r="J72" s="59">
        <f>I72*'Key Data'!$F$3</f>
        <v>24.119750361360829</v>
      </c>
      <c r="K72" s="59">
        <f t="shared" si="5"/>
        <v>120.59875180680415</v>
      </c>
      <c r="L72" s="344"/>
      <c r="M72" s="344"/>
    </row>
    <row r="73" spans="1:13">
      <c r="A73" s="22"/>
      <c r="B73" s="391"/>
      <c r="C73" s="392"/>
      <c r="D73" s="34">
        <v>13.25881</v>
      </c>
      <c r="E73" s="34">
        <v>79.232820000000004</v>
      </c>
      <c r="F73" s="34">
        <v>6</v>
      </c>
      <c r="G73" s="35">
        <v>50</v>
      </c>
      <c r="H73" s="35">
        <f t="shared" si="3"/>
        <v>15.923566878980891</v>
      </c>
      <c r="I73" s="59">
        <f t="shared" si="4"/>
        <v>100.55692997803489</v>
      </c>
      <c r="J73" s="59">
        <f>I73*'Key Data'!$F$3</f>
        <v>25.139232494508722</v>
      </c>
      <c r="K73" s="59">
        <f t="shared" si="5"/>
        <v>125.69616247254361</v>
      </c>
      <c r="L73" s="344"/>
      <c r="M73" s="344"/>
    </row>
    <row r="74" spans="1:13">
      <c r="A74" s="22"/>
      <c r="B74" s="391"/>
      <c r="C74" s="392"/>
      <c r="D74" s="34" t="s">
        <v>453</v>
      </c>
      <c r="E74" s="34"/>
      <c r="F74" s="34">
        <v>7</v>
      </c>
      <c r="G74" s="35">
        <v>38.5</v>
      </c>
      <c r="H74" s="35">
        <f t="shared" si="3"/>
        <v>12.261146496815286</v>
      </c>
      <c r="I74" s="59">
        <f t="shared" si="4"/>
        <v>88.434485897848504</v>
      </c>
      <c r="J74" s="59">
        <f>I74*'Key Data'!$F$3</f>
        <v>22.108621474462126</v>
      </c>
      <c r="K74" s="59">
        <f t="shared" si="5"/>
        <v>110.54310737231063</v>
      </c>
      <c r="L74" s="344"/>
      <c r="M74" s="344"/>
    </row>
    <row r="75" spans="1:13">
      <c r="A75" s="22"/>
      <c r="B75" s="391"/>
      <c r="C75" s="392"/>
      <c r="D75" s="34">
        <v>13.258800000000001</v>
      </c>
      <c r="E75" s="34">
        <v>79.232969999999995</v>
      </c>
      <c r="F75" s="34">
        <v>8</v>
      </c>
      <c r="G75" s="35">
        <v>40</v>
      </c>
      <c r="H75" s="35">
        <f t="shared" si="3"/>
        <v>12.738853503184712</v>
      </c>
      <c r="I75" s="59">
        <f t="shared" si="4"/>
        <v>90.621758137913403</v>
      </c>
      <c r="J75" s="59">
        <f>I75*'Key Data'!$F$3</f>
        <v>22.655439534478351</v>
      </c>
      <c r="K75" s="59">
        <f t="shared" si="5"/>
        <v>113.27719767239175</v>
      </c>
      <c r="L75" s="344"/>
      <c r="M75" s="344"/>
    </row>
    <row r="76" spans="1:13">
      <c r="A76" s="22"/>
      <c r="B76" s="391"/>
      <c r="C76" s="392"/>
      <c r="D76" s="34" t="s">
        <v>448</v>
      </c>
      <c r="E76" s="34"/>
      <c r="F76" s="34">
        <v>9</v>
      </c>
      <c r="G76" s="35">
        <v>49</v>
      </c>
      <c r="H76" s="35">
        <f t="shared" si="3"/>
        <v>15.605095541401273</v>
      </c>
      <c r="I76" s="59">
        <f t="shared" si="4"/>
        <v>99.85866326147945</v>
      </c>
      <c r="J76" s="59">
        <f>I76*'Key Data'!$F$3</f>
        <v>24.964665815369862</v>
      </c>
      <c r="K76" s="59">
        <f t="shared" si="5"/>
        <v>124.82332907684932</v>
      </c>
      <c r="L76" s="344"/>
      <c r="M76" s="344"/>
    </row>
    <row r="77" spans="1:13">
      <c r="A77" s="22"/>
      <c r="B77" s="391"/>
      <c r="C77" s="392"/>
      <c r="D77" s="34">
        <v>13.258889999999999</v>
      </c>
      <c r="E77" s="34">
        <v>79.232919999999993</v>
      </c>
      <c r="F77" s="34">
        <v>10</v>
      </c>
      <c r="G77" s="35">
        <v>33</v>
      </c>
      <c r="H77" s="35">
        <f t="shared" si="3"/>
        <v>10.509554140127388</v>
      </c>
      <c r="I77" s="59">
        <f t="shared" si="4"/>
        <v>78.382538522569561</v>
      </c>
      <c r="J77" s="59">
        <f>I77*'Key Data'!$F$3</f>
        <v>19.59563463064239</v>
      </c>
      <c r="K77" s="59">
        <f t="shared" si="5"/>
        <v>97.978173153211955</v>
      </c>
      <c r="L77" s="344"/>
      <c r="M77" s="344"/>
    </row>
    <row r="78" spans="1:13">
      <c r="A78" s="22"/>
      <c r="B78" s="391"/>
      <c r="C78" s="392"/>
      <c r="D78" s="34"/>
      <c r="E78" s="34"/>
      <c r="F78" s="34">
        <v>11</v>
      </c>
      <c r="G78" s="35">
        <v>35.5</v>
      </c>
      <c r="H78" s="35">
        <f t="shared" si="3"/>
        <v>11.305732484076433</v>
      </c>
      <c r="I78" s="59">
        <f t="shared" si="4"/>
        <v>83.369017996615284</v>
      </c>
      <c r="J78" s="59">
        <f>I78*'Key Data'!$F$3</f>
        <v>20.842254499153821</v>
      </c>
      <c r="K78" s="59">
        <f t="shared" si="5"/>
        <v>104.21127249576911</v>
      </c>
      <c r="L78" s="344"/>
      <c r="M78" s="344"/>
    </row>
    <row r="79" spans="1:13">
      <c r="A79" s="22"/>
      <c r="B79" s="391"/>
      <c r="C79" s="392"/>
      <c r="D79" s="34"/>
      <c r="E79" s="34"/>
      <c r="F79" s="34">
        <v>12</v>
      </c>
      <c r="G79" s="35">
        <v>57.5</v>
      </c>
      <c r="H79" s="35">
        <f t="shared" si="3"/>
        <v>18.312101910828027</v>
      </c>
      <c r="I79" s="59">
        <f t="shared" si="4"/>
        <v>104.38278110345003</v>
      </c>
      <c r="J79" s="59">
        <f>I79*'Key Data'!$F$3</f>
        <v>26.095695275862507</v>
      </c>
      <c r="K79" s="59">
        <f t="shared" si="5"/>
        <v>130.47847637931253</v>
      </c>
      <c r="L79" s="344"/>
      <c r="M79" s="344"/>
    </row>
    <row r="80" spans="1:13">
      <c r="A80" s="22"/>
      <c r="B80" s="391"/>
      <c r="C80" s="392"/>
      <c r="D80" s="34"/>
      <c r="E80" s="34"/>
      <c r="F80" s="34">
        <v>13</v>
      </c>
      <c r="G80" s="35">
        <v>50</v>
      </c>
      <c r="H80" s="35">
        <f t="shared" si="3"/>
        <v>15.923566878980891</v>
      </c>
      <c r="I80" s="59">
        <f t="shared" si="4"/>
        <v>100.55692997803489</v>
      </c>
      <c r="J80" s="59">
        <f>I80*'Key Data'!$F$3</f>
        <v>25.139232494508722</v>
      </c>
      <c r="K80" s="59">
        <f t="shared" si="5"/>
        <v>125.69616247254361</v>
      </c>
      <c r="L80" s="344"/>
      <c r="M80" s="344"/>
    </row>
    <row r="81" spans="1:13">
      <c r="A81" s="22"/>
      <c r="B81" s="391"/>
      <c r="C81" s="392"/>
      <c r="D81" s="34"/>
      <c r="E81" s="34"/>
      <c r="F81" s="34">
        <v>14</v>
      </c>
      <c r="G81" s="35">
        <v>48.5</v>
      </c>
      <c r="H81" s="35">
        <f t="shared" si="3"/>
        <v>15.445859872611464</v>
      </c>
      <c r="I81" s="59">
        <f t="shared" si="4"/>
        <v>99.48921792052343</v>
      </c>
      <c r="J81" s="59">
        <f>I81*'Key Data'!$F$3</f>
        <v>24.872304480130857</v>
      </c>
      <c r="K81" s="59">
        <f t="shared" si="5"/>
        <v>124.36152240065428</v>
      </c>
      <c r="L81" s="344"/>
      <c r="M81" s="344"/>
    </row>
    <row r="82" spans="1:13">
      <c r="A82" s="22"/>
      <c r="B82" s="391"/>
      <c r="C82" s="392"/>
      <c r="D82" s="34"/>
      <c r="E82" s="34"/>
      <c r="F82" s="34">
        <v>15</v>
      </c>
      <c r="G82" s="35">
        <v>38</v>
      </c>
      <c r="H82" s="35">
        <f t="shared" si="3"/>
        <v>12.101910828025478</v>
      </c>
      <c r="I82" s="59">
        <f t="shared" si="4"/>
        <v>87.655984615502476</v>
      </c>
      <c r="J82" s="59">
        <f>I82*'Key Data'!$F$3</f>
        <v>21.913996153875619</v>
      </c>
      <c r="K82" s="59">
        <f t="shared" si="5"/>
        <v>109.56998076937809</v>
      </c>
      <c r="L82" s="344"/>
      <c r="M82" s="344"/>
    </row>
    <row r="83" spans="1:13">
      <c r="A83" s="22"/>
      <c r="B83" s="391"/>
      <c r="C83" s="392"/>
      <c r="D83" s="34"/>
      <c r="E83" s="34"/>
      <c r="F83" s="34">
        <v>16</v>
      </c>
      <c r="G83" s="35">
        <v>48.5</v>
      </c>
      <c r="H83" s="35">
        <f t="shared" si="3"/>
        <v>15.445859872611464</v>
      </c>
      <c r="I83" s="59">
        <f t="shared" si="4"/>
        <v>99.48921792052343</v>
      </c>
      <c r="J83" s="59">
        <f>I83*'Key Data'!$F$3</f>
        <v>24.872304480130857</v>
      </c>
      <c r="K83" s="59">
        <f t="shared" si="5"/>
        <v>124.36152240065428</v>
      </c>
      <c r="L83" s="344"/>
      <c r="M83" s="344"/>
    </row>
    <row r="84" spans="1:13">
      <c r="A84" s="22"/>
      <c r="B84" s="391"/>
      <c r="C84" s="392"/>
      <c r="D84" s="34"/>
      <c r="E84" s="34"/>
      <c r="F84" s="34">
        <v>17</v>
      </c>
      <c r="G84" s="35">
        <v>48.5</v>
      </c>
      <c r="H84" s="35">
        <f t="shared" si="3"/>
        <v>15.445859872611464</v>
      </c>
      <c r="I84" s="59">
        <f t="shared" si="4"/>
        <v>99.48921792052343</v>
      </c>
      <c r="J84" s="59">
        <f>I84*'Key Data'!$F$3</f>
        <v>24.872304480130857</v>
      </c>
      <c r="K84" s="59">
        <f t="shared" si="5"/>
        <v>124.36152240065428</v>
      </c>
      <c r="L84" s="344"/>
      <c r="M84" s="344"/>
    </row>
    <row r="85" spans="1:13">
      <c r="A85" s="22"/>
      <c r="B85" s="391"/>
      <c r="C85" s="392"/>
      <c r="D85" s="34"/>
      <c r="E85" s="34"/>
      <c r="F85" s="34">
        <v>18</v>
      </c>
      <c r="G85" s="35">
        <v>35</v>
      </c>
      <c r="H85" s="35">
        <f t="shared" si="3"/>
        <v>11.146496815286623</v>
      </c>
      <c r="I85" s="59">
        <f t="shared" si="4"/>
        <v>82.429329470591512</v>
      </c>
      <c r="J85" s="59">
        <f>I85*'Key Data'!$F$3</f>
        <v>20.607332367647878</v>
      </c>
      <c r="K85" s="59">
        <f t="shared" si="5"/>
        <v>103.03666183823938</v>
      </c>
      <c r="L85" s="344"/>
      <c r="M85" s="344"/>
    </row>
    <row r="86" spans="1:13">
      <c r="A86" s="22"/>
      <c r="B86" s="391"/>
      <c r="C86" s="392"/>
      <c r="D86" s="34"/>
      <c r="E86" s="34"/>
      <c r="F86" s="34">
        <v>19</v>
      </c>
      <c r="G86" s="55" t="s">
        <v>454</v>
      </c>
      <c r="H86" s="55" t="s">
        <v>454</v>
      </c>
      <c r="I86" s="63" t="s">
        <v>454</v>
      </c>
      <c r="J86" s="63" t="s">
        <v>454</v>
      </c>
      <c r="K86" s="63" t="s">
        <v>454</v>
      </c>
      <c r="L86" s="344"/>
      <c r="M86" s="344"/>
    </row>
    <row r="87" spans="1:13">
      <c r="A87" s="22"/>
      <c r="B87" s="391"/>
      <c r="C87" s="392"/>
      <c r="D87" s="34"/>
      <c r="E87" s="34"/>
      <c r="F87" s="34">
        <v>20</v>
      </c>
      <c r="G87" s="35">
        <v>59.5</v>
      </c>
      <c r="H87" s="35">
        <f t="shared" si="3"/>
        <v>18.949044585987259</v>
      </c>
      <c r="I87" s="59">
        <f t="shared" si="4"/>
        <v>105.07611863457613</v>
      </c>
      <c r="J87" s="59">
        <f>I87*'Key Data'!$F$3</f>
        <v>26.269029658644033</v>
      </c>
      <c r="K87" s="59">
        <f t="shared" si="5"/>
        <v>131.34514829322018</v>
      </c>
      <c r="L87" s="344"/>
      <c r="M87" s="344"/>
    </row>
    <row r="88" spans="1:13">
      <c r="A88" s="22"/>
      <c r="B88" s="393">
        <v>6</v>
      </c>
      <c r="C88" s="394" t="s">
        <v>455</v>
      </c>
      <c r="D88" s="36" t="s">
        <v>350</v>
      </c>
      <c r="E88" s="36"/>
      <c r="F88" s="36">
        <v>1</v>
      </c>
      <c r="G88" s="37">
        <v>42</v>
      </c>
      <c r="H88" s="37">
        <f t="shared" si="3"/>
        <v>13.375796178343949</v>
      </c>
      <c r="I88" s="59">
        <f t="shared" si="4"/>
        <v>93.213305341133093</v>
      </c>
      <c r="J88" s="59">
        <f>I88*'Key Data'!$F$3</f>
        <v>23.303326335283273</v>
      </c>
      <c r="K88" s="59">
        <f t="shared" si="5"/>
        <v>116.51663167641637</v>
      </c>
      <c r="L88" s="344">
        <f>SUM(K88:K103)/1000</f>
        <v>1.8164500228479219</v>
      </c>
      <c r="M88" s="344">
        <f>(L88/625)*10000</f>
        <v>29.063200365566754</v>
      </c>
    </row>
    <row r="89" spans="1:13">
      <c r="A89" s="22"/>
      <c r="B89" s="393"/>
      <c r="C89" s="394"/>
      <c r="D89" s="36">
        <v>13.17835</v>
      </c>
      <c r="E89" s="36">
        <v>79.266270000000006</v>
      </c>
      <c r="F89" s="36">
        <v>2</v>
      </c>
      <c r="G89" s="37">
        <v>67.2</v>
      </c>
      <c r="H89" s="37">
        <f t="shared" si="3"/>
        <v>21.401273885350317</v>
      </c>
      <c r="I89" s="59">
        <f t="shared" si="4"/>
        <v>106.91281032388321</v>
      </c>
      <c r="J89" s="59">
        <f>I89*'Key Data'!$F$3</f>
        <v>26.728202580970802</v>
      </c>
      <c r="K89" s="59">
        <f t="shared" si="5"/>
        <v>133.64101290485399</v>
      </c>
      <c r="L89" s="344"/>
      <c r="M89" s="344"/>
    </row>
    <row r="90" spans="1:13">
      <c r="A90" s="22"/>
      <c r="B90" s="393"/>
      <c r="C90" s="394"/>
      <c r="D90" s="36" t="s">
        <v>445</v>
      </c>
      <c r="E90" s="36"/>
      <c r="F90" s="36">
        <v>3</v>
      </c>
      <c r="G90" s="37">
        <v>59</v>
      </c>
      <c r="H90" s="37">
        <f t="shared" si="3"/>
        <v>18.789808917197451</v>
      </c>
      <c r="I90" s="59">
        <f t="shared" si="4"/>
        <v>104.91298312828849</v>
      </c>
      <c r="J90" s="59">
        <f>I90*'Key Data'!$F$3</f>
        <v>26.228245782072122</v>
      </c>
      <c r="K90" s="59">
        <f t="shared" si="5"/>
        <v>131.14122891036061</v>
      </c>
      <c r="L90" s="344"/>
      <c r="M90" s="344"/>
    </row>
    <row r="91" spans="1:13">
      <c r="A91" s="22"/>
      <c r="B91" s="393"/>
      <c r="C91" s="394"/>
      <c r="D91" s="36">
        <v>13.17817</v>
      </c>
      <c r="E91" s="36">
        <v>79.266239999999996</v>
      </c>
      <c r="F91" s="36">
        <v>4</v>
      </c>
      <c r="G91" s="37">
        <v>35</v>
      </c>
      <c r="H91" s="37">
        <f t="shared" si="3"/>
        <v>11.146496815286623</v>
      </c>
      <c r="I91" s="59">
        <f t="shared" si="4"/>
        <v>82.429329470591512</v>
      </c>
      <c r="J91" s="59">
        <f>I91*'Key Data'!$F$3</f>
        <v>20.607332367647878</v>
      </c>
      <c r="K91" s="59">
        <f t="shared" si="5"/>
        <v>103.03666183823938</v>
      </c>
      <c r="L91" s="344"/>
      <c r="M91" s="344"/>
    </row>
    <row r="92" spans="1:13">
      <c r="A92" s="22"/>
      <c r="B92" s="393"/>
      <c r="C92" s="394"/>
      <c r="D92" s="36" t="s">
        <v>446</v>
      </c>
      <c r="E92" s="36"/>
      <c r="F92" s="36">
        <v>5</v>
      </c>
      <c r="G92" s="37">
        <v>40.5</v>
      </c>
      <c r="H92" s="37">
        <f t="shared" si="3"/>
        <v>12.898089171974522</v>
      </c>
      <c r="I92" s="59">
        <f t="shared" si="4"/>
        <v>91.303304541138814</v>
      </c>
      <c r="J92" s="59">
        <f>I92*'Key Data'!$F$3</f>
        <v>22.825826135284704</v>
      </c>
      <c r="K92" s="59">
        <f t="shared" si="5"/>
        <v>114.12913067642351</v>
      </c>
      <c r="L92" s="344"/>
      <c r="M92" s="344"/>
    </row>
    <row r="93" spans="1:13">
      <c r="A93" s="22"/>
      <c r="B93" s="393"/>
      <c r="C93" s="394"/>
      <c r="D93" s="36">
        <v>13.178190000000001</v>
      </c>
      <c r="E93" s="36">
        <v>79.266360000000006</v>
      </c>
      <c r="F93" s="36">
        <v>6</v>
      </c>
      <c r="G93" s="37">
        <v>45</v>
      </c>
      <c r="H93" s="37">
        <f t="shared" si="3"/>
        <v>14.331210191082802</v>
      </c>
      <c r="I93" s="59">
        <f t="shared" si="4"/>
        <v>96.479001445443316</v>
      </c>
      <c r="J93" s="59">
        <f>I93*'Key Data'!$F$3</f>
        <v>24.119750361360829</v>
      </c>
      <c r="K93" s="59">
        <f t="shared" si="5"/>
        <v>120.59875180680415</v>
      </c>
      <c r="L93" s="344"/>
      <c r="M93" s="344"/>
    </row>
    <row r="94" spans="1:13">
      <c r="A94" s="22"/>
      <c r="B94" s="393"/>
      <c r="C94" s="394"/>
      <c r="D94" s="36" t="s">
        <v>447</v>
      </c>
      <c r="E94" s="36"/>
      <c r="F94" s="36">
        <v>7</v>
      </c>
      <c r="G94" s="37">
        <v>30</v>
      </c>
      <c r="H94" s="37">
        <f t="shared" si="3"/>
        <v>9.5541401273885338</v>
      </c>
      <c r="I94" s="59">
        <f t="shared" si="4"/>
        <v>71.420982321553225</v>
      </c>
      <c r="J94" s="59">
        <f>I94*'Key Data'!$F$3</f>
        <v>17.855245580388306</v>
      </c>
      <c r="K94" s="59">
        <f t="shared" si="5"/>
        <v>89.276227901941525</v>
      </c>
      <c r="L94" s="344"/>
      <c r="M94" s="344"/>
    </row>
    <row r="95" spans="1:13">
      <c r="A95" s="22"/>
      <c r="B95" s="393"/>
      <c r="C95" s="394"/>
      <c r="D95" s="36">
        <v>13.17834</v>
      </c>
      <c r="E95" s="36">
        <v>79.266450000000006</v>
      </c>
      <c r="F95" s="36">
        <v>8</v>
      </c>
      <c r="G95" s="37">
        <v>34.5</v>
      </c>
      <c r="H95" s="37">
        <f t="shared" si="3"/>
        <v>10.987261146496815</v>
      </c>
      <c r="I95" s="59">
        <f t="shared" si="4"/>
        <v>81.461190941682815</v>
      </c>
      <c r="J95" s="59">
        <f>I95*'Key Data'!$F$3</f>
        <v>20.365297735420704</v>
      </c>
      <c r="K95" s="59">
        <f t="shared" si="5"/>
        <v>101.82648867710353</v>
      </c>
      <c r="L95" s="344"/>
      <c r="M95" s="344"/>
    </row>
    <row r="96" spans="1:13">
      <c r="A96" s="22"/>
      <c r="B96" s="393"/>
      <c r="C96" s="394"/>
      <c r="D96" s="36" t="s">
        <v>448</v>
      </c>
      <c r="E96" s="36"/>
      <c r="F96" s="36">
        <v>9</v>
      </c>
      <c r="G96" s="37">
        <v>34.5</v>
      </c>
      <c r="H96" s="37">
        <f t="shared" si="3"/>
        <v>10.987261146496815</v>
      </c>
      <c r="I96" s="59">
        <f t="shared" si="4"/>
        <v>81.461190941682815</v>
      </c>
      <c r="J96" s="59">
        <f>I96*'Key Data'!$F$3</f>
        <v>20.365297735420704</v>
      </c>
      <c r="K96" s="59">
        <f t="shared" si="5"/>
        <v>101.82648867710353</v>
      </c>
      <c r="L96" s="344"/>
      <c r="M96" s="344"/>
    </row>
    <row r="97" spans="1:13">
      <c r="A97" s="22"/>
      <c r="B97" s="393"/>
      <c r="C97" s="394"/>
      <c r="D97" s="36">
        <v>13.17826</v>
      </c>
      <c r="E97" s="36">
        <v>79.266329999999996</v>
      </c>
      <c r="F97" s="36">
        <v>10</v>
      </c>
      <c r="G97" s="37">
        <v>40</v>
      </c>
      <c r="H97" s="37">
        <f t="shared" si="3"/>
        <v>12.738853503184712</v>
      </c>
      <c r="I97" s="59">
        <f t="shared" si="4"/>
        <v>90.621758137913403</v>
      </c>
      <c r="J97" s="59">
        <f>I97*'Key Data'!$F$3</f>
        <v>22.655439534478351</v>
      </c>
      <c r="K97" s="59">
        <f t="shared" si="5"/>
        <v>113.27719767239175</v>
      </c>
      <c r="L97" s="344"/>
      <c r="M97" s="344"/>
    </row>
    <row r="98" spans="1:13">
      <c r="A98" s="22"/>
      <c r="B98" s="393"/>
      <c r="C98" s="394"/>
      <c r="D98" s="36"/>
      <c r="E98" s="36"/>
      <c r="F98" s="36">
        <v>11</v>
      </c>
      <c r="G98" s="37">
        <v>53</v>
      </c>
      <c r="H98" s="37">
        <f t="shared" si="3"/>
        <v>16.878980891719745</v>
      </c>
      <c r="I98" s="59">
        <f t="shared" si="4"/>
        <v>102.35823199607594</v>
      </c>
      <c r="J98" s="59">
        <f>I98*'Key Data'!$F$3</f>
        <v>25.589557999018986</v>
      </c>
      <c r="K98" s="59">
        <f t="shared" si="5"/>
        <v>127.94778999509492</v>
      </c>
      <c r="L98" s="344"/>
      <c r="M98" s="344"/>
    </row>
    <row r="99" spans="1:13">
      <c r="A99" s="22"/>
      <c r="B99" s="393"/>
      <c r="C99" s="394"/>
      <c r="D99" s="36"/>
      <c r="E99" s="36"/>
      <c r="F99" s="36">
        <v>12</v>
      </c>
      <c r="G99" s="37">
        <v>49</v>
      </c>
      <c r="H99" s="37">
        <f t="shared" si="3"/>
        <v>15.605095541401273</v>
      </c>
      <c r="I99" s="59">
        <f t="shared" si="4"/>
        <v>99.85866326147945</v>
      </c>
      <c r="J99" s="59">
        <f>I99*'Key Data'!$F$3</f>
        <v>24.964665815369862</v>
      </c>
      <c r="K99" s="59">
        <f t="shared" si="5"/>
        <v>124.82332907684932</v>
      </c>
      <c r="L99" s="344"/>
      <c r="M99" s="344"/>
    </row>
    <row r="100" spans="1:13">
      <c r="A100" s="22"/>
      <c r="B100" s="393"/>
      <c r="C100" s="394"/>
      <c r="D100" s="36"/>
      <c r="E100" s="36"/>
      <c r="F100" s="36">
        <v>13</v>
      </c>
      <c r="G100" s="37">
        <v>49.5</v>
      </c>
      <c r="H100" s="37">
        <f t="shared" si="3"/>
        <v>15.764331210191083</v>
      </c>
      <c r="I100" s="59">
        <f t="shared" si="4"/>
        <v>100.21441490790885</v>
      </c>
      <c r="J100" s="59">
        <f>I100*'Key Data'!$F$3</f>
        <v>25.053603726977212</v>
      </c>
      <c r="K100" s="59">
        <f t="shared" si="5"/>
        <v>125.26801863488606</v>
      </c>
      <c r="L100" s="344"/>
      <c r="M100" s="344"/>
    </row>
    <row r="101" spans="1:13">
      <c r="A101" s="22"/>
      <c r="B101" s="393"/>
      <c r="C101" s="394"/>
      <c r="D101" s="36"/>
      <c r="E101" s="36"/>
      <c r="F101" s="36">
        <v>14</v>
      </c>
      <c r="G101" s="37">
        <v>61</v>
      </c>
      <c r="H101" s="37">
        <f t="shared" si="3"/>
        <v>19.426751592356688</v>
      </c>
      <c r="I101" s="59">
        <f t="shared" si="4"/>
        <v>105.52821094553939</v>
      </c>
      <c r="J101" s="59">
        <f>I101*'Key Data'!$F$3</f>
        <v>26.382052736384846</v>
      </c>
      <c r="K101" s="59">
        <f t="shared" si="5"/>
        <v>131.91026368192422</v>
      </c>
      <c r="L101" s="344"/>
      <c r="M101" s="344"/>
    </row>
    <row r="102" spans="1:13">
      <c r="A102" s="22"/>
      <c r="B102" s="393"/>
      <c r="C102" s="394"/>
      <c r="D102" s="36"/>
      <c r="E102" s="36"/>
      <c r="F102" s="36">
        <v>15</v>
      </c>
      <c r="G102" s="37">
        <v>20</v>
      </c>
      <c r="H102" s="37">
        <f t="shared" si="3"/>
        <v>6.3694267515923562</v>
      </c>
      <c r="I102" s="59">
        <f t="shared" si="4"/>
        <v>41.414189155155697</v>
      </c>
      <c r="J102" s="59">
        <f>I102*'Key Data'!$F$3</f>
        <v>10.353547288788924</v>
      </c>
      <c r="K102" s="59">
        <f t="shared" si="5"/>
        <v>51.767736443944621</v>
      </c>
      <c r="L102" s="344"/>
      <c r="M102" s="344"/>
    </row>
    <row r="103" spans="1:13">
      <c r="A103" s="22"/>
      <c r="B103" s="393"/>
      <c r="C103" s="394"/>
      <c r="D103" s="36"/>
      <c r="E103" s="36"/>
      <c r="F103" s="36">
        <v>16</v>
      </c>
      <c r="G103" s="37">
        <v>55.5</v>
      </c>
      <c r="H103" s="37">
        <f t="shared" si="3"/>
        <v>17.67515923566879</v>
      </c>
      <c r="I103" s="59">
        <f t="shared" si="4"/>
        <v>103.57045141886734</v>
      </c>
      <c r="J103" s="59">
        <f>I103*'Key Data'!$F$3</f>
        <v>25.892612854716834</v>
      </c>
      <c r="K103" s="59">
        <f t="shared" si="5"/>
        <v>129.46306427358417</v>
      </c>
      <c r="L103" s="344"/>
      <c r="M103" s="344"/>
    </row>
    <row r="104" spans="1:13">
      <c r="A104" s="22"/>
      <c r="B104" s="377">
        <v>7</v>
      </c>
      <c r="C104" s="379" t="s">
        <v>456</v>
      </c>
      <c r="D104" s="38" t="s">
        <v>350</v>
      </c>
      <c r="E104" s="32"/>
      <c r="F104" s="32">
        <v>1</v>
      </c>
      <c r="G104" s="33">
        <v>68</v>
      </c>
      <c r="H104" s="33">
        <f t="shared" si="3"/>
        <v>21.656050955414013</v>
      </c>
      <c r="I104" s="59">
        <f t="shared" si="4"/>
        <v>107.04603314345468</v>
      </c>
      <c r="J104" s="59">
        <f>I104*'Key Data'!$F$3</f>
        <v>26.76150828586367</v>
      </c>
      <c r="K104" s="59">
        <f t="shared" si="5"/>
        <v>133.80754142931835</v>
      </c>
      <c r="L104" s="344">
        <f>SUM(K104:K119)/1000</f>
        <v>2.0295362426977461</v>
      </c>
      <c r="M104" s="344">
        <f>(L104/625)*10000</f>
        <v>32.472579883163938</v>
      </c>
    </row>
    <row r="105" spans="1:13">
      <c r="A105" s="22"/>
      <c r="B105" s="377"/>
      <c r="C105" s="379"/>
      <c r="D105" s="32">
        <v>13.20425</v>
      </c>
      <c r="E105" s="32">
        <v>79.236019999999996</v>
      </c>
      <c r="F105" s="32">
        <v>2</v>
      </c>
      <c r="G105" s="33">
        <v>41</v>
      </c>
      <c r="H105" s="33">
        <f t="shared" si="3"/>
        <v>13.057324840764331</v>
      </c>
      <c r="I105" s="59">
        <f t="shared" si="4"/>
        <v>91.962027852063727</v>
      </c>
      <c r="J105" s="59">
        <f>I105*'Key Data'!$F$3</f>
        <v>22.990506963015932</v>
      </c>
      <c r="K105" s="59">
        <f t="shared" si="5"/>
        <v>114.95253481507966</v>
      </c>
      <c r="L105" s="344"/>
      <c r="M105" s="344"/>
    </row>
    <row r="106" spans="1:13">
      <c r="A106" s="22"/>
      <c r="B106" s="377"/>
      <c r="C106" s="379"/>
      <c r="D106" s="38" t="s">
        <v>445</v>
      </c>
      <c r="E106" s="32"/>
      <c r="F106" s="32">
        <v>3</v>
      </c>
      <c r="G106" s="33">
        <v>81</v>
      </c>
      <c r="H106" s="33">
        <f t="shared" si="3"/>
        <v>25.796178343949045</v>
      </c>
      <c r="I106" s="59">
        <f t="shared" si="4"/>
        <v>108.33686109224939</v>
      </c>
      <c r="J106" s="59">
        <f>I106*'Key Data'!$F$3</f>
        <v>27.084215273062348</v>
      </c>
      <c r="K106" s="59">
        <f t="shared" si="5"/>
        <v>135.42107636531173</v>
      </c>
      <c r="L106" s="344"/>
      <c r="M106" s="344"/>
    </row>
    <row r="107" spans="1:13">
      <c r="A107" s="22"/>
      <c r="B107" s="377"/>
      <c r="C107" s="379"/>
      <c r="D107" s="32">
        <v>13.204459999999999</v>
      </c>
      <c r="E107" s="32">
        <v>79.236019999999996</v>
      </c>
      <c r="F107" s="32">
        <v>4</v>
      </c>
      <c r="G107" s="33">
        <v>75</v>
      </c>
      <c r="H107" s="33">
        <f t="shared" si="3"/>
        <v>23.885350318471335</v>
      </c>
      <c r="I107" s="59">
        <f t="shared" si="4"/>
        <v>107.9057025090199</v>
      </c>
      <c r="J107" s="59">
        <f>I107*'Key Data'!$F$3</f>
        <v>26.976425627254976</v>
      </c>
      <c r="K107" s="59">
        <f t="shared" si="5"/>
        <v>134.88212813627487</v>
      </c>
      <c r="L107" s="344"/>
      <c r="M107" s="344"/>
    </row>
    <row r="108" spans="1:13">
      <c r="A108" s="22"/>
      <c r="B108" s="377"/>
      <c r="C108" s="379"/>
      <c r="D108" s="38" t="s">
        <v>446</v>
      </c>
      <c r="E108" s="32"/>
      <c r="F108" s="32">
        <v>5</v>
      </c>
      <c r="G108" s="33">
        <v>44</v>
      </c>
      <c r="H108" s="33">
        <f t="shared" si="3"/>
        <v>14.012738853503183</v>
      </c>
      <c r="I108" s="59">
        <f t="shared" si="4"/>
        <v>95.467257374744108</v>
      </c>
      <c r="J108" s="59">
        <f>I108*'Key Data'!$F$3</f>
        <v>23.866814343686027</v>
      </c>
      <c r="K108" s="59">
        <f t="shared" si="5"/>
        <v>119.33407171843014</v>
      </c>
      <c r="L108" s="344"/>
      <c r="M108" s="344"/>
    </row>
    <row r="109" spans="1:13">
      <c r="A109" s="22"/>
      <c r="B109" s="377"/>
      <c r="C109" s="379"/>
      <c r="D109" s="32">
        <v>13.204370000000001</v>
      </c>
      <c r="E109" s="32">
        <v>79.235669999999999</v>
      </c>
      <c r="F109" s="32">
        <v>6</v>
      </c>
      <c r="G109" s="33">
        <v>66.5</v>
      </c>
      <c r="H109" s="33">
        <f t="shared" si="3"/>
        <v>21.178343949044585</v>
      </c>
      <c r="I109" s="59">
        <f t="shared" si="4"/>
        <v>106.78892598751357</v>
      </c>
      <c r="J109" s="59">
        <f>I109*'Key Data'!$F$3</f>
        <v>26.697231496878391</v>
      </c>
      <c r="K109" s="59">
        <f t="shared" si="5"/>
        <v>133.48615748439195</v>
      </c>
      <c r="L109" s="344"/>
      <c r="M109" s="344"/>
    </row>
    <row r="110" spans="1:13">
      <c r="A110" s="22"/>
      <c r="B110" s="377"/>
      <c r="C110" s="379"/>
      <c r="D110" s="38" t="s">
        <v>447</v>
      </c>
      <c r="E110" s="32"/>
      <c r="F110" s="32">
        <v>7</v>
      </c>
      <c r="G110" s="33">
        <v>82</v>
      </c>
      <c r="H110" s="33">
        <f t="shared" si="3"/>
        <v>26.114649681528661</v>
      </c>
      <c r="I110" s="59">
        <f t="shared" si="4"/>
        <v>108.39022685368249</v>
      </c>
      <c r="J110" s="59">
        <f>I110*'Key Data'!$F$3</f>
        <v>27.097556713420623</v>
      </c>
      <c r="K110" s="59">
        <f t="shared" si="5"/>
        <v>135.48778356710312</v>
      </c>
      <c r="L110" s="344"/>
      <c r="M110" s="344"/>
    </row>
    <row r="111" spans="1:13">
      <c r="A111" s="22"/>
      <c r="B111" s="377"/>
      <c r="C111" s="379"/>
      <c r="D111" s="32">
        <v>13.204370000000001</v>
      </c>
      <c r="E111" s="32">
        <v>79.235759999999999</v>
      </c>
      <c r="F111" s="32">
        <v>8</v>
      </c>
      <c r="G111" s="33">
        <v>93</v>
      </c>
      <c r="H111" s="33">
        <f t="shared" si="3"/>
        <v>29.617834394904456</v>
      </c>
      <c r="I111" s="59">
        <f t="shared" si="4"/>
        <v>108.76050211123197</v>
      </c>
      <c r="J111" s="59">
        <f>I111*'Key Data'!$F$3</f>
        <v>27.190125527807993</v>
      </c>
      <c r="K111" s="59">
        <f t="shared" si="5"/>
        <v>135.95062763903996</v>
      </c>
      <c r="L111" s="344"/>
      <c r="M111" s="344"/>
    </row>
    <row r="112" spans="1:13">
      <c r="A112" s="22"/>
      <c r="B112" s="377"/>
      <c r="C112" s="379"/>
      <c r="D112" s="38" t="s">
        <v>457</v>
      </c>
      <c r="E112" s="32"/>
      <c r="F112" s="32">
        <v>9</v>
      </c>
      <c r="G112" s="33">
        <v>72</v>
      </c>
      <c r="H112" s="33">
        <f t="shared" si="3"/>
        <v>22.929936305732483</v>
      </c>
      <c r="I112" s="59">
        <f t="shared" si="4"/>
        <v>107.59624631676735</v>
      </c>
      <c r="J112" s="59">
        <f>I112*'Key Data'!$F$3</f>
        <v>26.899061579191837</v>
      </c>
      <c r="K112" s="59">
        <f t="shared" si="5"/>
        <v>134.49530789595917</v>
      </c>
      <c r="L112" s="344"/>
      <c r="M112" s="344"/>
    </row>
    <row r="113" spans="1:13">
      <c r="A113" s="22"/>
      <c r="B113" s="377"/>
      <c r="C113" s="379"/>
      <c r="D113" s="32">
        <v>13.204409999999999</v>
      </c>
      <c r="E113" s="32">
        <v>79.235839999999996</v>
      </c>
      <c r="F113" s="32">
        <v>10</v>
      </c>
      <c r="G113" s="33">
        <v>51</v>
      </c>
      <c r="H113" s="33">
        <f t="shared" si="3"/>
        <v>16.242038216560509</v>
      </c>
      <c r="I113" s="59">
        <f t="shared" si="4"/>
        <v>101.20402272427799</v>
      </c>
      <c r="J113" s="59">
        <f>I113*'Key Data'!$F$3</f>
        <v>25.301005681069498</v>
      </c>
      <c r="K113" s="59">
        <f t="shared" si="5"/>
        <v>126.50502840534749</v>
      </c>
      <c r="L113" s="344"/>
      <c r="M113" s="344"/>
    </row>
    <row r="114" spans="1:13">
      <c r="A114" s="22"/>
      <c r="B114" s="377"/>
      <c r="C114" s="379"/>
      <c r="D114" s="32"/>
      <c r="E114" s="32"/>
      <c r="F114" s="32">
        <v>11</v>
      </c>
      <c r="G114" s="33">
        <v>38</v>
      </c>
      <c r="H114" s="33">
        <f t="shared" si="3"/>
        <v>12.101910828025478</v>
      </c>
      <c r="I114" s="59">
        <f t="shared" si="4"/>
        <v>87.655984615502476</v>
      </c>
      <c r="J114" s="59">
        <f>I114*'Key Data'!$F$3</f>
        <v>21.913996153875619</v>
      </c>
      <c r="K114" s="59">
        <f t="shared" si="5"/>
        <v>109.56998076937809</v>
      </c>
      <c r="L114" s="344"/>
      <c r="M114" s="344"/>
    </row>
    <row r="115" spans="1:13">
      <c r="A115" s="22"/>
      <c r="B115" s="377"/>
      <c r="C115" s="379"/>
      <c r="D115" s="32"/>
      <c r="E115" s="32"/>
      <c r="F115" s="32">
        <v>12</v>
      </c>
      <c r="G115" s="33">
        <v>63.5</v>
      </c>
      <c r="H115" s="33">
        <f t="shared" si="3"/>
        <v>20.222929936305732</v>
      </c>
      <c r="I115" s="59">
        <f t="shared" si="4"/>
        <v>106.17075260902055</v>
      </c>
      <c r="J115" s="59">
        <f>I115*'Key Data'!$F$3</f>
        <v>26.542688152255138</v>
      </c>
      <c r="K115" s="59">
        <f t="shared" si="5"/>
        <v>132.71344076127571</v>
      </c>
      <c r="L115" s="344"/>
      <c r="M115" s="344"/>
    </row>
    <row r="116" spans="1:13">
      <c r="A116" s="22"/>
      <c r="B116" s="377"/>
      <c r="C116" s="379"/>
      <c r="D116" s="32"/>
      <c r="E116" s="32"/>
      <c r="F116" s="32">
        <v>13</v>
      </c>
      <c r="G116" s="33">
        <v>66.5</v>
      </c>
      <c r="H116" s="33">
        <f t="shared" si="3"/>
        <v>21.178343949044585</v>
      </c>
      <c r="I116" s="59">
        <f t="shared" si="4"/>
        <v>106.78892598751357</v>
      </c>
      <c r="J116" s="59">
        <f>I116*'Key Data'!$F$3</f>
        <v>26.697231496878391</v>
      </c>
      <c r="K116" s="59">
        <f t="shared" si="5"/>
        <v>133.48615748439195</v>
      </c>
      <c r="L116" s="344"/>
      <c r="M116" s="344"/>
    </row>
    <row r="117" spans="1:13">
      <c r="A117" s="22"/>
      <c r="B117" s="377"/>
      <c r="C117" s="379"/>
      <c r="D117" s="32"/>
      <c r="E117" s="32"/>
      <c r="F117" s="32">
        <v>14</v>
      </c>
      <c r="G117" s="33">
        <v>43</v>
      </c>
      <c r="H117" s="33">
        <f t="shared" ref="H117:H181" si="6">G117/3.14</f>
        <v>13.694267515923567</v>
      </c>
      <c r="I117" s="59">
        <f t="shared" si="4"/>
        <v>94.380191787958069</v>
      </c>
      <c r="J117" s="59">
        <f>I117*'Key Data'!$F$3</f>
        <v>23.595047946989517</v>
      </c>
      <c r="K117" s="59">
        <f t="shared" si="5"/>
        <v>117.97523973494759</v>
      </c>
      <c r="L117" s="344"/>
      <c r="M117" s="344"/>
    </row>
    <row r="118" spans="1:13">
      <c r="A118" s="22"/>
      <c r="B118" s="377"/>
      <c r="C118" s="379"/>
      <c r="D118" s="32"/>
      <c r="E118" s="32"/>
      <c r="F118" s="32">
        <v>15</v>
      </c>
      <c r="G118" s="33">
        <v>42</v>
      </c>
      <c r="H118" s="33">
        <f t="shared" si="6"/>
        <v>13.375796178343949</v>
      </c>
      <c r="I118" s="59">
        <f t="shared" si="4"/>
        <v>93.213305341133093</v>
      </c>
      <c r="J118" s="59">
        <f>I118*'Key Data'!$F$3</f>
        <v>23.303326335283273</v>
      </c>
      <c r="K118" s="59">
        <f t="shared" si="5"/>
        <v>116.51663167641637</v>
      </c>
      <c r="L118" s="344"/>
      <c r="M118" s="344"/>
    </row>
    <row r="119" spans="1:13">
      <c r="A119" s="22"/>
      <c r="B119" s="377"/>
      <c r="C119" s="379"/>
      <c r="D119" s="32"/>
      <c r="E119" s="32"/>
      <c r="F119" s="32">
        <v>16</v>
      </c>
      <c r="G119" s="33">
        <v>41</v>
      </c>
      <c r="H119" s="33">
        <f t="shared" si="6"/>
        <v>13.057324840764331</v>
      </c>
      <c r="I119" s="59">
        <f t="shared" si="4"/>
        <v>91.962027852063727</v>
      </c>
      <c r="J119" s="59">
        <f>I119*'Key Data'!$F$3</f>
        <v>22.990506963015932</v>
      </c>
      <c r="K119" s="59">
        <f t="shared" si="5"/>
        <v>114.95253481507966</v>
      </c>
      <c r="L119" s="344"/>
      <c r="M119" s="344"/>
    </row>
    <row r="120" spans="1:13">
      <c r="A120" s="22"/>
      <c r="B120" s="387">
        <v>8</v>
      </c>
      <c r="C120" s="388" t="s">
        <v>458</v>
      </c>
      <c r="D120" s="39" t="s">
        <v>350</v>
      </c>
      <c r="E120" s="39"/>
      <c r="F120" s="40">
        <v>1</v>
      </c>
      <c r="G120" s="41">
        <v>58</v>
      </c>
      <c r="H120" s="41">
        <f t="shared" si="6"/>
        <v>18.471337579617835</v>
      </c>
      <c r="I120" s="59">
        <f t="shared" si="4"/>
        <v>104.56657614406886</v>
      </c>
      <c r="J120" s="59">
        <f>I120*'Key Data'!$F$3</f>
        <v>26.141644036017215</v>
      </c>
      <c r="K120" s="59">
        <f t="shared" si="5"/>
        <v>130.70822018008607</v>
      </c>
      <c r="L120" s="344">
        <f>SUM(K120:K135)/1000</f>
        <v>1.8447930186602395</v>
      </c>
      <c r="M120" s="344">
        <f>(L120/625)*10000</f>
        <v>29.516688298563832</v>
      </c>
    </row>
    <row r="121" spans="1:13">
      <c r="A121" s="22"/>
      <c r="B121" s="387"/>
      <c r="C121" s="388"/>
      <c r="D121" s="40">
        <v>13.181229999999999</v>
      </c>
      <c r="E121" s="40">
        <v>79.181229999999999</v>
      </c>
      <c r="F121" s="40">
        <v>2</v>
      </c>
      <c r="G121" s="41">
        <v>70.5</v>
      </c>
      <c r="H121" s="41">
        <f t="shared" si="6"/>
        <v>22.452229299363058</v>
      </c>
      <c r="I121" s="59">
        <f t="shared" si="4"/>
        <v>107.41061761640849</v>
      </c>
      <c r="J121" s="59">
        <f>I121*'Key Data'!$F$3</f>
        <v>26.852654404102122</v>
      </c>
      <c r="K121" s="59">
        <f t="shared" si="5"/>
        <v>134.26327202051061</v>
      </c>
      <c r="L121" s="344"/>
      <c r="M121" s="344"/>
    </row>
    <row r="122" spans="1:13">
      <c r="A122" s="22"/>
      <c r="B122" s="387"/>
      <c r="C122" s="388"/>
      <c r="D122" s="39" t="s">
        <v>445</v>
      </c>
      <c r="E122" s="39"/>
      <c r="F122" s="40">
        <v>3</v>
      </c>
      <c r="G122" s="41">
        <v>71.2</v>
      </c>
      <c r="H122" s="41">
        <f t="shared" si="6"/>
        <v>22.67515923566879</v>
      </c>
      <c r="I122" s="59">
        <f t="shared" si="4"/>
        <v>107.50007653419684</v>
      </c>
      <c r="J122" s="59">
        <f>I122*'Key Data'!$F$3</f>
        <v>26.875019133549209</v>
      </c>
      <c r="K122" s="59">
        <f t="shared" si="5"/>
        <v>134.37509566774605</v>
      </c>
      <c r="L122" s="344"/>
      <c r="M122" s="344"/>
    </row>
    <row r="123" spans="1:13">
      <c r="A123" s="22"/>
      <c r="B123" s="387"/>
      <c r="C123" s="388"/>
      <c r="D123" s="40">
        <v>13.181419999999999</v>
      </c>
      <c r="E123" s="40">
        <v>79.266739999999999</v>
      </c>
      <c r="F123" s="40">
        <v>4</v>
      </c>
      <c r="G123" s="55" t="s">
        <v>454</v>
      </c>
      <c r="H123" s="55" t="s">
        <v>454</v>
      </c>
      <c r="I123" s="63" t="s">
        <v>454</v>
      </c>
      <c r="J123" s="63" t="s">
        <v>454</v>
      </c>
      <c r="K123" s="63" t="s">
        <v>454</v>
      </c>
      <c r="L123" s="344"/>
      <c r="M123" s="344"/>
    </row>
    <row r="124" spans="1:13">
      <c r="A124" s="22"/>
      <c r="B124" s="387"/>
      <c r="C124" s="388"/>
      <c r="D124" s="39" t="s">
        <v>446</v>
      </c>
      <c r="E124" s="39"/>
      <c r="F124" s="40">
        <v>5</v>
      </c>
      <c r="G124" s="41">
        <v>52.5</v>
      </c>
      <c r="H124" s="41">
        <f t="shared" si="6"/>
        <v>16.719745222929937</v>
      </c>
      <c r="I124" s="59">
        <f t="shared" si="4"/>
        <v>102.08616787548029</v>
      </c>
      <c r="J124" s="59">
        <f>I124*'Key Data'!$F$3</f>
        <v>25.521541968870071</v>
      </c>
      <c r="K124" s="59">
        <f t="shared" si="5"/>
        <v>127.60770984435035</v>
      </c>
      <c r="L124" s="344"/>
      <c r="M124" s="344"/>
    </row>
    <row r="125" spans="1:13">
      <c r="A125" s="22"/>
      <c r="B125" s="387"/>
      <c r="C125" s="388"/>
      <c r="D125" s="40">
        <v>13.18146</v>
      </c>
      <c r="E125" s="40">
        <v>79.266940000000005</v>
      </c>
      <c r="F125" s="40">
        <v>6</v>
      </c>
      <c r="G125" s="41">
        <v>69</v>
      </c>
      <c r="H125" s="41">
        <f t="shared" si="6"/>
        <v>21.97452229299363</v>
      </c>
      <c r="I125" s="59">
        <f t="shared" si="4"/>
        <v>107.20082669969965</v>
      </c>
      <c r="J125" s="59">
        <f>I125*'Key Data'!$F$3</f>
        <v>26.800206674924912</v>
      </c>
      <c r="K125" s="59">
        <f t="shared" si="5"/>
        <v>134.00103337462457</v>
      </c>
      <c r="L125" s="344"/>
      <c r="M125" s="344"/>
    </row>
    <row r="126" spans="1:13">
      <c r="A126" s="22"/>
      <c r="B126" s="387"/>
      <c r="C126" s="388"/>
      <c r="D126" s="39" t="s">
        <v>447</v>
      </c>
      <c r="E126" s="39"/>
      <c r="F126" s="40">
        <v>7</v>
      </c>
      <c r="G126" s="41">
        <v>29.7</v>
      </c>
      <c r="H126" s="41">
        <f t="shared" si="6"/>
        <v>9.4585987261146496</v>
      </c>
      <c r="I126" s="59">
        <f t="shared" si="4"/>
        <v>70.665410253286012</v>
      </c>
      <c r="J126" s="59">
        <f>I126*'Key Data'!$F$3</f>
        <v>17.666352563321503</v>
      </c>
      <c r="K126" s="59">
        <f t="shared" si="5"/>
        <v>88.331762816607522</v>
      </c>
      <c r="L126" s="344"/>
      <c r="M126" s="344"/>
    </row>
    <row r="127" spans="1:13">
      <c r="A127" s="22"/>
      <c r="B127" s="387"/>
      <c r="C127" s="388"/>
      <c r="D127" s="40">
        <v>13.181279999999999</v>
      </c>
      <c r="E127" s="40">
        <v>79.266970000000001</v>
      </c>
      <c r="F127" s="40">
        <v>8</v>
      </c>
      <c r="G127" s="41">
        <v>63.5</v>
      </c>
      <c r="H127" s="41">
        <f t="shared" si="6"/>
        <v>20.222929936305732</v>
      </c>
      <c r="I127" s="59">
        <f t="shared" si="4"/>
        <v>106.17075260902055</v>
      </c>
      <c r="J127" s="59">
        <f>I127*'Key Data'!$F$3</f>
        <v>26.542688152255138</v>
      </c>
      <c r="K127" s="59">
        <f t="shared" si="5"/>
        <v>132.71344076127571</v>
      </c>
      <c r="L127" s="344"/>
      <c r="M127" s="344"/>
    </row>
    <row r="128" spans="1:13">
      <c r="A128" s="22"/>
      <c r="B128" s="387"/>
      <c r="C128" s="388"/>
      <c r="D128" s="39" t="s">
        <v>457</v>
      </c>
      <c r="E128" s="39"/>
      <c r="F128" s="40">
        <v>9</v>
      </c>
      <c r="G128" s="41">
        <v>65.5</v>
      </c>
      <c r="H128" s="41">
        <f t="shared" si="6"/>
        <v>20.859872611464969</v>
      </c>
      <c r="I128" s="59">
        <f t="shared" si="4"/>
        <v>106.59929446172839</v>
      </c>
      <c r="J128" s="59">
        <f>I128*'Key Data'!$F$3</f>
        <v>26.649823615432098</v>
      </c>
      <c r="K128" s="59">
        <f t="shared" si="5"/>
        <v>133.24911807716049</v>
      </c>
      <c r="L128" s="344"/>
      <c r="M128" s="344"/>
    </row>
    <row r="129" spans="1:13">
      <c r="A129" s="22"/>
      <c r="B129" s="387"/>
      <c r="C129" s="388"/>
      <c r="D129" s="40">
        <v>13.181340000000001</v>
      </c>
      <c r="E129" s="40">
        <v>79.266859999999994</v>
      </c>
      <c r="F129" s="40">
        <v>10</v>
      </c>
      <c r="G129" s="41">
        <v>60.5</v>
      </c>
      <c r="H129" s="41">
        <f t="shared" si="6"/>
        <v>19.267515923566879</v>
      </c>
      <c r="I129" s="59">
        <f t="shared" si="4"/>
        <v>105.38349665761297</v>
      </c>
      <c r="J129" s="59">
        <f>I129*'Key Data'!$F$3</f>
        <v>26.345874164403241</v>
      </c>
      <c r="K129" s="59">
        <f t="shared" si="5"/>
        <v>131.72937082201622</v>
      </c>
      <c r="L129" s="344"/>
      <c r="M129" s="344"/>
    </row>
    <row r="130" spans="1:13">
      <c r="A130" s="22"/>
      <c r="B130" s="387"/>
      <c r="C130" s="388"/>
      <c r="D130" s="40"/>
      <c r="E130" s="40"/>
      <c r="F130" s="40">
        <v>11</v>
      </c>
      <c r="G130" s="41">
        <v>31.6</v>
      </c>
      <c r="H130" s="41">
        <f t="shared" si="6"/>
        <v>10.063694267515924</v>
      </c>
      <c r="I130" s="59">
        <f t="shared" si="4"/>
        <v>75.268397287758305</v>
      </c>
      <c r="J130" s="59">
        <f>I130*'Key Data'!$F$3</f>
        <v>18.817099321939576</v>
      </c>
      <c r="K130" s="59">
        <f t="shared" si="5"/>
        <v>94.085496609697884</v>
      </c>
      <c r="L130" s="344"/>
      <c r="M130" s="344"/>
    </row>
    <row r="131" spans="1:13">
      <c r="A131" s="22"/>
      <c r="B131" s="387"/>
      <c r="C131" s="388"/>
      <c r="D131" s="40"/>
      <c r="E131" s="40"/>
      <c r="F131" s="40">
        <v>12</v>
      </c>
      <c r="G131" s="41">
        <v>68.5</v>
      </c>
      <c r="H131" s="41">
        <f t="shared" si="6"/>
        <v>21.815286624203821</v>
      </c>
      <c r="I131" s="59">
        <f t="shared" si="4"/>
        <v>107.12500390758242</v>
      </c>
      <c r="J131" s="59">
        <f>I131*'Key Data'!$F$3</f>
        <v>26.781250976895606</v>
      </c>
      <c r="K131" s="59">
        <f t="shared" si="5"/>
        <v>133.90625488447802</v>
      </c>
      <c r="L131" s="344"/>
      <c r="M131" s="344"/>
    </row>
    <row r="132" spans="1:13">
      <c r="A132" s="22"/>
      <c r="B132" s="387"/>
      <c r="C132" s="388"/>
      <c r="D132" s="40"/>
      <c r="E132" s="40"/>
      <c r="F132" s="40">
        <v>13</v>
      </c>
      <c r="G132" s="41">
        <v>71</v>
      </c>
      <c r="H132" s="41">
        <f t="shared" si="6"/>
        <v>22.611464968152866</v>
      </c>
      <c r="I132" s="59">
        <f t="shared" si="4"/>
        <v>107.47503621988463</v>
      </c>
      <c r="J132" s="59">
        <f>I132*'Key Data'!$F$3</f>
        <v>26.868759054971157</v>
      </c>
      <c r="K132" s="59">
        <f t="shared" si="5"/>
        <v>134.34379527485578</v>
      </c>
      <c r="L132" s="344"/>
      <c r="M132" s="344"/>
    </row>
    <row r="133" spans="1:13">
      <c r="A133" s="22"/>
      <c r="B133" s="387"/>
      <c r="C133" s="388"/>
      <c r="D133" s="40"/>
      <c r="E133" s="40"/>
      <c r="F133" s="40">
        <v>14</v>
      </c>
      <c r="G133" s="41">
        <v>53.1</v>
      </c>
      <c r="H133" s="41">
        <f t="shared" si="6"/>
        <v>16.910828025477706</v>
      </c>
      <c r="I133" s="59">
        <f t="shared" ref="I133:I196" si="7">30.4*EXP(-5.07*EXP(-0.26*H133)+1.277)</f>
        <v>102.41139063368415</v>
      </c>
      <c r="J133" s="59">
        <f>I133*'Key Data'!$F$3</f>
        <v>25.602847658421037</v>
      </c>
      <c r="K133" s="59">
        <f t="shared" ref="K133:K196" si="8">I133+J133</f>
        <v>128.01423829210518</v>
      </c>
      <c r="L133" s="344"/>
      <c r="M133" s="344"/>
    </row>
    <row r="134" spans="1:13">
      <c r="A134" s="22"/>
      <c r="B134" s="387"/>
      <c r="C134" s="388"/>
      <c r="D134" s="40"/>
      <c r="E134" s="40"/>
      <c r="F134" s="40">
        <v>15</v>
      </c>
      <c r="G134" s="41">
        <v>67.5</v>
      </c>
      <c r="H134" s="41">
        <f t="shared" si="6"/>
        <v>21.496815286624201</v>
      </c>
      <c r="I134" s="59">
        <f t="shared" si="7"/>
        <v>106.96378622329176</v>
      </c>
      <c r="J134" s="59">
        <f>I134*'Key Data'!$F$3</f>
        <v>26.740946555822941</v>
      </c>
      <c r="K134" s="59">
        <f t="shared" si="8"/>
        <v>133.70473277911469</v>
      </c>
      <c r="L134" s="344"/>
      <c r="M134" s="344"/>
    </row>
    <row r="135" spans="1:13">
      <c r="A135" s="22"/>
      <c r="B135" s="387"/>
      <c r="C135" s="388"/>
      <c r="D135" s="40"/>
      <c r="E135" s="40"/>
      <c r="F135" s="40">
        <v>16</v>
      </c>
      <c r="G135" s="41">
        <v>25.5</v>
      </c>
      <c r="H135" s="41">
        <f t="shared" si="6"/>
        <v>8.1210191082802545</v>
      </c>
      <c r="I135" s="59">
        <f t="shared" si="7"/>
        <v>59.007581804488225</v>
      </c>
      <c r="J135" s="59">
        <f>I135*'Key Data'!$F$3</f>
        <v>14.751895451122056</v>
      </c>
      <c r="K135" s="59">
        <f t="shared" si="8"/>
        <v>73.759477255610278</v>
      </c>
      <c r="L135" s="344"/>
      <c r="M135" s="344"/>
    </row>
    <row r="136" spans="1:13">
      <c r="A136" s="22"/>
      <c r="B136" s="389">
        <v>9</v>
      </c>
      <c r="C136" s="390" t="s">
        <v>459</v>
      </c>
      <c r="D136" s="24" t="s">
        <v>350</v>
      </c>
      <c r="E136" s="24"/>
      <c r="F136" s="24">
        <v>1</v>
      </c>
      <c r="G136" s="25">
        <v>69</v>
      </c>
      <c r="H136" s="25">
        <f t="shared" si="6"/>
        <v>21.97452229299363</v>
      </c>
      <c r="I136" s="59">
        <f t="shared" si="7"/>
        <v>107.20082669969965</v>
      </c>
      <c r="J136" s="59">
        <f>I136*'Key Data'!$F$3</f>
        <v>26.800206674924912</v>
      </c>
      <c r="K136" s="59">
        <f t="shared" si="8"/>
        <v>134.00103337462457</v>
      </c>
      <c r="L136" s="344">
        <f>SUM(K136:K151)/1000</f>
        <v>2.1566215800261674</v>
      </c>
      <c r="M136" s="344">
        <f>(L136/625)*10000</f>
        <v>34.505945280418679</v>
      </c>
    </row>
    <row r="137" spans="1:13">
      <c r="A137" s="22"/>
      <c r="B137" s="389"/>
      <c r="C137" s="390"/>
      <c r="D137" s="24">
        <v>13.241394</v>
      </c>
      <c r="E137" s="24">
        <v>79.333353000000002</v>
      </c>
      <c r="F137" s="24">
        <v>2</v>
      </c>
      <c r="G137" s="25">
        <v>82</v>
      </c>
      <c r="H137" s="25">
        <f t="shared" si="6"/>
        <v>26.114649681528661</v>
      </c>
      <c r="I137" s="59">
        <f t="shared" si="7"/>
        <v>108.39022685368249</v>
      </c>
      <c r="J137" s="59">
        <f>I137*'Key Data'!$F$3</f>
        <v>27.097556713420623</v>
      </c>
      <c r="K137" s="59">
        <f t="shared" si="8"/>
        <v>135.48778356710312</v>
      </c>
      <c r="L137" s="344"/>
      <c r="M137" s="344"/>
    </row>
    <row r="138" spans="1:13">
      <c r="A138" s="22"/>
      <c r="B138" s="389"/>
      <c r="C138" s="390"/>
      <c r="D138" s="24" t="s">
        <v>445</v>
      </c>
      <c r="E138" s="24"/>
      <c r="F138" s="24">
        <v>3</v>
      </c>
      <c r="G138" s="25">
        <v>86.5</v>
      </c>
      <c r="H138" s="25">
        <f t="shared" si="6"/>
        <v>27.547770700636942</v>
      </c>
      <c r="I138" s="59">
        <f t="shared" si="7"/>
        <v>108.58274030260277</v>
      </c>
      <c r="J138" s="59">
        <f>I138*'Key Data'!$F$3</f>
        <v>27.145685075650693</v>
      </c>
      <c r="K138" s="59">
        <f t="shared" si="8"/>
        <v>135.72842537825346</v>
      </c>
      <c r="L138" s="344"/>
      <c r="M138" s="344"/>
    </row>
    <row r="139" spans="1:13">
      <c r="A139" s="22"/>
      <c r="B139" s="389"/>
      <c r="C139" s="390"/>
      <c r="D139" s="24">
        <v>13.236556999999999</v>
      </c>
      <c r="E139" s="24">
        <v>79.322782000000004</v>
      </c>
      <c r="F139" s="24">
        <v>4</v>
      </c>
      <c r="G139" s="25">
        <v>99</v>
      </c>
      <c r="H139" s="25">
        <f t="shared" si="6"/>
        <v>31.528662420382165</v>
      </c>
      <c r="I139" s="59">
        <f t="shared" si="7"/>
        <v>108.85824840538585</v>
      </c>
      <c r="J139" s="59">
        <f>I139*'Key Data'!$F$3</f>
        <v>27.214562101346463</v>
      </c>
      <c r="K139" s="59">
        <f t="shared" si="8"/>
        <v>136.07281050673231</v>
      </c>
      <c r="L139" s="344"/>
      <c r="M139" s="344"/>
    </row>
    <row r="140" spans="1:13">
      <c r="A140" s="22"/>
      <c r="B140" s="389"/>
      <c r="C140" s="390"/>
      <c r="D140" s="24" t="s">
        <v>446</v>
      </c>
      <c r="E140" s="24"/>
      <c r="F140" s="24">
        <v>5</v>
      </c>
      <c r="G140" s="25">
        <v>94.5</v>
      </c>
      <c r="H140" s="25">
        <f t="shared" si="6"/>
        <v>30.095541401273884</v>
      </c>
      <c r="I140" s="59">
        <f t="shared" si="7"/>
        <v>108.78965199210872</v>
      </c>
      <c r="J140" s="59">
        <f>I140*'Key Data'!$F$3</f>
        <v>27.197412998027179</v>
      </c>
      <c r="K140" s="59">
        <f t="shared" si="8"/>
        <v>135.98706499013591</v>
      </c>
      <c r="L140" s="344"/>
      <c r="M140" s="344"/>
    </row>
    <row r="141" spans="1:13">
      <c r="A141" s="22"/>
      <c r="B141" s="389"/>
      <c r="C141" s="390"/>
      <c r="D141" s="24">
        <v>13.236544</v>
      </c>
      <c r="E141" s="24">
        <v>79.322987999999995</v>
      </c>
      <c r="F141" s="24">
        <v>6</v>
      </c>
      <c r="G141" s="25">
        <v>89.5</v>
      </c>
      <c r="H141" s="25">
        <f t="shared" si="6"/>
        <v>28.503184713375795</v>
      </c>
      <c r="I141" s="59">
        <f t="shared" si="7"/>
        <v>108.67664705003149</v>
      </c>
      <c r="J141" s="59">
        <f>I141*'Key Data'!$F$3</f>
        <v>27.169161762507873</v>
      </c>
      <c r="K141" s="59">
        <f t="shared" si="8"/>
        <v>135.84580881253936</v>
      </c>
      <c r="L141" s="344"/>
      <c r="M141" s="344"/>
    </row>
    <row r="142" spans="1:13">
      <c r="A142" s="22"/>
      <c r="B142" s="389"/>
      <c r="C142" s="390"/>
      <c r="D142" s="24" t="s">
        <v>447</v>
      </c>
      <c r="E142" s="24"/>
      <c r="F142" s="24">
        <v>7</v>
      </c>
      <c r="G142" s="25">
        <v>49.5</v>
      </c>
      <c r="H142" s="25">
        <f t="shared" si="6"/>
        <v>15.764331210191083</v>
      </c>
      <c r="I142" s="59">
        <f t="shared" si="7"/>
        <v>100.21441490790885</v>
      </c>
      <c r="J142" s="59">
        <f>I142*'Key Data'!$F$3</f>
        <v>25.053603726977212</v>
      </c>
      <c r="K142" s="59">
        <f t="shared" si="8"/>
        <v>125.26801863488606</v>
      </c>
      <c r="L142" s="344"/>
      <c r="M142" s="344"/>
    </row>
    <row r="143" spans="1:13">
      <c r="A143" s="22"/>
      <c r="B143" s="389"/>
      <c r="C143" s="390"/>
      <c r="D143" s="24">
        <v>13.236686000000001</v>
      </c>
      <c r="E143" s="24">
        <v>79.323030000000003</v>
      </c>
      <c r="F143" s="24">
        <v>8</v>
      </c>
      <c r="G143" s="25">
        <v>86.5</v>
      </c>
      <c r="H143" s="25">
        <f t="shared" si="6"/>
        <v>27.547770700636942</v>
      </c>
      <c r="I143" s="59">
        <f t="shared" si="7"/>
        <v>108.58274030260277</v>
      </c>
      <c r="J143" s="59">
        <f>I143*'Key Data'!$F$3</f>
        <v>27.145685075650693</v>
      </c>
      <c r="K143" s="59">
        <f t="shared" si="8"/>
        <v>135.72842537825346</v>
      </c>
      <c r="L143" s="344"/>
      <c r="M143" s="344"/>
    </row>
    <row r="144" spans="1:13">
      <c r="A144" s="22"/>
      <c r="B144" s="389"/>
      <c r="C144" s="390"/>
      <c r="D144" s="24" t="s">
        <v>448</v>
      </c>
      <c r="E144" s="24"/>
      <c r="F144" s="24">
        <v>9</v>
      </c>
      <c r="G144" s="25">
        <v>115</v>
      </c>
      <c r="H144" s="25">
        <f t="shared" si="6"/>
        <v>36.624203821656053</v>
      </c>
      <c r="I144" s="59">
        <f t="shared" si="7"/>
        <v>108.96987590561824</v>
      </c>
      <c r="J144" s="59">
        <f>I144*'Key Data'!$F$3</f>
        <v>27.24246897640456</v>
      </c>
      <c r="K144" s="59">
        <f t="shared" si="8"/>
        <v>136.21234488202279</v>
      </c>
      <c r="L144" s="344"/>
      <c r="M144" s="344"/>
    </row>
    <row r="145" spans="1:13">
      <c r="A145" s="22"/>
      <c r="B145" s="389"/>
      <c r="C145" s="390"/>
      <c r="D145" s="24">
        <v>13.236717000000001</v>
      </c>
      <c r="E145" s="24">
        <v>79.322946999999999</v>
      </c>
      <c r="F145" s="24">
        <v>10</v>
      </c>
      <c r="G145" s="25">
        <v>91.5</v>
      </c>
      <c r="H145" s="25">
        <f t="shared" si="6"/>
        <v>29.140127388535031</v>
      </c>
      <c r="I145" s="59">
        <f t="shared" si="7"/>
        <v>108.72750668523496</v>
      </c>
      <c r="J145" s="59">
        <f>I145*'Key Data'!$F$3</f>
        <v>27.181876671308739</v>
      </c>
      <c r="K145" s="59">
        <f t="shared" si="8"/>
        <v>135.90938335654369</v>
      </c>
      <c r="L145" s="344"/>
      <c r="M145" s="344"/>
    </row>
    <row r="146" spans="1:13">
      <c r="A146" s="22"/>
      <c r="B146" s="389"/>
      <c r="C146" s="390"/>
      <c r="D146" s="24"/>
      <c r="E146" s="24"/>
      <c r="F146" s="24">
        <v>11</v>
      </c>
      <c r="G146" s="25">
        <v>83</v>
      </c>
      <c r="H146" s="25">
        <f t="shared" si="6"/>
        <v>26.433121019108277</v>
      </c>
      <c r="I146" s="59">
        <f t="shared" si="7"/>
        <v>108.43937502901721</v>
      </c>
      <c r="J146" s="59">
        <f>I146*'Key Data'!$F$3</f>
        <v>27.109843757254303</v>
      </c>
      <c r="K146" s="59">
        <f t="shared" si="8"/>
        <v>135.54921878627152</v>
      </c>
      <c r="L146" s="344"/>
      <c r="M146" s="344"/>
    </row>
    <row r="147" spans="1:13">
      <c r="A147" s="22"/>
      <c r="B147" s="389"/>
      <c r="C147" s="390"/>
      <c r="D147" s="24"/>
      <c r="E147" s="24"/>
      <c r="F147" s="24">
        <v>12</v>
      </c>
      <c r="G147" s="25">
        <v>81.5</v>
      </c>
      <c r="H147" s="25">
        <f t="shared" si="6"/>
        <v>25.955414012738853</v>
      </c>
      <c r="I147" s="59">
        <f t="shared" si="7"/>
        <v>108.36409296298255</v>
      </c>
      <c r="J147" s="59">
        <f>I147*'Key Data'!$F$3</f>
        <v>27.091023240745638</v>
      </c>
      <c r="K147" s="59">
        <f t="shared" si="8"/>
        <v>135.45511620372818</v>
      </c>
      <c r="L147" s="344"/>
      <c r="M147" s="344"/>
    </row>
    <row r="148" spans="1:13">
      <c r="A148" s="22"/>
      <c r="B148" s="389"/>
      <c r="C148" s="390"/>
      <c r="D148" s="24"/>
      <c r="E148" s="24"/>
      <c r="F148" s="24">
        <v>13</v>
      </c>
      <c r="G148" s="25">
        <v>67.5</v>
      </c>
      <c r="H148" s="25">
        <f t="shared" si="6"/>
        <v>21.496815286624201</v>
      </c>
      <c r="I148" s="59">
        <f t="shared" si="7"/>
        <v>106.96378622329176</v>
      </c>
      <c r="J148" s="59">
        <f>I148*'Key Data'!$F$3</f>
        <v>26.740946555822941</v>
      </c>
      <c r="K148" s="59">
        <f t="shared" si="8"/>
        <v>133.70473277911469</v>
      </c>
      <c r="L148" s="344"/>
      <c r="M148" s="344"/>
    </row>
    <row r="149" spans="1:13">
      <c r="A149" s="22"/>
      <c r="B149" s="389"/>
      <c r="C149" s="390"/>
      <c r="D149" s="24"/>
      <c r="E149" s="24"/>
      <c r="F149" s="24">
        <v>14</v>
      </c>
      <c r="G149" s="25">
        <v>94.5</v>
      </c>
      <c r="H149" s="25">
        <f t="shared" si="6"/>
        <v>30.095541401273884</v>
      </c>
      <c r="I149" s="59">
        <f t="shared" si="7"/>
        <v>108.78965199210872</v>
      </c>
      <c r="J149" s="59">
        <f>I149*'Key Data'!$F$3</f>
        <v>27.197412998027179</v>
      </c>
      <c r="K149" s="59">
        <f t="shared" si="8"/>
        <v>135.98706499013591</v>
      </c>
      <c r="L149" s="344"/>
      <c r="M149" s="344"/>
    </row>
    <row r="150" spans="1:13">
      <c r="A150" s="22"/>
      <c r="B150" s="389"/>
      <c r="C150" s="390"/>
      <c r="D150" s="24"/>
      <c r="E150" s="24"/>
      <c r="F150" s="24">
        <v>15</v>
      </c>
      <c r="G150" s="25">
        <v>70.5</v>
      </c>
      <c r="H150" s="25">
        <f t="shared" si="6"/>
        <v>22.452229299363058</v>
      </c>
      <c r="I150" s="59">
        <f t="shared" si="7"/>
        <v>107.41061761640849</v>
      </c>
      <c r="J150" s="59">
        <f>I150*'Key Data'!$F$3</f>
        <v>26.852654404102122</v>
      </c>
      <c r="K150" s="59">
        <f t="shared" si="8"/>
        <v>134.26327202051061</v>
      </c>
      <c r="L150" s="344"/>
      <c r="M150" s="344"/>
    </row>
    <row r="151" spans="1:13">
      <c r="A151" s="22"/>
      <c r="B151" s="389"/>
      <c r="C151" s="390"/>
      <c r="D151" s="24"/>
      <c r="E151" s="24"/>
      <c r="F151" s="24">
        <v>16</v>
      </c>
      <c r="G151" s="25">
        <v>81</v>
      </c>
      <c r="H151" s="25">
        <f t="shared" si="6"/>
        <v>25.796178343949045</v>
      </c>
      <c r="I151" s="59">
        <f t="shared" si="7"/>
        <v>108.33686109224939</v>
      </c>
      <c r="J151" s="59">
        <f>I151*'Key Data'!$F$3</f>
        <v>27.084215273062348</v>
      </c>
      <c r="K151" s="59">
        <f t="shared" si="8"/>
        <v>135.42107636531173</v>
      </c>
      <c r="L151" s="344"/>
      <c r="M151" s="344"/>
    </row>
    <row r="152" spans="1:13">
      <c r="A152" s="22"/>
      <c r="B152" s="381">
        <v>10</v>
      </c>
      <c r="C152" s="382" t="s">
        <v>460</v>
      </c>
      <c r="D152" s="42" t="s">
        <v>350</v>
      </c>
      <c r="E152" s="42"/>
      <c r="F152" s="42">
        <v>1</v>
      </c>
      <c r="G152" s="43">
        <v>59</v>
      </c>
      <c r="H152" s="43">
        <f t="shared" si="6"/>
        <v>18.789808917197451</v>
      </c>
      <c r="I152" s="59">
        <f t="shared" si="7"/>
        <v>104.91298312828849</v>
      </c>
      <c r="J152" s="59">
        <f>I152*'Key Data'!$F$3</f>
        <v>26.228245782072122</v>
      </c>
      <c r="K152" s="59">
        <f t="shared" si="8"/>
        <v>131.14122891036061</v>
      </c>
      <c r="L152" s="344">
        <f>SUM(K152:K167)/1000</f>
        <v>2.1112689776427618</v>
      </c>
      <c r="M152" s="344">
        <f>(L52/625)*10000</f>
        <v>30.351885694994536</v>
      </c>
    </row>
    <row r="153" spans="1:13">
      <c r="A153" s="22"/>
      <c r="B153" s="381"/>
      <c r="C153" s="382"/>
      <c r="D153" s="42">
        <v>13.18022</v>
      </c>
      <c r="E153" s="42">
        <v>79.287270000000007</v>
      </c>
      <c r="F153" s="42">
        <v>2</v>
      </c>
      <c r="G153" s="43">
        <v>73</v>
      </c>
      <c r="H153" s="43">
        <f t="shared" si="6"/>
        <v>23.248407643312103</v>
      </c>
      <c r="I153" s="59">
        <f t="shared" si="7"/>
        <v>107.70794503131887</v>
      </c>
      <c r="J153" s="59">
        <f>I153*'Key Data'!$F$3</f>
        <v>26.926986257829718</v>
      </c>
      <c r="K153" s="59">
        <f t="shared" si="8"/>
        <v>134.6349312891486</v>
      </c>
      <c r="L153" s="344"/>
      <c r="M153" s="344"/>
    </row>
    <row r="154" spans="1:13">
      <c r="A154" s="22"/>
      <c r="B154" s="381"/>
      <c r="C154" s="382"/>
      <c r="D154" s="42" t="s">
        <v>445</v>
      </c>
      <c r="E154" s="42"/>
      <c r="F154" s="42">
        <v>3</v>
      </c>
      <c r="G154" s="43">
        <v>65</v>
      </c>
      <c r="H154" s="43">
        <f t="shared" si="6"/>
        <v>20.700636942675157</v>
      </c>
      <c r="I154" s="59">
        <f t="shared" si="7"/>
        <v>106.49856262815956</v>
      </c>
      <c r="J154" s="59">
        <f>I154*'Key Data'!$F$3</f>
        <v>26.62464065703989</v>
      </c>
      <c r="K154" s="59">
        <f t="shared" si="8"/>
        <v>133.12320328519945</v>
      </c>
      <c r="L154" s="344"/>
      <c r="M154" s="344"/>
    </row>
    <row r="155" spans="1:13">
      <c r="A155" s="22"/>
      <c r="B155" s="381"/>
      <c r="C155" s="382"/>
      <c r="D155" s="42">
        <v>13.18003</v>
      </c>
      <c r="E155" s="42">
        <v>79.287229999999994</v>
      </c>
      <c r="F155" s="42">
        <v>4</v>
      </c>
      <c r="G155" s="43">
        <v>56</v>
      </c>
      <c r="H155" s="43">
        <f t="shared" si="6"/>
        <v>17.834394904458598</v>
      </c>
      <c r="I155" s="59">
        <f t="shared" si="7"/>
        <v>103.78569539111585</v>
      </c>
      <c r="J155" s="59">
        <f>I155*'Key Data'!$F$3</f>
        <v>25.946423847778963</v>
      </c>
      <c r="K155" s="59">
        <f t="shared" si="8"/>
        <v>129.73211923889482</v>
      </c>
      <c r="L155" s="344"/>
      <c r="M155" s="344"/>
    </row>
    <row r="156" spans="1:13">
      <c r="A156" s="22"/>
      <c r="B156" s="381"/>
      <c r="C156" s="382"/>
      <c r="D156" s="42" t="s">
        <v>446</v>
      </c>
      <c r="E156" s="42"/>
      <c r="F156" s="42">
        <v>5</v>
      </c>
      <c r="G156" s="43">
        <v>53.5</v>
      </c>
      <c r="H156" s="43">
        <f t="shared" si="6"/>
        <v>17.038216560509554</v>
      </c>
      <c r="I156" s="59">
        <f t="shared" si="7"/>
        <v>102.61994382473823</v>
      </c>
      <c r="J156" s="59">
        <f>I156*'Key Data'!$F$3</f>
        <v>25.654985956184557</v>
      </c>
      <c r="K156" s="59">
        <f t="shared" si="8"/>
        <v>128.27492978092278</v>
      </c>
      <c r="L156" s="344"/>
      <c r="M156" s="344"/>
    </row>
    <row r="157" spans="1:13">
      <c r="A157" s="22"/>
      <c r="B157" s="381"/>
      <c r="C157" s="382"/>
      <c r="D157" s="42">
        <v>13.17998</v>
      </c>
      <c r="E157" s="42">
        <v>79.287440000000004</v>
      </c>
      <c r="F157" s="42">
        <v>6</v>
      </c>
      <c r="G157" s="43">
        <v>69.5</v>
      </c>
      <c r="H157" s="43">
        <f t="shared" si="6"/>
        <v>22.133757961783438</v>
      </c>
      <c r="I157" s="59">
        <f t="shared" si="7"/>
        <v>107.27362487270555</v>
      </c>
      <c r="J157" s="59">
        <f>I157*'Key Data'!$F$3</f>
        <v>26.818406218176388</v>
      </c>
      <c r="K157" s="59">
        <f t="shared" si="8"/>
        <v>134.09203109088193</v>
      </c>
      <c r="L157" s="344"/>
      <c r="M157" s="344"/>
    </row>
    <row r="158" spans="1:13">
      <c r="A158" s="22"/>
      <c r="B158" s="381"/>
      <c r="C158" s="382"/>
      <c r="D158" s="42" t="s">
        <v>447</v>
      </c>
      <c r="E158" s="42"/>
      <c r="F158" s="42">
        <v>7</v>
      </c>
      <c r="G158" s="43">
        <v>65.5</v>
      </c>
      <c r="H158" s="43">
        <f t="shared" si="6"/>
        <v>20.859872611464969</v>
      </c>
      <c r="I158" s="59">
        <f t="shared" si="7"/>
        <v>106.59929446172839</v>
      </c>
      <c r="J158" s="59">
        <f>I158*'Key Data'!$F$3</f>
        <v>26.649823615432098</v>
      </c>
      <c r="K158" s="59">
        <f t="shared" si="8"/>
        <v>133.24911807716049</v>
      </c>
      <c r="L158" s="344"/>
      <c r="M158" s="344"/>
    </row>
    <row r="159" spans="1:13">
      <c r="A159" s="22"/>
      <c r="B159" s="381"/>
      <c r="C159" s="382"/>
      <c r="D159" s="42">
        <v>13.18005</v>
      </c>
      <c r="E159" s="42">
        <v>79.287390000000002</v>
      </c>
      <c r="F159" s="42">
        <v>8</v>
      </c>
      <c r="G159" s="43">
        <v>60.5</v>
      </c>
      <c r="H159" s="43">
        <f t="shared" si="6"/>
        <v>19.267515923566879</v>
      </c>
      <c r="I159" s="59">
        <f t="shared" si="7"/>
        <v>105.38349665761297</v>
      </c>
      <c r="J159" s="59">
        <f>I159*'Key Data'!$F$3</f>
        <v>26.345874164403241</v>
      </c>
      <c r="K159" s="59">
        <f t="shared" si="8"/>
        <v>131.72937082201622</v>
      </c>
      <c r="L159" s="344"/>
      <c r="M159" s="344"/>
    </row>
    <row r="160" spans="1:13">
      <c r="A160" s="22"/>
      <c r="B160" s="381"/>
      <c r="C160" s="382"/>
      <c r="D160" s="42" t="s">
        <v>448</v>
      </c>
      <c r="E160" s="42"/>
      <c r="F160" s="42">
        <v>9</v>
      </c>
      <c r="G160" s="43">
        <v>71</v>
      </c>
      <c r="H160" s="43">
        <f t="shared" si="6"/>
        <v>22.611464968152866</v>
      </c>
      <c r="I160" s="59">
        <f t="shared" si="7"/>
        <v>107.47503621988463</v>
      </c>
      <c r="J160" s="59">
        <f>I160*'Key Data'!$F$3</f>
        <v>26.868759054971157</v>
      </c>
      <c r="K160" s="59">
        <f t="shared" si="8"/>
        <v>134.34379527485578</v>
      </c>
      <c r="L160" s="344"/>
      <c r="M160" s="344"/>
    </row>
    <row r="161" spans="1:13">
      <c r="A161" s="22"/>
      <c r="B161" s="381"/>
      <c r="C161" s="382"/>
      <c r="D161" s="42">
        <v>13.18017</v>
      </c>
      <c r="E161" s="42">
        <v>73.287459999999996</v>
      </c>
      <c r="F161" s="42">
        <v>10</v>
      </c>
      <c r="G161" s="43">
        <v>65</v>
      </c>
      <c r="H161" s="43">
        <f t="shared" si="6"/>
        <v>20.700636942675157</v>
      </c>
      <c r="I161" s="59">
        <f t="shared" si="7"/>
        <v>106.49856262815956</v>
      </c>
      <c r="J161" s="59">
        <f>I161*'Key Data'!$F$3</f>
        <v>26.62464065703989</v>
      </c>
      <c r="K161" s="59">
        <f t="shared" si="8"/>
        <v>133.12320328519945</v>
      </c>
      <c r="L161" s="344"/>
      <c r="M161" s="344"/>
    </row>
    <row r="162" spans="1:13">
      <c r="A162" s="22"/>
      <c r="B162" s="381"/>
      <c r="C162" s="382"/>
      <c r="D162" s="42"/>
      <c r="E162" s="42"/>
      <c r="F162" s="42">
        <v>11</v>
      </c>
      <c r="G162" s="43">
        <v>65.5</v>
      </c>
      <c r="H162" s="43">
        <f t="shared" si="6"/>
        <v>20.859872611464969</v>
      </c>
      <c r="I162" s="59">
        <f t="shared" si="7"/>
        <v>106.59929446172839</v>
      </c>
      <c r="J162" s="59">
        <f>I162*'Key Data'!$F$3</f>
        <v>26.649823615432098</v>
      </c>
      <c r="K162" s="59">
        <f t="shared" si="8"/>
        <v>133.24911807716049</v>
      </c>
      <c r="L162" s="344"/>
      <c r="M162" s="344"/>
    </row>
    <row r="163" spans="1:13">
      <c r="A163" s="22"/>
      <c r="B163" s="381"/>
      <c r="C163" s="382"/>
      <c r="D163" s="42"/>
      <c r="E163" s="42"/>
      <c r="F163" s="42">
        <v>12</v>
      </c>
      <c r="G163" s="43">
        <v>70</v>
      </c>
      <c r="H163" s="43">
        <f t="shared" si="6"/>
        <v>22.292993630573246</v>
      </c>
      <c r="I163" s="59">
        <f t="shared" si="7"/>
        <v>107.34351711564463</v>
      </c>
      <c r="J163" s="59">
        <f>I163*'Key Data'!$F$3</f>
        <v>26.835879278911158</v>
      </c>
      <c r="K163" s="59">
        <f t="shared" si="8"/>
        <v>134.17939639455579</v>
      </c>
      <c r="L163" s="344"/>
      <c r="M163" s="344"/>
    </row>
    <row r="164" spans="1:13">
      <c r="A164" s="22"/>
      <c r="B164" s="381"/>
      <c r="C164" s="382"/>
      <c r="D164" s="42"/>
      <c r="E164" s="42"/>
      <c r="F164" s="42">
        <v>13</v>
      </c>
      <c r="G164" s="43">
        <v>65</v>
      </c>
      <c r="H164" s="43">
        <f t="shared" si="6"/>
        <v>20.700636942675157</v>
      </c>
      <c r="I164" s="59">
        <f t="shared" si="7"/>
        <v>106.49856262815956</v>
      </c>
      <c r="J164" s="59">
        <f>I164*'Key Data'!$F$3</f>
        <v>26.62464065703989</v>
      </c>
      <c r="K164" s="59">
        <f t="shared" si="8"/>
        <v>133.12320328519945</v>
      </c>
      <c r="L164" s="344"/>
      <c r="M164" s="344"/>
    </row>
    <row r="165" spans="1:13">
      <c r="A165" s="22"/>
      <c r="B165" s="381"/>
      <c r="C165" s="382"/>
      <c r="D165" s="42"/>
      <c r="E165" s="42"/>
      <c r="F165" s="42">
        <v>14</v>
      </c>
      <c r="G165" s="43">
        <v>51</v>
      </c>
      <c r="H165" s="43">
        <f t="shared" si="6"/>
        <v>16.242038216560509</v>
      </c>
      <c r="I165" s="59">
        <f t="shared" si="7"/>
        <v>101.20402272427799</v>
      </c>
      <c r="J165" s="59">
        <f>I165*'Key Data'!$F$3</f>
        <v>25.301005681069498</v>
      </c>
      <c r="K165" s="59">
        <f t="shared" si="8"/>
        <v>126.50502840534749</v>
      </c>
      <c r="L165" s="344"/>
      <c r="M165" s="344"/>
    </row>
    <row r="166" spans="1:13">
      <c r="A166" s="22"/>
      <c r="B166" s="381"/>
      <c r="C166" s="382"/>
      <c r="D166" s="42"/>
      <c r="E166" s="42"/>
      <c r="F166" s="42">
        <v>15</v>
      </c>
      <c r="G166" s="43">
        <v>70.5</v>
      </c>
      <c r="H166" s="43">
        <f t="shared" si="6"/>
        <v>22.452229299363058</v>
      </c>
      <c r="I166" s="59">
        <f t="shared" si="7"/>
        <v>107.41061761640849</v>
      </c>
      <c r="J166" s="59">
        <f>I166*'Key Data'!$F$3</f>
        <v>26.852654404102122</v>
      </c>
      <c r="K166" s="59">
        <f t="shared" si="8"/>
        <v>134.26327202051061</v>
      </c>
      <c r="L166" s="344"/>
      <c r="M166" s="344"/>
    </row>
    <row r="167" spans="1:13">
      <c r="A167" s="22"/>
      <c r="B167" s="381"/>
      <c r="C167" s="382"/>
      <c r="D167" s="42"/>
      <c r="E167" s="42"/>
      <c r="F167" s="42">
        <v>16</v>
      </c>
      <c r="G167" s="43">
        <v>51</v>
      </c>
      <c r="H167" s="43">
        <f t="shared" si="6"/>
        <v>16.242038216560509</v>
      </c>
      <c r="I167" s="59">
        <f t="shared" si="7"/>
        <v>101.20402272427799</v>
      </c>
      <c r="J167" s="59">
        <f>I167*'Key Data'!$F$3</f>
        <v>25.301005681069498</v>
      </c>
      <c r="K167" s="59">
        <f t="shared" si="8"/>
        <v>126.50502840534749</v>
      </c>
      <c r="L167" s="344"/>
      <c r="M167" s="344"/>
    </row>
    <row r="168" spans="1:13">
      <c r="A168" s="22"/>
      <c r="B168" s="383">
        <v>11</v>
      </c>
      <c r="C168" s="384" t="s">
        <v>461</v>
      </c>
      <c r="D168" s="44" t="s">
        <v>350</v>
      </c>
      <c r="E168" s="44"/>
      <c r="F168" s="44">
        <v>1</v>
      </c>
      <c r="G168" s="45">
        <v>66</v>
      </c>
      <c r="H168" s="45">
        <f t="shared" si="6"/>
        <v>21.019108280254777</v>
      </c>
      <c r="I168" s="59">
        <f t="shared" si="7"/>
        <v>106.69603057885735</v>
      </c>
      <c r="J168" s="59">
        <f>I168*'Key Data'!$F$3</f>
        <v>26.674007644714337</v>
      </c>
      <c r="K168" s="59">
        <f t="shared" si="8"/>
        <v>133.37003822357167</v>
      </c>
      <c r="L168" s="344">
        <f>SUM(K168:K183)/1000</f>
        <v>2.0282828288293135</v>
      </c>
      <c r="M168" s="344">
        <f>(L168/625)*10000</f>
        <v>32.452525261269017</v>
      </c>
    </row>
    <row r="169" spans="1:13">
      <c r="A169" s="22"/>
      <c r="B169" s="383"/>
      <c r="C169" s="384"/>
      <c r="D169" s="44">
        <v>13.28041</v>
      </c>
      <c r="E169" s="44">
        <v>79.350899999999996</v>
      </c>
      <c r="F169" s="44">
        <v>2</v>
      </c>
      <c r="G169" s="45">
        <v>26.5</v>
      </c>
      <c r="H169" s="45">
        <f t="shared" si="6"/>
        <v>8.4394904458598727</v>
      </c>
      <c r="I169" s="59">
        <f t="shared" si="7"/>
        <v>61.957024930989377</v>
      </c>
      <c r="J169" s="59">
        <f>I169*'Key Data'!$F$3</f>
        <v>15.489256232747344</v>
      </c>
      <c r="K169" s="59">
        <f t="shared" si="8"/>
        <v>77.446281163736728</v>
      </c>
      <c r="L169" s="344"/>
      <c r="M169" s="344"/>
    </row>
    <row r="170" spans="1:13">
      <c r="A170" s="22"/>
      <c r="B170" s="383"/>
      <c r="C170" s="384"/>
      <c r="D170" s="44" t="s">
        <v>445</v>
      </c>
      <c r="E170" s="44"/>
      <c r="F170" s="44">
        <v>3</v>
      </c>
      <c r="G170" s="45">
        <v>67.5</v>
      </c>
      <c r="H170" s="45">
        <f t="shared" si="6"/>
        <v>21.496815286624201</v>
      </c>
      <c r="I170" s="59">
        <f t="shared" si="7"/>
        <v>106.96378622329176</v>
      </c>
      <c r="J170" s="59">
        <f>I170*'Key Data'!$F$3</f>
        <v>26.740946555822941</v>
      </c>
      <c r="K170" s="59">
        <f t="shared" si="8"/>
        <v>133.70473277911469</v>
      </c>
      <c r="L170" s="344"/>
      <c r="M170" s="344"/>
    </row>
    <row r="171" spans="1:13">
      <c r="A171" s="22"/>
      <c r="B171" s="383"/>
      <c r="C171" s="384"/>
      <c r="D171" s="44">
        <v>13.28041</v>
      </c>
      <c r="E171" s="44">
        <v>79.350639999999999</v>
      </c>
      <c r="F171" s="44">
        <v>4</v>
      </c>
      <c r="G171" s="45">
        <v>43.5</v>
      </c>
      <c r="H171" s="45">
        <f t="shared" si="6"/>
        <v>13.853503184713375</v>
      </c>
      <c r="I171" s="59">
        <f t="shared" si="7"/>
        <v>94.93341890884949</v>
      </c>
      <c r="J171" s="59">
        <f>I171*'Key Data'!$F$3</f>
        <v>23.733354727212372</v>
      </c>
      <c r="K171" s="59">
        <f t="shared" si="8"/>
        <v>118.66677363606186</v>
      </c>
      <c r="L171" s="344"/>
      <c r="M171" s="344"/>
    </row>
    <row r="172" spans="1:13">
      <c r="A172" s="22"/>
      <c r="B172" s="383"/>
      <c r="C172" s="384"/>
      <c r="D172" s="44" t="s">
        <v>446</v>
      </c>
      <c r="E172" s="44"/>
      <c r="F172" s="44">
        <v>5</v>
      </c>
      <c r="G172" s="45">
        <v>75</v>
      </c>
      <c r="H172" s="45">
        <f t="shared" si="6"/>
        <v>23.885350318471335</v>
      </c>
      <c r="I172" s="59">
        <f t="shared" si="7"/>
        <v>107.9057025090199</v>
      </c>
      <c r="J172" s="59">
        <f>I172*'Key Data'!$F$3</f>
        <v>26.976425627254976</v>
      </c>
      <c r="K172" s="59">
        <f t="shared" si="8"/>
        <v>134.88212813627487</v>
      </c>
      <c r="L172" s="344"/>
      <c r="M172" s="344"/>
    </row>
    <row r="173" spans="1:13">
      <c r="A173" s="22"/>
      <c r="B173" s="383"/>
      <c r="C173" s="384"/>
      <c r="D173" s="44">
        <v>13.28018</v>
      </c>
      <c r="E173" s="44">
        <v>79.350639999999999</v>
      </c>
      <c r="F173" s="44">
        <v>6</v>
      </c>
      <c r="G173" s="45">
        <v>49</v>
      </c>
      <c r="H173" s="45">
        <f t="shared" si="6"/>
        <v>15.605095541401273</v>
      </c>
      <c r="I173" s="59">
        <f t="shared" si="7"/>
        <v>99.85866326147945</v>
      </c>
      <c r="J173" s="59">
        <f>I173*'Key Data'!$F$3</f>
        <v>24.964665815369862</v>
      </c>
      <c r="K173" s="59">
        <f t="shared" si="8"/>
        <v>124.82332907684932</v>
      </c>
      <c r="L173" s="344"/>
      <c r="M173" s="344"/>
    </row>
    <row r="174" spans="1:13">
      <c r="A174" s="22"/>
      <c r="B174" s="383"/>
      <c r="C174" s="384"/>
      <c r="D174" s="44" t="s">
        <v>447</v>
      </c>
      <c r="E174" s="44"/>
      <c r="F174" s="44">
        <v>7</v>
      </c>
      <c r="G174" s="45">
        <v>71.5</v>
      </c>
      <c r="H174" s="45">
        <f t="shared" si="6"/>
        <v>22.770700636942674</v>
      </c>
      <c r="I174" s="59">
        <f t="shared" si="7"/>
        <v>107.53687858158138</v>
      </c>
      <c r="J174" s="59">
        <f>I174*'Key Data'!$F$3</f>
        <v>26.884219645395344</v>
      </c>
      <c r="K174" s="59">
        <f t="shared" si="8"/>
        <v>134.42109822697671</v>
      </c>
      <c r="L174" s="344"/>
      <c r="M174" s="344"/>
    </row>
    <row r="175" spans="1:13">
      <c r="A175" s="22"/>
      <c r="B175" s="383"/>
      <c r="C175" s="384"/>
      <c r="D175" s="44">
        <v>13.28091</v>
      </c>
      <c r="E175" s="44">
        <v>79.350899999999996</v>
      </c>
      <c r="F175" s="44">
        <v>8</v>
      </c>
      <c r="G175" s="45">
        <v>60.2</v>
      </c>
      <c r="H175" s="45">
        <f t="shared" si="6"/>
        <v>19.171974522292995</v>
      </c>
      <c r="I175" s="59">
        <f t="shared" si="7"/>
        <v>105.2938478995549</v>
      </c>
      <c r="J175" s="59">
        <f>I175*'Key Data'!$F$3</f>
        <v>26.323461974888726</v>
      </c>
      <c r="K175" s="59">
        <f t="shared" si="8"/>
        <v>131.61730987444363</v>
      </c>
      <c r="L175" s="344"/>
      <c r="M175" s="344"/>
    </row>
    <row r="176" spans="1:13">
      <c r="A176" s="22"/>
      <c r="B176" s="383"/>
      <c r="C176" s="384"/>
      <c r="D176" s="44" t="s">
        <v>448</v>
      </c>
      <c r="E176" s="44"/>
      <c r="F176" s="44">
        <v>9</v>
      </c>
      <c r="G176" s="45">
        <v>72</v>
      </c>
      <c r="H176" s="45">
        <f t="shared" si="6"/>
        <v>22.929936305732483</v>
      </c>
      <c r="I176" s="59">
        <f t="shared" si="7"/>
        <v>107.59624631676735</v>
      </c>
      <c r="J176" s="59">
        <f>I176*'Key Data'!$F$3</f>
        <v>26.899061579191837</v>
      </c>
      <c r="K176" s="59">
        <f t="shared" si="8"/>
        <v>134.49530789595917</v>
      </c>
      <c r="L176" s="344"/>
      <c r="M176" s="344"/>
    </row>
    <row r="177" spans="1:13">
      <c r="A177" s="22"/>
      <c r="B177" s="383"/>
      <c r="C177" s="384"/>
      <c r="D177" s="44">
        <v>13.28031</v>
      </c>
      <c r="E177" s="44">
        <v>79.35078</v>
      </c>
      <c r="F177" s="44">
        <v>10</v>
      </c>
      <c r="G177" s="45">
        <v>72</v>
      </c>
      <c r="H177" s="45">
        <f t="shared" si="6"/>
        <v>22.929936305732483</v>
      </c>
      <c r="I177" s="59">
        <f t="shared" si="7"/>
        <v>107.59624631676735</v>
      </c>
      <c r="J177" s="59">
        <f>I177*'Key Data'!$F$3</f>
        <v>26.899061579191837</v>
      </c>
      <c r="K177" s="59">
        <f t="shared" si="8"/>
        <v>134.49530789595917</v>
      </c>
      <c r="L177" s="344"/>
      <c r="M177" s="344"/>
    </row>
    <row r="178" spans="1:13">
      <c r="A178" s="22"/>
      <c r="B178" s="383"/>
      <c r="C178" s="384"/>
      <c r="D178" s="44"/>
      <c r="E178" s="44"/>
      <c r="F178" s="44">
        <v>11</v>
      </c>
      <c r="G178" s="45">
        <v>73.5</v>
      </c>
      <c r="H178" s="45">
        <f t="shared" si="6"/>
        <v>23.407643312101911</v>
      </c>
      <c r="I178" s="59">
        <f t="shared" si="7"/>
        <v>107.76046032050785</v>
      </c>
      <c r="J178" s="59">
        <f>I178*'Key Data'!$F$3</f>
        <v>26.940115080126962</v>
      </c>
      <c r="K178" s="59">
        <f t="shared" si="8"/>
        <v>134.70057540063482</v>
      </c>
      <c r="L178" s="344"/>
      <c r="M178" s="344"/>
    </row>
    <row r="179" spans="1:13">
      <c r="A179" s="22"/>
      <c r="B179" s="383"/>
      <c r="C179" s="384"/>
      <c r="D179" s="44"/>
      <c r="E179" s="44"/>
      <c r="F179" s="44">
        <v>12</v>
      </c>
      <c r="G179" s="45">
        <v>64.5</v>
      </c>
      <c r="H179" s="45">
        <f t="shared" si="6"/>
        <v>20.541401273885349</v>
      </c>
      <c r="I179" s="59">
        <f t="shared" si="7"/>
        <v>106.39367414045957</v>
      </c>
      <c r="J179" s="59">
        <f>I179*'Key Data'!$F$3</f>
        <v>26.598418535114892</v>
      </c>
      <c r="K179" s="59">
        <f t="shared" si="8"/>
        <v>132.99209267557447</v>
      </c>
      <c r="L179" s="344"/>
      <c r="M179" s="344"/>
    </row>
    <row r="180" spans="1:13">
      <c r="A180" s="22"/>
      <c r="B180" s="383"/>
      <c r="C180" s="384"/>
      <c r="D180" s="44"/>
      <c r="E180" s="44"/>
      <c r="F180" s="44">
        <v>13</v>
      </c>
      <c r="G180" s="45">
        <v>34</v>
      </c>
      <c r="H180" s="45">
        <f t="shared" si="6"/>
        <v>10.828025477707007</v>
      </c>
      <c r="I180" s="59">
        <f t="shared" si="7"/>
        <v>80.464228929838299</v>
      </c>
      <c r="J180" s="59">
        <f>I180*'Key Data'!$F$3</f>
        <v>20.116057232459575</v>
      </c>
      <c r="K180" s="59">
        <f t="shared" si="8"/>
        <v>100.58028616229788</v>
      </c>
      <c r="L180" s="344"/>
      <c r="M180" s="344"/>
    </row>
    <row r="181" spans="1:13">
      <c r="A181" s="22"/>
      <c r="B181" s="383"/>
      <c r="C181" s="384"/>
      <c r="D181" s="44"/>
      <c r="E181" s="44"/>
      <c r="F181" s="44">
        <v>14</v>
      </c>
      <c r="G181" s="45">
        <v>62</v>
      </c>
      <c r="H181" s="45">
        <f t="shared" si="6"/>
        <v>19.745222929936304</v>
      </c>
      <c r="I181" s="59">
        <f t="shared" si="7"/>
        <v>105.80080866149123</v>
      </c>
      <c r="J181" s="59">
        <f>I181*'Key Data'!$F$3</f>
        <v>26.450202165372808</v>
      </c>
      <c r="K181" s="59">
        <f t="shared" si="8"/>
        <v>132.25101082686405</v>
      </c>
      <c r="L181" s="344"/>
      <c r="M181" s="344"/>
    </row>
    <row r="182" spans="1:13">
      <c r="A182" s="22"/>
      <c r="B182" s="383"/>
      <c r="C182" s="384"/>
      <c r="D182" s="44"/>
      <c r="E182" s="44"/>
      <c r="F182" s="44">
        <v>15</v>
      </c>
      <c r="G182" s="45">
        <v>79</v>
      </c>
      <c r="H182" s="45">
        <f t="shared" ref="H182:H246" si="9">G182/3.14</f>
        <v>25.159235668789808</v>
      </c>
      <c r="I182" s="59">
        <f t="shared" si="7"/>
        <v>108.21600833882133</v>
      </c>
      <c r="J182" s="59">
        <f>I182*'Key Data'!$F$3</f>
        <v>27.054002084705331</v>
      </c>
      <c r="K182" s="59">
        <f t="shared" si="8"/>
        <v>135.27001042352666</v>
      </c>
      <c r="L182" s="344"/>
      <c r="M182" s="344"/>
    </row>
    <row r="183" spans="1:13">
      <c r="A183" s="22"/>
      <c r="B183" s="383"/>
      <c r="C183" s="384"/>
      <c r="D183" s="44"/>
      <c r="E183" s="44"/>
      <c r="F183" s="44">
        <v>16</v>
      </c>
      <c r="G183" s="45">
        <v>72.5</v>
      </c>
      <c r="H183" s="45">
        <f t="shared" si="9"/>
        <v>23.089171974522291</v>
      </c>
      <c r="I183" s="59">
        <f t="shared" si="7"/>
        <v>107.65323714517426</v>
      </c>
      <c r="J183" s="59">
        <f>I183*'Key Data'!$F$3</f>
        <v>26.913309286293565</v>
      </c>
      <c r="K183" s="59">
        <f t="shared" si="8"/>
        <v>134.56654643146783</v>
      </c>
      <c r="L183" s="344"/>
      <c r="M183" s="344"/>
    </row>
    <row r="184" spans="1:13">
      <c r="A184" s="22"/>
      <c r="B184" s="385">
        <v>12</v>
      </c>
      <c r="C184" s="386" t="s">
        <v>462</v>
      </c>
      <c r="D184" s="46" t="s">
        <v>350</v>
      </c>
      <c r="E184" s="46"/>
      <c r="F184" s="46">
        <v>1</v>
      </c>
      <c r="G184" s="47">
        <v>51</v>
      </c>
      <c r="H184" s="47">
        <f t="shared" si="9"/>
        <v>16.242038216560509</v>
      </c>
      <c r="I184" s="59">
        <f t="shared" si="7"/>
        <v>101.20402272427799</v>
      </c>
      <c r="J184" s="59">
        <f>I184*'Key Data'!$F$3</f>
        <v>25.301005681069498</v>
      </c>
      <c r="K184" s="59">
        <f t="shared" si="8"/>
        <v>126.50502840534749</v>
      </c>
      <c r="L184" s="344">
        <f>SUM(K184:K208)/1000</f>
        <v>2.5969893643243225</v>
      </c>
      <c r="M184" s="344">
        <f>(L184/625)*10000</f>
        <v>41.55182982918916</v>
      </c>
    </row>
    <row r="185" spans="1:13">
      <c r="A185" s="22"/>
      <c r="B185" s="385"/>
      <c r="C185" s="386"/>
      <c r="D185" s="46">
        <v>13.31104</v>
      </c>
      <c r="E185" s="46">
        <v>79.344139999999996</v>
      </c>
      <c r="F185" s="46">
        <v>2</v>
      </c>
      <c r="G185" s="47">
        <v>38</v>
      </c>
      <c r="H185" s="47">
        <f t="shared" si="9"/>
        <v>12.101910828025478</v>
      </c>
      <c r="I185" s="59">
        <f t="shared" si="7"/>
        <v>87.655984615502476</v>
      </c>
      <c r="J185" s="59">
        <f>I185*'Key Data'!$F$3</f>
        <v>21.913996153875619</v>
      </c>
      <c r="K185" s="59">
        <f t="shared" si="8"/>
        <v>109.56998076937809</v>
      </c>
      <c r="L185" s="344"/>
      <c r="M185" s="344"/>
    </row>
    <row r="186" spans="1:13">
      <c r="A186" s="22"/>
      <c r="B186" s="385"/>
      <c r="C186" s="386"/>
      <c r="D186" s="46" t="s">
        <v>445</v>
      </c>
      <c r="E186" s="46"/>
      <c r="F186" s="46">
        <v>3</v>
      </c>
      <c r="G186" s="47">
        <v>55.5</v>
      </c>
      <c r="H186" s="47">
        <f t="shared" si="9"/>
        <v>17.67515923566879</v>
      </c>
      <c r="I186" s="59">
        <f t="shared" si="7"/>
        <v>103.57045141886734</v>
      </c>
      <c r="J186" s="59">
        <f>I186*'Key Data'!$F$3</f>
        <v>25.892612854716834</v>
      </c>
      <c r="K186" s="59">
        <f t="shared" si="8"/>
        <v>129.46306427358417</v>
      </c>
      <c r="L186" s="344"/>
      <c r="M186" s="344"/>
    </row>
    <row r="187" spans="1:13">
      <c r="A187" s="22"/>
      <c r="B187" s="385"/>
      <c r="C187" s="386"/>
      <c r="D187" s="46">
        <v>13.31109</v>
      </c>
      <c r="E187" s="46">
        <v>79.343919999999997</v>
      </c>
      <c r="F187" s="46">
        <v>4</v>
      </c>
      <c r="G187" s="47">
        <v>36</v>
      </c>
      <c r="H187" s="47">
        <f t="shared" si="9"/>
        <v>11.464968152866241</v>
      </c>
      <c r="I187" s="59">
        <f t="shared" si="7"/>
        <v>84.280664533466705</v>
      </c>
      <c r="J187" s="59">
        <f>I187*'Key Data'!$F$3</f>
        <v>21.070166133366676</v>
      </c>
      <c r="K187" s="59">
        <f t="shared" si="8"/>
        <v>105.35083066683339</v>
      </c>
      <c r="L187" s="344"/>
      <c r="M187" s="344"/>
    </row>
    <row r="188" spans="1:13">
      <c r="A188" s="22"/>
      <c r="B188" s="385"/>
      <c r="C188" s="386"/>
      <c r="D188" s="46" t="s">
        <v>446</v>
      </c>
      <c r="E188" s="46"/>
      <c r="F188" s="46">
        <v>5</v>
      </c>
      <c r="G188" s="47">
        <v>11</v>
      </c>
      <c r="H188" s="47">
        <f t="shared" si="9"/>
        <v>3.5031847133757958</v>
      </c>
      <c r="I188" s="59">
        <f t="shared" si="7"/>
        <v>14.187111700351446</v>
      </c>
      <c r="J188" s="59">
        <f>I188*'Key Data'!$F$3</f>
        <v>3.5467779250878615</v>
      </c>
      <c r="K188" s="59">
        <f t="shared" si="8"/>
        <v>17.733889625439307</v>
      </c>
      <c r="L188" s="344"/>
      <c r="M188" s="344"/>
    </row>
    <row r="189" spans="1:13">
      <c r="A189" s="22"/>
      <c r="B189" s="385"/>
      <c r="C189" s="386"/>
      <c r="D189" s="46">
        <v>13.31085</v>
      </c>
      <c r="E189" s="46">
        <v>79.343879999999999</v>
      </c>
      <c r="F189" s="46">
        <v>6</v>
      </c>
      <c r="G189" s="47">
        <v>19.5</v>
      </c>
      <c r="H189" s="47">
        <f t="shared" si="9"/>
        <v>6.2101910828025479</v>
      </c>
      <c r="I189" s="59">
        <f t="shared" si="7"/>
        <v>39.754124421972548</v>
      </c>
      <c r="J189" s="59">
        <f>I189*'Key Data'!$F$3</f>
        <v>9.9385311054931371</v>
      </c>
      <c r="K189" s="59">
        <f t="shared" si="8"/>
        <v>49.692655527465689</v>
      </c>
      <c r="L189" s="344"/>
      <c r="M189" s="344"/>
    </row>
    <row r="190" spans="1:13">
      <c r="A190" s="22"/>
      <c r="B190" s="385"/>
      <c r="C190" s="386"/>
      <c r="D190" s="46" t="s">
        <v>447</v>
      </c>
      <c r="E190" s="46"/>
      <c r="F190" s="46">
        <v>7</v>
      </c>
      <c r="G190" s="47">
        <v>61.5</v>
      </c>
      <c r="H190" s="47">
        <f t="shared" si="9"/>
        <v>19.585987261146496</v>
      </c>
      <c r="I190" s="59">
        <f t="shared" si="7"/>
        <v>105.66724300321192</v>
      </c>
      <c r="J190" s="59">
        <f>I190*'Key Data'!$F$3</f>
        <v>26.416810750802981</v>
      </c>
      <c r="K190" s="59">
        <f t="shared" si="8"/>
        <v>132.08405375401492</v>
      </c>
      <c r="L190" s="344"/>
      <c r="M190" s="344"/>
    </row>
    <row r="191" spans="1:13">
      <c r="A191" s="22"/>
      <c r="B191" s="385"/>
      <c r="C191" s="386"/>
      <c r="D191" s="46">
        <v>13.310829999999999</v>
      </c>
      <c r="E191" s="46">
        <v>79.344110000000001</v>
      </c>
      <c r="F191" s="46">
        <v>8</v>
      </c>
      <c r="G191" s="47">
        <v>13.5</v>
      </c>
      <c r="H191" s="47">
        <f t="shared" si="9"/>
        <v>4.2993630573248405</v>
      </c>
      <c r="I191" s="59">
        <f t="shared" si="7"/>
        <v>20.772245409667665</v>
      </c>
      <c r="J191" s="59">
        <f>I191*'Key Data'!$F$3</f>
        <v>5.1930613524169162</v>
      </c>
      <c r="K191" s="59">
        <f t="shared" si="8"/>
        <v>25.96530676208458</v>
      </c>
      <c r="L191" s="344"/>
      <c r="M191" s="344"/>
    </row>
    <row r="192" spans="1:13">
      <c r="A192" s="22"/>
      <c r="B192" s="385"/>
      <c r="C192" s="386"/>
      <c r="D192" s="46" t="s">
        <v>448</v>
      </c>
      <c r="E192" s="46"/>
      <c r="F192" s="46">
        <v>9</v>
      </c>
      <c r="G192" s="47">
        <v>49</v>
      </c>
      <c r="H192" s="47">
        <f t="shared" si="9"/>
        <v>15.605095541401273</v>
      </c>
      <c r="I192" s="59">
        <f t="shared" si="7"/>
        <v>99.85866326147945</v>
      </c>
      <c r="J192" s="59">
        <f>I192*'Key Data'!$F$3</f>
        <v>24.964665815369862</v>
      </c>
      <c r="K192" s="59">
        <f t="shared" si="8"/>
        <v>124.82332907684932</v>
      </c>
      <c r="L192" s="344"/>
      <c r="M192" s="344"/>
    </row>
    <row r="193" spans="1:13">
      <c r="A193" s="22"/>
      <c r="B193" s="385"/>
      <c r="C193" s="386"/>
      <c r="D193" s="46">
        <v>13.3109</v>
      </c>
      <c r="E193" s="46">
        <v>79.343969999999999</v>
      </c>
      <c r="F193" s="46">
        <v>10</v>
      </c>
      <c r="G193" s="47">
        <v>27</v>
      </c>
      <c r="H193" s="47">
        <f t="shared" si="9"/>
        <v>8.598726114649681</v>
      </c>
      <c r="I193" s="59">
        <f t="shared" si="7"/>
        <v>63.393109582195777</v>
      </c>
      <c r="J193" s="59">
        <f>I193*'Key Data'!$F$3</f>
        <v>15.848277395548944</v>
      </c>
      <c r="K193" s="59">
        <f t="shared" si="8"/>
        <v>79.241386977744725</v>
      </c>
      <c r="L193" s="344"/>
      <c r="M193" s="344"/>
    </row>
    <row r="194" spans="1:13">
      <c r="A194" s="22"/>
      <c r="B194" s="385"/>
      <c r="C194" s="386"/>
      <c r="D194" s="46"/>
      <c r="E194" s="46"/>
      <c r="F194" s="46">
        <v>11</v>
      </c>
      <c r="G194" s="47">
        <v>35</v>
      </c>
      <c r="H194" s="47">
        <f t="shared" si="9"/>
        <v>11.146496815286623</v>
      </c>
      <c r="I194" s="59">
        <f t="shared" si="7"/>
        <v>82.429329470591512</v>
      </c>
      <c r="J194" s="59">
        <f>I194*'Key Data'!$F$3</f>
        <v>20.607332367647878</v>
      </c>
      <c r="K194" s="59">
        <f t="shared" si="8"/>
        <v>103.03666183823938</v>
      </c>
      <c r="L194" s="344"/>
      <c r="M194" s="344"/>
    </row>
    <row r="195" spans="1:13">
      <c r="A195" s="22"/>
      <c r="B195" s="385"/>
      <c r="C195" s="386"/>
      <c r="D195" s="46"/>
      <c r="E195" s="46"/>
      <c r="F195" s="46">
        <v>12</v>
      </c>
      <c r="G195" s="47">
        <v>38</v>
      </c>
      <c r="H195" s="47">
        <f t="shared" si="9"/>
        <v>12.101910828025478</v>
      </c>
      <c r="I195" s="59">
        <f t="shared" si="7"/>
        <v>87.655984615502476</v>
      </c>
      <c r="J195" s="59">
        <f>I195*'Key Data'!$F$3</f>
        <v>21.913996153875619</v>
      </c>
      <c r="K195" s="59">
        <f t="shared" si="8"/>
        <v>109.56998076937809</v>
      </c>
      <c r="L195" s="344"/>
      <c r="M195" s="344"/>
    </row>
    <row r="196" spans="1:13">
      <c r="A196" s="22"/>
      <c r="B196" s="385"/>
      <c r="C196" s="386"/>
      <c r="D196" s="46"/>
      <c r="E196" s="46"/>
      <c r="F196" s="46">
        <v>13</v>
      </c>
      <c r="G196" s="47">
        <v>54.5</v>
      </c>
      <c r="H196" s="47">
        <f t="shared" si="9"/>
        <v>17.35668789808917</v>
      </c>
      <c r="I196" s="59">
        <f t="shared" si="7"/>
        <v>103.11376887493688</v>
      </c>
      <c r="J196" s="59">
        <f>I196*'Key Data'!$F$3</f>
        <v>25.77844221873422</v>
      </c>
      <c r="K196" s="59">
        <f t="shared" si="8"/>
        <v>128.89221109367111</v>
      </c>
      <c r="L196" s="344"/>
      <c r="M196" s="344"/>
    </row>
    <row r="197" spans="1:13">
      <c r="A197" s="22"/>
      <c r="B197" s="385"/>
      <c r="C197" s="386"/>
      <c r="D197" s="46"/>
      <c r="E197" s="46"/>
      <c r="F197" s="46">
        <v>14</v>
      </c>
      <c r="G197" s="47">
        <v>46</v>
      </c>
      <c r="H197" s="47">
        <f t="shared" si="9"/>
        <v>14.64968152866242</v>
      </c>
      <c r="I197" s="59">
        <f t="shared" ref="I197:I260" si="10">30.4*EXP(-5.07*EXP(-0.26*H197)+1.277)</f>
        <v>97.419820513451157</v>
      </c>
      <c r="J197" s="59">
        <f>I197*'Key Data'!$F$3</f>
        <v>24.354955128362789</v>
      </c>
      <c r="K197" s="59">
        <f t="shared" ref="K197:K260" si="11">I197+J197</f>
        <v>121.77477564181395</v>
      </c>
      <c r="L197" s="344"/>
      <c r="M197" s="344"/>
    </row>
    <row r="198" spans="1:13">
      <c r="A198" s="22"/>
      <c r="B198" s="385"/>
      <c r="C198" s="386"/>
      <c r="D198" s="46"/>
      <c r="E198" s="46"/>
      <c r="F198" s="46">
        <v>15</v>
      </c>
      <c r="G198" s="47">
        <v>57</v>
      </c>
      <c r="H198" s="47">
        <f t="shared" si="9"/>
        <v>18.152866242038215</v>
      </c>
      <c r="I198" s="59">
        <f t="shared" si="10"/>
        <v>104.19156081625478</v>
      </c>
      <c r="J198" s="59">
        <f>I198*'Key Data'!$F$3</f>
        <v>26.047890204063695</v>
      </c>
      <c r="K198" s="59">
        <f t="shared" si="11"/>
        <v>130.23945102031848</v>
      </c>
      <c r="L198" s="344"/>
      <c r="M198" s="344"/>
    </row>
    <row r="199" spans="1:13">
      <c r="A199" s="22"/>
      <c r="B199" s="385"/>
      <c r="C199" s="386"/>
      <c r="D199" s="46"/>
      <c r="E199" s="46"/>
      <c r="F199" s="46">
        <v>16</v>
      </c>
      <c r="G199" s="47">
        <v>50</v>
      </c>
      <c r="H199" s="47">
        <f t="shared" si="9"/>
        <v>15.923566878980891</v>
      </c>
      <c r="I199" s="59">
        <f t="shared" si="10"/>
        <v>100.55692997803489</v>
      </c>
      <c r="J199" s="59">
        <f>I199*'Key Data'!$F$3</f>
        <v>25.139232494508722</v>
      </c>
      <c r="K199" s="59">
        <f t="shared" si="11"/>
        <v>125.69616247254361</v>
      </c>
      <c r="L199" s="344"/>
      <c r="M199" s="344"/>
    </row>
    <row r="200" spans="1:13">
      <c r="A200" s="22"/>
      <c r="B200" s="385"/>
      <c r="C200" s="386"/>
      <c r="D200" s="46"/>
      <c r="E200" s="46"/>
      <c r="F200" s="46">
        <v>17</v>
      </c>
      <c r="G200" s="47">
        <v>56</v>
      </c>
      <c r="H200" s="47">
        <f t="shared" si="9"/>
        <v>17.834394904458598</v>
      </c>
      <c r="I200" s="59">
        <f t="shared" si="10"/>
        <v>103.78569539111585</v>
      </c>
      <c r="J200" s="59">
        <f>I200*'Key Data'!$F$3</f>
        <v>25.946423847778963</v>
      </c>
      <c r="K200" s="59">
        <f t="shared" si="11"/>
        <v>129.73211923889482</v>
      </c>
      <c r="L200" s="344"/>
      <c r="M200" s="344"/>
    </row>
    <row r="201" spans="1:13">
      <c r="A201" s="22"/>
      <c r="B201" s="385"/>
      <c r="C201" s="386"/>
      <c r="D201" s="46"/>
      <c r="E201" s="46"/>
      <c r="F201" s="46">
        <v>18</v>
      </c>
      <c r="G201" s="47">
        <v>35</v>
      </c>
      <c r="H201" s="47">
        <f t="shared" si="9"/>
        <v>11.146496815286623</v>
      </c>
      <c r="I201" s="59">
        <f t="shared" si="10"/>
        <v>82.429329470591512</v>
      </c>
      <c r="J201" s="59">
        <f>I201*'Key Data'!$F$3</f>
        <v>20.607332367647878</v>
      </c>
      <c r="K201" s="59">
        <f t="shared" si="11"/>
        <v>103.03666183823938</v>
      </c>
      <c r="L201" s="344"/>
      <c r="M201" s="344"/>
    </row>
    <row r="202" spans="1:13">
      <c r="A202" s="22"/>
      <c r="B202" s="385"/>
      <c r="C202" s="386"/>
      <c r="D202" s="46"/>
      <c r="E202" s="46"/>
      <c r="F202" s="46">
        <v>19</v>
      </c>
      <c r="G202" s="47">
        <v>47</v>
      </c>
      <c r="H202" s="47">
        <f t="shared" si="9"/>
        <v>14.968152866242038</v>
      </c>
      <c r="I202" s="59">
        <f t="shared" si="10"/>
        <v>98.293983126644591</v>
      </c>
      <c r="J202" s="59">
        <f>I202*'Key Data'!$F$3</f>
        <v>24.573495781661148</v>
      </c>
      <c r="K202" s="59">
        <f t="shared" si="11"/>
        <v>122.86747890830574</v>
      </c>
      <c r="L202" s="344"/>
      <c r="M202" s="344"/>
    </row>
    <row r="203" spans="1:13">
      <c r="A203" s="22"/>
      <c r="B203" s="385"/>
      <c r="C203" s="386"/>
      <c r="D203" s="46"/>
      <c r="E203" s="46"/>
      <c r="F203" s="46">
        <v>20</v>
      </c>
      <c r="G203" s="47">
        <v>67</v>
      </c>
      <c r="H203" s="47">
        <f t="shared" si="9"/>
        <v>21.337579617834393</v>
      </c>
      <c r="I203" s="59">
        <f t="shared" si="10"/>
        <v>106.87812996010015</v>
      </c>
      <c r="J203" s="59">
        <f>I203*'Key Data'!$F$3</f>
        <v>26.719532490025038</v>
      </c>
      <c r="K203" s="59">
        <f t="shared" si="11"/>
        <v>133.5976624501252</v>
      </c>
      <c r="L203" s="344"/>
      <c r="M203" s="344"/>
    </row>
    <row r="204" spans="1:13">
      <c r="A204" s="22"/>
      <c r="B204" s="385"/>
      <c r="C204" s="386"/>
      <c r="D204" s="46"/>
      <c r="E204" s="46"/>
      <c r="F204" s="46">
        <v>21</v>
      </c>
      <c r="G204" s="47">
        <v>32.5</v>
      </c>
      <c r="H204" s="47">
        <f t="shared" si="9"/>
        <v>10.350318471337578</v>
      </c>
      <c r="I204" s="59">
        <f t="shared" si="10"/>
        <v>77.297274597536656</v>
      </c>
      <c r="J204" s="59">
        <f>I204*'Key Data'!$F$3</f>
        <v>19.324318649384164</v>
      </c>
      <c r="K204" s="59">
        <f t="shared" si="11"/>
        <v>96.621593246920824</v>
      </c>
      <c r="L204" s="344"/>
      <c r="M204" s="344"/>
    </row>
    <row r="205" spans="1:13">
      <c r="A205" s="22"/>
      <c r="B205" s="385"/>
      <c r="C205" s="386"/>
      <c r="D205" s="46"/>
      <c r="E205" s="46"/>
      <c r="F205" s="46">
        <v>22</v>
      </c>
      <c r="G205" s="47">
        <v>51.7</v>
      </c>
      <c r="H205" s="47">
        <f t="shared" si="9"/>
        <v>16.464968152866241</v>
      </c>
      <c r="I205" s="59">
        <f t="shared" si="10"/>
        <v>101.62838404797164</v>
      </c>
      <c r="J205" s="59">
        <f>I205*'Key Data'!$F$3</f>
        <v>25.407096011992909</v>
      </c>
      <c r="K205" s="59">
        <f t="shared" si="11"/>
        <v>127.03548005996454</v>
      </c>
      <c r="L205" s="344"/>
      <c r="M205" s="344"/>
    </row>
    <row r="206" spans="1:13">
      <c r="A206" s="22"/>
      <c r="B206" s="385"/>
      <c r="C206" s="386"/>
      <c r="D206" s="46"/>
      <c r="E206" s="46"/>
      <c r="F206" s="46">
        <v>23</v>
      </c>
      <c r="G206" s="47">
        <v>38</v>
      </c>
      <c r="H206" s="47">
        <f t="shared" si="9"/>
        <v>12.101910828025478</v>
      </c>
      <c r="I206" s="59">
        <f t="shared" si="10"/>
        <v>87.655984615502476</v>
      </c>
      <c r="J206" s="59">
        <f>I206*'Key Data'!$F$3</f>
        <v>21.913996153875619</v>
      </c>
      <c r="K206" s="59">
        <f t="shared" si="11"/>
        <v>109.56998076937809</v>
      </c>
      <c r="L206" s="344"/>
      <c r="M206" s="344"/>
    </row>
    <row r="207" spans="1:13">
      <c r="A207" s="22"/>
      <c r="B207" s="385"/>
      <c r="C207" s="386"/>
      <c r="D207" s="46"/>
      <c r="E207" s="46"/>
      <c r="F207" s="46">
        <v>24</v>
      </c>
      <c r="G207" s="47">
        <v>49.5</v>
      </c>
      <c r="H207" s="47">
        <f t="shared" si="9"/>
        <v>15.764331210191083</v>
      </c>
      <c r="I207" s="59">
        <f t="shared" si="10"/>
        <v>100.21441490790885</v>
      </c>
      <c r="J207" s="59">
        <f>I207*'Key Data'!$F$3</f>
        <v>25.053603726977212</v>
      </c>
      <c r="K207" s="59">
        <f t="shared" si="11"/>
        <v>125.26801863488606</v>
      </c>
      <c r="L207" s="344"/>
      <c r="M207" s="344"/>
    </row>
    <row r="208" spans="1:13">
      <c r="A208" s="22"/>
      <c r="B208" s="385"/>
      <c r="C208" s="386"/>
      <c r="D208" s="46"/>
      <c r="E208" s="46"/>
      <c r="F208" s="46">
        <v>25</v>
      </c>
      <c r="G208" s="47">
        <v>14.5</v>
      </c>
      <c r="H208" s="47">
        <f t="shared" si="9"/>
        <v>4.6178343949044587</v>
      </c>
      <c r="I208" s="59">
        <f t="shared" si="10"/>
        <v>23.697280402321486</v>
      </c>
      <c r="J208" s="59">
        <f>I208*'Key Data'!$F$3</f>
        <v>5.9243201005803714</v>
      </c>
      <c r="K208" s="59">
        <f t="shared" si="11"/>
        <v>29.621600502901856</v>
      </c>
      <c r="L208" s="344"/>
      <c r="M208" s="344"/>
    </row>
    <row r="209" spans="1:13">
      <c r="A209" s="22"/>
      <c r="B209" s="375">
        <v>13</v>
      </c>
      <c r="C209" s="376" t="s">
        <v>463</v>
      </c>
      <c r="D209" s="29" t="s">
        <v>350</v>
      </c>
      <c r="E209" s="29"/>
      <c r="F209" s="29">
        <v>1</v>
      </c>
      <c r="G209" s="30">
        <v>50.5</v>
      </c>
      <c r="H209" s="30">
        <f t="shared" si="9"/>
        <v>16.082802547770701</v>
      </c>
      <c r="I209" s="59">
        <f t="shared" si="10"/>
        <v>100.88665437711673</v>
      </c>
      <c r="J209" s="59">
        <f>I209*'Key Data'!$F$3</f>
        <v>25.221663594279182</v>
      </c>
      <c r="K209" s="59">
        <f t="shared" si="11"/>
        <v>126.10831797139591</v>
      </c>
      <c r="L209" s="344">
        <f>SUM(K209:K244)/1000</f>
        <v>3.9651601880789116</v>
      </c>
      <c r="M209" s="344">
        <f>(L209/625)*10000</f>
        <v>63.442563009262585</v>
      </c>
    </row>
    <row r="210" spans="1:13">
      <c r="A210" s="22"/>
      <c r="B210" s="375"/>
      <c r="C210" s="376"/>
      <c r="D210" s="29">
        <v>13.29121</v>
      </c>
      <c r="E210" s="29">
        <v>79.352459999999994</v>
      </c>
      <c r="F210" s="29">
        <v>2</v>
      </c>
      <c r="G210" s="30">
        <v>51</v>
      </c>
      <c r="H210" s="30">
        <f t="shared" si="9"/>
        <v>16.242038216560509</v>
      </c>
      <c r="I210" s="59">
        <f t="shared" si="10"/>
        <v>101.20402272427799</v>
      </c>
      <c r="J210" s="59">
        <f>I210*'Key Data'!$F$3</f>
        <v>25.301005681069498</v>
      </c>
      <c r="K210" s="59">
        <f t="shared" si="11"/>
        <v>126.50502840534749</v>
      </c>
      <c r="L210" s="344"/>
      <c r="M210" s="344"/>
    </row>
    <row r="211" spans="1:13">
      <c r="A211" s="22"/>
      <c r="B211" s="375"/>
      <c r="C211" s="376"/>
      <c r="D211" s="29" t="s">
        <v>445</v>
      </c>
      <c r="E211" s="29"/>
      <c r="F211" s="29">
        <v>3</v>
      </c>
      <c r="G211" s="30">
        <v>56</v>
      </c>
      <c r="H211" s="30">
        <f t="shared" si="9"/>
        <v>17.834394904458598</v>
      </c>
      <c r="I211" s="59">
        <f t="shared" si="10"/>
        <v>103.78569539111585</v>
      </c>
      <c r="J211" s="59">
        <f>I211*'Key Data'!$F$3</f>
        <v>25.946423847778963</v>
      </c>
      <c r="K211" s="59">
        <f t="shared" si="11"/>
        <v>129.73211923889482</v>
      </c>
      <c r="L211" s="344"/>
      <c r="M211" s="344"/>
    </row>
    <row r="212" spans="1:13">
      <c r="A212" s="22"/>
      <c r="B212" s="375"/>
      <c r="C212" s="376"/>
      <c r="D212" s="29">
        <v>13.29095</v>
      </c>
      <c r="E212" s="29">
        <v>79.352419999999995</v>
      </c>
      <c r="F212" s="29">
        <v>4</v>
      </c>
      <c r="G212" s="55" t="s">
        <v>454</v>
      </c>
      <c r="H212" s="55" t="s">
        <v>454</v>
      </c>
      <c r="I212" s="63" t="s">
        <v>454</v>
      </c>
      <c r="J212" s="63" t="s">
        <v>454</v>
      </c>
      <c r="K212" s="63" t="s">
        <v>454</v>
      </c>
      <c r="L212" s="344"/>
      <c r="M212" s="344"/>
    </row>
    <row r="213" spans="1:13">
      <c r="A213" s="22"/>
      <c r="B213" s="375"/>
      <c r="C213" s="376"/>
      <c r="D213" s="29" t="s">
        <v>446</v>
      </c>
      <c r="E213" s="29"/>
      <c r="F213" s="29">
        <v>5</v>
      </c>
      <c r="G213" s="30">
        <v>65</v>
      </c>
      <c r="H213" s="30">
        <f t="shared" si="9"/>
        <v>20.700636942675157</v>
      </c>
      <c r="I213" s="59">
        <f t="shared" si="10"/>
        <v>106.49856262815956</v>
      </c>
      <c r="J213" s="59">
        <f>I213*'Key Data'!$F$3</f>
        <v>26.62464065703989</v>
      </c>
      <c r="K213" s="59">
        <f t="shared" si="11"/>
        <v>133.12320328519945</v>
      </c>
      <c r="L213" s="344"/>
      <c r="M213" s="344"/>
    </row>
    <row r="214" spans="1:13">
      <c r="A214" s="22"/>
      <c r="B214" s="375"/>
      <c r="C214" s="376"/>
      <c r="D214" s="29">
        <v>13.290940000000001</v>
      </c>
      <c r="E214" s="29">
        <v>79.352620000000002</v>
      </c>
      <c r="F214" s="29">
        <v>6</v>
      </c>
      <c r="G214" s="30">
        <v>66.5</v>
      </c>
      <c r="H214" s="30">
        <f t="shared" si="9"/>
        <v>21.178343949044585</v>
      </c>
      <c r="I214" s="59">
        <f t="shared" si="10"/>
        <v>106.78892598751357</v>
      </c>
      <c r="J214" s="59">
        <f>I214*'Key Data'!$F$3</f>
        <v>26.697231496878391</v>
      </c>
      <c r="K214" s="59">
        <f t="shared" si="11"/>
        <v>133.48615748439195</v>
      </c>
      <c r="L214" s="344"/>
      <c r="M214" s="344"/>
    </row>
    <row r="215" spans="1:13">
      <c r="A215" s="22"/>
      <c r="B215" s="375"/>
      <c r="C215" s="376"/>
      <c r="D215" s="29" t="s">
        <v>447</v>
      </c>
      <c r="E215" s="29"/>
      <c r="F215" s="29">
        <v>7</v>
      </c>
      <c r="G215" s="55" t="s">
        <v>454</v>
      </c>
      <c r="H215" s="55" t="s">
        <v>454</v>
      </c>
      <c r="I215" s="63" t="s">
        <v>454</v>
      </c>
      <c r="J215" s="63" t="s">
        <v>454</v>
      </c>
      <c r="K215" s="63" t="s">
        <v>454</v>
      </c>
      <c r="L215" s="344"/>
      <c r="M215" s="344"/>
    </row>
    <row r="216" spans="1:13">
      <c r="A216" s="22"/>
      <c r="B216" s="375"/>
      <c r="C216" s="376"/>
      <c r="D216" s="29">
        <v>13.29114</v>
      </c>
      <c r="E216" s="29">
        <v>79.35266</v>
      </c>
      <c r="F216" s="29">
        <v>8</v>
      </c>
      <c r="G216" s="30">
        <v>56</v>
      </c>
      <c r="H216" s="30">
        <f t="shared" si="9"/>
        <v>17.834394904458598</v>
      </c>
      <c r="I216" s="59">
        <f t="shared" si="10"/>
        <v>103.78569539111585</v>
      </c>
      <c r="J216" s="59">
        <f>I216*'Key Data'!$F$3</f>
        <v>25.946423847778963</v>
      </c>
      <c r="K216" s="59">
        <f t="shared" si="11"/>
        <v>129.73211923889482</v>
      </c>
      <c r="L216" s="344"/>
      <c r="M216" s="344"/>
    </row>
    <row r="217" spans="1:13">
      <c r="A217" s="22"/>
      <c r="B217" s="375"/>
      <c r="C217" s="376"/>
      <c r="D217" s="29" t="s">
        <v>448</v>
      </c>
      <c r="E217" s="29"/>
      <c r="F217" s="29">
        <v>9</v>
      </c>
      <c r="G217" s="30">
        <v>50</v>
      </c>
      <c r="H217" s="30">
        <f t="shared" si="9"/>
        <v>15.923566878980891</v>
      </c>
      <c r="I217" s="59">
        <f t="shared" si="10"/>
        <v>100.55692997803489</v>
      </c>
      <c r="J217" s="59">
        <f>I217*'Key Data'!$F$3</f>
        <v>25.139232494508722</v>
      </c>
      <c r="K217" s="59">
        <f t="shared" si="11"/>
        <v>125.69616247254361</v>
      </c>
      <c r="L217" s="344"/>
      <c r="M217" s="344"/>
    </row>
    <row r="218" spans="1:13">
      <c r="A218" s="22"/>
      <c r="B218" s="375"/>
      <c r="C218" s="376"/>
      <c r="D218" s="29">
        <v>13.29106</v>
      </c>
      <c r="E218" s="29">
        <v>79.352549999999994</v>
      </c>
      <c r="F218" s="29">
        <v>10</v>
      </c>
      <c r="G218" s="30">
        <v>34.5</v>
      </c>
      <c r="H218" s="30">
        <f t="shared" si="9"/>
        <v>10.987261146496815</v>
      </c>
      <c r="I218" s="59">
        <f t="shared" si="10"/>
        <v>81.461190941682815</v>
      </c>
      <c r="J218" s="59">
        <f>I218*'Key Data'!$F$3</f>
        <v>20.365297735420704</v>
      </c>
      <c r="K218" s="59">
        <f t="shared" si="11"/>
        <v>101.82648867710353</v>
      </c>
      <c r="L218" s="344"/>
      <c r="M218" s="344"/>
    </row>
    <row r="219" spans="1:13">
      <c r="A219" s="22"/>
      <c r="B219" s="375"/>
      <c r="C219" s="376"/>
      <c r="D219" s="29"/>
      <c r="E219" s="29"/>
      <c r="F219" s="29">
        <v>11</v>
      </c>
      <c r="G219" s="30">
        <v>69.5</v>
      </c>
      <c r="H219" s="30">
        <f t="shared" si="9"/>
        <v>22.133757961783438</v>
      </c>
      <c r="I219" s="59">
        <f t="shared" si="10"/>
        <v>107.27362487270555</v>
      </c>
      <c r="J219" s="59">
        <f>I219*'Key Data'!$F$3</f>
        <v>26.818406218176388</v>
      </c>
      <c r="K219" s="59">
        <f t="shared" si="11"/>
        <v>134.09203109088193</v>
      </c>
      <c r="L219" s="344"/>
      <c r="M219" s="344"/>
    </row>
    <row r="220" spans="1:13">
      <c r="A220" s="22"/>
      <c r="B220" s="375"/>
      <c r="C220" s="376"/>
      <c r="D220" s="29"/>
      <c r="E220" s="29"/>
      <c r="F220" s="29">
        <v>12</v>
      </c>
      <c r="G220" s="30">
        <v>66</v>
      </c>
      <c r="H220" s="30">
        <f t="shared" si="9"/>
        <v>21.019108280254777</v>
      </c>
      <c r="I220" s="59">
        <f t="shared" si="10"/>
        <v>106.69603057885735</v>
      </c>
      <c r="J220" s="59">
        <f>I220*'Key Data'!$F$3</f>
        <v>26.674007644714337</v>
      </c>
      <c r="K220" s="59">
        <f t="shared" si="11"/>
        <v>133.37003822357167</v>
      </c>
      <c r="L220" s="344"/>
      <c r="M220" s="344"/>
    </row>
    <row r="221" spans="1:13">
      <c r="A221" s="22"/>
      <c r="B221" s="375"/>
      <c r="C221" s="376"/>
      <c r="D221" s="29"/>
      <c r="E221" s="29"/>
      <c r="F221" s="29">
        <v>13</v>
      </c>
      <c r="G221" s="30">
        <v>60</v>
      </c>
      <c r="H221" s="30">
        <f t="shared" si="9"/>
        <v>19.108280254777068</v>
      </c>
      <c r="I221" s="59">
        <f t="shared" si="10"/>
        <v>105.23287646701387</v>
      </c>
      <c r="J221" s="59">
        <f>I221*'Key Data'!$F$3</f>
        <v>26.308219116753467</v>
      </c>
      <c r="K221" s="59">
        <f t="shared" si="11"/>
        <v>131.54109558376734</v>
      </c>
      <c r="L221" s="344"/>
      <c r="M221" s="344"/>
    </row>
    <row r="222" spans="1:13">
      <c r="A222" s="22"/>
      <c r="B222" s="375"/>
      <c r="C222" s="376"/>
      <c r="D222" s="29"/>
      <c r="E222" s="29"/>
      <c r="F222" s="29">
        <v>14</v>
      </c>
      <c r="G222" s="30">
        <v>56</v>
      </c>
      <c r="H222" s="30">
        <f t="shared" si="9"/>
        <v>17.834394904458598</v>
      </c>
      <c r="I222" s="59">
        <f t="shared" si="10"/>
        <v>103.78569539111585</v>
      </c>
      <c r="J222" s="59">
        <f>I222*'Key Data'!$F$3</f>
        <v>25.946423847778963</v>
      </c>
      <c r="K222" s="59">
        <f t="shared" si="11"/>
        <v>129.73211923889482</v>
      </c>
      <c r="L222" s="344"/>
      <c r="M222" s="344"/>
    </row>
    <row r="223" spans="1:13">
      <c r="A223" s="22"/>
      <c r="B223" s="375"/>
      <c r="C223" s="376"/>
      <c r="D223" s="29"/>
      <c r="E223" s="29"/>
      <c r="F223" s="29">
        <v>15</v>
      </c>
      <c r="G223" s="30">
        <v>48</v>
      </c>
      <c r="H223" s="30">
        <f t="shared" si="9"/>
        <v>15.286624203821656</v>
      </c>
      <c r="I223" s="59">
        <f t="shared" si="10"/>
        <v>99.105610669934464</v>
      </c>
      <c r="J223" s="59">
        <f>I223*'Key Data'!$F$3</f>
        <v>24.776402667483616</v>
      </c>
      <c r="K223" s="59">
        <f t="shared" si="11"/>
        <v>123.88201333741807</v>
      </c>
      <c r="L223" s="344"/>
      <c r="M223" s="344"/>
    </row>
    <row r="224" spans="1:13">
      <c r="A224" s="22"/>
      <c r="B224" s="375"/>
      <c r="C224" s="376"/>
      <c r="D224" s="29"/>
      <c r="E224" s="29"/>
      <c r="F224" s="29">
        <v>16</v>
      </c>
      <c r="G224" s="30">
        <v>24</v>
      </c>
      <c r="H224" s="30">
        <f t="shared" si="9"/>
        <v>7.6433121019108281</v>
      </c>
      <c r="I224" s="59">
        <f t="shared" si="10"/>
        <v>54.407175553130081</v>
      </c>
      <c r="J224" s="59">
        <f>I224*'Key Data'!$F$3</f>
        <v>13.60179388828252</v>
      </c>
      <c r="K224" s="59">
        <f t="shared" si="11"/>
        <v>68.008969441412603</v>
      </c>
      <c r="L224" s="344"/>
      <c r="M224" s="344"/>
    </row>
    <row r="225" spans="1:13">
      <c r="A225" s="22"/>
      <c r="B225" s="375"/>
      <c r="C225" s="376"/>
      <c r="D225" s="29"/>
      <c r="E225" s="29"/>
      <c r="F225" s="29">
        <v>17</v>
      </c>
      <c r="G225" s="30">
        <v>55</v>
      </c>
      <c r="H225" s="30">
        <f t="shared" si="9"/>
        <v>17.515923566878982</v>
      </c>
      <c r="I225" s="59">
        <f t="shared" si="10"/>
        <v>103.34658411791347</v>
      </c>
      <c r="J225" s="59">
        <f>I225*'Key Data'!$F$3</f>
        <v>25.836646029478366</v>
      </c>
      <c r="K225" s="59">
        <f t="shared" si="11"/>
        <v>129.18323014739184</v>
      </c>
      <c r="L225" s="344"/>
      <c r="M225" s="344"/>
    </row>
    <row r="226" spans="1:13">
      <c r="A226" s="22"/>
      <c r="B226" s="375"/>
      <c r="C226" s="376"/>
      <c r="D226" s="29"/>
      <c r="E226" s="29"/>
      <c r="F226" s="29">
        <v>18</v>
      </c>
      <c r="G226" s="30">
        <v>40</v>
      </c>
      <c r="H226" s="30">
        <f t="shared" si="9"/>
        <v>12.738853503184712</v>
      </c>
      <c r="I226" s="59">
        <f t="shared" si="10"/>
        <v>90.621758137913403</v>
      </c>
      <c r="J226" s="59">
        <f>I226*'Key Data'!$F$3</f>
        <v>22.655439534478351</v>
      </c>
      <c r="K226" s="59">
        <f t="shared" si="11"/>
        <v>113.27719767239175</v>
      </c>
      <c r="L226" s="344"/>
      <c r="M226" s="344"/>
    </row>
    <row r="227" spans="1:13">
      <c r="A227" s="22"/>
      <c r="B227" s="375"/>
      <c r="C227" s="376"/>
      <c r="D227" s="29"/>
      <c r="E227" s="29"/>
      <c r="F227" s="29">
        <v>19</v>
      </c>
      <c r="G227" s="55" t="s">
        <v>454</v>
      </c>
      <c r="H227" s="55" t="s">
        <v>454</v>
      </c>
      <c r="I227" s="63" t="s">
        <v>454</v>
      </c>
      <c r="J227" s="63" t="s">
        <v>454</v>
      </c>
      <c r="K227" s="63" t="s">
        <v>454</v>
      </c>
      <c r="L227" s="344"/>
      <c r="M227" s="344"/>
    </row>
    <row r="228" spans="1:13">
      <c r="A228" s="22"/>
      <c r="B228" s="375"/>
      <c r="C228" s="376"/>
      <c r="D228" s="29"/>
      <c r="E228" s="29"/>
      <c r="F228" s="29">
        <v>20</v>
      </c>
      <c r="G228" s="30">
        <v>48.5</v>
      </c>
      <c r="H228" s="30">
        <f t="shared" si="9"/>
        <v>15.445859872611464</v>
      </c>
      <c r="I228" s="59">
        <f t="shared" si="10"/>
        <v>99.48921792052343</v>
      </c>
      <c r="J228" s="59">
        <f>I228*'Key Data'!$F$3</f>
        <v>24.872304480130857</v>
      </c>
      <c r="K228" s="59">
        <f t="shared" si="11"/>
        <v>124.36152240065428</v>
      </c>
      <c r="L228" s="344"/>
      <c r="M228" s="344"/>
    </row>
    <row r="229" spans="1:13">
      <c r="A229" s="22"/>
      <c r="B229" s="375"/>
      <c r="C229" s="376"/>
      <c r="D229" s="29"/>
      <c r="E229" s="29"/>
      <c r="F229" s="29">
        <v>21</v>
      </c>
      <c r="G229" s="30">
        <v>30.5</v>
      </c>
      <c r="H229" s="30">
        <f t="shared" si="9"/>
        <v>9.7133757961783438</v>
      </c>
      <c r="I229" s="59">
        <f t="shared" si="10"/>
        <v>72.65635173694983</v>
      </c>
      <c r="J229" s="59">
        <f>I229*'Key Data'!$F$3</f>
        <v>18.164087934237457</v>
      </c>
      <c r="K229" s="59">
        <f t="shared" si="11"/>
        <v>90.820439671187287</v>
      </c>
      <c r="L229" s="344"/>
      <c r="M229" s="344"/>
    </row>
    <row r="230" spans="1:13">
      <c r="A230" s="22"/>
      <c r="B230" s="375"/>
      <c r="C230" s="376"/>
      <c r="D230" s="29"/>
      <c r="E230" s="29"/>
      <c r="F230" s="29">
        <v>22</v>
      </c>
      <c r="G230" s="30">
        <v>57.5</v>
      </c>
      <c r="H230" s="30">
        <f t="shared" si="9"/>
        <v>18.312101910828027</v>
      </c>
      <c r="I230" s="59">
        <f t="shared" si="10"/>
        <v>104.38278110345003</v>
      </c>
      <c r="J230" s="59">
        <f>I230*'Key Data'!$F$3</f>
        <v>26.095695275862507</v>
      </c>
      <c r="K230" s="59">
        <f t="shared" si="11"/>
        <v>130.47847637931253</v>
      </c>
      <c r="L230" s="344"/>
      <c r="M230" s="344"/>
    </row>
    <row r="231" spans="1:13">
      <c r="A231" s="22"/>
      <c r="B231" s="375"/>
      <c r="C231" s="376"/>
      <c r="D231" s="29"/>
      <c r="E231" s="29"/>
      <c r="F231" s="29">
        <v>23</v>
      </c>
      <c r="G231" s="30">
        <v>25</v>
      </c>
      <c r="H231" s="30">
        <f t="shared" si="9"/>
        <v>7.9617834394904454</v>
      </c>
      <c r="I231" s="59">
        <f t="shared" si="10"/>
        <v>57.496348591842889</v>
      </c>
      <c r="J231" s="59">
        <f>I231*'Key Data'!$F$3</f>
        <v>14.374087147960722</v>
      </c>
      <c r="K231" s="59">
        <f t="shared" si="11"/>
        <v>71.870435739803611</v>
      </c>
      <c r="L231" s="344"/>
      <c r="M231" s="344"/>
    </row>
    <row r="232" spans="1:13">
      <c r="A232" s="22"/>
      <c r="B232" s="375"/>
      <c r="C232" s="376"/>
      <c r="D232" s="29"/>
      <c r="E232" s="29"/>
      <c r="F232" s="29">
        <v>24</v>
      </c>
      <c r="G232" s="30">
        <v>60</v>
      </c>
      <c r="H232" s="30">
        <f t="shared" si="9"/>
        <v>19.108280254777068</v>
      </c>
      <c r="I232" s="59">
        <f t="shared" si="10"/>
        <v>105.23287646701387</v>
      </c>
      <c r="J232" s="59">
        <f>I232*'Key Data'!$F$3</f>
        <v>26.308219116753467</v>
      </c>
      <c r="K232" s="59">
        <f t="shared" si="11"/>
        <v>131.54109558376734</v>
      </c>
      <c r="L232" s="344"/>
      <c r="M232" s="344"/>
    </row>
    <row r="233" spans="1:13">
      <c r="A233" s="22"/>
      <c r="B233" s="375"/>
      <c r="C233" s="376"/>
      <c r="D233" s="29"/>
      <c r="E233" s="29"/>
      <c r="F233" s="29">
        <v>25</v>
      </c>
      <c r="G233" s="30">
        <v>50</v>
      </c>
      <c r="H233" s="30">
        <f t="shared" si="9"/>
        <v>15.923566878980891</v>
      </c>
      <c r="I233" s="59">
        <f t="shared" si="10"/>
        <v>100.55692997803489</v>
      </c>
      <c r="J233" s="59">
        <f>I233*'Key Data'!$F$3</f>
        <v>25.139232494508722</v>
      </c>
      <c r="K233" s="59">
        <f t="shared" si="11"/>
        <v>125.69616247254361</v>
      </c>
      <c r="L233" s="344"/>
      <c r="M233" s="344"/>
    </row>
    <row r="234" spans="1:13">
      <c r="A234" s="22"/>
      <c r="B234" s="375"/>
      <c r="C234" s="376"/>
      <c r="D234" s="29"/>
      <c r="E234" s="29"/>
      <c r="F234" s="29">
        <v>26</v>
      </c>
      <c r="G234" s="30">
        <v>22.5</v>
      </c>
      <c r="H234" s="30">
        <f t="shared" si="9"/>
        <v>7.1656050955414008</v>
      </c>
      <c r="I234" s="59">
        <f t="shared" si="10"/>
        <v>49.629812539313463</v>
      </c>
      <c r="J234" s="59">
        <f>I234*'Key Data'!$F$3</f>
        <v>12.407453134828366</v>
      </c>
      <c r="K234" s="59">
        <f t="shared" si="11"/>
        <v>62.037265674141828</v>
      </c>
      <c r="L234" s="344"/>
      <c r="M234" s="344"/>
    </row>
    <row r="235" spans="1:13">
      <c r="A235" s="22"/>
      <c r="B235" s="375"/>
      <c r="C235" s="376"/>
      <c r="D235" s="29"/>
      <c r="E235" s="29"/>
      <c r="F235" s="29">
        <v>27</v>
      </c>
      <c r="G235" s="30">
        <v>58.5</v>
      </c>
      <c r="H235" s="30">
        <f t="shared" si="9"/>
        <v>18.630573248407643</v>
      </c>
      <c r="I235" s="59">
        <f t="shared" si="10"/>
        <v>104.74322139691874</v>
      </c>
      <c r="J235" s="59">
        <f>I235*'Key Data'!$F$3</f>
        <v>26.185805349229685</v>
      </c>
      <c r="K235" s="59">
        <f t="shared" si="11"/>
        <v>130.92902674614842</v>
      </c>
      <c r="L235" s="344"/>
      <c r="M235" s="344"/>
    </row>
    <row r="236" spans="1:13">
      <c r="A236" s="22"/>
      <c r="B236" s="375"/>
      <c r="C236" s="376"/>
      <c r="D236" s="29"/>
      <c r="E236" s="29"/>
      <c r="F236" s="29">
        <v>28</v>
      </c>
      <c r="G236" s="30">
        <v>56.5</v>
      </c>
      <c r="H236" s="30">
        <f t="shared" si="9"/>
        <v>17.993630573248407</v>
      </c>
      <c r="I236" s="59">
        <f t="shared" si="10"/>
        <v>103.99263041159999</v>
      </c>
      <c r="J236" s="59">
        <f>I236*'Key Data'!$F$3</f>
        <v>25.998157602899997</v>
      </c>
      <c r="K236" s="59">
        <f t="shared" si="11"/>
        <v>129.9907880145</v>
      </c>
      <c r="L236" s="344"/>
      <c r="M236" s="344"/>
    </row>
    <row r="237" spans="1:13">
      <c r="A237" s="22"/>
      <c r="B237" s="375"/>
      <c r="C237" s="376"/>
      <c r="D237" s="29"/>
      <c r="E237" s="29"/>
      <c r="F237" s="29">
        <v>29</v>
      </c>
      <c r="G237" s="30">
        <v>45.5</v>
      </c>
      <c r="H237" s="30">
        <f t="shared" si="9"/>
        <v>14.490445859872612</v>
      </c>
      <c r="I237" s="59">
        <f t="shared" si="10"/>
        <v>96.958006569531705</v>
      </c>
      <c r="J237" s="59">
        <f>I237*'Key Data'!$F$3</f>
        <v>24.239501642382926</v>
      </c>
      <c r="K237" s="59">
        <f t="shared" si="11"/>
        <v>121.19750821191462</v>
      </c>
      <c r="L237" s="344"/>
      <c r="M237" s="344"/>
    </row>
    <row r="238" spans="1:13">
      <c r="A238" s="22"/>
      <c r="B238" s="375"/>
      <c r="C238" s="376"/>
      <c r="D238" s="29"/>
      <c r="E238" s="29"/>
      <c r="F238" s="29">
        <v>30</v>
      </c>
      <c r="G238" s="30">
        <v>64.5</v>
      </c>
      <c r="H238" s="30">
        <f t="shared" si="9"/>
        <v>20.541401273885349</v>
      </c>
      <c r="I238" s="59">
        <f t="shared" si="10"/>
        <v>106.39367414045957</v>
      </c>
      <c r="J238" s="59">
        <f>I238*'Key Data'!$F$3</f>
        <v>26.598418535114892</v>
      </c>
      <c r="K238" s="59">
        <f t="shared" si="11"/>
        <v>132.99209267557447</v>
      </c>
      <c r="L238" s="344"/>
      <c r="M238" s="344"/>
    </row>
    <row r="239" spans="1:13">
      <c r="A239" s="22"/>
      <c r="B239" s="375"/>
      <c r="C239" s="376"/>
      <c r="D239" s="29"/>
      <c r="E239" s="29"/>
      <c r="F239" s="29">
        <v>31</v>
      </c>
      <c r="G239" s="30">
        <v>60.5</v>
      </c>
      <c r="H239" s="30">
        <f t="shared" si="9"/>
        <v>19.267515923566879</v>
      </c>
      <c r="I239" s="59">
        <f t="shared" si="10"/>
        <v>105.38349665761297</v>
      </c>
      <c r="J239" s="59">
        <f>I239*'Key Data'!$F$3</f>
        <v>26.345874164403241</v>
      </c>
      <c r="K239" s="59">
        <f t="shared" si="11"/>
        <v>131.72937082201622</v>
      </c>
      <c r="L239" s="344"/>
      <c r="M239" s="344"/>
    </row>
    <row r="240" spans="1:13">
      <c r="A240" s="22"/>
      <c r="B240" s="375"/>
      <c r="C240" s="376"/>
      <c r="D240" s="29"/>
      <c r="E240" s="29"/>
      <c r="F240" s="29">
        <v>32</v>
      </c>
      <c r="G240" s="30">
        <v>54</v>
      </c>
      <c r="H240" s="30">
        <f t="shared" si="9"/>
        <v>17.197452229299362</v>
      </c>
      <c r="I240" s="59">
        <f t="shared" si="10"/>
        <v>102.87167065451364</v>
      </c>
      <c r="J240" s="59">
        <f>I240*'Key Data'!$F$3</f>
        <v>25.717917663628409</v>
      </c>
      <c r="K240" s="59">
        <f t="shared" si="11"/>
        <v>128.58958831814203</v>
      </c>
      <c r="L240" s="344"/>
      <c r="M240" s="344"/>
    </row>
    <row r="241" spans="1:13">
      <c r="A241" s="22"/>
      <c r="B241" s="375"/>
      <c r="C241" s="376"/>
      <c r="D241" s="29"/>
      <c r="E241" s="29"/>
      <c r="F241" s="29">
        <v>33</v>
      </c>
      <c r="G241" s="30">
        <v>31.5</v>
      </c>
      <c r="H241" s="30">
        <f t="shared" si="9"/>
        <v>10.031847133757962</v>
      </c>
      <c r="I241" s="59">
        <f t="shared" si="10"/>
        <v>75.036957906877177</v>
      </c>
      <c r="J241" s="59">
        <f>I241*'Key Data'!$F$3</f>
        <v>18.759239476719294</v>
      </c>
      <c r="K241" s="59">
        <f t="shared" si="11"/>
        <v>93.796197383596478</v>
      </c>
      <c r="L241" s="344"/>
      <c r="M241" s="344"/>
    </row>
    <row r="242" spans="1:13">
      <c r="A242" s="22"/>
      <c r="B242" s="375"/>
      <c r="C242" s="376"/>
      <c r="D242" s="29"/>
      <c r="E242" s="29"/>
      <c r="F242" s="29">
        <v>34</v>
      </c>
      <c r="G242" s="30">
        <v>66.5</v>
      </c>
      <c r="H242" s="30">
        <f t="shared" si="9"/>
        <v>21.178343949044585</v>
      </c>
      <c r="I242" s="59">
        <f t="shared" si="10"/>
        <v>106.78892598751357</v>
      </c>
      <c r="J242" s="59">
        <f>I242*'Key Data'!$F$3</f>
        <v>26.697231496878391</v>
      </c>
      <c r="K242" s="59">
        <f t="shared" si="11"/>
        <v>133.48615748439195</v>
      </c>
      <c r="L242" s="344"/>
      <c r="M242" s="344"/>
    </row>
    <row r="243" spans="1:13">
      <c r="A243" s="22"/>
      <c r="B243" s="375"/>
      <c r="C243" s="376"/>
      <c r="D243" s="29"/>
      <c r="E243" s="29"/>
      <c r="F243" s="29">
        <v>35</v>
      </c>
      <c r="G243" s="30">
        <v>50.5</v>
      </c>
      <c r="H243" s="30">
        <f t="shared" si="9"/>
        <v>16.082802547770701</v>
      </c>
      <c r="I243" s="59">
        <f t="shared" si="10"/>
        <v>100.88665437711673</v>
      </c>
      <c r="J243" s="59">
        <f>I243*'Key Data'!$F$3</f>
        <v>25.221663594279182</v>
      </c>
      <c r="K243" s="59">
        <f t="shared" si="11"/>
        <v>126.10831797139591</v>
      </c>
      <c r="L243" s="344"/>
      <c r="M243" s="344"/>
    </row>
    <row r="244" spans="1:13">
      <c r="A244" s="22"/>
      <c r="B244" s="375"/>
      <c r="C244" s="376"/>
      <c r="D244" s="29"/>
      <c r="E244" s="29"/>
      <c r="F244" s="29">
        <v>36</v>
      </c>
      <c r="G244" s="30">
        <v>57</v>
      </c>
      <c r="H244" s="30">
        <f t="shared" si="9"/>
        <v>18.152866242038215</v>
      </c>
      <c r="I244" s="59">
        <f t="shared" si="10"/>
        <v>104.19156081625478</v>
      </c>
      <c r="J244" s="59">
        <f>I244*'Key Data'!$F$3</f>
        <v>26.047890204063695</v>
      </c>
      <c r="K244" s="59">
        <f t="shared" si="11"/>
        <v>130.23945102031848</v>
      </c>
      <c r="L244" s="344"/>
      <c r="M244" s="344"/>
    </row>
    <row r="245" spans="1:13">
      <c r="A245" s="22"/>
      <c r="B245" s="377">
        <v>14</v>
      </c>
      <c r="C245" s="379" t="s">
        <v>464</v>
      </c>
      <c r="D245" s="32" t="s">
        <v>350</v>
      </c>
      <c r="E245" s="32"/>
      <c r="F245" s="32">
        <v>1</v>
      </c>
      <c r="G245" s="33">
        <v>55</v>
      </c>
      <c r="H245" s="33">
        <f t="shared" si="9"/>
        <v>17.515923566878982</v>
      </c>
      <c r="I245" s="59">
        <f t="shared" si="10"/>
        <v>103.34658411791347</v>
      </c>
      <c r="J245" s="59">
        <f>I245*'Key Data'!$F$3</f>
        <v>25.836646029478366</v>
      </c>
      <c r="K245" s="59">
        <f t="shared" si="11"/>
        <v>129.18323014739184</v>
      </c>
      <c r="L245" s="344">
        <f>SUM(K245:K260)/1000</f>
        <v>1.9303136795601001</v>
      </c>
      <c r="M245" s="344">
        <f>(L245/625)*10000</f>
        <v>30.885018872961602</v>
      </c>
    </row>
    <row r="246" spans="1:13">
      <c r="A246" s="22"/>
      <c r="B246" s="377"/>
      <c r="C246" s="379"/>
      <c r="D246" s="32">
        <v>13.18033</v>
      </c>
      <c r="E246" s="32">
        <v>79.28716</v>
      </c>
      <c r="F246" s="32">
        <v>2</v>
      </c>
      <c r="G246" s="33">
        <v>47.5</v>
      </c>
      <c r="H246" s="33">
        <f t="shared" si="9"/>
        <v>15.127388535031846</v>
      </c>
      <c r="I246" s="59">
        <f t="shared" si="10"/>
        <v>98.707362361024764</v>
      </c>
      <c r="J246" s="59">
        <f>I246*'Key Data'!$F$3</f>
        <v>24.676840590256191</v>
      </c>
      <c r="K246" s="59">
        <f t="shared" si="11"/>
        <v>123.38420295128095</v>
      </c>
      <c r="L246" s="344"/>
      <c r="M246" s="344"/>
    </row>
    <row r="247" spans="1:13">
      <c r="A247" s="22"/>
      <c r="B247" s="377"/>
      <c r="C247" s="379"/>
      <c r="D247" s="32" t="s">
        <v>445</v>
      </c>
      <c r="E247" s="32"/>
      <c r="F247" s="32">
        <v>3</v>
      </c>
      <c r="G247" s="33">
        <v>47.5</v>
      </c>
      <c r="H247" s="33">
        <f t="shared" ref="H247:H260" si="12">G247/3.14</f>
        <v>15.127388535031846</v>
      </c>
      <c r="I247" s="59">
        <f t="shared" si="10"/>
        <v>98.707362361024764</v>
      </c>
      <c r="J247" s="59">
        <f>I247*'Key Data'!$F$3</f>
        <v>24.676840590256191</v>
      </c>
      <c r="K247" s="59">
        <f t="shared" si="11"/>
        <v>123.38420295128095</v>
      </c>
      <c r="L247" s="344"/>
      <c r="M247" s="344"/>
    </row>
    <row r="248" spans="1:13">
      <c r="A248" s="22"/>
      <c r="B248" s="377"/>
      <c r="C248" s="379"/>
      <c r="D248" s="32">
        <v>13.184229999999999</v>
      </c>
      <c r="E248" s="32">
        <v>79.241100000000003</v>
      </c>
      <c r="F248" s="32">
        <v>4</v>
      </c>
      <c r="G248" s="33">
        <v>63.5</v>
      </c>
      <c r="H248" s="33">
        <f t="shared" si="12"/>
        <v>20.222929936305732</v>
      </c>
      <c r="I248" s="59">
        <f t="shared" si="10"/>
        <v>106.17075260902055</v>
      </c>
      <c r="J248" s="59">
        <f>I248*'Key Data'!$F$3</f>
        <v>26.542688152255138</v>
      </c>
      <c r="K248" s="59">
        <f t="shared" si="11"/>
        <v>132.71344076127571</v>
      </c>
      <c r="L248" s="344"/>
      <c r="M248" s="344"/>
    </row>
    <row r="249" spans="1:13">
      <c r="A249" s="22"/>
      <c r="B249" s="377"/>
      <c r="C249" s="379"/>
      <c r="D249" s="32" t="s">
        <v>446</v>
      </c>
      <c r="E249" s="32"/>
      <c r="F249" s="32">
        <v>5</v>
      </c>
      <c r="G249" s="33">
        <v>72.099999999999994</v>
      </c>
      <c r="H249" s="33">
        <f t="shared" si="12"/>
        <v>22.961783439490443</v>
      </c>
      <c r="I249" s="59">
        <f t="shared" si="10"/>
        <v>107.60783157492584</v>
      </c>
      <c r="J249" s="59">
        <f>I249*'Key Data'!$F$3</f>
        <v>26.90195789373146</v>
      </c>
      <c r="K249" s="59">
        <f t="shared" si="11"/>
        <v>134.50978946865729</v>
      </c>
      <c r="L249" s="344"/>
      <c r="M249" s="344"/>
    </row>
    <row r="250" spans="1:13">
      <c r="A250" s="22"/>
      <c r="B250" s="377"/>
      <c r="C250" s="379"/>
      <c r="D250" s="32">
        <v>13.18425</v>
      </c>
      <c r="E250" s="32">
        <v>79.240939999999995</v>
      </c>
      <c r="F250" s="32">
        <v>6</v>
      </c>
      <c r="G250" s="33">
        <v>53</v>
      </c>
      <c r="H250" s="33">
        <f t="shared" si="12"/>
        <v>16.878980891719745</v>
      </c>
      <c r="I250" s="59">
        <f t="shared" si="10"/>
        <v>102.35823199607594</v>
      </c>
      <c r="J250" s="59">
        <f>I250*'Key Data'!$F$3</f>
        <v>25.589557999018986</v>
      </c>
      <c r="K250" s="59">
        <f t="shared" si="11"/>
        <v>127.94778999509492</v>
      </c>
      <c r="L250" s="344"/>
      <c r="M250" s="344"/>
    </row>
    <row r="251" spans="1:13">
      <c r="A251" s="22"/>
      <c r="B251" s="377"/>
      <c r="C251" s="379"/>
      <c r="D251" s="32" t="s">
        <v>447</v>
      </c>
      <c r="E251" s="32"/>
      <c r="F251" s="32">
        <v>7</v>
      </c>
      <c r="G251" s="33">
        <v>30.5</v>
      </c>
      <c r="H251" s="33">
        <f t="shared" si="12"/>
        <v>9.7133757961783438</v>
      </c>
      <c r="I251" s="59">
        <f t="shared" si="10"/>
        <v>72.65635173694983</v>
      </c>
      <c r="J251" s="59">
        <f>I251*'Key Data'!$F$3</f>
        <v>18.164087934237457</v>
      </c>
      <c r="K251" s="59">
        <f t="shared" si="11"/>
        <v>90.820439671187287</v>
      </c>
      <c r="L251" s="344"/>
      <c r="M251" s="344"/>
    </row>
    <row r="252" spans="1:13">
      <c r="A252" s="22"/>
      <c r="B252" s="377"/>
      <c r="C252" s="379"/>
      <c r="D252" s="32">
        <v>13.184060000000001</v>
      </c>
      <c r="E252" s="32">
        <v>79.240920000000003</v>
      </c>
      <c r="F252" s="32">
        <v>8</v>
      </c>
      <c r="G252" s="33">
        <v>49</v>
      </c>
      <c r="H252" s="33">
        <f t="shared" si="12"/>
        <v>15.605095541401273</v>
      </c>
      <c r="I252" s="59">
        <f t="shared" si="10"/>
        <v>99.85866326147945</v>
      </c>
      <c r="J252" s="59">
        <f>I252*'Key Data'!$F$3</f>
        <v>24.964665815369862</v>
      </c>
      <c r="K252" s="59">
        <f t="shared" si="11"/>
        <v>124.82332907684932</v>
      </c>
      <c r="L252" s="344"/>
      <c r="M252" s="344"/>
    </row>
    <row r="253" spans="1:13">
      <c r="A253" s="22"/>
      <c r="B253" s="377"/>
      <c r="C253" s="379"/>
      <c r="D253" s="32" t="s">
        <v>448</v>
      </c>
      <c r="E253" s="32"/>
      <c r="F253" s="32">
        <v>9</v>
      </c>
      <c r="G253" s="33">
        <v>50</v>
      </c>
      <c r="H253" s="33">
        <f t="shared" si="12"/>
        <v>15.923566878980891</v>
      </c>
      <c r="I253" s="59">
        <f t="shared" si="10"/>
        <v>100.55692997803489</v>
      </c>
      <c r="J253" s="59">
        <f>I253*'Key Data'!$F$3</f>
        <v>25.139232494508722</v>
      </c>
      <c r="K253" s="59">
        <f t="shared" si="11"/>
        <v>125.69616247254361</v>
      </c>
      <c r="L253" s="344"/>
      <c r="M253" s="344"/>
    </row>
    <row r="254" spans="1:13">
      <c r="A254" s="22"/>
      <c r="B254" s="377"/>
      <c r="C254" s="379"/>
      <c r="D254" s="32">
        <v>13.18418</v>
      </c>
      <c r="E254" s="32">
        <v>79.240790000000004</v>
      </c>
      <c r="F254" s="32">
        <v>10</v>
      </c>
      <c r="G254" s="33">
        <v>63</v>
      </c>
      <c r="H254" s="33">
        <f t="shared" si="12"/>
        <v>20.063694267515924</v>
      </c>
      <c r="I254" s="59">
        <f t="shared" si="10"/>
        <v>106.05236623585165</v>
      </c>
      <c r="J254" s="59">
        <f>I254*'Key Data'!$F$3</f>
        <v>26.513091558962913</v>
      </c>
      <c r="K254" s="59">
        <f t="shared" si="11"/>
        <v>132.56545779481456</v>
      </c>
      <c r="L254" s="344"/>
      <c r="M254" s="344"/>
    </row>
    <row r="255" spans="1:13">
      <c r="A255" s="22"/>
      <c r="B255" s="377"/>
      <c r="C255" s="379"/>
      <c r="D255" s="32"/>
      <c r="E255" s="32"/>
      <c r="F255" s="32">
        <v>11</v>
      </c>
      <c r="G255" s="33">
        <v>49.5</v>
      </c>
      <c r="H255" s="33">
        <f t="shared" si="12"/>
        <v>15.764331210191083</v>
      </c>
      <c r="I255" s="59">
        <f t="shared" si="10"/>
        <v>100.21441490790885</v>
      </c>
      <c r="J255" s="59">
        <f>I255*'Key Data'!$F$3</f>
        <v>25.053603726977212</v>
      </c>
      <c r="K255" s="59">
        <f t="shared" si="11"/>
        <v>125.26801863488606</v>
      </c>
      <c r="L255" s="344"/>
      <c r="M255" s="344"/>
    </row>
    <row r="256" spans="1:13">
      <c r="A256" s="22"/>
      <c r="B256" s="377"/>
      <c r="C256" s="379"/>
      <c r="D256" s="32"/>
      <c r="E256" s="32"/>
      <c r="F256" s="32">
        <v>12</v>
      </c>
      <c r="G256" s="33">
        <v>55</v>
      </c>
      <c r="H256" s="33">
        <f t="shared" si="12"/>
        <v>17.515923566878982</v>
      </c>
      <c r="I256" s="59">
        <f t="shared" si="10"/>
        <v>103.34658411791347</v>
      </c>
      <c r="J256" s="59">
        <f>I256*'Key Data'!$F$3</f>
        <v>25.836646029478366</v>
      </c>
      <c r="K256" s="59">
        <f t="shared" si="11"/>
        <v>129.18323014739184</v>
      </c>
      <c r="L256" s="344"/>
      <c r="M256" s="344"/>
    </row>
    <row r="257" spans="1:13">
      <c r="A257" s="22"/>
      <c r="B257" s="377"/>
      <c r="C257" s="379"/>
      <c r="D257" s="32"/>
      <c r="E257" s="32"/>
      <c r="F257" s="32">
        <v>13</v>
      </c>
      <c r="G257" s="33">
        <v>45</v>
      </c>
      <c r="H257" s="33">
        <f t="shared" si="12"/>
        <v>14.331210191082802</v>
      </c>
      <c r="I257" s="59">
        <f t="shared" si="10"/>
        <v>96.479001445443316</v>
      </c>
      <c r="J257" s="59">
        <f>I257*'Key Data'!$F$3</f>
        <v>24.119750361360829</v>
      </c>
      <c r="K257" s="59">
        <f t="shared" si="11"/>
        <v>120.59875180680415</v>
      </c>
      <c r="L257" s="344"/>
      <c r="M257" s="344"/>
    </row>
    <row r="258" spans="1:13">
      <c r="A258" s="22"/>
      <c r="B258" s="377"/>
      <c r="C258" s="379"/>
      <c r="D258" s="32"/>
      <c r="E258" s="32"/>
      <c r="F258" s="32">
        <v>14</v>
      </c>
      <c r="G258" s="33">
        <v>48</v>
      </c>
      <c r="H258" s="33">
        <f t="shared" si="12"/>
        <v>15.286624203821656</v>
      </c>
      <c r="I258" s="59">
        <f t="shared" si="10"/>
        <v>99.105610669934464</v>
      </c>
      <c r="J258" s="59">
        <f>I258*'Key Data'!$F$3</f>
        <v>24.776402667483616</v>
      </c>
      <c r="K258" s="59">
        <f t="shared" si="11"/>
        <v>123.88201333741807</v>
      </c>
      <c r="L258" s="344"/>
      <c r="M258" s="344"/>
    </row>
    <row r="259" spans="1:13">
      <c r="A259" s="22"/>
      <c r="B259" s="377"/>
      <c r="C259" s="379"/>
      <c r="D259" s="32"/>
      <c r="E259" s="32"/>
      <c r="F259" s="32">
        <v>15</v>
      </c>
      <c r="G259" s="33">
        <v>27.5</v>
      </c>
      <c r="H259" s="33">
        <f t="shared" si="12"/>
        <v>8.7579617834394909</v>
      </c>
      <c r="I259" s="59">
        <f t="shared" si="10"/>
        <v>64.802231741112209</v>
      </c>
      <c r="J259" s="59">
        <f>I259*'Key Data'!$F$3</f>
        <v>16.200557935278052</v>
      </c>
      <c r="K259" s="59">
        <f t="shared" si="11"/>
        <v>81.002789676390265</v>
      </c>
      <c r="L259" s="344"/>
      <c r="M259" s="344"/>
    </row>
    <row r="260" spans="1:13" ht="16.5" thickBot="1">
      <c r="A260" s="22"/>
      <c r="B260" s="378"/>
      <c r="C260" s="380"/>
      <c r="D260" s="48"/>
      <c r="E260" s="48"/>
      <c r="F260" s="48">
        <v>16</v>
      </c>
      <c r="G260" s="49">
        <v>36</v>
      </c>
      <c r="H260" s="49">
        <f t="shared" si="12"/>
        <v>11.464968152866241</v>
      </c>
      <c r="I260" s="59">
        <f t="shared" si="10"/>
        <v>84.280664533466705</v>
      </c>
      <c r="J260" s="59">
        <f>I260*'Key Data'!$F$3</f>
        <v>21.070166133366676</v>
      </c>
      <c r="K260" s="59">
        <f t="shared" si="11"/>
        <v>105.35083066683339</v>
      </c>
      <c r="L260" s="344"/>
      <c r="M260" s="344"/>
    </row>
    <row r="261" spans="1:13">
      <c r="B261" s="50"/>
      <c r="C261" s="51"/>
      <c r="D261" s="50"/>
      <c r="E261" s="50"/>
      <c r="F261" s="50"/>
      <c r="G261" s="50"/>
      <c r="H261" s="52"/>
    </row>
  </sheetData>
  <autoFilter ref="H1:H261" xr:uid="{7739DA1F-27DA-4BA1-BAAD-19F52041212E}"/>
  <mergeCells count="56">
    <mergeCell ref="B4:B19"/>
    <mergeCell ref="C4:C19"/>
    <mergeCell ref="B20:B35"/>
    <mergeCell ref="C20:C35"/>
    <mergeCell ref="B36:B51"/>
    <mergeCell ref="C36:C51"/>
    <mergeCell ref="B52:B67"/>
    <mergeCell ref="C52:C67"/>
    <mergeCell ref="B68:B87"/>
    <mergeCell ref="C68:C87"/>
    <mergeCell ref="B88:B103"/>
    <mergeCell ref="C88:C103"/>
    <mergeCell ref="B104:B119"/>
    <mergeCell ref="C104:C119"/>
    <mergeCell ref="B120:B135"/>
    <mergeCell ref="C120:C135"/>
    <mergeCell ref="B136:B151"/>
    <mergeCell ref="C136:C151"/>
    <mergeCell ref="B209:B244"/>
    <mergeCell ref="C209:C244"/>
    <mergeCell ref="B245:B260"/>
    <mergeCell ref="C245:C260"/>
    <mergeCell ref="B152:B167"/>
    <mergeCell ref="C152:C167"/>
    <mergeCell ref="B168:B183"/>
    <mergeCell ref="C168:C183"/>
    <mergeCell ref="B184:B208"/>
    <mergeCell ref="C184:C208"/>
    <mergeCell ref="L4:L19"/>
    <mergeCell ref="L20:L35"/>
    <mergeCell ref="L36:L51"/>
    <mergeCell ref="L52:L67"/>
    <mergeCell ref="L68:L87"/>
    <mergeCell ref="L184:L208"/>
    <mergeCell ref="L245:L260"/>
    <mergeCell ref="L209:L244"/>
    <mergeCell ref="M4:M19"/>
    <mergeCell ref="M20:M35"/>
    <mergeCell ref="M36:M51"/>
    <mergeCell ref="M52:M67"/>
    <mergeCell ref="M68:M87"/>
    <mergeCell ref="M88:M103"/>
    <mergeCell ref="M104:M119"/>
    <mergeCell ref="L88:L103"/>
    <mergeCell ref="L104:L119"/>
    <mergeCell ref="L120:L135"/>
    <mergeCell ref="L136:L151"/>
    <mergeCell ref="L152:L167"/>
    <mergeCell ref="L168:L183"/>
    <mergeCell ref="M245:M260"/>
    <mergeCell ref="M120:M135"/>
    <mergeCell ref="M136:M151"/>
    <mergeCell ref="M152:M167"/>
    <mergeCell ref="M168:M183"/>
    <mergeCell ref="M184:M208"/>
    <mergeCell ref="M209:M24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71692-94E2-40B6-B680-671526F2F861}">
  <dimension ref="B1:M125"/>
  <sheetViews>
    <sheetView workbookViewId="0">
      <selection activeCell="N6" sqref="N6"/>
    </sheetView>
  </sheetViews>
  <sheetFormatPr defaultRowHeight="15"/>
  <cols>
    <col min="2" max="2" width="9.140625" style="69"/>
    <col min="3" max="3" width="18.5703125" style="70" bestFit="1" customWidth="1"/>
    <col min="4" max="4" width="13.42578125" style="69" customWidth="1"/>
    <col min="5" max="5" width="9.85546875" style="69" bestFit="1" customWidth="1"/>
    <col min="6" max="6" width="11.140625" style="69" customWidth="1"/>
    <col min="7" max="7" width="14.5703125" style="69" customWidth="1"/>
    <col min="8" max="8" width="14" style="69" customWidth="1"/>
    <col min="9" max="9" width="10.7109375" customWidth="1"/>
    <col min="10" max="10" width="11" customWidth="1"/>
    <col min="11" max="11" width="12.28515625" customWidth="1"/>
    <col min="12" max="12" width="12.28515625" style="56" customWidth="1"/>
    <col min="13" max="13" width="9.28515625" style="56" bestFit="1" customWidth="1"/>
  </cols>
  <sheetData>
    <row r="1" spans="2:13" ht="15.75">
      <c r="B1" s="53"/>
      <c r="C1" s="53"/>
      <c r="D1" s="53"/>
      <c r="E1" s="53"/>
      <c r="F1" s="53"/>
      <c r="G1" s="53"/>
      <c r="H1" s="53"/>
    </row>
    <row r="2" spans="2:13" ht="16.5" thickBot="1">
      <c r="B2" s="19"/>
      <c r="C2" s="19"/>
      <c r="D2" s="19"/>
      <c r="E2" s="19"/>
      <c r="F2" s="19"/>
      <c r="G2" s="19"/>
      <c r="H2" s="19"/>
    </row>
    <row r="3" spans="2:13" s="194" customFormat="1" ht="66">
      <c r="B3" s="272" t="s">
        <v>432</v>
      </c>
      <c r="C3" s="23" t="s">
        <v>433</v>
      </c>
      <c r="D3" s="23" t="s">
        <v>434</v>
      </c>
      <c r="E3" s="23" t="s">
        <v>435</v>
      </c>
      <c r="F3" s="23" t="s">
        <v>436</v>
      </c>
      <c r="G3" s="23" t="s">
        <v>437</v>
      </c>
      <c r="H3" s="273" t="s">
        <v>438</v>
      </c>
      <c r="I3" s="272" t="s">
        <v>439</v>
      </c>
      <c r="J3" s="272" t="s">
        <v>440</v>
      </c>
      <c r="K3" s="272" t="s">
        <v>441</v>
      </c>
      <c r="L3" s="272" t="s">
        <v>442</v>
      </c>
      <c r="M3" s="272" t="s">
        <v>443</v>
      </c>
    </row>
    <row r="4" spans="2:13">
      <c r="B4" s="413">
        <v>1</v>
      </c>
      <c r="C4" s="402" t="s">
        <v>465</v>
      </c>
      <c r="D4" s="65"/>
      <c r="E4" s="65"/>
      <c r="F4" s="65">
        <v>1</v>
      </c>
      <c r="G4" s="66">
        <v>8</v>
      </c>
      <c r="H4" s="66">
        <f>G4/3.14</f>
        <v>2.5477707006369426</v>
      </c>
      <c r="I4" s="71">
        <f>30.4*EXP(-5.07*EXP(-0.26*H4)+1.277)</f>
        <v>7.9832143438996388</v>
      </c>
      <c r="J4" s="71">
        <f>I4*'Key Data'!$F$3</f>
        <v>1.9958035859749097</v>
      </c>
      <c r="K4" s="71">
        <f>J4+I4</f>
        <v>9.9790179298745478</v>
      </c>
      <c r="L4" s="358">
        <f>SUM(K4:K19)/1000</f>
        <v>1.4868855539743289</v>
      </c>
      <c r="M4" s="358">
        <f>(L4/625)*10000</f>
        <v>23.790168863589262</v>
      </c>
    </row>
    <row r="5" spans="2:13">
      <c r="B5" s="413"/>
      <c r="C5" s="402"/>
      <c r="D5" s="65" t="s">
        <v>350</v>
      </c>
      <c r="E5" s="65"/>
      <c r="F5" s="65">
        <v>2</v>
      </c>
      <c r="G5" s="66">
        <v>7</v>
      </c>
      <c r="H5" s="66">
        <f t="shared" ref="H5:H70" si="0">G5/3.14</f>
        <v>2.2292993630573248</v>
      </c>
      <c r="I5" s="71">
        <f t="shared" ref="I5:I68" si="1">30.4*EXP(-5.07*EXP(-0.26*H5)+1.277)</f>
        <v>6.3704673544629662</v>
      </c>
      <c r="J5" s="71">
        <f>I5*'Key Data'!$F$3</f>
        <v>1.5926168386157415</v>
      </c>
      <c r="K5" s="71">
        <f t="shared" ref="K5:K68" si="2">J5+I5</f>
        <v>7.963084193078708</v>
      </c>
      <c r="L5" s="358"/>
      <c r="M5" s="358"/>
    </row>
    <row r="6" spans="2:13">
      <c r="B6" s="413"/>
      <c r="C6" s="402"/>
      <c r="D6" s="65">
        <v>13.289872000000001</v>
      </c>
      <c r="E6" s="65">
        <v>79.191990000000004</v>
      </c>
      <c r="F6" s="65">
        <v>3</v>
      </c>
      <c r="G6" s="66">
        <v>39.4</v>
      </c>
      <c r="H6" s="66">
        <f t="shared" si="0"/>
        <v>12.547770700636942</v>
      </c>
      <c r="I6" s="71">
        <f t="shared" si="1"/>
        <v>89.772970902234235</v>
      </c>
      <c r="J6" s="71">
        <f>I6*'Key Data'!$F$3</f>
        <v>22.443242725558559</v>
      </c>
      <c r="K6" s="71">
        <f t="shared" si="2"/>
        <v>112.2162136277928</v>
      </c>
      <c r="L6" s="358"/>
      <c r="M6" s="358"/>
    </row>
    <row r="7" spans="2:13">
      <c r="B7" s="413"/>
      <c r="C7" s="402"/>
      <c r="D7" s="65" t="s">
        <v>445</v>
      </c>
      <c r="E7" s="65"/>
      <c r="F7" s="65">
        <v>4</v>
      </c>
      <c r="G7" s="66">
        <v>48</v>
      </c>
      <c r="H7" s="66">
        <f t="shared" si="0"/>
        <v>15.286624203821656</v>
      </c>
      <c r="I7" s="71">
        <f t="shared" si="1"/>
        <v>99.105610669934464</v>
      </c>
      <c r="J7" s="71">
        <f>I7*'Key Data'!$F$3</f>
        <v>24.776402667483616</v>
      </c>
      <c r="K7" s="71">
        <f t="shared" si="2"/>
        <v>123.88201333741807</v>
      </c>
      <c r="L7" s="358"/>
      <c r="M7" s="358"/>
    </row>
    <row r="8" spans="2:13">
      <c r="B8" s="413"/>
      <c r="C8" s="402"/>
      <c r="D8" s="65">
        <v>13.289861999999999</v>
      </c>
      <c r="E8" s="65">
        <v>192207</v>
      </c>
      <c r="F8" s="65">
        <v>5</v>
      </c>
      <c r="G8" s="66">
        <v>41</v>
      </c>
      <c r="H8" s="66">
        <f t="shared" si="0"/>
        <v>13.057324840764331</v>
      </c>
      <c r="I8" s="71">
        <f t="shared" si="1"/>
        <v>91.962027852063727</v>
      </c>
      <c r="J8" s="71">
        <f>I8*'Key Data'!$F$3</f>
        <v>22.990506963015932</v>
      </c>
      <c r="K8" s="71">
        <f t="shared" si="2"/>
        <v>114.95253481507966</v>
      </c>
      <c r="L8" s="358"/>
      <c r="M8" s="358"/>
    </row>
    <row r="9" spans="2:13">
      <c r="B9" s="413"/>
      <c r="C9" s="402"/>
      <c r="D9" s="65" t="s">
        <v>446</v>
      </c>
      <c r="E9" s="65"/>
      <c r="F9" s="65">
        <v>6</v>
      </c>
      <c r="G9" s="66">
        <v>41.5</v>
      </c>
      <c r="H9" s="66">
        <f t="shared" si="0"/>
        <v>13.216560509554139</v>
      </c>
      <c r="I9" s="71">
        <f t="shared" si="1"/>
        <v>92.598502849227714</v>
      </c>
      <c r="J9" s="71">
        <f>I9*'Key Data'!$F$3</f>
        <v>23.149625712306928</v>
      </c>
      <c r="K9" s="71">
        <f t="shared" si="2"/>
        <v>115.74812856153464</v>
      </c>
      <c r="L9" s="358"/>
      <c r="M9" s="358"/>
    </row>
    <row r="10" spans="2:13">
      <c r="B10" s="413"/>
      <c r="C10" s="402"/>
      <c r="D10" s="65">
        <v>13.290056999999999</v>
      </c>
      <c r="E10" s="65">
        <v>79.192234999999997</v>
      </c>
      <c r="F10" s="65">
        <v>7</v>
      </c>
      <c r="G10" s="66">
        <v>44.5</v>
      </c>
      <c r="H10" s="66">
        <f t="shared" si="0"/>
        <v>14.171974522292993</v>
      </c>
      <c r="I10" s="71">
        <f t="shared" si="1"/>
        <v>95.982267081716614</v>
      </c>
      <c r="J10" s="71">
        <f>I10*'Key Data'!$F$3</f>
        <v>23.995566770429154</v>
      </c>
      <c r="K10" s="71">
        <f t="shared" si="2"/>
        <v>119.97783385214576</v>
      </c>
      <c r="L10" s="358"/>
      <c r="M10" s="358"/>
    </row>
    <row r="11" spans="2:13">
      <c r="B11" s="413"/>
      <c r="C11" s="402"/>
      <c r="D11" s="65" t="s">
        <v>447</v>
      </c>
      <c r="E11" s="65"/>
      <c r="F11" s="65">
        <v>8</v>
      </c>
      <c r="G11" s="66">
        <v>37</v>
      </c>
      <c r="H11" s="66">
        <f t="shared" si="0"/>
        <v>11.783439490445859</v>
      </c>
      <c r="I11" s="71">
        <f t="shared" si="1"/>
        <v>86.021612861952391</v>
      </c>
      <c r="J11" s="71">
        <f>I11*'Key Data'!$F$3</f>
        <v>21.505403215488098</v>
      </c>
      <c r="K11" s="71">
        <f t="shared" si="2"/>
        <v>107.52701607744049</v>
      </c>
      <c r="L11" s="358"/>
      <c r="M11" s="358"/>
    </row>
    <row r="12" spans="2:13">
      <c r="B12" s="413"/>
      <c r="C12" s="402"/>
      <c r="D12" s="65">
        <v>13.290056999999999</v>
      </c>
      <c r="E12" s="65">
        <v>79.192234999999997</v>
      </c>
      <c r="F12" s="65">
        <v>9</v>
      </c>
      <c r="G12" s="66">
        <v>42</v>
      </c>
      <c r="H12" s="66">
        <f t="shared" si="0"/>
        <v>13.375796178343949</v>
      </c>
      <c r="I12" s="71">
        <f t="shared" si="1"/>
        <v>93.213305341133093</v>
      </c>
      <c r="J12" s="71">
        <f>I12*'Key Data'!$F$3</f>
        <v>23.303326335283273</v>
      </c>
      <c r="K12" s="71">
        <f t="shared" si="2"/>
        <v>116.51663167641637</v>
      </c>
      <c r="L12" s="358"/>
      <c r="M12" s="358"/>
    </row>
    <row r="13" spans="2:13">
      <c r="B13" s="413"/>
      <c r="C13" s="402"/>
      <c r="D13" s="65" t="s">
        <v>448</v>
      </c>
      <c r="E13" s="65"/>
      <c r="F13" s="65">
        <v>10</v>
      </c>
      <c r="G13" s="66">
        <v>33</v>
      </c>
      <c r="H13" s="66">
        <f t="shared" si="0"/>
        <v>10.509554140127388</v>
      </c>
      <c r="I13" s="71">
        <f t="shared" si="1"/>
        <v>78.382538522569561</v>
      </c>
      <c r="J13" s="71">
        <f>I13*'Key Data'!$F$3</f>
        <v>19.59563463064239</v>
      </c>
      <c r="K13" s="71">
        <f t="shared" si="2"/>
        <v>97.978173153211955</v>
      </c>
      <c r="L13" s="358"/>
      <c r="M13" s="358"/>
    </row>
    <row r="14" spans="2:13">
      <c r="B14" s="413"/>
      <c r="C14" s="402"/>
      <c r="D14" s="65">
        <v>13.28997</v>
      </c>
      <c r="E14" s="65">
        <v>79.192070000000001</v>
      </c>
      <c r="F14" s="65">
        <v>11</v>
      </c>
      <c r="G14" s="66">
        <v>45.6</v>
      </c>
      <c r="H14" s="66">
        <f t="shared" si="0"/>
        <v>14.522292993630574</v>
      </c>
      <c r="I14" s="71">
        <f t="shared" si="1"/>
        <v>97.051727583905304</v>
      </c>
      <c r="J14" s="71">
        <f>I14*'Key Data'!$F$3</f>
        <v>24.262931895976326</v>
      </c>
      <c r="K14" s="71">
        <f t="shared" si="2"/>
        <v>121.31465947988163</v>
      </c>
      <c r="L14" s="358"/>
      <c r="M14" s="358"/>
    </row>
    <row r="15" spans="2:13">
      <c r="B15" s="413"/>
      <c r="C15" s="402"/>
      <c r="D15" s="65"/>
      <c r="E15" s="65"/>
      <c r="F15" s="65">
        <v>12</v>
      </c>
      <c r="G15" s="66">
        <v>13</v>
      </c>
      <c r="H15" s="66">
        <f t="shared" si="0"/>
        <v>4.1401273885350314</v>
      </c>
      <c r="I15" s="71">
        <f t="shared" si="1"/>
        <v>19.366428092893496</v>
      </c>
      <c r="J15" s="71">
        <f>I15*'Key Data'!$F$3</f>
        <v>4.8416070232233741</v>
      </c>
      <c r="K15" s="71">
        <f t="shared" si="2"/>
        <v>24.208035116116871</v>
      </c>
      <c r="L15" s="358"/>
      <c r="M15" s="358"/>
    </row>
    <row r="16" spans="2:13">
      <c r="B16" s="413"/>
      <c r="C16" s="402"/>
      <c r="D16" s="65"/>
      <c r="E16" s="65"/>
      <c r="F16" s="65">
        <v>13</v>
      </c>
      <c r="G16" s="66">
        <v>42.5</v>
      </c>
      <c r="H16" s="66">
        <f t="shared" si="0"/>
        <v>13.535031847133757</v>
      </c>
      <c r="I16" s="71">
        <f t="shared" si="1"/>
        <v>93.807010574210494</v>
      </c>
      <c r="J16" s="71">
        <f>I16*'Key Data'!$F$3</f>
        <v>23.451752643552624</v>
      </c>
      <c r="K16" s="71">
        <f t="shared" si="2"/>
        <v>117.25876321776312</v>
      </c>
      <c r="L16" s="358"/>
      <c r="M16" s="358"/>
    </row>
    <row r="17" spans="2:13">
      <c r="B17" s="413"/>
      <c r="C17" s="402"/>
      <c r="D17" s="65"/>
      <c r="E17" s="65"/>
      <c r="F17" s="65">
        <v>14</v>
      </c>
      <c r="G17" s="66">
        <v>33</v>
      </c>
      <c r="H17" s="66">
        <f t="shared" si="0"/>
        <v>10.509554140127388</v>
      </c>
      <c r="I17" s="71">
        <f t="shared" si="1"/>
        <v>78.382538522569561</v>
      </c>
      <c r="J17" s="71">
        <f>I17*'Key Data'!$F$3</f>
        <v>19.59563463064239</v>
      </c>
      <c r="K17" s="71">
        <f t="shared" si="2"/>
        <v>97.978173153211955</v>
      </c>
      <c r="L17" s="358"/>
      <c r="M17" s="358"/>
    </row>
    <row r="18" spans="2:13">
      <c r="B18" s="413"/>
      <c r="C18" s="402"/>
      <c r="D18" s="65"/>
      <c r="E18" s="65"/>
      <c r="F18" s="65">
        <v>15</v>
      </c>
      <c r="G18" s="66">
        <v>37.5</v>
      </c>
      <c r="H18" s="66">
        <f t="shared" si="0"/>
        <v>11.942675159235668</v>
      </c>
      <c r="I18" s="71">
        <f t="shared" si="1"/>
        <v>86.851868889739876</v>
      </c>
      <c r="J18" s="71">
        <f>I18*'Key Data'!$F$3</f>
        <v>21.712967222434969</v>
      </c>
      <c r="K18" s="71">
        <f t="shared" si="2"/>
        <v>108.56483611217485</v>
      </c>
      <c r="L18" s="358"/>
      <c r="M18" s="358"/>
    </row>
    <row r="19" spans="2:13">
      <c r="B19" s="413"/>
      <c r="C19" s="402"/>
      <c r="D19" s="65"/>
      <c r="E19" s="65"/>
      <c r="F19" s="65">
        <v>16</v>
      </c>
      <c r="G19" s="66">
        <v>30.5</v>
      </c>
      <c r="H19" s="66">
        <f t="shared" si="0"/>
        <v>9.7133757961783438</v>
      </c>
      <c r="I19" s="71">
        <f t="shared" si="1"/>
        <v>72.65635173694983</v>
      </c>
      <c r="J19" s="71">
        <f>I19*'Key Data'!$F$3</f>
        <v>18.164087934237457</v>
      </c>
      <c r="K19" s="71">
        <f t="shared" si="2"/>
        <v>90.820439671187287</v>
      </c>
      <c r="L19" s="358"/>
      <c r="M19" s="358"/>
    </row>
    <row r="20" spans="2:13">
      <c r="B20" s="414">
        <v>2</v>
      </c>
      <c r="C20" s="403" t="s">
        <v>466</v>
      </c>
      <c r="D20" s="72" t="s">
        <v>350</v>
      </c>
      <c r="E20" s="72"/>
      <c r="F20" s="72">
        <v>1</v>
      </c>
      <c r="G20" s="73">
        <v>85</v>
      </c>
      <c r="H20" s="73">
        <f t="shared" si="0"/>
        <v>27.070063694267514</v>
      </c>
      <c r="I20" s="74">
        <f t="shared" si="1"/>
        <v>108.52631929409506</v>
      </c>
      <c r="J20" s="74">
        <f>I20*'Key Data'!$F$3</f>
        <v>27.131579823523765</v>
      </c>
      <c r="K20" s="74">
        <f t="shared" si="2"/>
        <v>135.65789911761883</v>
      </c>
      <c r="L20" s="352">
        <f>SUM(K20:K35)/1000</f>
        <v>1.9527435333059182</v>
      </c>
      <c r="M20" s="352">
        <f>(L20/625)*10000</f>
        <v>31.243896532894688</v>
      </c>
    </row>
    <row r="21" spans="2:13">
      <c r="B21" s="414"/>
      <c r="C21" s="403"/>
      <c r="D21" s="76">
        <v>13.308655</v>
      </c>
      <c r="E21" s="76">
        <v>79.192705000000004</v>
      </c>
      <c r="F21" s="72">
        <v>2</v>
      </c>
      <c r="G21" s="73">
        <v>75</v>
      </c>
      <c r="H21" s="73">
        <f t="shared" si="0"/>
        <v>23.885350318471335</v>
      </c>
      <c r="I21" s="74">
        <f t="shared" si="1"/>
        <v>107.9057025090199</v>
      </c>
      <c r="J21" s="74">
        <f>I21*'Key Data'!$F$3</f>
        <v>26.976425627254976</v>
      </c>
      <c r="K21" s="74">
        <f t="shared" si="2"/>
        <v>134.88212813627487</v>
      </c>
      <c r="L21" s="352"/>
      <c r="M21" s="352"/>
    </row>
    <row r="22" spans="2:13">
      <c r="B22" s="414"/>
      <c r="C22" s="403"/>
      <c r="D22" s="72" t="s">
        <v>445</v>
      </c>
      <c r="E22" s="72"/>
      <c r="F22" s="72">
        <v>3</v>
      </c>
      <c r="G22" s="73">
        <v>59</v>
      </c>
      <c r="H22" s="73">
        <f t="shared" si="0"/>
        <v>18.789808917197451</v>
      </c>
      <c r="I22" s="74">
        <f t="shared" si="1"/>
        <v>104.91298312828849</v>
      </c>
      <c r="J22" s="74">
        <f>I22*'Key Data'!$F$3</f>
        <v>26.228245782072122</v>
      </c>
      <c r="K22" s="74">
        <f t="shared" si="2"/>
        <v>131.14122891036061</v>
      </c>
      <c r="L22" s="352"/>
      <c r="M22" s="352"/>
    </row>
    <row r="23" spans="2:13">
      <c r="B23" s="414"/>
      <c r="C23" s="403"/>
      <c r="D23" s="76">
        <v>13.308487</v>
      </c>
      <c r="E23" s="76">
        <v>79.192712</v>
      </c>
      <c r="F23" s="72">
        <v>4</v>
      </c>
      <c r="G23" s="73">
        <v>42</v>
      </c>
      <c r="H23" s="73">
        <f t="shared" si="0"/>
        <v>13.375796178343949</v>
      </c>
      <c r="I23" s="74">
        <f t="shared" si="1"/>
        <v>93.213305341133093</v>
      </c>
      <c r="J23" s="74">
        <f>I23*'Key Data'!$F$3</f>
        <v>23.303326335283273</v>
      </c>
      <c r="K23" s="74">
        <f t="shared" si="2"/>
        <v>116.51663167641637</v>
      </c>
      <c r="L23" s="352"/>
      <c r="M23" s="352"/>
    </row>
    <row r="24" spans="2:13">
      <c r="B24" s="414"/>
      <c r="C24" s="403"/>
      <c r="D24" s="72" t="s">
        <v>446</v>
      </c>
      <c r="E24" s="72"/>
      <c r="F24" s="72">
        <v>5</v>
      </c>
      <c r="G24" s="73">
        <v>78</v>
      </c>
      <c r="H24" s="73">
        <f t="shared" si="0"/>
        <v>24.840764331210192</v>
      </c>
      <c r="I24" s="74">
        <f t="shared" si="1"/>
        <v>108.14770907658836</v>
      </c>
      <c r="J24" s="74">
        <f>I24*'Key Data'!$F$3</f>
        <v>27.036927269147089</v>
      </c>
      <c r="K24" s="74">
        <f t="shared" si="2"/>
        <v>135.18463634573544</v>
      </c>
      <c r="L24" s="352"/>
      <c r="M24" s="352"/>
    </row>
    <row r="25" spans="2:13">
      <c r="B25" s="414"/>
      <c r="C25" s="403"/>
      <c r="D25" s="76">
        <v>13.308482</v>
      </c>
      <c r="E25" s="76">
        <v>79.192927999999995</v>
      </c>
      <c r="F25" s="72">
        <v>6</v>
      </c>
      <c r="G25" s="73">
        <v>90</v>
      </c>
      <c r="H25" s="73">
        <f t="shared" si="0"/>
        <v>28.662420382165603</v>
      </c>
      <c r="I25" s="74">
        <f t="shared" si="1"/>
        <v>108.69015980866276</v>
      </c>
      <c r="J25" s="74">
        <f>I25*'Key Data'!$F$3</f>
        <v>27.172539952165689</v>
      </c>
      <c r="K25" s="74">
        <f t="shared" si="2"/>
        <v>135.86269976082843</v>
      </c>
      <c r="L25" s="352"/>
      <c r="M25" s="352"/>
    </row>
    <row r="26" spans="2:13">
      <c r="B26" s="414"/>
      <c r="C26" s="403"/>
      <c r="D26" s="72" t="s">
        <v>447</v>
      </c>
      <c r="E26" s="72"/>
      <c r="F26" s="72">
        <v>7</v>
      </c>
      <c r="G26" s="73">
        <v>130</v>
      </c>
      <c r="H26" s="73">
        <f t="shared" si="0"/>
        <v>41.401273885350314</v>
      </c>
      <c r="I26" s="74">
        <f t="shared" si="1"/>
        <v>108.99864241972136</v>
      </c>
      <c r="J26" s="74">
        <f>I26*'Key Data'!$F$3</f>
        <v>27.249660604930341</v>
      </c>
      <c r="K26" s="74">
        <f t="shared" si="2"/>
        <v>136.2483030246517</v>
      </c>
      <c r="L26" s="352"/>
      <c r="M26" s="352"/>
    </row>
    <row r="27" spans="2:13">
      <c r="B27" s="414"/>
      <c r="C27" s="403"/>
      <c r="D27" s="76">
        <v>13.308662</v>
      </c>
      <c r="E27" s="76">
        <v>79.192908000000003</v>
      </c>
      <c r="F27" s="72">
        <v>8</v>
      </c>
      <c r="G27" s="73">
        <v>57</v>
      </c>
      <c r="H27" s="73">
        <f t="shared" si="0"/>
        <v>18.152866242038215</v>
      </c>
      <c r="I27" s="74">
        <f t="shared" si="1"/>
        <v>104.19156081625478</v>
      </c>
      <c r="J27" s="74">
        <f>I27*'Key Data'!$F$3</f>
        <v>26.047890204063695</v>
      </c>
      <c r="K27" s="74">
        <f t="shared" si="2"/>
        <v>130.23945102031848</v>
      </c>
      <c r="L27" s="352"/>
      <c r="M27" s="352"/>
    </row>
    <row r="28" spans="2:13">
      <c r="B28" s="414"/>
      <c r="C28" s="403"/>
      <c r="D28" s="72" t="s">
        <v>448</v>
      </c>
      <c r="E28" s="72"/>
      <c r="F28" s="72">
        <v>9</v>
      </c>
      <c r="G28" s="73">
        <v>18</v>
      </c>
      <c r="H28" s="73">
        <f t="shared" si="0"/>
        <v>5.7324840764331206</v>
      </c>
      <c r="I28" s="74">
        <f t="shared" si="1"/>
        <v>34.789394629629783</v>
      </c>
      <c r="J28" s="74">
        <f>I28*'Key Data'!$F$3</f>
        <v>8.6973486574074457</v>
      </c>
      <c r="K28" s="74">
        <f t="shared" si="2"/>
        <v>43.486743287037228</v>
      </c>
      <c r="L28" s="352"/>
      <c r="M28" s="352"/>
    </row>
    <row r="29" spans="2:13">
      <c r="B29" s="414"/>
      <c r="C29" s="403"/>
      <c r="D29" s="76">
        <v>13.308567999999999</v>
      </c>
      <c r="E29" s="76">
        <v>79.791927000000001</v>
      </c>
      <c r="F29" s="72">
        <v>10</v>
      </c>
      <c r="G29" s="73">
        <v>64</v>
      </c>
      <c r="H29" s="73">
        <f t="shared" si="0"/>
        <v>20.38216560509554</v>
      </c>
      <c r="I29" s="74">
        <f t="shared" si="1"/>
        <v>106.28446193284658</v>
      </c>
      <c r="J29" s="74">
        <f>I29*'Key Data'!$F$3</f>
        <v>26.571115483211646</v>
      </c>
      <c r="K29" s="74">
        <f t="shared" si="2"/>
        <v>132.85557741605822</v>
      </c>
      <c r="L29" s="352"/>
      <c r="M29" s="352"/>
    </row>
    <row r="30" spans="2:13">
      <c r="B30" s="414"/>
      <c r="C30" s="403"/>
      <c r="D30" s="72"/>
      <c r="E30" s="72"/>
      <c r="F30" s="72">
        <v>11</v>
      </c>
      <c r="G30" s="73">
        <v>51.5</v>
      </c>
      <c r="H30" s="73">
        <f t="shared" si="0"/>
        <v>16.401273885350317</v>
      </c>
      <c r="I30" s="74">
        <f t="shared" si="1"/>
        <v>101.50945831821122</v>
      </c>
      <c r="J30" s="74">
        <f>I30*'Key Data'!$F$3</f>
        <v>25.377364579552804</v>
      </c>
      <c r="K30" s="74">
        <f t="shared" si="2"/>
        <v>126.88682289776402</v>
      </c>
      <c r="L30" s="352"/>
      <c r="M30" s="352"/>
    </row>
    <row r="31" spans="2:13">
      <c r="B31" s="414"/>
      <c r="C31" s="403"/>
      <c r="D31" s="72"/>
      <c r="E31" s="72"/>
      <c r="F31" s="72">
        <v>12</v>
      </c>
      <c r="G31" s="73">
        <v>140</v>
      </c>
      <c r="H31" s="73">
        <f t="shared" si="0"/>
        <v>44.585987261146492</v>
      </c>
      <c r="I31" s="74">
        <f t="shared" si="1"/>
        <v>109.00522095872522</v>
      </c>
      <c r="J31" s="74">
        <f>I31*'Key Data'!$F$3</f>
        <v>27.251305239681304</v>
      </c>
      <c r="K31" s="74">
        <f t="shared" si="2"/>
        <v>136.25652619840653</v>
      </c>
      <c r="L31" s="352"/>
      <c r="M31" s="352"/>
    </row>
    <row r="32" spans="2:13">
      <c r="B32" s="414"/>
      <c r="C32" s="403"/>
      <c r="D32" s="72"/>
      <c r="E32" s="72"/>
      <c r="F32" s="72">
        <v>13</v>
      </c>
      <c r="G32" s="73">
        <v>83</v>
      </c>
      <c r="H32" s="73">
        <f t="shared" si="0"/>
        <v>26.433121019108277</v>
      </c>
      <c r="I32" s="74">
        <f t="shared" si="1"/>
        <v>108.43937502901721</v>
      </c>
      <c r="J32" s="74">
        <f>I32*'Key Data'!$F$3</f>
        <v>27.109843757254303</v>
      </c>
      <c r="K32" s="74">
        <f t="shared" si="2"/>
        <v>135.54921878627152</v>
      </c>
      <c r="L32" s="352"/>
      <c r="M32" s="352"/>
    </row>
    <row r="33" spans="2:13">
      <c r="B33" s="414"/>
      <c r="C33" s="403"/>
      <c r="D33" s="72"/>
      <c r="E33" s="72"/>
      <c r="F33" s="72">
        <v>14</v>
      </c>
      <c r="G33" s="73">
        <v>98</v>
      </c>
      <c r="H33" s="73">
        <f t="shared" si="0"/>
        <v>31.210191082802545</v>
      </c>
      <c r="I33" s="74">
        <f t="shared" si="1"/>
        <v>108.84512994196618</v>
      </c>
      <c r="J33" s="74">
        <f>I33*'Key Data'!$F$3</f>
        <v>27.211282485491544</v>
      </c>
      <c r="K33" s="74">
        <f t="shared" si="2"/>
        <v>136.05641242745773</v>
      </c>
      <c r="L33" s="352"/>
      <c r="M33" s="352"/>
    </row>
    <row r="34" spans="2:13">
      <c r="B34" s="414"/>
      <c r="C34" s="403"/>
      <c r="D34" s="72"/>
      <c r="E34" s="72"/>
      <c r="F34" s="72">
        <v>15</v>
      </c>
      <c r="G34" s="73">
        <v>19.5</v>
      </c>
      <c r="H34" s="73">
        <f t="shared" si="0"/>
        <v>6.2101910828025479</v>
      </c>
      <c r="I34" s="74">
        <f t="shared" si="1"/>
        <v>39.754124421972548</v>
      </c>
      <c r="J34" s="74">
        <f>I34*'Key Data'!$F$3</f>
        <v>9.9385311054931371</v>
      </c>
      <c r="K34" s="74">
        <f t="shared" si="2"/>
        <v>49.692655527465689</v>
      </c>
      <c r="L34" s="352"/>
      <c r="M34" s="352"/>
    </row>
    <row r="35" spans="2:13">
      <c r="B35" s="414"/>
      <c r="C35" s="403"/>
      <c r="D35" s="72"/>
      <c r="E35" s="72"/>
      <c r="F35" s="72">
        <v>16</v>
      </c>
      <c r="G35" s="73">
        <v>119</v>
      </c>
      <c r="H35" s="73">
        <f t="shared" si="0"/>
        <v>37.898089171974519</v>
      </c>
      <c r="I35" s="74">
        <f t="shared" si="1"/>
        <v>108.98127901860228</v>
      </c>
      <c r="J35" s="74">
        <f>I35*'Key Data'!$F$3</f>
        <v>27.24531975465057</v>
      </c>
      <c r="K35" s="74">
        <f t="shared" si="2"/>
        <v>136.22659877325285</v>
      </c>
      <c r="L35" s="352"/>
      <c r="M35" s="352"/>
    </row>
    <row r="36" spans="2:13">
      <c r="B36" s="415">
        <v>3</v>
      </c>
      <c r="C36" s="404" t="s">
        <v>467</v>
      </c>
      <c r="D36" s="77" t="s">
        <v>350</v>
      </c>
      <c r="E36" s="77"/>
      <c r="F36" s="77">
        <v>1</v>
      </c>
      <c r="G36" s="78">
        <v>88.5</v>
      </c>
      <c r="H36" s="78">
        <f t="shared" si="0"/>
        <v>28.184713375796179</v>
      </c>
      <c r="I36" s="79">
        <f t="shared" si="1"/>
        <v>108.64788941874602</v>
      </c>
      <c r="J36" s="79">
        <f>I36*'Key Data'!$F$3</f>
        <v>27.161972354686505</v>
      </c>
      <c r="K36" s="79">
        <f t="shared" si="2"/>
        <v>135.80986177343252</v>
      </c>
      <c r="L36" s="348">
        <f>SUM(K36:K51)/1000</f>
        <v>2.0769243169927907</v>
      </c>
      <c r="M36" s="348">
        <f>(L36/625)*10000</f>
        <v>33.230789071884651</v>
      </c>
    </row>
    <row r="37" spans="2:13">
      <c r="B37" s="415"/>
      <c r="C37" s="404"/>
      <c r="D37" s="77">
        <v>13.299312</v>
      </c>
      <c r="E37" s="77">
        <v>79.178415000000001</v>
      </c>
      <c r="F37" s="77">
        <v>2</v>
      </c>
      <c r="G37" s="78">
        <v>33.270000000000003</v>
      </c>
      <c r="H37" s="78">
        <f t="shared" si="0"/>
        <v>10.595541401273886</v>
      </c>
      <c r="I37" s="79">
        <f t="shared" si="1"/>
        <v>78.956219985953794</v>
      </c>
      <c r="J37" s="79">
        <f>I37*'Key Data'!$F$3</f>
        <v>19.739054996488449</v>
      </c>
      <c r="K37" s="79">
        <f t="shared" si="2"/>
        <v>98.695274982442243</v>
      </c>
      <c r="L37" s="348"/>
      <c r="M37" s="348"/>
    </row>
    <row r="38" spans="2:13">
      <c r="B38" s="415"/>
      <c r="C38" s="404"/>
      <c r="D38" s="77" t="s">
        <v>445</v>
      </c>
      <c r="E38" s="77"/>
      <c r="F38" s="77">
        <v>3</v>
      </c>
      <c r="G38" s="78">
        <v>41.97</v>
      </c>
      <c r="H38" s="78">
        <f t="shared" si="0"/>
        <v>13.36624203821656</v>
      </c>
      <c r="I38" s="79">
        <f t="shared" si="1"/>
        <v>93.177017859112368</v>
      </c>
      <c r="J38" s="79">
        <f>I38*'Key Data'!$F$3</f>
        <v>23.294254464778092</v>
      </c>
      <c r="K38" s="79">
        <f t="shared" si="2"/>
        <v>116.47127232389046</v>
      </c>
      <c r="L38" s="348"/>
      <c r="M38" s="348"/>
    </row>
    <row r="39" spans="2:13">
      <c r="B39" s="415"/>
      <c r="C39" s="404"/>
      <c r="D39" s="77">
        <v>13.299322</v>
      </c>
      <c r="E39" s="77">
        <v>79.178668000000002</v>
      </c>
      <c r="F39" s="77">
        <v>4</v>
      </c>
      <c r="G39" s="78">
        <v>88.6</v>
      </c>
      <c r="H39" s="78">
        <f t="shared" si="0"/>
        <v>28.216560509554139</v>
      </c>
      <c r="I39" s="79">
        <f t="shared" si="1"/>
        <v>108.65087315955849</v>
      </c>
      <c r="J39" s="79">
        <f>I39*'Key Data'!$F$3</f>
        <v>27.162718289889622</v>
      </c>
      <c r="K39" s="79">
        <f t="shared" si="2"/>
        <v>135.8135914494481</v>
      </c>
      <c r="L39" s="348"/>
      <c r="M39" s="348"/>
    </row>
    <row r="40" spans="2:13">
      <c r="B40" s="415"/>
      <c r="C40" s="404"/>
      <c r="D40" s="77" t="s">
        <v>446</v>
      </c>
      <c r="E40" s="77"/>
      <c r="F40" s="77">
        <v>5</v>
      </c>
      <c r="G40" s="78">
        <v>53.5</v>
      </c>
      <c r="H40" s="78">
        <f t="shared" si="0"/>
        <v>17.038216560509554</v>
      </c>
      <c r="I40" s="79">
        <f t="shared" si="1"/>
        <v>102.61994382473823</v>
      </c>
      <c r="J40" s="79">
        <f>I40*'Key Data'!$F$3</f>
        <v>25.654985956184557</v>
      </c>
      <c r="K40" s="79">
        <f t="shared" si="2"/>
        <v>128.27492978092278</v>
      </c>
      <c r="L40" s="348"/>
      <c r="M40" s="348"/>
    </row>
    <row r="41" spans="2:13">
      <c r="B41" s="415"/>
      <c r="C41" s="404"/>
      <c r="D41" s="77">
        <v>13.299408</v>
      </c>
      <c r="E41" s="77">
        <v>79.178692999999996</v>
      </c>
      <c r="F41" s="77">
        <v>6</v>
      </c>
      <c r="G41" s="78">
        <v>55.5</v>
      </c>
      <c r="H41" s="78">
        <f t="shared" si="0"/>
        <v>17.67515923566879</v>
      </c>
      <c r="I41" s="79">
        <f t="shared" si="1"/>
        <v>103.57045141886734</v>
      </c>
      <c r="J41" s="79">
        <f>I41*'Key Data'!$F$3</f>
        <v>25.892612854716834</v>
      </c>
      <c r="K41" s="79">
        <f t="shared" si="2"/>
        <v>129.46306427358417</v>
      </c>
      <c r="L41" s="348"/>
      <c r="M41" s="348"/>
    </row>
    <row r="42" spans="2:13">
      <c r="B42" s="415"/>
      <c r="C42" s="404"/>
      <c r="D42" s="77" t="s">
        <v>447</v>
      </c>
      <c r="E42" s="77"/>
      <c r="F42" s="77">
        <v>7</v>
      </c>
      <c r="G42" s="78">
        <v>87.4</v>
      </c>
      <c r="H42" s="78">
        <f t="shared" si="0"/>
        <v>27.834394904458598</v>
      </c>
      <c r="I42" s="79">
        <f t="shared" si="1"/>
        <v>108.61339060657065</v>
      </c>
      <c r="J42" s="79">
        <f>I42*'Key Data'!$F$3</f>
        <v>27.153347651642662</v>
      </c>
      <c r="K42" s="79">
        <f t="shared" si="2"/>
        <v>135.76673825821331</v>
      </c>
      <c r="L42" s="348"/>
      <c r="M42" s="348"/>
    </row>
    <row r="43" spans="2:13">
      <c r="B43" s="415"/>
      <c r="C43" s="404"/>
      <c r="D43" s="77">
        <v>13.299412</v>
      </c>
      <c r="E43" s="77">
        <v>79.178538000000003</v>
      </c>
      <c r="F43" s="77">
        <v>8</v>
      </c>
      <c r="G43" s="78">
        <v>99.6</v>
      </c>
      <c r="H43" s="78">
        <f t="shared" si="0"/>
        <v>31.719745222929934</v>
      </c>
      <c r="I43" s="79">
        <f t="shared" si="1"/>
        <v>108.86561432766986</v>
      </c>
      <c r="J43" s="79">
        <f>I43*'Key Data'!$F$3</f>
        <v>27.216403581917465</v>
      </c>
      <c r="K43" s="79">
        <f t="shared" si="2"/>
        <v>136.08201790958734</v>
      </c>
      <c r="L43" s="348"/>
      <c r="M43" s="348"/>
    </row>
    <row r="44" spans="2:13">
      <c r="B44" s="415"/>
      <c r="C44" s="404"/>
      <c r="D44" s="77"/>
      <c r="E44" s="77"/>
      <c r="F44" s="77">
        <v>9</v>
      </c>
      <c r="G44" s="78">
        <v>133</v>
      </c>
      <c r="H44" s="78">
        <f t="shared" si="0"/>
        <v>42.35668789808917</v>
      </c>
      <c r="I44" s="79">
        <f t="shared" si="1"/>
        <v>109.00121213189492</v>
      </c>
      <c r="J44" s="79">
        <f>I44*'Key Data'!$F$3</f>
        <v>27.250303032973729</v>
      </c>
      <c r="K44" s="79">
        <f t="shared" si="2"/>
        <v>136.25151516486864</v>
      </c>
      <c r="L44" s="348"/>
      <c r="M44" s="348"/>
    </row>
    <row r="45" spans="2:13">
      <c r="B45" s="415"/>
      <c r="C45" s="404"/>
      <c r="D45" s="77"/>
      <c r="E45" s="77"/>
      <c r="F45" s="77">
        <v>10</v>
      </c>
      <c r="G45" s="78">
        <v>112</v>
      </c>
      <c r="H45" s="78">
        <f t="shared" si="0"/>
        <v>35.668789808917197</v>
      </c>
      <c r="I45" s="79">
        <f t="shared" si="1"/>
        <v>108.95847250406148</v>
      </c>
      <c r="J45" s="79">
        <f>I45*'Key Data'!$F$3</f>
        <v>27.239618126015369</v>
      </c>
      <c r="K45" s="79">
        <f t="shared" si="2"/>
        <v>136.19809063007685</v>
      </c>
      <c r="L45" s="348"/>
      <c r="M45" s="348"/>
    </row>
    <row r="46" spans="2:13">
      <c r="B46" s="415"/>
      <c r="C46" s="404"/>
      <c r="D46" s="77"/>
      <c r="E46" s="77"/>
      <c r="F46" s="77">
        <v>11</v>
      </c>
      <c r="G46" s="78">
        <v>65</v>
      </c>
      <c r="H46" s="78">
        <f t="shared" si="0"/>
        <v>20.700636942675157</v>
      </c>
      <c r="I46" s="79">
        <f t="shared" si="1"/>
        <v>106.49856262815956</v>
      </c>
      <c r="J46" s="79">
        <f>I46*'Key Data'!$F$3</f>
        <v>26.62464065703989</v>
      </c>
      <c r="K46" s="79">
        <f t="shared" si="2"/>
        <v>133.12320328519945</v>
      </c>
      <c r="L46" s="348"/>
      <c r="M46" s="348"/>
    </row>
    <row r="47" spans="2:13">
      <c r="B47" s="415"/>
      <c r="C47" s="404"/>
      <c r="D47" s="77"/>
      <c r="E47" s="77"/>
      <c r="F47" s="77">
        <v>12</v>
      </c>
      <c r="G47" s="78">
        <v>68</v>
      </c>
      <c r="H47" s="78">
        <f t="shared" si="0"/>
        <v>21.656050955414013</v>
      </c>
      <c r="I47" s="79">
        <f t="shared" si="1"/>
        <v>107.04603314345468</v>
      </c>
      <c r="J47" s="79">
        <f>I47*'Key Data'!$F$3</f>
        <v>26.76150828586367</v>
      </c>
      <c r="K47" s="79">
        <f t="shared" si="2"/>
        <v>133.80754142931835</v>
      </c>
      <c r="L47" s="348"/>
      <c r="M47" s="348"/>
    </row>
    <row r="48" spans="2:13">
      <c r="B48" s="415"/>
      <c r="C48" s="404"/>
      <c r="D48" s="77"/>
      <c r="E48" s="77"/>
      <c r="F48" s="77">
        <v>13</v>
      </c>
      <c r="G48" s="78">
        <v>76.5</v>
      </c>
      <c r="H48" s="78">
        <f t="shared" si="0"/>
        <v>24.363057324840764</v>
      </c>
      <c r="I48" s="79">
        <f t="shared" si="1"/>
        <v>108.03414317229752</v>
      </c>
      <c r="J48" s="79">
        <f>I48*'Key Data'!$F$3</f>
        <v>27.00853579307438</v>
      </c>
      <c r="K48" s="79">
        <f t="shared" si="2"/>
        <v>135.04267896537189</v>
      </c>
      <c r="L48" s="348"/>
      <c r="M48" s="348"/>
    </row>
    <row r="49" spans="2:13">
      <c r="B49" s="415"/>
      <c r="C49" s="404"/>
      <c r="D49" s="77"/>
      <c r="E49" s="77"/>
      <c r="F49" s="77">
        <v>14</v>
      </c>
      <c r="G49" s="78">
        <v>72.5</v>
      </c>
      <c r="H49" s="78">
        <f t="shared" si="0"/>
        <v>23.089171974522291</v>
      </c>
      <c r="I49" s="79">
        <f t="shared" si="1"/>
        <v>107.65323714517426</v>
      </c>
      <c r="J49" s="79">
        <f>I49*'Key Data'!$F$3</f>
        <v>26.913309286293565</v>
      </c>
      <c r="K49" s="79">
        <f t="shared" si="2"/>
        <v>134.56654643146783</v>
      </c>
      <c r="L49" s="348"/>
      <c r="M49" s="348"/>
    </row>
    <row r="50" spans="2:13">
      <c r="B50" s="415"/>
      <c r="C50" s="404"/>
      <c r="D50" s="77"/>
      <c r="E50" s="77"/>
      <c r="F50" s="77">
        <v>15</v>
      </c>
      <c r="G50" s="78">
        <v>88.5</v>
      </c>
      <c r="H50" s="78">
        <f t="shared" si="0"/>
        <v>28.184713375796179</v>
      </c>
      <c r="I50" s="79">
        <f t="shared" si="1"/>
        <v>108.64788941874602</v>
      </c>
      <c r="J50" s="79">
        <f>I50*'Key Data'!$F$3</f>
        <v>27.161972354686505</v>
      </c>
      <c r="K50" s="79">
        <f t="shared" si="2"/>
        <v>135.80986177343252</v>
      </c>
      <c r="L50" s="348"/>
      <c r="M50" s="348"/>
    </row>
    <row r="51" spans="2:13">
      <c r="B51" s="415"/>
      <c r="C51" s="404"/>
      <c r="D51" s="77"/>
      <c r="E51" s="77"/>
      <c r="F51" s="77">
        <v>16</v>
      </c>
      <c r="G51" s="78">
        <v>41.5</v>
      </c>
      <c r="H51" s="78">
        <f t="shared" si="0"/>
        <v>13.216560509554139</v>
      </c>
      <c r="I51" s="79">
        <f t="shared" si="1"/>
        <v>92.598502849227714</v>
      </c>
      <c r="J51" s="79">
        <f>I51*'Key Data'!$F$3</f>
        <v>23.149625712306928</v>
      </c>
      <c r="K51" s="79">
        <f t="shared" si="2"/>
        <v>115.74812856153464</v>
      </c>
      <c r="L51" s="348"/>
      <c r="M51" s="348"/>
    </row>
    <row r="52" spans="2:13">
      <c r="B52" s="410">
        <v>4</v>
      </c>
      <c r="C52" s="405" t="s">
        <v>468</v>
      </c>
      <c r="D52" s="80" t="s">
        <v>350</v>
      </c>
      <c r="E52" s="80"/>
      <c r="F52" s="80">
        <v>1</v>
      </c>
      <c r="G52" s="81">
        <v>68</v>
      </c>
      <c r="H52" s="81">
        <f t="shared" si="0"/>
        <v>21.656050955414013</v>
      </c>
      <c r="I52" s="82">
        <f t="shared" si="1"/>
        <v>107.04603314345468</v>
      </c>
      <c r="J52" s="82">
        <f>I52*'Key Data'!$F$3</f>
        <v>26.76150828586367</v>
      </c>
      <c r="K52" s="82">
        <f t="shared" si="2"/>
        <v>133.80754142931835</v>
      </c>
      <c r="L52" s="398">
        <f>SUM(K52:K67)/1000</f>
        <v>2.1213828314732845</v>
      </c>
      <c r="M52" s="398">
        <f>(L52/625)*10000</f>
        <v>33.942125303572553</v>
      </c>
    </row>
    <row r="53" spans="2:13">
      <c r="B53" s="410"/>
      <c r="C53" s="405"/>
      <c r="D53" s="80">
        <v>13.207839999999999</v>
      </c>
      <c r="E53" s="80">
        <v>79.237020000000001</v>
      </c>
      <c r="F53" s="80">
        <v>2</v>
      </c>
      <c r="G53" s="81">
        <v>64</v>
      </c>
      <c r="H53" s="81">
        <f t="shared" si="0"/>
        <v>20.38216560509554</v>
      </c>
      <c r="I53" s="82">
        <f t="shared" si="1"/>
        <v>106.28446193284658</v>
      </c>
      <c r="J53" s="82">
        <f>I53*'Key Data'!$F$3</f>
        <v>26.571115483211646</v>
      </c>
      <c r="K53" s="82">
        <f t="shared" si="2"/>
        <v>132.85557741605822</v>
      </c>
      <c r="L53" s="398"/>
      <c r="M53" s="398"/>
    </row>
    <row r="54" spans="2:13">
      <c r="B54" s="410"/>
      <c r="C54" s="405"/>
      <c r="D54" s="80" t="s">
        <v>445</v>
      </c>
      <c r="E54" s="80"/>
      <c r="F54" s="80">
        <v>3</v>
      </c>
      <c r="G54" s="81">
        <v>50</v>
      </c>
      <c r="H54" s="81">
        <f t="shared" si="0"/>
        <v>15.923566878980891</v>
      </c>
      <c r="I54" s="82">
        <f t="shared" si="1"/>
        <v>100.55692997803489</v>
      </c>
      <c r="J54" s="82">
        <f>I54*'Key Data'!$F$3</f>
        <v>25.139232494508722</v>
      </c>
      <c r="K54" s="82">
        <f t="shared" si="2"/>
        <v>125.69616247254361</v>
      </c>
      <c r="L54" s="398"/>
      <c r="M54" s="398"/>
    </row>
    <row r="55" spans="2:13">
      <c r="B55" s="410"/>
      <c r="C55" s="405"/>
      <c r="D55" s="80">
        <v>13.207890000000001</v>
      </c>
      <c r="E55" s="80">
        <v>79.237210000000005</v>
      </c>
      <c r="F55" s="80">
        <v>4</v>
      </c>
      <c r="G55" s="81">
        <v>65.5</v>
      </c>
      <c r="H55" s="81">
        <f t="shared" si="0"/>
        <v>20.859872611464969</v>
      </c>
      <c r="I55" s="82">
        <f t="shared" si="1"/>
        <v>106.59929446172839</v>
      </c>
      <c r="J55" s="82">
        <f>I55*'Key Data'!$F$3</f>
        <v>26.649823615432098</v>
      </c>
      <c r="K55" s="82">
        <f t="shared" si="2"/>
        <v>133.24911807716049</v>
      </c>
      <c r="L55" s="398"/>
      <c r="M55" s="398"/>
    </row>
    <row r="56" spans="2:13">
      <c r="B56" s="410"/>
      <c r="C56" s="405"/>
      <c r="D56" s="80" t="s">
        <v>446</v>
      </c>
      <c r="E56" s="80"/>
      <c r="F56" s="80">
        <v>5</v>
      </c>
      <c r="G56" s="81">
        <v>55.5</v>
      </c>
      <c r="H56" s="81">
        <f t="shared" si="0"/>
        <v>17.67515923566879</v>
      </c>
      <c r="I56" s="82">
        <f t="shared" si="1"/>
        <v>103.57045141886734</v>
      </c>
      <c r="J56" s="82">
        <f>I56*'Key Data'!$F$3</f>
        <v>25.892612854716834</v>
      </c>
      <c r="K56" s="82">
        <f t="shared" si="2"/>
        <v>129.46306427358417</v>
      </c>
      <c r="L56" s="398"/>
      <c r="M56" s="398"/>
    </row>
    <row r="57" spans="2:13">
      <c r="B57" s="410"/>
      <c r="C57" s="405"/>
      <c r="D57" s="80">
        <v>13.208</v>
      </c>
      <c r="E57" s="80">
        <v>79.257239999999996</v>
      </c>
      <c r="F57" s="80">
        <v>6</v>
      </c>
      <c r="G57" s="81">
        <v>67.5</v>
      </c>
      <c r="H57" s="81">
        <f t="shared" si="0"/>
        <v>21.496815286624201</v>
      </c>
      <c r="I57" s="82">
        <f t="shared" si="1"/>
        <v>106.96378622329176</v>
      </c>
      <c r="J57" s="82">
        <f>I57*'Key Data'!$F$3</f>
        <v>26.740946555822941</v>
      </c>
      <c r="K57" s="82">
        <f t="shared" si="2"/>
        <v>133.70473277911469</v>
      </c>
      <c r="L57" s="398"/>
      <c r="M57" s="398"/>
    </row>
    <row r="58" spans="2:13">
      <c r="B58" s="410"/>
      <c r="C58" s="405"/>
      <c r="D58" s="80" t="s">
        <v>447</v>
      </c>
      <c r="E58" s="80"/>
      <c r="F58" s="80">
        <v>7</v>
      </c>
      <c r="G58" s="81">
        <v>67</v>
      </c>
      <c r="H58" s="81">
        <f t="shared" si="0"/>
        <v>21.337579617834393</v>
      </c>
      <c r="I58" s="82">
        <f t="shared" si="1"/>
        <v>106.87812996010015</v>
      </c>
      <c r="J58" s="82">
        <f>I58*'Key Data'!$F$3</f>
        <v>26.719532490025038</v>
      </c>
      <c r="K58" s="82">
        <f t="shared" si="2"/>
        <v>133.5976624501252</v>
      </c>
      <c r="L58" s="398"/>
      <c r="M58" s="398"/>
    </row>
    <row r="59" spans="2:13">
      <c r="B59" s="410"/>
      <c r="C59" s="405"/>
      <c r="D59" s="80">
        <v>13.20804</v>
      </c>
      <c r="E59" s="80">
        <v>79.237049999999996</v>
      </c>
      <c r="F59" s="80">
        <v>8</v>
      </c>
      <c r="G59" s="81">
        <v>82.5</v>
      </c>
      <c r="H59" s="81">
        <f t="shared" si="0"/>
        <v>26.273885350318469</v>
      </c>
      <c r="I59" s="82">
        <f t="shared" si="1"/>
        <v>108.41530678408527</v>
      </c>
      <c r="J59" s="82">
        <f>I59*'Key Data'!$F$3</f>
        <v>27.103826696021319</v>
      </c>
      <c r="K59" s="82">
        <f t="shared" si="2"/>
        <v>135.5191334801066</v>
      </c>
      <c r="L59" s="398"/>
      <c r="M59" s="398"/>
    </row>
    <row r="60" spans="2:13">
      <c r="B60" s="410"/>
      <c r="C60" s="405"/>
      <c r="D60" s="80" t="s">
        <v>448</v>
      </c>
      <c r="E60" s="80"/>
      <c r="F60" s="80">
        <v>9</v>
      </c>
      <c r="G60" s="81">
        <v>71</v>
      </c>
      <c r="H60" s="81">
        <f t="shared" si="0"/>
        <v>22.611464968152866</v>
      </c>
      <c r="I60" s="82">
        <f t="shared" si="1"/>
        <v>107.47503621988463</v>
      </c>
      <c r="J60" s="82">
        <f>I60*'Key Data'!$F$3</f>
        <v>26.868759054971157</v>
      </c>
      <c r="K60" s="82">
        <f t="shared" si="2"/>
        <v>134.34379527485578</v>
      </c>
      <c r="L60" s="398"/>
      <c r="M60" s="398"/>
    </row>
    <row r="61" spans="2:13">
      <c r="B61" s="410"/>
      <c r="C61" s="405"/>
      <c r="D61" s="80">
        <v>13.207990000000001</v>
      </c>
      <c r="E61" s="80">
        <v>79.236930000000001</v>
      </c>
      <c r="F61" s="80">
        <v>10</v>
      </c>
      <c r="G61" s="81">
        <v>60</v>
      </c>
      <c r="H61" s="81">
        <f t="shared" si="0"/>
        <v>19.108280254777068</v>
      </c>
      <c r="I61" s="82">
        <f t="shared" si="1"/>
        <v>105.23287646701387</v>
      </c>
      <c r="J61" s="82">
        <f>I61*'Key Data'!$F$3</f>
        <v>26.308219116753467</v>
      </c>
      <c r="K61" s="82">
        <f t="shared" si="2"/>
        <v>131.54109558376734</v>
      </c>
      <c r="L61" s="398"/>
      <c r="M61" s="398"/>
    </row>
    <row r="62" spans="2:13">
      <c r="B62" s="410"/>
      <c r="C62" s="405"/>
      <c r="D62" s="80"/>
      <c r="E62" s="80"/>
      <c r="F62" s="80">
        <v>11</v>
      </c>
      <c r="G62" s="81">
        <v>70</v>
      </c>
      <c r="H62" s="81">
        <f t="shared" si="0"/>
        <v>22.292993630573246</v>
      </c>
      <c r="I62" s="82">
        <f t="shared" si="1"/>
        <v>107.34351711564463</v>
      </c>
      <c r="J62" s="82">
        <f>I62*'Key Data'!$F$3</f>
        <v>26.835879278911158</v>
      </c>
      <c r="K62" s="82">
        <f t="shared" si="2"/>
        <v>134.17939639455579</v>
      </c>
      <c r="L62" s="398"/>
      <c r="M62" s="398"/>
    </row>
    <row r="63" spans="2:13">
      <c r="B63" s="410"/>
      <c r="C63" s="405"/>
      <c r="D63" s="80"/>
      <c r="E63" s="80"/>
      <c r="F63" s="80">
        <v>12</v>
      </c>
      <c r="G63" s="81">
        <v>56</v>
      </c>
      <c r="H63" s="81">
        <f t="shared" si="0"/>
        <v>17.834394904458598</v>
      </c>
      <c r="I63" s="82">
        <f t="shared" si="1"/>
        <v>103.78569539111585</v>
      </c>
      <c r="J63" s="82">
        <f>I63*'Key Data'!$F$3</f>
        <v>25.946423847778963</v>
      </c>
      <c r="K63" s="82">
        <f t="shared" si="2"/>
        <v>129.73211923889482</v>
      </c>
      <c r="L63" s="398"/>
      <c r="M63" s="398"/>
    </row>
    <row r="64" spans="2:13">
      <c r="B64" s="410"/>
      <c r="C64" s="405"/>
      <c r="D64" s="80"/>
      <c r="E64" s="80"/>
      <c r="F64" s="80">
        <v>13</v>
      </c>
      <c r="G64" s="81">
        <v>60</v>
      </c>
      <c r="H64" s="81">
        <f t="shared" si="0"/>
        <v>19.108280254777068</v>
      </c>
      <c r="I64" s="82">
        <f t="shared" si="1"/>
        <v>105.23287646701387</v>
      </c>
      <c r="J64" s="82">
        <f>I64*'Key Data'!$F$3</f>
        <v>26.308219116753467</v>
      </c>
      <c r="K64" s="82">
        <f t="shared" si="2"/>
        <v>131.54109558376734</v>
      </c>
      <c r="L64" s="398"/>
      <c r="M64" s="398"/>
    </row>
    <row r="65" spans="2:13">
      <c r="B65" s="410"/>
      <c r="C65" s="405"/>
      <c r="D65" s="80"/>
      <c r="E65" s="80"/>
      <c r="F65" s="80">
        <v>14</v>
      </c>
      <c r="G65" s="81">
        <v>66</v>
      </c>
      <c r="H65" s="81">
        <f t="shared" si="0"/>
        <v>21.019108280254777</v>
      </c>
      <c r="I65" s="82">
        <f t="shared" si="1"/>
        <v>106.69603057885735</v>
      </c>
      <c r="J65" s="82">
        <f>I65*'Key Data'!$F$3</f>
        <v>26.674007644714337</v>
      </c>
      <c r="K65" s="82">
        <f t="shared" si="2"/>
        <v>133.37003822357167</v>
      </c>
      <c r="L65" s="398"/>
      <c r="M65" s="398"/>
    </row>
    <row r="66" spans="2:13">
      <c r="B66" s="410"/>
      <c r="C66" s="405"/>
      <c r="D66" s="80"/>
      <c r="E66" s="80"/>
      <c r="F66" s="80">
        <v>15</v>
      </c>
      <c r="G66" s="81">
        <v>67</v>
      </c>
      <c r="H66" s="81">
        <f t="shared" si="0"/>
        <v>21.337579617834393</v>
      </c>
      <c r="I66" s="82">
        <f t="shared" si="1"/>
        <v>106.87812996010015</v>
      </c>
      <c r="J66" s="82">
        <f>I66*'Key Data'!$F$3</f>
        <v>26.719532490025038</v>
      </c>
      <c r="K66" s="82">
        <f t="shared" si="2"/>
        <v>133.5976624501252</v>
      </c>
      <c r="L66" s="398"/>
      <c r="M66" s="398"/>
    </row>
    <row r="67" spans="2:13">
      <c r="B67" s="410"/>
      <c r="C67" s="405"/>
      <c r="D67" s="80"/>
      <c r="E67" s="80"/>
      <c r="F67" s="80">
        <v>16</v>
      </c>
      <c r="G67" s="81">
        <v>78</v>
      </c>
      <c r="H67" s="81">
        <f t="shared" si="0"/>
        <v>24.840764331210192</v>
      </c>
      <c r="I67" s="82">
        <f t="shared" si="1"/>
        <v>108.14770907658836</v>
      </c>
      <c r="J67" s="82">
        <f>I67*'Key Data'!$F$3</f>
        <v>27.036927269147089</v>
      </c>
      <c r="K67" s="82">
        <f t="shared" si="2"/>
        <v>135.18463634573544</v>
      </c>
      <c r="L67" s="398"/>
      <c r="M67" s="398"/>
    </row>
    <row r="68" spans="2:13">
      <c r="B68" s="411">
        <v>5</v>
      </c>
      <c r="C68" s="406" t="s">
        <v>469</v>
      </c>
      <c r="D68" s="84" t="s">
        <v>350</v>
      </c>
      <c r="E68" s="84"/>
      <c r="F68" s="84">
        <v>1</v>
      </c>
      <c r="G68" s="85">
        <v>35</v>
      </c>
      <c r="H68" s="85">
        <f t="shared" si="0"/>
        <v>11.146496815286623</v>
      </c>
      <c r="I68" s="86">
        <f t="shared" si="1"/>
        <v>82.429329470591512</v>
      </c>
      <c r="J68" s="86">
        <f>I68*'Key Data'!$F$3</f>
        <v>20.607332367647878</v>
      </c>
      <c r="K68" s="86">
        <f t="shared" si="2"/>
        <v>103.03666183823938</v>
      </c>
      <c r="L68" s="399">
        <f>SUM(K68:K83)/1000</f>
        <v>1.8443290983776566</v>
      </c>
      <c r="M68" s="399">
        <f>(L68/625)*10000</f>
        <v>29.509265574042505</v>
      </c>
    </row>
    <row r="69" spans="2:13">
      <c r="B69" s="411"/>
      <c r="C69" s="406"/>
      <c r="D69" s="84">
        <v>13.202030000000001</v>
      </c>
      <c r="E69" s="84">
        <v>79.212850000000003</v>
      </c>
      <c r="F69" s="84">
        <v>2</v>
      </c>
      <c r="G69" s="85">
        <v>47</v>
      </c>
      <c r="H69" s="85">
        <f t="shared" si="0"/>
        <v>14.968152866242038</v>
      </c>
      <c r="I69" s="86">
        <f t="shared" ref="I69:I123" si="3">30.4*EXP(-5.07*EXP(-0.26*H69)+1.277)</f>
        <v>98.293983126644591</v>
      </c>
      <c r="J69" s="86">
        <f>I69*'Key Data'!$F$3</f>
        <v>24.573495781661148</v>
      </c>
      <c r="K69" s="86">
        <f t="shared" ref="K69:K123" si="4">J69+I69</f>
        <v>122.86747890830574</v>
      </c>
      <c r="L69" s="399"/>
      <c r="M69" s="399"/>
    </row>
    <row r="70" spans="2:13">
      <c r="B70" s="411"/>
      <c r="C70" s="406"/>
      <c r="D70" s="84" t="s">
        <v>445</v>
      </c>
      <c r="E70" s="84"/>
      <c r="F70" s="84">
        <v>3</v>
      </c>
      <c r="G70" s="85">
        <v>46.5</v>
      </c>
      <c r="H70" s="85">
        <f t="shared" si="0"/>
        <v>14.808917197452228</v>
      </c>
      <c r="I70" s="86">
        <f t="shared" si="3"/>
        <v>97.864972653012515</v>
      </c>
      <c r="J70" s="86">
        <f>I70*'Key Data'!$F$3</f>
        <v>24.466243163253129</v>
      </c>
      <c r="K70" s="86">
        <f t="shared" si="4"/>
        <v>122.33121581626564</v>
      </c>
      <c r="L70" s="399"/>
      <c r="M70" s="399"/>
    </row>
    <row r="71" spans="2:13">
      <c r="B71" s="411"/>
      <c r="C71" s="406"/>
      <c r="D71" s="84">
        <v>13.277520000000001</v>
      </c>
      <c r="E71" s="84">
        <v>79.237340000000003</v>
      </c>
      <c r="F71" s="84">
        <v>4</v>
      </c>
      <c r="G71" s="85">
        <v>51</v>
      </c>
      <c r="H71" s="85">
        <f t="shared" ref="H71:H123" si="5">G71/3.14</f>
        <v>16.242038216560509</v>
      </c>
      <c r="I71" s="86">
        <f t="shared" si="3"/>
        <v>101.20402272427799</v>
      </c>
      <c r="J71" s="86">
        <f>I71*'Key Data'!$F$3</f>
        <v>25.301005681069498</v>
      </c>
      <c r="K71" s="86">
        <f t="shared" si="4"/>
        <v>126.50502840534749</v>
      </c>
      <c r="L71" s="399"/>
      <c r="M71" s="399"/>
    </row>
    <row r="72" spans="2:13">
      <c r="B72" s="411"/>
      <c r="C72" s="406"/>
      <c r="D72" s="84" t="s">
        <v>446</v>
      </c>
      <c r="E72" s="84"/>
      <c r="F72" s="84">
        <v>5</v>
      </c>
      <c r="G72" s="85">
        <v>43.5</v>
      </c>
      <c r="H72" s="85">
        <f t="shared" si="5"/>
        <v>13.853503184713375</v>
      </c>
      <c r="I72" s="86">
        <f t="shared" si="3"/>
        <v>94.93341890884949</v>
      </c>
      <c r="J72" s="86">
        <f>I72*'Key Data'!$F$3</f>
        <v>23.733354727212372</v>
      </c>
      <c r="K72" s="86">
        <f t="shared" si="4"/>
        <v>118.66677363606186</v>
      </c>
      <c r="L72" s="399"/>
      <c r="M72" s="399"/>
    </row>
    <row r="73" spans="2:13">
      <c r="B73" s="411"/>
      <c r="C73" s="406"/>
      <c r="D73" s="84">
        <v>13.237690000000001</v>
      </c>
      <c r="E73" s="84">
        <v>79.237409999999997</v>
      </c>
      <c r="F73" s="84">
        <v>6</v>
      </c>
      <c r="G73" s="85">
        <v>50</v>
      </c>
      <c r="H73" s="85">
        <f t="shared" si="5"/>
        <v>15.923566878980891</v>
      </c>
      <c r="I73" s="86">
        <f t="shared" si="3"/>
        <v>100.55692997803489</v>
      </c>
      <c r="J73" s="86">
        <f>I73*'Key Data'!$F$3</f>
        <v>25.139232494508722</v>
      </c>
      <c r="K73" s="86">
        <f t="shared" si="4"/>
        <v>125.69616247254361</v>
      </c>
      <c r="L73" s="399"/>
      <c r="M73" s="399"/>
    </row>
    <row r="74" spans="2:13">
      <c r="B74" s="411"/>
      <c r="C74" s="406"/>
      <c r="D74" s="84" t="s">
        <v>447</v>
      </c>
      <c r="E74" s="84"/>
      <c r="F74" s="84">
        <v>7</v>
      </c>
      <c r="G74" s="85">
        <v>52.5</v>
      </c>
      <c r="H74" s="85">
        <f t="shared" si="5"/>
        <v>16.719745222929937</v>
      </c>
      <c r="I74" s="86">
        <f t="shared" si="3"/>
        <v>102.08616787548029</v>
      </c>
      <c r="J74" s="86">
        <f>I74*'Key Data'!$F$3</f>
        <v>25.521541968870071</v>
      </c>
      <c r="K74" s="86">
        <f t="shared" si="4"/>
        <v>127.60770984435035</v>
      </c>
      <c r="L74" s="399"/>
      <c r="M74" s="399"/>
    </row>
    <row r="75" spans="2:13">
      <c r="B75" s="411"/>
      <c r="C75" s="406"/>
      <c r="D75" s="84">
        <v>13.23775</v>
      </c>
      <c r="E75" s="84">
        <v>79.237210000000005</v>
      </c>
      <c r="F75" s="84">
        <v>8</v>
      </c>
      <c r="G75" s="85">
        <v>31</v>
      </c>
      <c r="H75" s="85">
        <f t="shared" si="5"/>
        <v>9.872611464968152</v>
      </c>
      <c r="I75" s="86">
        <f t="shared" si="3"/>
        <v>73.861700758365856</v>
      </c>
      <c r="J75" s="86">
        <f>I75*'Key Data'!$F$3</f>
        <v>18.465425189591464</v>
      </c>
      <c r="K75" s="86">
        <f t="shared" si="4"/>
        <v>92.327125947957313</v>
      </c>
      <c r="L75" s="399"/>
      <c r="M75" s="399"/>
    </row>
    <row r="76" spans="2:13">
      <c r="B76" s="411"/>
      <c r="C76" s="406"/>
      <c r="D76" s="84" t="s">
        <v>448</v>
      </c>
      <c r="E76" s="84"/>
      <c r="F76" s="84">
        <v>9</v>
      </c>
      <c r="G76" s="85">
        <v>46</v>
      </c>
      <c r="H76" s="85">
        <f t="shared" si="5"/>
        <v>14.64968152866242</v>
      </c>
      <c r="I76" s="86">
        <f t="shared" si="3"/>
        <v>97.419820513451157</v>
      </c>
      <c r="J76" s="86">
        <f>I76*'Key Data'!$F$3</f>
        <v>24.354955128362789</v>
      </c>
      <c r="K76" s="86">
        <f t="shared" si="4"/>
        <v>121.77477564181395</v>
      </c>
      <c r="L76" s="399"/>
      <c r="M76" s="399"/>
    </row>
    <row r="77" spans="2:13">
      <c r="B77" s="411"/>
      <c r="C77" s="406"/>
      <c r="D77" s="84">
        <v>13.230700000000001</v>
      </c>
      <c r="E77" s="84">
        <v>79.237269999999995</v>
      </c>
      <c r="F77" s="84">
        <v>10</v>
      </c>
      <c r="G77" s="85">
        <v>47</v>
      </c>
      <c r="H77" s="85">
        <f t="shared" si="5"/>
        <v>14.968152866242038</v>
      </c>
      <c r="I77" s="86">
        <f t="shared" si="3"/>
        <v>98.293983126644591</v>
      </c>
      <c r="J77" s="86">
        <f>I77*'Key Data'!$F$3</f>
        <v>24.573495781661148</v>
      </c>
      <c r="K77" s="86">
        <f t="shared" si="4"/>
        <v>122.86747890830574</v>
      </c>
      <c r="L77" s="399"/>
      <c r="M77" s="399"/>
    </row>
    <row r="78" spans="2:13">
      <c r="B78" s="411"/>
      <c r="C78" s="406"/>
      <c r="D78" s="84"/>
      <c r="E78" s="84"/>
      <c r="F78" s="84">
        <v>11</v>
      </c>
      <c r="G78" s="85">
        <v>54</v>
      </c>
      <c r="H78" s="85">
        <f t="shared" si="5"/>
        <v>17.197452229299362</v>
      </c>
      <c r="I78" s="86">
        <f t="shared" si="3"/>
        <v>102.87167065451364</v>
      </c>
      <c r="J78" s="86">
        <f>I78*'Key Data'!$F$3</f>
        <v>25.717917663628409</v>
      </c>
      <c r="K78" s="86">
        <f t="shared" si="4"/>
        <v>128.58958831814203</v>
      </c>
      <c r="L78" s="399"/>
      <c r="M78" s="399"/>
    </row>
    <row r="79" spans="2:13">
      <c r="B79" s="411"/>
      <c r="C79" s="406"/>
      <c r="D79" s="84"/>
      <c r="E79" s="84"/>
      <c r="F79" s="84">
        <v>12</v>
      </c>
      <c r="G79" s="85">
        <v>49.5</v>
      </c>
      <c r="H79" s="85">
        <f t="shared" si="5"/>
        <v>15.764331210191083</v>
      </c>
      <c r="I79" s="86">
        <f t="shared" si="3"/>
        <v>100.21441490790885</v>
      </c>
      <c r="J79" s="86">
        <f>I79*'Key Data'!$F$3</f>
        <v>25.053603726977212</v>
      </c>
      <c r="K79" s="86">
        <f t="shared" si="4"/>
        <v>125.26801863488606</v>
      </c>
      <c r="L79" s="399"/>
      <c r="M79" s="399"/>
    </row>
    <row r="80" spans="2:13">
      <c r="B80" s="411"/>
      <c r="C80" s="406"/>
      <c r="D80" s="84"/>
      <c r="E80" s="84"/>
      <c r="F80" s="84">
        <v>13</v>
      </c>
      <c r="G80" s="85">
        <v>45</v>
      </c>
      <c r="H80" s="85">
        <f t="shared" si="5"/>
        <v>14.331210191082802</v>
      </c>
      <c r="I80" s="86">
        <f t="shared" si="3"/>
        <v>96.479001445443316</v>
      </c>
      <c r="J80" s="86">
        <f>I80*'Key Data'!$F$3</f>
        <v>24.119750361360829</v>
      </c>
      <c r="K80" s="86">
        <f t="shared" si="4"/>
        <v>120.59875180680415</v>
      </c>
      <c r="L80" s="399"/>
      <c r="M80" s="399"/>
    </row>
    <row r="81" spans="2:13">
      <c r="B81" s="411"/>
      <c r="C81" s="406"/>
      <c r="D81" s="84"/>
      <c r="E81" s="84"/>
      <c r="F81" s="84">
        <v>14</v>
      </c>
      <c r="G81" s="85">
        <v>19</v>
      </c>
      <c r="H81" s="85">
        <f t="shared" si="5"/>
        <v>6.0509554140127388</v>
      </c>
      <c r="I81" s="86">
        <f t="shared" si="3"/>
        <v>38.094669325505315</v>
      </c>
      <c r="J81" s="86">
        <f>I81*'Key Data'!$F$3</f>
        <v>9.5236673313763287</v>
      </c>
      <c r="K81" s="86">
        <f t="shared" si="4"/>
        <v>47.618336656881645</v>
      </c>
      <c r="L81" s="399"/>
      <c r="M81" s="399"/>
    </row>
    <row r="82" spans="2:13">
      <c r="B82" s="411"/>
      <c r="C82" s="406"/>
      <c r="D82" s="84"/>
      <c r="E82" s="84"/>
      <c r="F82" s="84">
        <v>15</v>
      </c>
      <c r="G82" s="85">
        <v>43</v>
      </c>
      <c r="H82" s="85">
        <f t="shared" si="5"/>
        <v>13.694267515923567</v>
      </c>
      <c r="I82" s="86">
        <f t="shared" si="3"/>
        <v>94.380191787958069</v>
      </c>
      <c r="J82" s="86">
        <f>I82*'Key Data'!$F$3</f>
        <v>23.595047946989517</v>
      </c>
      <c r="K82" s="86">
        <f t="shared" si="4"/>
        <v>117.97523973494759</v>
      </c>
      <c r="L82" s="399"/>
      <c r="M82" s="399"/>
    </row>
    <row r="83" spans="2:13">
      <c r="B83" s="411"/>
      <c r="C83" s="406"/>
      <c r="D83" s="84"/>
      <c r="E83" s="84"/>
      <c r="F83" s="84">
        <v>16</v>
      </c>
      <c r="G83" s="85">
        <v>45</v>
      </c>
      <c r="H83" s="85">
        <f t="shared" si="5"/>
        <v>14.331210191082802</v>
      </c>
      <c r="I83" s="86">
        <f t="shared" si="3"/>
        <v>96.479001445443316</v>
      </c>
      <c r="J83" s="86">
        <f>I83*'Key Data'!$F$3</f>
        <v>24.119750361360829</v>
      </c>
      <c r="K83" s="86">
        <f t="shared" si="4"/>
        <v>120.59875180680415</v>
      </c>
      <c r="L83" s="399"/>
      <c r="M83" s="399"/>
    </row>
    <row r="84" spans="2:13">
      <c r="B84" s="412">
        <v>6</v>
      </c>
      <c r="C84" s="407" t="s">
        <v>470</v>
      </c>
      <c r="D84" s="93" t="s">
        <v>350</v>
      </c>
      <c r="E84" s="93"/>
      <c r="F84" s="93">
        <v>1</v>
      </c>
      <c r="G84" s="94">
        <v>56.4</v>
      </c>
      <c r="H84" s="94">
        <f t="shared" si="5"/>
        <v>17.961783439490446</v>
      </c>
      <c r="I84" s="95">
        <f t="shared" si="3"/>
        <v>103.95189337254803</v>
      </c>
      <c r="J84" s="95">
        <f>I84*'Key Data'!$F$3</f>
        <v>25.987973343137007</v>
      </c>
      <c r="K84" s="95">
        <f t="shared" si="4"/>
        <v>129.93986671568504</v>
      </c>
      <c r="L84" s="359">
        <f>SUM(K84:K99)/1000</f>
        <v>2.0799484348065516</v>
      </c>
      <c r="M84" s="359">
        <f>(L84/625)*10000</f>
        <v>33.279174956904825</v>
      </c>
    </row>
    <row r="85" spans="2:13">
      <c r="B85" s="412"/>
      <c r="C85" s="407"/>
      <c r="D85" s="93">
        <v>13.263450000000001</v>
      </c>
      <c r="E85" s="93">
        <v>79.186092000000002</v>
      </c>
      <c r="F85" s="93">
        <v>2</v>
      </c>
      <c r="G85" s="94">
        <v>55.5</v>
      </c>
      <c r="H85" s="94">
        <f t="shared" si="5"/>
        <v>17.67515923566879</v>
      </c>
      <c r="I85" s="95">
        <f t="shared" si="3"/>
        <v>103.57045141886734</v>
      </c>
      <c r="J85" s="95">
        <f>I85*'Key Data'!$F$3</f>
        <v>25.892612854716834</v>
      </c>
      <c r="K85" s="95">
        <f t="shared" si="4"/>
        <v>129.46306427358417</v>
      </c>
      <c r="L85" s="359"/>
      <c r="M85" s="359"/>
    </row>
    <row r="86" spans="2:13">
      <c r="B86" s="412"/>
      <c r="C86" s="407"/>
      <c r="D86" s="93" t="s">
        <v>445</v>
      </c>
      <c r="E86" s="93"/>
      <c r="F86" s="93">
        <v>3</v>
      </c>
      <c r="G86" s="94">
        <v>67.5</v>
      </c>
      <c r="H86" s="94">
        <f t="shared" si="5"/>
        <v>21.496815286624201</v>
      </c>
      <c r="I86" s="95">
        <f t="shared" si="3"/>
        <v>106.96378622329176</v>
      </c>
      <c r="J86" s="95">
        <f>I86*'Key Data'!$F$3</f>
        <v>26.740946555822941</v>
      </c>
      <c r="K86" s="95">
        <f t="shared" si="4"/>
        <v>133.70473277911469</v>
      </c>
      <c r="L86" s="359"/>
      <c r="M86" s="359"/>
    </row>
    <row r="87" spans="2:13">
      <c r="B87" s="412"/>
      <c r="C87" s="407"/>
      <c r="D87" s="93">
        <v>13.263432999999999</v>
      </c>
      <c r="E87" s="93">
        <v>79.186300000000003</v>
      </c>
      <c r="F87" s="93">
        <v>4</v>
      </c>
      <c r="G87" s="94">
        <v>58</v>
      </c>
      <c r="H87" s="94">
        <f t="shared" si="5"/>
        <v>18.471337579617835</v>
      </c>
      <c r="I87" s="95">
        <f t="shared" si="3"/>
        <v>104.56657614406886</v>
      </c>
      <c r="J87" s="95">
        <f>I87*'Key Data'!$F$3</f>
        <v>26.141644036017215</v>
      </c>
      <c r="K87" s="95">
        <f t="shared" si="4"/>
        <v>130.70822018008607</v>
      </c>
      <c r="L87" s="359"/>
      <c r="M87" s="359"/>
    </row>
    <row r="88" spans="2:13">
      <c r="B88" s="412"/>
      <c r="C88" s="407"/>
      <c r="D88" s="93" t="s">
        <v>446</v>
      </c>
      <c r="E88" s="93"/>
      <c r="F88" s="93">
        <v>5</v>
      </c>
      <c r="G88" s="94">
        <v>59</v>
      </c>
      <c r="H88" s="94">
        <f t="shared" si="5"/>
        <v>18.789808917197451</v>
      </c>
      <c r="I88" s="95">
        <f t="shared" si="3"/>
        <v>104.91298312828849</v>
      </c>
      <c r="J88" s="95">
        <f>I88*'Key Data'!$F$3</f>
        <v>26.228245782072122</v>
      </c>
      <c r="K88" s="95">
        <f t="shared" si="4"/>
        <v>131.14122891036061</v>
      </c>
      <c r="L88" s="359"/>
      <c r="M88" s="359"/>
    </row>
    <row r="89" spans="2:13">
      <c r="B89" s="412"/>
      <c r="C89" s="407"/>
      <c r="D89" s="93">
        <v>13.233613</v>
      </c>
      <c r="E89" s="93">
        <v>79.156323</v>
      </c>
      <c r="F89" s="93">
        <v>6</v>
      </c>
      <c r="G89" s="94">
        <v>54</v>
      </c>
      <c r="H89" s="94">
        <f t="shared" si="5"/>
        <v>17.197452229299362</v>
      </c>
      <c r="I89" s="95">
        <f t="shared" si="3"/>
        <v>102.87167065451364</v>
      </c>
      <c r="J89" s="95">
        <f>I89*'Key Data'!$F$3</f>
        <v>25.717917663628409</v>
      </c>
      <c r="K89" s="95">
        <f t="shared" si="4"/>
        <v>128.58958831814203</v>
      </c>
      <c r="L89" s="359"/>
      <c r="M89" s="359"/>
    </row>
    <row r="90" spans="2:13">
      <c r="B90" s="412"/>
      <c r="C90" s="407"/>
      <c r="D90" s="93" t="s">
        <v>447</v>
      </c>
      <c r="E90" s="93"/>
      <c r="F90" s="93">
        <v>7</v>
      </c>
      <c r="G90" s="94">
        <v>51.5</v>
      </c>
      <c r="H90" s="94">
        <f t="shared" si="5"/>
        <v>16.401273885350317</v>
      </c>
      <c r="I90" s="95">
        <f t="shared" si="3"/>
        <v>101.50945831821122</v>
      </c>
      <c r="J90" s="95">
        <f>I90*'Key Data'!$F$3</f>
        <v>25.377364579552804</v>
      </c>
      <c r="K90" s="95">
        <f t="shared" si="4"/>
        <v>126.88682289776402</v>
      </c>
      <c r="L90" s="359"/>
      <c r="M90" s="359"/>
    </row>
    <row r="91" spans="2:13">
      <c r="B91" s="412"/>
      <c r="C91" s="407"/>
      <c r="D91" s="93">
        <v>13.263667999999999</v>
      </c>
      <c r="E91" s="93">
        <v>79.186109999999999</v>
      </c>
      <c r="F91" s="93">
        <v>8</v>
      </c>
      <c r="G91" s="94">
        <v>59.5</v>
      </c>
      <c r="H91" s="94">
        <f t="shared" si="5"/>
        <v>18.949044585987259</v>
      </c>
      <c r="I91" s="95">
        <f t="shared" si="3"/>
        <v>105.07611863457613</v>
      </c>
      <c r="J91" s="95">
        <f>I91*'Key Data'!$F$3</f>
        <v>26.269029658644033</v>
      </c>
      <c r="K91" s="95">
        <f t="shared" si="4"/>
        <v>131.34514829322018</v>
      </c>
      <c r="L91" s="359"/>
      <c r="M91" s="359"/>
    </row>
    <row r="92" spans="2:13">
      <c r="B92" s="412"/>
      <c r="C92" s="407"/>
      <c r="D92" s="93" t="s">
        <v>448</v>
      </c>
      <c r="E92" s="93"/>
      <c r="F92" s="93">
        <v>9</v>
      </c>
      <c r="G92" s="94">
        <v>55</v>
      </c>
      <c r="H92" s="94">
        <f t="shared" si="5"/>
        <v>17.515923566878982</v>
      </c>
      <c r="I92" s="95">
        <f t="shared" si="3"/>
        <v>103.34658411791347</v>
      </c>
      <c r="J92" s="95">
        <f>I92*'Key Data'!$F$3</f>
        <v>25.836646029478366</v>
      </c>
      <c r="K92" s="95">
        <f t="shared" si="4"/>
        <v>129.18323014739184</v>
      </c>
      <c r="L92" s="359"/>
      <c r="M92" s="359"/>
    </row>
    <row r="93" spans="2:13">
      <c r="B93" s="412"/>
      <c r="C93" s="407"/>
      <c r="D93" s="93">
        <v>13.26351</v>
      </c>
      <c r="E93" s="93">
        <v>79.186165000000003</v>
      </c>
      <c r="F93" s="93">
        <v>10</v>
      </c>
      <c r="G93" s="94">
        <v>64.5</v>
      </c>
      <c r="H93" s="94">
        <f t="shared" si="5"/>
        <v>20.541401273885349</v>
      </c>
      <c r="I93" s="95">
        <f t="shared" si="3"/>
        <v>106.39367414045957</v>
      </c>
      <c r="J93" s="95">
        <f>I93*'Key Data'!$F$3</f>
        <v>26.598418535114892</v>
      </c>
      <c r="K93" s="95">
        <f t="shared" si="4"/>
        <v>132.99209267557447</v>
      </c>
      <c r="L93" s="359"/>
      <c r="M93" s="359"/>
    </row>
    <row r="94" spans="2:13">
      <c r="B94" s="412"/>
      <c r="C94" s="407"/>
      <c r="D94" s="93"/>
      <c r="E94" s="93"/>
      <c r="F94" s="93">
        <v>11</v>
      </c>
      <c r="G94" s="94">
        <v>71.5</v>
      </c>
      <c r="H94" s="94">
        <f t="shared" si="5"/>
        <v>22.770700636942674</v>
      </c>
      <c r="I94" s="95">
        <f t="shared" si="3"/>
        <v>107.53687858158138</v>
      </c>
      <c r="J94" s="95">
        <f>I94*'Key Data'!$F$3</f>
        <v>26.884219645395344</v>
      </c>
      <c r="K94" s="95">
        <f t="shared" si="4"/>
        <v>134.42109822697671</v>
      </c>
      <c r="L94" s="359"/>
      <c r="M94" s="359"/>
    </row>
    <row r="95" spans="2:13">
      <c r="B95" s="412"/>
      <c r="C95" s="407"/>
      <c r="D95" s="93"/>
      <c r="E95" s="93"/>
      <c r="F95" s="93">
        <v>12</v>
      </c>
      <c r="G95" s="94">
        <v>49.5</v>
      </c>
      <c r="H95" s="94">
        <f t="shared" si="5"/>
        <v>15.764331210191083</v>
      </c>
      <c r="I95" s="95">
        <f t="shared" si="3"/>
        <v>100.21441490790885</v>
      </c>
      <c r="J95" s="95">
        <f>I95*'Key Data'!$F$3</f>
        <v>25.053603726977212</v>
      </c>
      <c r="K95" s="95">
        <f t="shared" si="4"/>
        <v>125.26801863488606</v>
      </c>
      <c r="L95" s="359"/>
      <c r="M95" s="359"/>
    </row>
    <row r="96" spans="2:13">
      <c r="B96" s="412"/>
      <c r="C96" s="407"/>
      <c r="D96" s="93"/>
      <c r="E96" s="93"/>
      <c r="F96" s="93">
        <v>13</v>
      </c>
      <c r="G96" s="94">
        <v>54</v>
      </c>
      <c r="H96" s="94">
        <f t="shared" si="5"/>
        <v>17.197452229299362</v>
      </c>
      <c r="I96" s="95">
        <f t="shared" si="3"/>
        <v>102.87167065451364</v>
      </c>
      <c r="J96" s="95">
        <f>I96*'Key Data'!$F$3</f>
        <v>25.717917663628409</v>
      </c>
      <c r="K96" s="95">
        <f t="shared" si="4"/>
        <v>128.58958831814203</v>
      </c>
      <c r="L96" s="359"/>
      <c r="M96" s="359"/>
    </row>
    <row r="97" spans="2:13">
      <c r="B97" s="412"/>
      <c r="C97" s="407"/>
      <c r="D97" s="93"/>
      <c r="E97" s="93"/>
      <c r="F97" s="93">
        <v>14</v>
      </c>
      <c r="G97" s="94">
        <v>60</v>
      </c>
      <c r="H97" s="94">
        <f t="shared" si="5"/>
        <v>19.108280254777068</v>
      </c>
      <c r="I97" s="95">
        <f t="shared" si="3"/>
        <v>105.23287646701387</v>
      </c>
      <c r="J97" s="95">
        <f>I97*'Key Data'!$F$3</f>
        <v>26.308219116753467</v>
      </c>
      <c r="K97" s="95">
        <f t="shared" si="4"/>
        <v>131.54109558376734</v>
      </c>
      <c r="L97" s="359"/>
      <c r="M97" s="359"/>
    </row>
    <row r="98" spans="2:13">
      <c r="B98" s="412"/>
      <c r="C98" s="407"/>
      <c r="D98" s="93"/>
      <c r="E98" s="93"/>
      <c r="F98" s="93">
        <v>15</v>
      </c>
      <c r="G98" s="94">
        <v>50</v>
      </c>
      <c r="H98" s="94">
        <f t="shared" si="5"/>
        <v>15.923566878980891</v>
      </c>
      <c r="I98" s="95">
        <f t="shared" si="3"/>
        <v>100.55692997803489</v>
      </c>
      <c r="J98" s="95">
        <f>I98*'Key Data'!$F$3</f>
        <v>25.139232494508722</v>
      </c>
      <c r="K98" s="95">
        <f t="shared" si="4"/>
        <v>125.69616247254361</v>
      </c>
      <c r="L98" s="359"/>
      <c r="M98" s="359"/>
    </row>
    <row r="99" spans="2:13">
      <c r="B99" s="412"/>
      <c r="C99" s="407"/>
      <c r="D99" s="93"/>
      <c r="E99" s="93"/>
      <c r="F99" s="93">
        <v>16</v>
      </c>
      <c r="G99" s="94">
        <v>57.5</v>
      </c>
      <c r="H99" s="94">
        <f t="shared" si="5"/>
        <v>18.312101910828027</v>
      </c>
      <c r="I99" s="95">
        <f t="shared" si="3"/>
        <v>104.38278110345003</v>
      </c>
      <c r="J99" s="95">
        <f>I99*'Key Data'!$F$3</f>
        <v>26.095695275862507</v>
      </c>
      <c r="K99" s="95">
        <f t="shared" si="4"/>
        <v>130.47847637931253</v>
      </c>
      <c r="L99" s="359"/>
      <c r="M99" s="359"/>
    </row>
    <row r="100" spans="2:13">
      <c r="B100" s="400">
        <v>7</v>
      </c>
      <c r="C100" s="408" t="s">
        <v>471</v>
      </c>
      <c r="D100" s="87" t="s">
        <v>350</v>
      </c>
      <c r="E100" s="87"/>
      <c r="F100" s="87">
        <v>1</v>
      </c>
      <c r="G100" s="88">
        <v>60.5</v>
      </c>
      <c r="H100" s="88">
        <f t="shared" si="5"/>
        <v>19.267515923566879</v>
      </c>
      <c r="I100" s="89">
        <f t="shared" si="3"/>
        <v>105.38349665761297</v>
      </c>
      <c r="J100" s="89">
        <f>I100*'Key Data'!$F$3</f>
        <v>26.345874164403241</v>
      </c>
      <c r="K100" s="89">
        <f t="shared" si="4"/>
        <v>131.72937082201622</v>
      </c>
      <c r="L100" s="397">
        <f>SUM(K100:K124)/1000</f>
        <v>2.8111508227357009</v>
      </c>
      <c r="M100" s="344">
        <f>(L100/625)*10000</f>
        <v>44.978413163771215</v>
      </c>
    </row>
    <row r="101" spans="2:13">
      <c r="B101" s="400"/>
      <c r="C101" s="408"/>
      <c r="D101" s="87">
        <v>13.2402</v>
      </c>
      <c r="E101" s="87">
        <v>79.267150000000001</v>
      </c>
      <c r="F101" s="87">
        <v>2</v>
      </c>
      <c r="G101" s="88">
        <v>61</v>
      </c>
      <c r="H101" s="88">
        <f t="shared" si="5"/>
        <v>19.426751592356688</v>
      </c>
      <c r="I101" s="89">
        <f t="shared" si="3"/>
        <v>105.52821094553939</v>
      </c>
      <c r="J101" s="89">
        <f>I101*'Key Data'!$F$3</f>
        <v>26.382052736384846</v>
      </c>
      <c r="K101" s="89">
        <f t="shared" si="4"/>
        <v>131.91026368192422</v>
      </c>
      <c r="L101" s="397"/>
      <c r="M101" s="344"/>
    </row>
    <row r="102" spans="2:13">
      <c r="B102" s="400"/>
      <c r="C102" s="408"/>
      <c r="D102" s="87" t="s">
        <v>445</v>
      </c>
      <c r="E102" s="87"/>
      <c r="F102" s="87">
        <v>3</v>
      </c>
      <c r="G102" s="88">
        <v>37</v>
      </c>
      <c r="H102" s="88">
        <f t="shared" si="5"/>
        <v>11.783439490445859</v>
      </c>
      <c r="I102" s="89">
        <f t="shared" si="3"/>
        <v>86.021612861952391</v>
      </c>
      <c r="J102" s="89">
        <f>I102*'Key Data'!$F$3</f>
        <v>21.505403215488098</v>
      </c>
      <c r="K102" s="89">
        <f t="shared" si="4"/>
        <v>107.52701607744049</v>
      </c>
      <c r="L102" s="397"/>
      <c r="M102" s="344"/>
    </row>
    <row r="103" spans="2:13">
      <c r="B103" s="400"/>
      <c r="C103" s="408"/>
      <c r="D103" s="87">
        <v>13.239990000000001</v>
      </c>
      <c r="E103" s="87">
        <v>79.267169999999993</v>
      </c>
      <c r="F103" s="87">
        <v>4</v>
      </c>
      <c r="G103" s="88">
        <v>84</v>
      </c>
      <c r="H103" s="88">
        <f t="shared" si="5"/>
        <v>26.751592356687897</v>
      </c>
      <c r="I103" s="89">
        <f t="shared" si="3"/>
        <v>108.48463724021084</v>
      </c>
      <c r="J103" s="89">
        <f>I103*'Key Data'!$F$3</f>
        <v>27.121159310052711</v>
      </c>
      <c r="K103" s="89">
        <f t="shared" si="4"/>
        <v>135.60579655026356</v>
      </c>
      <c r="L103" s="397"/>
      <c r="M103" s="344"/>
    </row>
    <row r="104" spans="2:13">
      <c r="B104" s="400"/>
      <c r="C104" s="408"/>
      <c r="D104" s="87" t="s">
        <v>446</v>
      </c>
      <c r="E104" s="87"/>
      <c r="F104" s="87">
        <v>5</v>
      </c>
      <c r="G104" s="88">
        <v>45</v>
      </c>
      <c r="H104" s="88">
        <f t="shared" si="5"/>
        <v>14.331210191082802</v>
      </c>
      <c r="I104" s="89">
        <f t="shared" si="3"/>
        <v>96.479001445443316</v>
      </c>
      <c r="J104" s="89">
        <f>I104*'Key Data'!$F$3</f>
        <v>24.119750361360829</v>
      </c>
      <c r="K104" s="89">
        <f t="shared" si="4"/>
        <v>120.59875180680415</v>
      </c>
      <c r="L104" s="397"/>
      <c r="M104" s="344"/>
    </row>
    <row r="105" spans="2:13">
      <c r="B105" s="400"/>
      <c r="C105" s="408"/>
      <c r="D105" s="87">
        <v>13.239990000000001</v>
      </c>
      <c r="E105" s="87">
        <v>79.267380000000003</v>
      </c>
      <c r="F105" s="87">
        <v>6</v>
      </c>
      <c r="G105" s="88">
        <v>40.5</v>
      </c>
      <c r="H105" s="88">
        <f t="shared" si="5"/>
        <v>12.898089171974522</v>
      </c>
      <c r="I105" s="89">
        <f t="shared" si="3"/>
        <v>91.303304541138814</v>
      </c>
      <c r="J105" s="89">
        <f>I105*'Key Data'!$F$3</f>
        <v>22.825826135284704</v>
      </c>
      <c r="K105" s="89">
        <f t="shared" si="4"/>
        <v>114.12913067642351</v>
      </c>
      <c r="L105" s="397"/>
      <c r="M105" s="344"/>
    </row>
    <row r="106" spans="2:13">
      <c r="B106" s="400"/>
      <c r="C106" s="408"/>
      <c r="D106" s="87" t="s">
        <v>447</v>
      </c>
      <c r="E106" s="87"/>
      <c r="F106" s="87">
        <v>7</v>
      </c>
      <c r="G106" s="88">
        <v>58</v>
      </c>
      <c r="H106" s="88">
        <f t="shared" si="5"/>
        <v>18.471337579617835</v>
      </c>
      <c r="I106" s="89">
        <f t="shared" si="3"/>
        <v>104.56657614406886</v>
      </c>
      <c r="J106" s="89">
        <f>I106*'Key Data'!$F$3</f>
        <v>26.141644036017215</v>
      </c>
      <c r="K106" s="89">
        <f t="shared" si="4"/>
        <v>130.70822018008607</v>
      </c>
      <c r="L106" s="397"/>
      <c r="M106" s="344"/>
    </row>
    <row r="107" spans="2:13">
      <c r="B107" s="400"/>
      <c r="C107" s="408"/>
      <c r="D107" s="87">
        <v>13.2402</v>
      </c>
      <c r="E107" s="87">
        <v>79.267359999999996</v>
      </c>
      <c r="F107" s="87">
        <v>8</v>
      </c>
      <c r="G107" s="88">
        <v>55</v>
      </c>
      <c r="H107" s="88">
        <f t="shared" si="5"/>
        <v>17.515923566878982</v>
      </c>
      <c r="I107" s="89">
        <f t="shared" si="3"/>
        <v>103.34658411791347</v>
      </c>
      <c r="J107" s="89">
        <f>I107*'Key Data'!$F$3</f>
        <v>25.836646029478366</v>
      </c>
      <c r="K107" s="89">
        <f t="shared" si="4"/>
        <v>129.18323014739184</v>
      </c>
      <c r="L107" s="397"/>
      <c r="M107" s="344"/>
    </row>
    <row r="108" spans="2:13">
      <c r="B108" s="400"/>
      <c r="C108" s="408"/>
      <c r="D108" s="87" t="s">
        <v>448</v>
      </c>
      <c r="E108" s="87"/>
      <c r="F108" s="87">
        <v>9</v>
      </c>
      <c r="G108" s="88">
        <v>73</v>
      </c>
      <c r="H108" s="88">
        <f t="shared" si="5"/>
        <v>23.248407643312103</v>
      </c>
      <c r="I108" s="89">
        <f t="shared" si="3"/>
        <v>107.70794503131887</v>
      </c>
      <c r="J108" s="89">
        <f>I108*'Key Data'!$F$3</f>
        <v>26.926986257829718</v>
      </c>
      <c r="K108" s="89">
        <f t="shared" si="4"/>
        <v>134.6349312891486</v>
      </c>
      <c r="L108" s="397"/>
      <c r="M108" s="344"/>
    </row>
    <row r="109" spans="2:13">
      <c r="B109" s="400"/>
      <c r="C109" s="408"/>
      <c r="D109" s="87">
        <v>13.240119999999999</v>
      </c>
      <c r="E109" s="87">
        <v>79.267300000000006</v>
      </c>
      <c r="F109" s="87">
        <v>10</v>
      </c>
      <c r="G109" s="88">
        <v>55</v>
      </c>
      <c r="H109" s="88">
        <f t="shared" si="5"/>
        <v>17.515923566878982</v>
      </c>
      <c r="I109" s="89">
        <f t="shared" si="3"/>
        <v>103.34658411791347</v>
      </c>
      <c r="J109" s="89">
        <f>I109*'Key Data'!$F$3</f>
        <v>25.836646029478366</v>
      </c>
      <c r="K109" s="89">
        <f t="shared" si="4"/>
        <v>129.18323014739184</v>
      </c>
      <c r="L109" s="397"/>
      <c r="M109" s="344"/>
    </row>
    <row r="110" spans="2:13">
      <c r="B110" s="400"/>
      <c r="C110" s="408"/>
      <c r="D110" s="87"/>
      <c r="E110" s="87"/>
      <c r="F110" s="87">
        <v>11</v>
      </c>
      <c r="G110" s="88">
        <v>46.5</v>
      </c>
      <c r="H110" s="88">
        <f t="shared" si="5"/>
        <v>14.808917197452228</v>
      </c>
      <c r="I110" s="89">
        <f t="shared" si="3"/>
        <v>97.864972653012515</v>
      </c>
      <c r="J110" s="89">
        <f>I110*'Key Data'!$F$3</f>
        <v>24.466243163253129</v>
      </c>
      <c r="K110" s="89">
        <f t="shared" si="4"/>
        <v>122.33121581626564</v>
      </c>
      <c r="L110" s="397"/>
      <c r="M110" s="344"/>
    </row>
    <row r="111" spans="2:13">
      <c r="B111" s="400"/>
      <c r="C111" s="408"/>
      <c r="D111" s="87"/>
      <c r="E111" s="87"/>
      <c r="F111" s="87">
        <v>12</v>
      </c>
      <c r="G111" s="88">
        <v>55</v>
      </c>
      <c r="H111" s="88">
        <f t="shared" si="5"/>
        <v>17.515923566878982</v>
      </c>
      <c r="I111" s="89">
        <f t="shared" si="3"/>
        <v>103.34658411791347</v>
      </c>
      <c r="J111" s="89">
        <f>I111*'Key Data'!$F$3</f>
        <v>25.836646029478366</v>
      </c>
      <c r="K111" s="89">
        <f t="shared" si="4"/>
        <v>129.18323014739184</v>
      </c>
      <c r="L111" s="397"/>
      <c r="M111" s="344"/>
    </row>
    <row r="112" spans="2:13">
      <c r="B112" s="400"/>
      <c r="C112" s="408"/>
      <c r="D112" s="87"/>
      <c r="E112" s="87"/>
      <c r="F112" s="87">
        <v>13</v>
      </c>
      <c r="G112" s="88">
        <v>58</v>
      </c>
      <c r="H112" s="88">
        <f t="shared" si="5"/>
        <v>18.471337579617835</v>
      </c>
      <c r="I112" s="89">
        <f t="shared" si="3"/>
        <v>104.56657614406886</v>
      </c>
      <c r="J112" s="89">
        <f>I112*'Key Data'!$F$3</f>
        <v>26.141644036017215</v>
      </c>
      <c r="K112" s="89">
        <f t="shared" si="4"/>
        <v>130.70822018008607</v>
      </c>
      <c r="L112" s="397"/>
      <c r="M112" s="344"/>
    </row>
    <row r="113" spans="2:13">
      <c r="B113" s="400"/>
      <c r="C113" s="408"/>
      <c r="D113" s="87"/>
      <c r="E113" s="87"/>
      <c r="F113" s="87">
        <v>14</v>
      </c>
      <c r="G113" s="88">
        <v>29.5</v>
      </c>
      <c r="H113" s="88">
        <f t="shared" si="5"/>
        <v>9.3949044585987256</v>
      </c>
      <c r="I113" s="89">
        <f t="shared" si="3"/>
        <v>70.155743607976532</v>
      </c>
      <c r="J113" s="89">
        <f>I113*'Key Data'!$F$3</f>
        <v>17.538935901994133</v>
      </c>
      <c r="K113" s="89">
        <f t="shared" si="4"/>
        <v>87.694679509970669</v>
      </c>
      <c r="L113" s="397"/>
      <c r="M113" s="344"/>
    </row>
    <row r="114" spans="2:13">
      <c r="B114" s="400"/>
      <c r="C114" s="408"/>
      <c r="D114" s="87"/>
      <c r="E114" s="87"/>
      <c r="F114" s="87">
        <v>15</v>
      </c>
      <c r="G114" s="88">
        <v>37</v>
      </c>
      <c r="H114" s="88">
        <f t="shared" si="5"/>
        <v>11.783439490445859</v>
      </c>
      <c r="I114" s="89">
        <f t="shared" si="3"/>
        <v>86.021612861952391</v>
      </c>
      <c r="J114" s="89">
        <f>I114*'Key Data'!$F$3</f>
        <v>21.505403215488098</v>
      </c>
      <c r="K114" s="89">
        <f t="shared" si="4"/>
        <v>107.52701607744049</v>
      </c>
      <c r="L114" s="397"/>
      <c r="M114" s="344"/>
    </row>
    <row r="115" spans="2:13">
      <c r="B115" s="400"/>
      <c r="C115" s="408"/>
      <c r="D115" s="87"/>
      <c r="E115" s="87"/>
      <c r="F115" s="87">
        <v>16</v>
      </c>
      <c r="G115" s="88">
        <v>34</v>
      </c>
      <c r="H115" s="88">
        <f t="shared" si="5"/>
        <v>10.828025477707007</v>
      </c>
      <c r="I115" s="89">
        <f t="shared" si="3"/>
        <v>80.464228929838299</v>
      </c>
      <c r="J115" s="89">
        <f>I115*'Key Data'!$F$3</f>
        <v>20.116057232459575</v>
      </c>
      <c r="K115" s="89">
        <f t="shared" si="4"/>
        <v>100.58028616229788</v>
      </c>
      <c r="L115" s="397"/>
      <c r="M115" s="344"/>
    </row>
    <row r="116" spans="2:13">
      <c r="B116" s="400"/>
      <c r="C116" s="408"/>
      <c r="D116" s="87"/>
      <c r="E116" s="87"/>
      <c r="F116" s="87">
        <v>17</v>
      </c>
      <c r="G116" s="88">
        <v>23</v>
      </c>
      <c r="H116" s="88">
        <f t="shared" si="5"/>
        <v>7.3248407643312099</v>
      </c>
      <c r="I116" s="89">
        <f t="shared" si="3"/>
        <v>51.239114516497587</v>
      </c>
      <c r="J116" s="89">
        <f>I116*'Key Data'!$F$3</f>
        <v>12.809778629124397</v>
      </c>
      <c r="K116" s="89">
        <f t="shared" si="4"/>
        <v>64.048893145621989</v>
      </c>
      <c r="L116" s="397"/>
      <c r="M116" s="344"/>
    </row>
    <row r="117" spans="2:13">
      <c r="B117" s="400"/>
      <c r="C117" s="408"/>
      <c r="D117" s="87"/>
      <c r="E117" s="87"/>
      <c r="F117" s="87">
        <v>18</v>
      </c>
      <c r="G117" s="88">
        <v>35</v>
      </c>
      <c r="H117" s="88">
        <f t="shared" si="5"/>
        <v>11.146496815286623</v>
      </c>
      <c r="I117" s="89">
        <f t="shared" si="3"/>
        <v>82.429329470591512</v>
      </c>
      <c r="J117" s="89">
        <f>I117*'Key Data'!$F$3</f>
        <v>20.607332367647878</v>
      </c>
      <c r="K117" s="89">
        <f t="shared" si="4"/>
        <v>103.03666183823938</v>
      </c>
      <c r="L117" s="397"/>
      <c r="M117" s="344"/>
    </row>
    <row r="118" spans="2:13">
      <c r="B118" s="400"/>
      <c r="C118" s="408"/>
      <c r="D118" s="87"/>
      <c r="E118" s="87"/>
      <c r="F118" s="87">
        <v>19</v>
      </c>
      <c r="G118" s="88">
        <v>31.5</v>
      </c>
      <c r="H118" s="88">
        <f t="shared" si="5"/>
        <v>10.031847133757962</v>
      </c>
      <c r="I118" s="89">
        <f t="shared" si="3"/>
        <v>75.036957906877177</v>
      </c>
      <c r="J118" s="89">
        <f>I118*'Key Data'!$F$3</f>
        <v>18.759239476719294</v>
      </c>
      <c r="K118" s="89">
        <f t="shared" si="4"/>
        <v>93.796197383596478</v>
      </c>
      <c r="L118" s="397"/>
      <c r="M118" s="344"/>
    </row>
    <row r="119" spans="2:13">
      <c r="B119" s="400"/>
      <c r="C119" s="408"/>
      <c r="D119" s="87"/>
      <c r="E119" s="87"/>
      <c r="F119" s="87">
        <v>20</v>
      </c>
      <c r="G119" s="88">
        <v>47</v>
      </c>
      <c r="H119" s="88">
        <f t="shared" si="5"/>
        <v>14.968152866242038</v>
      </c>
      <c r="I119" s="89">
        <f t="shared" si="3"/>
        <v>98.293983126644591</v>
      </c>
      <c r="J119" s="89">
        <f>I119*'Key Data'!$F$3</f>
        <v>24.573495781661148</v>
      </c>
      <c r="K119" s="89">
        <f t="shared" si="4"/>
        <v>122.86747890830574</v>
      </c>
      <c r="L119" s="397"/>
      <c r="M119" s="344"/>
    </row>
    <row r="120" spans="2:13">
      <c r="B120" s="400"/>
      <c r="C120" s="408"/>
      <c r="D120" s="87"/>
      <c r="E120" s="87"/>
      <c r="F120" s="87">
        <v>21</v>
      </c>
      <c r="G120" s="88">
        <v>29</v>
      </c>
      <c r="H120" s="88">
        <f t="shared" si="5"/>
        <v>9.2356687898089174</v>
      </c>
      <c r="I120" s="89">
        <f t="shared" si="3"/>
        <v>68.860872127670262</v>
      </c>
      <c r="J120" s="89">
        <f>I120*'Key Data'!$F$3</f>
        <v>17.215218031917566</v>
      </c>
      <c r="K120" s="89">
        <f t="shared" si="4"/>
        <v>86.076090159587835</v>
      </c>
      <c r="L120" s="397"/>
      <c r="M120" s="344"/>
    </row>
    <row r="121" spans="2:13">
      <c r="B121" s="400"/>
      <c r="C121" s="408"/>
      <c r="D121" s="87"/>
      <c r="E121" s="87"/>
      <c r="F121" s="87">
        <v>22</v>
      </c>
      <c r="G121" s="88">
        <v>56</v>
      </c>
      <c r="H121" s="88">
        <f t="shared" si="5"/>
        <v>17.834394904458598</v>
      </c>
      <c r="I121" s="89">
        <f t="shared" si="3"/>
        <v>103.78569539111585</v>
      </c>
      <c r="J121" s="89">
        <f>I121*'Key Data'!$F$3</f>
        <v>25.946423847778963</v>
      </c>
      <c r="K121" s="89">
        <f t="shared" si="4"/>
        <v>129.73211923889482</v>
      </c>
      <c r="L121" s="397"/>
      <c r="M121" s="344"/>
    </row>
    <row r="122" spans="2:13">
      <c r="B122" s="400"/>
      <c r="C122" s="408"/>
      <c r="D122" s="87"/>
      <c r="E122" s="87"/>
      <c r="F122" s="87">
        <v>23</v>
      </c>
      <c r="G122" s="88">
        <v>70</v>
      </c>
      <c r="H122" s="88">
        <f t="shared" si="5"/>
        <v>22.292993630573246</v>
      </c>
      <c r="I122" s="89">
        <f t="shared" si="3"/>
        <v>107.34351711564463</v>
      </c>
      <c r="J122" s="89">
        <f>I122*'Key Data'!$F$3</f>
        <v>26.835879278911158</v>
      </c>
      <c r="K122" s="89">
        <f t="shared" si="4"/>
        <v>134.17939639455579</v>
      </c>
      <c r="L122" s="397"/>
      <c r="M122" s="344"/>
    </row>
    <row r="123" spans="2:13">
      <c r="B123" s="400"/>
      <c r="C123" s="408"/>
      <c r="D123" s="87"/>
      <c r="E123" s="87"/>
      <c r="F123" s="87">
        <v>24</v>
      </c>
      <c r="G123" s="88">
        <v>70</v>
      </c>
      <c r="H123" s="88">
        <f t="shared" si="5"/>
        <v>22.292993630573246</v>
      </c>
      <c r="I123" s="89">
        <f t="shared" si="3"/>
        <v>107.34351711564463</v>
      </c>
      <c r="J123" s="89">
        <f>I123*'Key Data'!$F$3</f>
        <v>26.835879278911158</v>
      </c>
      <c r="K123" s="89">
        <f t="shared" si="4"/>
        <v>134.17939639455579</v>
      </c>
      <c r="L123" s="397"/>
      <c r="M123" s="344"/>
    </row>
    <row r="124" spans="2:13" ht="15.75" thickBot="1">
      <c r="B124" s="401"/>
      <c r="C124" s="409"/>
      <c r="D124" s="91"/>
      <c r="E124" s="91"/>
      <c r="F124" s="91">
        <v>25</v>
      </c>
      <c r="G124" s="92" t="s">
        <v>472</v>
      </c>
      <c r="H124" s="92" t="s">
        <v>472</v>
      </c>
      <c r="I124" s="88" t="s">
        <v>472</v>
      </c>
      <c r="J124" s="88" t="s">
        <v>472</v>
      </c>
      <c r="K124" s="88" t="s">
        <v>472</v>
      </c>
      <c r="L124" s="397"/>
      <c r="M124" s="344"/>
    </row>
    <row r="125" spans="2:13">
      <c r="B125" s="67"/>
      <c r="C125" s="68"/>
      <c r="D125" s="67"/>
      <c r="E125" s="67"/>
      <c r="F125" s="67"/>
      <c r="G125" s="67"/>
      <c r="H125" s="67"/>
    </row>
  </sheetData>
  <mergeCells count="28">
    <mergeCell ref="B100:B124"/>
    <mergeCell ref="C4:C19"/>
    <mergeCell ref="C20:C35"/>
    <mergeCell ref="C36:C51"/>
    <mergeCell ref="C52:C67"/>
    <mergeCell ref="C68:C83"/>
    <mergeCell ref="C84:C99"/>
    <mergeCell ref="C100:C124"/>
    <mergeCell ref="B52:B67"/>
    <mergeCell ref="B68:B83"/>
    <mergeCell ref="B84:B99"/>
    <mergeCell ref="B4:B19"/>
    <mergeCell ref="B20:B35"/>
    <mergeCell ref="B36:B51"/>
    <mergeCell ref="L100:L124"/>
    <mergeCell ref="M4:M19"/>
    <mergeCell ref="M20:M35"/>
    <mergeCell ref="M36:M51"/>
    <mergeCell ref="M52:M67"/>
    <mergeCell ref="M68:M83"/>
    <mergeCell ref="M84:M99"/>
    <mergeCell ref="M100:M124"/>
    <mergeCell ref="L4:L19"/>
    <mergeCell ref="L20:L35"/>
    <mergeCell ref="L36:L51"/>
    <mergeCell ref="L52:L67"/>
    <mergeCell ref="L68:L83"/>
    <mergeCell ref="L84:L99"/>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DB49C-9EE2-455F-BD2E-2E7100D5E0C8}">
  <dimension ref="A2:M71"/>
  <sheetViews>
    <sheetView workbookViewId="0">
      <selection activeCell="B3" sqref="B3:M3"/>
    </sheetView>
  </sheetViews>
  <sheetFormatPr defaultRowHeight="15"/>
  <cols>
    <col min="3" max="3" width="22.85546875" bestFit="1" customWidth="1"/>
  </cols>
  <sheetData>
    <row r="2" spans="1:13" ht="15.75" thickBot="1"/>
    <row r="3" spans="1:13" ht="81.75">
      <c r="A3" s="99"/>
      <c r="B3" s="272" t="s">
        <v>432</v>
      </c>
      <c r="C3" s="23" t="s">
        <v>433</v>
      </c>
      <c r="D3" s="23" t="s">
        <v>434</v>
      </c>
      <c r="E3" s="23" t="s">
        <v>435</v>
      </c>
      <c r="F3" s="23" t="s">
        <v>436</v>
      </c>
      <c r="G3" s="23" t="s">
        <v>437</v>
      </c>
      <c r="H3" s="273" t="s">
        <v>438</v>
      </c>
      <c r="I3" s="272" t="s">
        <v>439</v>
      </c>
      <c r="J3" s="272" t="s">
        <v>440</v>
      </c>
      <c r="K3" s="272" t="s">
        <v>441</v>
      </c>
      <c r="L3" s="272" t="s">
        <v>442</v>
      </c>
      <c r="M3" s="272" t="s">
        <v>443</v>
      </c>
    </row>
    <row r="4" spans="1:13" ht="15.75">
      <c r="A4" s="99"/>
      <c r="B4" s="416">
        <v>1</v>
      </c>
      <c r="C4" s="417" t="s">
        <v>473</v>
      </c>
      <c r="D4" s="103" t="s">
        <v>350</v>
      </c>
      <c r="E4" s="103"/>
      <c r="F4" s="102">
        <v>1</v>
      </c>
      <c r="G4" s="104">
        <v>53.8</v>
      </c>
      <c r="H4" s="105">
        <f t="shared" ref="H4:H35" si="0">G4/3.14</f>
        <v>17.133757961783438</v>
      </c>
      <c r="I4" s="95">
        <f>30.4*EXP(-5.07*EXP(-0.26*H4)+1.277)</f>
        <v>102.77215507092428</v>
      </c>
      <c r="J4" s="95">
        <f>I4*'Key Data'!$F$3</f>
        <v>25.693038767731071</v>
      </c>
      <c r="K4" s="95">
        <f>J4+I4</f>
        <v>128.46519383865535</v>
      </c>
      <c r="L4" s="359">
        <f>SUM(K4:K19)/1000</f>
        <v>1.8505146117174769</v>
      </c>
      <c r="M4" s="359">
        <f>(L4/625)*10000</f>
        <v>29.60823378747963</v>
      </c>
    </row>
    <row r="5" spans="1:13" ht="15.75">
      <c r="A5" s="99"/>
      <c r="B5" s="416"/>
      <c r="C5" s="417"/>
      <c r="D5" s="103">
        <v>13.303895000000001</v>
      </c>
      <c r="E5" s="103">
        <v>79.210099999999997</v>
      </c>
      <c r="F5" s="102">
        <v>2</v>
      </c>
      <c r="G5" s="104">
        <v>37</v>
      </c>
      <c r="H5" s="105">
        <f t="shared" si="0"/>
        <v>11.783439490445859</v>
      </c>
      <c r="I5" s="95">
        <f t="shared" ref="I5:I68" si="1">30.4*EXP(-5.07*EXP(-0.26*H5)+1.277)</f>
        <v>86.021612861952391</v>
      </c>
      <c r="J5" s="95">
        <f>I5*'Key Data'!$F$3</f>
        <v>21.505403215488098</v>
      </c>
      <c r="K5" s="95">
        <f t="shared" ref="K5:K68" si="2">J5+I5</f>
        <v>107.52701607744049</v>
      </c>
      <c r="L5" s="359"/>
      <c r="M5" s="359"/>
    </row>
    <row r="6" spans="1:13" ht="15.75">
      <c r="A6" s="99"/>
      <c r="B6" s="416"/>
      <c r="C6" s="417"/>
      <c r="D6" s="103" t="s">
        <v>445</v>
      </c>
      <c r="E6" s="103"/>
      <c r="F6" s="102">
        <v>3</v>
      </c>
      <c r="G6" s="104">
        <v>53</v>
      </c>
      <c r="H6" s="105">
        <f t="shared" si="0"/>
        <v>16.878980891719745</v>
      </c>
      <c r="I6" s="95">
        <f t="shared" si="1"/>
        <v>102.35823199607594</v>
      </c>
      <c r="J6" s="95">
        <f>I6*'Key Data'!$F$3</f>
        <v>25.589557999018986</v>
      </c>
      <c r="K6" s="95">
        <f t="shared" si="2"/>
        <v>127.94778999509492</v>
      </c>
      <c r="L6" s="359"/>
      <c r="M6" s="359"/>
    </row>
    <row r="7" spans="1:13" ht="15.75">
      <c r="A7" s="99"/>
      <c r="B7" s="416"/>
      <c r="C7" s="417"/>
      <c r="D7" s="103">
        <v>13.303846999999999</v>
      </c>
      <c r="E7" s="103">
        <v>79.209905000000006</v>
      </c>
      <c r="F7" s="102">
        <v>4</v>
      </c>
      <c r="G7" s="104">
        <v>33.5</v>
      </c>
      <c r="H7" s="105">
        <f t="shared" si="0"/>
        <v>10.668789808917197</v>
      </c>
      <c r="I7" s="95">
        <f t="shared" si="1"/>
        <v>79.438108670558591</v>
      </c>
      <c r="J7" s="95">
        <f>I7*'Key Data'!$F$3</f>
        <v>19.859527167639648</v>
      </c>
      <c r="K7" s="95">
        <f t="shared" si="2"/>
        <v>99.297635838198232</v>
      </c>
      <c r="L7" s="359"/>
      <c r="M7" s="359"/>
    </row>
    <row r="8" spans="1:13" ht="15.75">
      <c r="A8" s="99"/>
      <c r="B8" s="416"/>
      <c r="C8" s="417"/>
      <c r="D8" s="103" t="s">
        <v>446</v>
      </c>
      <c r="E8" s="103"/>
      <c r="F8" s="102">
        <v>5</v>
      </c>
      <c r="G8" s="104">
        <v>45.5</v>
      </c>
      <c r="H8" s="105">
        <f t="shared" si="0"/>
        <v>14.490445859872612</v>
      </c>
      <c r="I8" s="95">
        <f t="shared" si="1"/>
        <v>96.958006569531705</v>
      </c>
      <c r="J8" s="95">
        <f>I8*'Key Data'!$F$3</f>
        <v>24.239501642382926</v>
      </c>
      <c r="K8" s="95">
        <f t="shared" si="2"/>
        <v>121.19750821191462</v>
      </c>
      <c r="L8" s="359"/>
      <c r="M8" s="359"/>
    </row>
    <row r="9" spans="1:13" ht="15.75">
      <c r="A9" s="99"/>
      <c r="B9" s="416"/>
      <c r="C9" s="417"/>
      <c r="D9" s="103">
        <v>13.303667000000001</v>
      </c>
      <c r="E9" s="103">
        <v>79.209975</v>
      </c>
      <c r="F9" s="102">
        <v>6</v>
      </c>
      <c r="G9" s="104">
        <v>49</v>
      </c>
      <c r="H9" s="105">
        <f t="shared" si="0"/>
        <v>15.605095541401273</v>
      </c>
      <c r="I9" s="95">
        <f t="shared" si="1"/>
        <v>99.85866326147945</v>
      </c>
      <c r="J9" s="95">
        <f>I9*'Key Data'!$F$3</f>
        <v>24.964665815369862</v>
      </c>
      <c r="K9" s="95">
        <f t="shared" si="2"/>
        <v>124.82332907684932</v>
      </c>
      <c r="L9" s="359"/>
      <c r="M9" s="359"/>
    </row>
    <row r="10" spans="1:13" ht="15.75">
      <c r="A10" s="99"/>
      <c r="B10" s="416"/>
      <c r="C10" s="417"/>
      <c r="D10" s="103" t="s">
        <v>447</v>
      </c>
      <c r="E10" s="103"/>
      <c r="F10" s="102">
        <v>7</v>
      </c>
      <c r="G10" s="104">
        <v>48.5</v>
      </c>
      <c r="H10" s="105">
        <f t="shared" si="0"/>
        <v>15.445859872611464</v>
      </c>
      <c r="I10" s="95">
        <f t="shared" si="1"/>
        <v>99.48921792052343</v>
      </c>
      <c r="J10" s="95">
        <f>I10*'Key Data'!$F$3</f>
        <v>24.872304480130857</v>
      </c>
      <c r="K10" s="95">
        <f t="shared" si="2"/>
        <v>124.36152240065428</v>
      </c>
      <c r="L10" s="359"/>
      <c r="M10" s="359"/>
    </row>
    <row r="11" spans="1:13" ht="15.75">
      <c r="A11" s="99"/>
      <c r="B11" s="416"/>
      <c r="C11" s="417"/>
      <c r="D11" s="103">
        <v>13.303739999999999</v>
      </c>
      <c r="E11" s="103">
        <v>79.210121999999998</v>
      </c>
      <c r="F11" s="102">
        <v>8</v>
      </c>
      <c r="G11" s="104">
        <v>52</v>
      </c>
      <c r="H11" s="105">
        <f t="shared" si="0"/>
        <v>16.560509554140125</v>
      </c>
      <c r="I11" s="95">
        <f t="shared" si="1"/>
        <v>101.80337313799038</v>
      </c>
      <c r="J11" s="95">
        <f>I11*'Key Data'!$F$3</f>
        <v>25.450843284497594</v>
      </c>
      <c r="K11" s="95">
        <f t="shared" si="2"/>
        <v>127.25421642248797</v>
      </c>
      <c r="L11" s="359"/>
      <c r="M11" s="359"/>
    </row>
    <row r="12" spans="1:13" ht="15.75">
      <c r="A12" s="99"/>
      <c r="B12" s="416"/>
      <c r="C12" s="417"/>
      <c r="D12" s="103" t="s">
        <v>448</v>
      </c>
      <c r="E12" s="103"/>
      <c r="F12" s="102">
        <v>9</v>
      </c>
      <c r="G12" s="104">
        <v>53.5</v>
      </c>
      <c r="H12" s="105">
        <f t="shared" si="0"/>
        <v>17.038216560509554</v>
      </c>
      <c r="I12" s="95">
        <f t="shared" si="1"/>
        <v>102.61994382473823</v>
      </c>
      <c r="J12" s="95">
        <f>I12*'Key Data'!$F$3</f>
        <v>25.654985956184557</v>
      </c>
      <c r="K12" s="95">
        <f t="shared" si="2"/>
        <v>128.27492978092278</v>
      </c>
      <c r="L12" s="359"/>
      <c r="M12" s="359"/>
    </row>
    <row r="13" spans="1:13" ht="15.75">
      <c r="A13" s="99"/>
      <c r="B13" s="416"/>
      <c r="C13" s="417"/>
      <c r="D13" s="103">
        <v>13.303807000000001</v>
      </c>
      <c r="E13" s="103">
        <v>79.209964999999997</v>
      </c>
      <c r="F13" s="102">
        <v>10</v>
      </c>
      <c r="G13" s="104">
        <v>45</v>
      </c>
      <c r="H13" s="105">
        <f t="shared" si="0"/>
        <v>14.331210191082802</v>
      </c>
      <c r="I13" s="95">
        <f t="shared" si="1"/>
        <v>96.479001445443316</v>
      </c>
      <c r="J13" s="95">
        <f>I13*'Key Data'!$F$3</f>
        <v>24.119750361360829</v>
      </c>
      <c r="K13" s="95">
        <f t="shared" si="2"/>
        <v>120.59875180680415</v>
      </c>
      <c r="L13" s="359"/>
      <c r="M13" s="359"/>
    </row>
    <row r="14" spans="1:13" ht="15.75">
      <c r="A14" s="99"/>
      <c r="B14" s="416"/>
      <c r="C14" s="417"/>
      <c r="D14" s="103"/>
      <c r="E14" s="103"/>
      <c r="F14" s="102">
        <v>11</v>
      </c>
      <c r="G14" s="104">
        <v>39.5</v>
      </c>
      <c r="H14" s="105">
        <f t="shared" si="0"/>
        <v>12.579617834394904</v>
      </c>
      <c r="I14" s="95">
        <f t="shared" si="1"/>
        <v>89.916816641509769</v>
      </c>
      <c r="J14" s="95">
        <f>I14*'Key Data'!$F$3</f>
        <v>22.479204160377442</v>
      </c>
      <c r="K14" s="95">
        <f t="shared" si="2"/>
        <v>112.3960208018872</v>
      </c>
      <c r="L14" s="359"/>
      <c r="M14" s="359"/>
    </row>
    <row r="15" spans="1:13" ht="15.75">
      <c r="A15" s="99"/>
      <c r="B15" s="416"/>
      <c r="C15" s="417"/>
      <c r="D15" s="103"/>
      <c r="E15" s="103"/>
      <c r="F15" s="102">
        <v>12</v>
      </c>
      <c r="G15" s="104">
        <v>42</v>
      </c>
      <c r="H15" s="105">
        <f t="shared" si="0"/>
        <v>13.375796178343949</v>
      </c>
      <c r="I15" s="95">
        <f t="shared" si="1"/>
        <v>93.213305341133093</v>
      </c>
      <c r="J15" s="95">
        <f>I15*'Key Data'!$F$3</f>
        <v>23.303326335283273</v>
      </c>
      <c r="K15" s="95">
        <f t="shared" si="2"/>
        <v>116.51663167641637</v>
      </c>
      <c r="L15" s="359"/>
      <c r="M15" s="359"/>
    </row>
    <row r="16" spans="1:13" ht="15.75">
      <c r="A16" s="99"/>
      <c r="B16" s="416"/>
      <c r="C16" s="417"/>
      <c r="D16" s="103"/>
      <c r="E16" s="103"/>
      <c r="F16" s="102">
        <v>13</v>
      </c>
      <c r="G16" s="104">
        <v>47.5</v>
      </c>
      <c r="H16" s="105">
        <f t="shared" si="0"/>
        <v>15.127388535031846</v>
      </c>
      <c r="I16" s="95">
        <f t="shared" si="1"/>
        <v>98.707362361024764</v>
      </c>
      <c r="J16" s="95">
        <f>I16*'Key Data'!$F$3</f>
        <v>24.676840590256191</v>
      </c>
      <c r="K16" s="95">
        <f t="shared" si="2"/>
        <v>123.38420295128095</v>
      </c>
      <c r="L16" s="359"/>
      <c r="M16" s="359"/>
    </row>
    <row r="17" spans="1:13" ht="15.75">
      <c r="A17" s="99"/>
      <c r="B17" s="416"/>
      <c r="C17" s="417"/>
      <c r="D17" s="103"/>
      <c r="E17" s="103"/>
      <c r="F17" s="102">
        <v>14</v>
      </c>
      <c r="G17" s="104">
        <v>32.5</v>
      </c>
      <c r="H17" s="105">
        <f t="shared" si="0"/>
        <v>10.350318471337578</v>
      </c>
      <c r="I17" s="95">
        <f t="shared" si="1"/>
        <v>77.297274597536656</v>
      </c>
      <c r="J17" s="95">
        <f>I17*'Key Data'!$F$3</f>
        <v>19.324318649384164</v>
      </c>
      <c r="K17" s="95">
        <f t="shared" si="2"/>
        <v>96.621593246920824</v>
      </c>
      <c r="L17" s="359"/>
      <c r="M17" s="359"/>
    </row>
    <row r="18" spans="1:13" ht="15.75">
      <c r="A18" s="99"/>
      <c r="B18" s="416"/>
      <c r="C18" s="417"/>
      <c r="D18" s="103"/>
      <c r="E18" s="103"/>
      <c r="F18" s="102">
        <v>15</v>
      </c>
      <c r="G18" s="104">
        <v>44.5</v>
      </c>
      <c r="H18" s="105">
        <f t="shared" si="0"/>
        <v>14.171974522292993</v>
      </c>
      <c r="I18" s="95">
        <f t="shared" si="1"/>
        <v>95.982267081716614</v>
      </c>
      <c r="J18" s="95">
        <f>I18*'Key Data'!$F$3</f>
        <v>23.995566770429154</v>
      </c>
      <c r="K18" s="95">
        <f t="shared" si="2"/>
        <v>119.97783385214576</v>
      </c>
      <c r="L18" s="359"/>
      <c r="M18" s="359"/>
    </row>
    <row r="19" spans="1:13" ht="15.75">
      <c r="A19" s="99"/>
      <c r="B19" s="416"/>
      <c r="C19" s="417"/>
      <c r="D19" s="103"/>
      <c r="E19" s="103"/>
      <c r="F19" s="102">
        <v>16</v>
      </c>
      <c r="G19" s="104">
        <v>25</v>
      </c>
      <c r="H19" s="105">
        <f t="shared" si="0"/>
        <v>7.9617834394904454</v>
      </c>
      <c r="I19" s="95">
        <f t="shared" si="1"/>
        <v>57.496348591842889</v>
      </c>
      <c r="J19" s="95">
        <f>I19*'Key Data'!$F$3</f>
        <v>14.374087147960722</v>
      </c>
      <c r="K19" s="95">
        <f t="shared" si="2"/>
        <v>71.870435739803611</v>
      </c>
      <c r="L19" s="359"/>
      <c r="M19" s="359"/>
    </row>
    <row r="20" spans="1:13" ht="15.75">
      <c r="A20" s="99"/>
      <c r="B20" s="420">
        <v>2</v>
      </c>
      <c r="C20" s="418" t="s">
        <v>474</v>
      </c>
      <c r="D20" s="106" t="s">
        <v>350</v>
      </c>
      <c r="E20" s="106"/>
      <c r="F20" s="106">
        <v>1</v>
      </c>
      <c r="G20" s="107">
        <v>45.5</v>
      </c>
      <c r="H20" s="107">
        <f t="shared" si="0"/>
        <v>14.490445859872612</v>
      </c>
      <c r="I20" s="62">
        <f t="shared" si="1"/>
        <v>96.958006569531705</v>
      </c>
      <c r="J20" s="62">
        <f>I20*'Key Data'!$F$3</f>
        <v>24.239501642382926</v>
      </c>
      <c r="K20" s="62">
        <f t="shared" si="2"/>
        <v>121.19750821191462</v>
      </c>
      <c r="L20" s="344">
        <f>SUM(K20:K35)/1000</f>
        <v>1.9802103772781867</v>
      </c>
      <c r="M20" s="344">
        <f>(L20/625)*10000</f>
        <v>31.683366036450987</v>
      </c>
    </row>
    <row r="21" spans="1:13" ht="15.75">
      <c r="A21" s="99"/>
      <c r="B21" s="420"/>
      <c r="C21" s="418"/>
      <c r="D21" s="106">
        <v>13.27528</v>
      </c>
      <c r="E21" s="106">
        <v>79.353579999999994</v>
      </c>
      <c r="F21" s="106">
        <v>2</v>
      </c>
      <c r="G21" s="107">
        <v>52</v>
      </c>
      <c r="H21" s="107">
        <f t="shared" si="0"/>
        <v>16.560509554140125</v>
      </c>
      <c r="I21" s="62">
        <f t="shared" si="1"/>
        <v>101.80337313799038</v>
      </c>
      <c r="J21" s="62">
        <f>I21*'Key Data'!$F$3</f>
        <v>25.450843284497594</v>
      </c>
      <c r="K21" s="62">
        <f t="shared" si="2"/>
        <v>127.25421642248797</v>
      </c>
      <c r="L21" s="344"/>
      <c r="M21" s="344"/>
    </row>
    <row r="22" spans="1:13" ht="15.75">
      <c r="A22" s="99"/>
      <c r="B22" s="420"/>
      <c r="C22" s="418"/>
      <c r="D22" s="106" t="s">
        <v>445</v>
      </c>
      <c r="E22" s="106"/>
      <c r="F22" s="106">
        <v>3</v>
      </c>
      <c r="G22" s="107">
        <v>61</v>
      </c>
      <c r="H22" s="107">
        <f t="shared" si="0"/>
        <v>19.426751592356688</v>
      </c>
      <c r="I22" s="62">
        <f t="shared" si="1"/>
        <v>105.52821094553939</v>
      </c>
      <c r="J22" s="62">
        <f>I22*'Key Data'!$F$3</f>
        <v>26.382052736384846</v>
      </c>
      <c r="K22" s="62">
        <f t="shared" si="2"/>
        <v>131.91026368192422</v>
      </c>
      <c r="L22" s="344"/>
      <c r="M22" s="344"/>
    </row>
    <row r="23" spans="1:13" ht="15.75">
      <c r="A23" s="99"/>
      <c r="B23" s="420"/>
      <c r="C23" s="418"/>
      <c r="D23" s="106">
        <v>13.275090000000001</v>
      </c>
      <c r="E23" s="106">
        <v>79.3536</v>
      </c>
      <c r="F23" s="106">
        <v>4</v>
      </c>
      <c r="G23" s="107">
        <v>58</v>
      </c>
      <c r="H23" s="107">
        <f t="shared" si="0"/>
        <v>18.471337579617835</v>
      </c>
      <c r="I23" s="62">
        <f t="shared" si="1"/>
        <v>104.56657614406886</v>
      </c>
      <c r="J23" s="62">
        <f>I23*'Key Data'!$F$3</f>
        <v>26.141644036017215</v>
      </c>
      <c r="K23" s="62">
        <f t="shared" si="2"/>
        <v>130.70822018008607</v>
      </c>
      <c r="L23" s="344"/>
      <c r="M23" s="344"/>
    </row>
    <row r="24" spans="1:13" ht="15.75">
      <c r="A24" s="99"/>
      <c r="B24" s="420"/>
      <c r="C24" s="418"/>
      <c r="D24" s="106" t="s">
        <v>446</v>
      </c>
      <c r="E24" s="106"/>
      <c r="F24" s="106">
        <v>5</v>
      </c>
      <c r="G24" s="107">
        <v>42.5</v>
      </c>
      <c r="H24" s="107">
        <f t="shared" si="0"/>
        <v>13.535031847133757</v>
      </c>
      <c r="I24" s="62">
        <f t="shared" si="1"/>
        <v>93.807010574210494</v>
      </c>
      <c r="J24" s="62">
        <f>I24*'Key Data'!$F$3</f>
        <v>23.451752643552624</v>
      </c>
      <c r="K24" s="62">
        <f t="shared" si="2"/>
        <v>117.25876321776312</v>
      </c>
      <c r="L24" s="344"/>
      <c r="M24" s="344"/>
    </row>
    <row r="25" spans="1:13" ht="15.75">
      <c r="A25" s="99"/>
      <c r="B25" s="420"/>
      <c r="C25" s="418"/>
      <c r="D25" s="106">
        <v>13.275069999999999</v>
      </c>
      <c r="E25" s="106">
        <v>79.353819999999999</v>
      </c>
      <c r="F25" s="106">
        <v>6</v>
      </c>
      <c r="G25" s="107">
        <v>60.5</v>
      </c>
      <c r="H25" s="107">
        <f t="shared" si="0"/>
        <v>19.267515923566879</v>
      </c>
      <c r="I25" s="62">
        <f t="shared" si="1"/>
        <v>105.38349665761297</v>
      </c>
      <c r="J25" s="62">
        <f>I25*'Key Data'!$F$3</f>
        <v>26.345874164403241</v>
      </c>
      <c r="K25" s="62">
        <f t="shared" si="2"/>
        <v>131.72937082201622</v>
      </c>
      <c r="L25" s="344"/>
      <c r="M25" s="344"/>
    </row>
    <row r="26" spans="1:13" ht="15.75">
      <c r="A26" s="99"/>
      <c r="B26" s="420"/>
      <c r="C26" s="418"/>
      <c r="D26" s="106" t="s">
        <v>447</v>
      </c>
      <c r="E26" s="106"/>
      <c r="F26" s="106">
        <v>7</v>
      </c>
      <c r="G26" s="107">
        <v>48</v>
      </c>
      <c r="H26" s="107">
        <f t="shared" si="0"/>
        <v>15.286624203821656</v>
      </c>
      <c r="I26" s="62">
        <f t="shared" si="1"/>
        <v>99.105610669934464</v>
      </c>
      <c r="J26" s="62">
        <f>I26*'Key Data'!$F$3</f>
        <v>24.776402667483616</v>
      </c>
      <c r="K26" s="62">
        <f t="shared" si="2"/>
        <v>123.88201333741807</v>
      </c>
      <c r="L26" s="344"/>
      <c r="M26" s="344"/>
    </row>
    <row r="27" spans="1:13" ht="15.75">
      <c r="A27" s="99"/>
      <c r="B27" s="420"/>
      <c r="C27" s="418"/>
      <c r="D27" s="106">
        <v>13.275270000000001</v>
      </c>
      <c r="E27" s="106">
        <v>79.353840000000005</v>
      </c>
      <c r="F27" s="106">
        <v>8</v>
      </c>
      <c r="G27" s="107">
        <v>61.5</v>
      </c>
      <c r="H27" s="107">
        <f t="shared" si="0"/>
        <v>19.585987261146496</v>
      </c>
      <c r="I27" s="62">
        <f t="shared" si="1"/>
        <v>105.66724300321192</v>
      </c>
      <c r="J27" s="62">
        <f>I27*'Key Data'!$F$3</f>
        <v>26.416810750802981</v>
      </c>
      <c r="K27" s="62">
        <f t="shared" si="2"/>
        <v>132.08405375401492</v>
      </c>
      <c r="L27" s="344"/>
      <c r="M27" s="344"/>
    </row>
    <row r="28" spans="1:13" ht="15.75">
      <c r="A28" s="99"/>
      <c r="B28" s="420"/>
      <c r="C28" s="418"/>
      <c r="D28" s="106" t="s">
        <v>448</v>
      </c>
      <c r="E28" s="106"/>
      <c r="F28" s="106">
        <v>9</v>
      </c>
      <c r="G28" s="107">
        <v>53</v>
      </c>
      <c r="H28" s="107">
        <f t="shared" si="0"/>
        <v>16.878980891719745</v>
      </c>
      <c r="I28" s="62">
        <f t="shared" si="1"/>
        <v>102.35823199607594</v>
      </c>
      <c r="J28" s="62">
        <f>I28*'Key Data'!$F$3</f>
        <v>25.589557999018986</v>
      </c>
      <c r="K28" s="62">
        <f t="shared" si="2"/>
        <v>127.94778999509492</v>
      </c>
      <c r="L28" s="344"/>
      <c r="M28" s="344"/>
    </row>
    <row r="29" spans="1:13" ht="15.75">
      <c r="A29" s="99"/>
      <c r="B29" s="420"/>
      <c r="C29" s="418"/>
      <c r="D29" s="106">
        <v>13.27528</v>
      </c>
      <c r="E29" s="106">
        <v>79.353750000000005</v>
      </c>
      <c r="F29" s="106">
        <v>10</v>
      </c>
      <c r="G29" s="107">
        <v>57</v>
      </c>
      <c r="H29" s="107">
        <f t="shared" si="0"/>
        <v>18.152866242038215</v>
      </c>
      <c r="I29" s="62">
        <f t="shared" si="1"/>
        <v>104.19156081625478</v>
      </c>
      <c r="J29" s="62">
        <f>I29*'Key Data'!$F$3</f>
        <v>26.047890204063695</v>
      </c>
      <c r="K29" s="62">
        <f t="shared" si="2"/>
        <v>130.23945102031848</v>
      </c>
      <c r="L29" s="344"/>
      <c r="M29" s="344"/>
    </row>
    <row r="30" spans="1:13" ht="15.75">
      <c r="A30" s="99"/>
      <c r="B30" s="420"/>
      <c r="C30" s="418"/>
      <c r="D30" s="106"/>
      <c r="E30" s="106"/>
      <c r="F30" s="106">
        <v>11</v>
      </c>
      <c r="G30" s="107">
        <v>62</v>
      </c>
      <c r="H30" s="107">
        <f t="shared" si="0"/>
        <v>19.745222929936304</v>
      </c>
      <c r="I30" s="62">
        <f t="shared" si="1"/>
        <v>105.80080866149123</v>
      </c>
      <c r="J30" s="62">
        <f>I30*'Key Data'!$F$3</f>
        <v>26.450202165372808</v>
      </c>
      <c r="K30" s="62">
        <f t="shared" si="2"/>
        <v>132.25101082686405</v>
      </c>
      <c r="L30" s="344"/>
      <c r="M30" s="344"/>
    </row>
    <row r="31" spans="1:13" ht="15.75">
      <c r="A31" s="99"/>
      <c r="B31" s="420"/>
      <c r="C31" s="418"/>
      <c r="D31" s="106"/>
      <c r="E31" s="106"/>
      <c r="F31" s="106">
        <v>12</v>
      </c>
      <c r="G31" s="107">
        <v>28</v>
      </c>
      <c r="H31" s="107">
        <f t="shared" si="0"/>
        <v>8.9171974522292992</v>
      </c>
      <c r="I31" s="62">
        <f t="shared" si="1"/>
        <v>66.183639528078146</v>
      </c>
      <c r="J31" s="62">
        <f>I31*'Key Data'!$F$3</f>
        <v>16.545909882019536</v>
      </c>
      <c r="K31" s="62">
        <f t="shared" si="2"/>
        <v>82.72954941009769</v>
      </c>
      <c r="L31" s="344"/>
      <c r="M31" s="344"/>
    </row>
    <row r="32" spans="1:13" ht="15.75">
      <c r="A32" s="99"/>
      <c r="B32" s="420"/>
      <c r="C32" s="418"/>
      <c r="D32" s="106"/>
      <c r="E32" s="106"/>
      <c r="F32" s="106">
        <v>13</v>
      </c>
      <c r="G32" s="107">
        <v>42</v>
      </c>
      <c r="H32" s="107">
        <f t="shared" si="0"/>
        <v>13.375796178343949</v>
      </c>
      <c r="I32" s="62">
        <f t="shared" si="1"/>
        <v>93.213305341133093</v>
      </c>
      <c r="J32" s="62">
        <f>I32*'Key Data'!$F$3</f>
        <v>23.303326335283273</v>
      </c>
      <c r="K32" s="62">
        <f t="shared" si="2"/>
        <v>116.51663167641637</v>
      </c>
      <c r="L32" s="344"/>
      <c r="M32" s="344"/>
    </row>
    <row r="33" spans="1:13" ht="15.75">
      <c r="A33" s="99"/>
      <c r="B33" s="420"/>
      <c r="C33" s="418"/>
      <c r="D33" s="106"/>
      <c r="E33" s="106"/>
      <c r="F33" s="106">
        <v>14</v>
      </c>
      <c r="G33" s="107">
        <v>41.5</v>
      </c>
      <c r="H33" s="107">
        <f t="shared" si="0"/>
        <v>13.216560509554139</v>
      </c>
      <c r="I33" s="62">
        <f t="shared" si="1"/>
        <v>92.598502849227714</v>
      </c>
      <c r="J33" s="62">
        <f>I33*'Key Data'!$F$3</f>
        <v>23.149625712306928</v>
      </c>
      <c r="K33" s="62">
        <f t="shared" si="2"/>
        <v>115.74812856153464</v>
      </c>
      <c r="L33" s="344"/>
      <c r="M33" s="344"/>
    </row>
    <row r="34" spans="1:13" ht="15.75">
      <c r="A34" s="99"/>
      <c r="B34" s="420"/>
      <c r="C34" s="418"/>
      <c r="D34" s="106"/>
      <c r="E34" s="106"/>
      <c r="F34" s="106">
        <v>15</v>
      </c>
      <c r="G34" s="107">
        <v>53.5</v>
      </c>
      <c r="H34" s="107">
        <f t="shared" si="0"/>
        <v>17.038216560509554</v>
      </c>
      <c r="I34" s="62">
        <f t="shared" si="1"/>
        <v>102.61994382473823</v>
      </c>
      <c r="J34" s="62">
        <f>I34*'Key Data'!$F$3</f>
        <v>25.654985956184557</v>
      </c>
      <c r="K34" s="62">
        <f t="shared" si="2"/>
        <v>128.27492978092278</v>
      </c>
      <c r="L34" s="344"/>
      <c r="M34" s="344"/>
    </row>
    <row r="35" spans="1:13" ht="15.75">
      <c r="A35" s="99"/>
      <c r="B35" s="420"/>
      <c r="C35" s="418"/>
      <c r="D35" s="106"/>
      <c r="E35" s="106"/>
      <c r="F35" s="106">
        <v>16</v>
      </c>
      <c r="G35" s="107">
        <v>57.5</v>
      </c>
      <c r="H35" s="107">
        <f t="shared" si="0"/>
        <v>18.312101910828027</v>
      </c>
      <c r="I35" s="62">
        <f t="shared" si="1"/>
        <v>104.38278110345003</v>
      </c>
      <c r="J35" s="62">
        <f>I35*'Key Data'!$F$3</f>
        <v>26.095695275862507</v>
      </c>
      <c r="K35" s="62">
        <f t="shared" si="2"/>
        <v>130.47847637931253</v>
      </c>
      <c r="L35" s="344"/>
      <c r="M35" s="344"/>
    </row>
    <row r="36" spans="1:13" ht="15.75">
      <c r="A36" s="99"/>
      <c r="B36" s="416">
        <v>3</v>
      </c>
      <c r="C36" s="417" t="s">
        <v>475</v>
      </c>
      <c r="D36" s="102"/>
      <c r="E36" s="102"/>
      <c r="F36" s="102">
        <v>1</v>
      </c>
      <c r="G36" s="104">
        <v>23</v>
      </c>
      <c r="H36" s="104">
        <f t="shared" ref="H36:H54" si="3">G36/3.14</f>
        <v>7.3248407643312099</v>
      </c>
      <c r="I36" s="96">
        <f t="shared" si="1"/>
        <v>51.239114516497587</v>
      </c>
      <c r="J36" s="96">
        <f>I36*'Key Data'!$F$3</f>
        <v>12.809778629124397</v>
      </c>
      <c r="K36" s="96">
        <f t="shared" si="2"/>
        <v>64.048893145621989</v>
      </c>
      <c r="L36" s="359">
        <f>SUM(K36:K55)/1000</f>
        <v>1.9185705840601963</v>
      </c>
      <c r="M36" s="359">
        <f>(L36/625)*10000</f>
        <v>30.697129344963141</v>
      </c>
    </row>
    <row r="37" spans="1:13" ht="15.75">
      <c r="A37" s="99"/>
      <c r="B37" s="416"/>
      <c r="C37" s="417"/>
      <c r="D37" s="102">
        <v>13.250536</v>
      </c>
      <c r="E37" s="102">
        <v>79.345620999999994</v>
      </c>
      <c r="F37" s="102">
        <v>2</v>
      </c>
      <c r="G37" s="104">
        <v>34</v>
      </c>
      <c r="H37" s="104">
        <f t="shared" si="3"/>
        <v>10.828025477707007</v>
      </c>
      <c r="I37" s="96">
        <f t="shared" si="1"/>
        <v>80.464228929838299</v>
      </c>
      <c r="J37" s="96">
        <f>I37*'Key Data'!$F$3</f>
        <v>20.116057232459575</v>
      </c>
      <c r="K37" s="96">
        <f t="shared" si="2"/>
        <v>100.58028616229788</v>
      </c>
      <c r="L37" s="359"/>
      <c r="M37" s="359"/>
    </row>
    <row r="38" spans="1:13" ht="15.75">
      <c r="A38" s="99"/>
      <c r="B38" s="416"/>
      <c r="C38" s="417"/>
      <c r="D38" s="102"/>
      <c r="E38" s="102"/>
      <c r="F38" s="102">
        <v>3</v>
      </c>
      <c r="G38" s="104">
        <v>34.5</v>
      </c>
      <c r="H38" s="104">
        <f t="shared" si="3"/>
        <v>10.987261146496815</v>
      </c>
      <c r="I38" s="96">
        <f t="shared" si="1"/>
        <v>81.461190941682815</v>
      </c>
      <c r="J38" s="96">
        <f>I38*'Key Data'!$F$3</f>
        <v>20.365297735420704</v>
      </c>
      <c r="K38" s="96">
        <f t="shared" si="2"/>
        <v>101.82648867710353</v>
      </c>
      <c r="L38" s="359"/>
      <c r="M38" s="359"/>
    </row>
    <row r="39" spans="1:13" ht="15.75">
      <c r="A39" s="99"/>
      <c r="B39" s="416"/>
      <c r="C39" s="417"/>
      <c r="D39" s="102">
        <v>13.250677</v>
      </c>
      <c r="E39" s="102">
        <v>79.345697999999999</v>
      </c>
      <c r="F39" s="102">
        <v>4</v>
      </c>
      <c r="G39" s="104">
        <v>34</v>
      </c>
      <c r="H39" s="104">
        <f t="shared" si="3"/>
        <v>10.828025477707007</v>
      </c>
      <c r="I39" s="96">
        <f t="shared" si="1"/>
        <v>80.464228929838299</v>
      </c>
      <c r="J39" s="96">
        <f>I39*'Key Data'!$F$3</f>
        <v>20.116057232459575</v>
      </c>
      <c r="K39" s="96">
        <f t="shared" si="2"/>
        <v>100.58028616229788</v>
      </c>
      <c r="L39" s="359"/>
      <c r="M39" s="359"/>
    </row>
    <row r="40" spans="1:13" ht="15.75">
      <c r="A40" s="99"/>
      <c r="B40" s="416"/>
      <c r="C40" s="417"/>
      <c r="D40" s="102"/>
      <c r="E40" s="102"/>
      <c r="F40" s="102">
        <v>5</v>
      </c>
      <c r="G40" s="104">
        <v>38</v>
      </c>
      <c r="H40" s="104">
        <f t="shared" si="3"/>
        <v>12.101910828025478</v>
      </c>
      <c r="I40" s="96">
        <f t="shared" si="1"/>
        <v>87.655984615502476</v>
      </c>
      <c r="J40" s="96">
        <f>I40*'Key Data'!$F$3</f>
        <v>21.913996153875619</v>
      </c>
      <c r="K40" s="96">
        <f t="shared" si="2"/>
        <v>109.56998076937809</v>
      </c>
      <c r="L40" s="359"/>
      <c r="M40" s="359"/>
    </row>
    <row r="41" spans="1:13" ht="15.75">
      <c r="A41" s="99"/>
      <c r="B41" s="416"/>
      <c r="C41" s="417"/>
      <c r="D41" s="102">
        <v>13.250724</v>
      </c>
      <c r="E41" s="102">
        <v>79.345568999999998</v>
      </c>
      <c r="F41" s="102">
        <v>6</v>
      </c>
      <c r="G41" s="104">
        <v>34</v>
      </c>
      <c r="H41" s="104">
        <f t="shared" si="3"/>
        <v>10.828025477707007</v>
      </c>
      <c r="I41" s="96">
        <f t="shared" si="1"/>
        <v>80.464228929838299</v>
      </c>
      <c r="J41" s="96">
        <f>I41*'Key Data'!$F$3</f>
        <v>20.116057232459575</v>
      </c>
      <c r="K41" s="96">
        <f t="shared" si="2"/>
        <v>100.58028616229788</v>
      </c>
      <c r="L41" s="359"/>
      <c r="M41" s="359"/>
    </row>
    <row r="42" spans="1:13" ht="15.75">
      <c r="A42" s="99"/>
      <c r="B42" s="416"/>
      <c r="C42" s="417"/>
      <c r="D42" s="102"/>
      <c r="E42" s="102"/>
      <c r="F42" s="102">
        <v>7</v>
      </c>
      <c r="G42" s="104">
        <v>37.5</v>
      </c>
      <c r="H42" s="104">
        <f t="shared" si="3"/>
        <v>11.942675159235668</v>
      </c>
      <c r="I42" s="96">
        <f t="shared" si="1"/>
        <v>86.851868889739876</v>
      </c>
      <c r="J42" s="96">
        <f>I42*'Key Data'!$F$3</f>
        <v>21.712967222434969</v>
      </c>
      <c r="K42" s="96">
        <f t="shared" si="2"/>
        <v>108.56483611217485</v>
      </c>
      <c r="L42" s="359"/>
      <c r="M42" s="359"/>
    </row>
    <row r="43" spans="1:13" ht="15.75">
      <c r="A43" s="99"/>
      <c r="B43" s="416"/>
      <c r="C43" s="417"/>
      <c r="D43" s="102">
        <v>13.250563</v>
      </c>
      <c r="E43" s="102">
        <v>79.345518999999996</v>
      </c>
      <c r="F43" s="102">
        <v>8</v>
      </c>
      <c r="G43" s="104">
        <v>40.5</v>
      </c>
      <c r="H43" s="104">
        <f t="shared" si="3"/>
        <v>12.898089171974522</v>
      </c>
      <c r="I43" s="96">
        <f t="shared" si="1"/>
        <v>91.303304541138814</v>
      </c>
      <c r="J43" s="96">
        <f>I43*'Key Data'!$F$3</f>
        <v>22.825826135284704</v>
      </c>
      <c r="K43" s="96">
        <f t="shared" si="2"/>
        <v>114.12913067642351</v>
      </c>
      <c r="L43" s="359"/>
      <c r="M43" s="359"/>
    </row>
    <row r="44" spans="1:13" ht="15.75">
      <c r="A44" s="99"/>
      <c r="B44" s="416"/>
      <c r="C44" s="417"/>
      <c r="D44" s="102"/>
      <c r="E44" s="102"/>
      <c r="F44" s="102">
        <v>9</v>
      </c>
      <c r="G44" s="104">
        <v>42.5</v>
      </c>
      <c r="H44" s="104">
        <f t="shared" si="3"/>
        <v>13.535031847133757</v>
      </c>
      <c r="I44" s="96">
        <f t="shared" si="1"/>
        <v>93.807010574210494</v>
      </c>
      <c r="J44" s="96">
        <f>I44*'Key Data'!$F$3</f>
        <v>23.451752643552624</v>
      </c>
      <c r="K44" s="96">
        <f t="shared" si="2"/>
        <v>117.25876321776312</v>
      </c>
      <c r="L44" s="359"/>
      <c r="M44" s="359"/>
    </row>
    <row r="45" spans="1:13" ht="15.75">
      <c r="A45" s="99"/>
      <c r="B45" s="416"/>
      <c r="C45" s="417"/>
      <c r="D45" s="102">
        <v>13.250627</v>
      </c>
      <c r="E45" s="102">
        <v>79.345624999999998</v>
      </c>
      <c r="F45" s="102">
        <v>10</v>
      </c>
      <c r="G45" s="104">
        <v>34.5</v>
      </c>
      <c r="H45" s="104">
        <f t="shared" si="3"/>
        <v>10.987261146496815</v>
      </c>
      <c r="I45" s="96">
        <f t="shared" si="1"/>
        <v>81.461190941682815</v>
      </c>
      <c r="J45" s="96">
        <f>I45*'Key Data'!$F$3</f>
        <v>20.365297735420704</v>
      </c>
      <c r="K45" s="96">
        <f t="shared" si="2"/>
        <v>101.82648867710353</v>
      </c>
      <c r="L45" s="359"/>
      <c r="M45" s="359"/>
    </row>
    <row r="46" spans="1:13" ht="15.75">
      <c r="A46" s="99"/>
      <c r="B46" s="416"/>
      <c r="C46" s="417"/>
      <c r="D46" s="102"/>
      <c r="E46" s="102"/>
      <c r="F46" s="102">
        <v>11</v>
      </c>
      <c r="G46" s="104">
        <v>37.5</v>
      </c>
      <c r="H46" s="104">
        <f t="shared" si="3"/>
        <v>11.942675159235668</v>
      </c>
      <c r="I46" s="96">
        <f t="shared" si="1"/>
        <v>86.851868889739876</v>
      </c>
      <c r="J46" s="96">
        <f>I46*'Key Data'!$F$3</f>
        <v>21.712967222434969</v>
      </c>
      <c r="K46" s="96">
        <f t="shared" si="2"/>
        <v>108.56483611217485</v>
      </c>
      <c r="L46" s="359"/>
      <c r="M46" s="359"/>
    </row>
    <row r="47" spans="1:13" ht="15.75">
      <c r="A47" s="99"/>
      <c r="B47" s="416"/>
      <c r="C47" s="417"/>
      <c r="D47" s="102"/>
      <c r="E47" s="102"/>
      <c r="F47" s="102">
        <v>12</v>
      </c>
      <c r="G47" s="104">
        <v>35.5</v>
      </c>
      <c r="H47" s="104">
        <f t="shared" si="3"/>
        <v>11.305732484076433</v>
      </c>
      <c r="I47" s="96">
        <f t="shared" si="1"/>
        <v>83.369017996615284</v>
      </c>
      <c r="J47" s="96">
        <f>I47*'Key Data'!$F$3</f>
        <v>20.842254499153821</v>
      </c>
      <c r="K47" s="96">
        <f t="shared" si="2"/>
        <v>104.21127249576911</v>
      </c>
      <c r="L47" s="359"/>
      <c r="M47" s="359"/>
    </row>
    <row r="48" spans="1:13" ht="15.75">
      <c r="A48" s="99"/>
      <c r="B48" s="416"/>
      <c r="C48" s="417"/>
      <c r="D48" s="102"/>
      <c r="E48" s="102"/>
      <c r="F48" s="102">
        <v>13</v>
      </c>
      <c r="G48" s="104">
        <v>41.5</v>
      </c>
      <c r="H48" s="104">
        <f t="shared" si="3"/>
        <v>13.216560509554139</v>
      </c>
      <c r="I48" s="96">
        <f t="shared" si="1"/>
        <v>92.598502849227714</v>
      </c>
      <c r="J48" s="96">
        <f>I48*'Key Data'!$F$3</f>
        <v>23.149625712306928</v>
      </c>
      <c r="K48" s="96">
        <f t="shared" si="2"/>
        <v>115.74812856153464</v>
      </c>
      <c r="L48" s="359"/>
      <c r="M48" s="359"/>
    </row>
    <row r="49" spans="1:13" ht="15.75">
      <c r="A49" s="99"/>
      <c r="B49" s="416"/>
      <c r="C49" s="417"/>
      <c r="D49" s="102"/>
      <c r="E49" s="102"/>
      <c r="F49" s="102">
        <v>14</v>
      </c>
      <c r="G49" s="104">
        <v>39.5</v>
      </c>
      <c r="H49" s="104">
        <f t="shared" si="3"/>
        <v>12.579617834394904</v>
      </c>
      <c r="I49" s="96">
        <f t="shared" si="1"/>
        <v>89.916816641509769</v>
      </c>
      <c r="J49" s="96">
        <f>I49*'Key Data'!$F$3</f>
        <v>22.479204160377442</v>
      </c>
      <c r="K49" s="96">
        <f t="shared" si="2"/>
        <v>112.3960208018872</v>
      </c>
      <c r="L49" s="359"/>
      <c r="M49" s="359"/>
    </row>
    <row r="50" spans="1:13" ht="15.75">
      <c r="A50" s="99"/>
      <c r="B50" s="416"/>
      <c r="C50" s="417"/>
      <c r="D50" s="102"/>
      <c r="E50" s="102"/>
      <c r="F50" s="102">
        <v>15</v>
      </c>
      <c r="G50" s="104">
        <v>33.5</v>
      </c>
      <c r="H50" s="104">
        <f t="shared" si="3"/>
        <v>10.668789808917197</v>
      </c>
      <c r="I50" s="96">
        <f t="shared" si="1"/>
        <v>79.438108670558591</v>
      </c>
      <c r="J50" s="96">
        <f>I50*'Key Data'!$F$3</f>
        <v>19.859527167639648</v>
      </c>
      <c r="K50" s="96">
        <f t="shared" si="2"/>
        <v>99.297635838198232</v>
      </c>
      <c r="L50" s="359"/>
      <c r="M50" s="359"/>
    </row>
    <row r="51" spans="1:13" ht="15.75">
      <c r="A51" s="99"/>
      <c r="B51" s="416"/>
      <c r="C51" s="417"/>
      <c r="D51" s="102"/>
      <c r="E51" s="102"/>
      <c r="F51" s="102">
        <v>16</v>
      </c>
      <c r="G51" s="104">
        <v>31</v>
      </c>
      <c r="H51" s="104">
        <f t="shared" si="3"/>
        <v>9.872611464968152</v>
      </c>
      <c r="I51" s="96">
        <f t="shared" si="1"/>
        <v>73.861700758365856</v>
      </c>
      <c r="J51" s="96">
        <f>I51*'Key Data'!$F$3</f>
        <v>18.465425189591464</v>
      </c>
      <c r="K51" s="96">
        <f t="shared" si="2"/>
        <v>92.327125947957313</v>
      </c>
      <c r="L51" s="359"/>
      <c r="M51" s="359"/>
    </row>
    <row r="52" spans="1:13" ht="15.75">
      <c r="A52" s="99"/>
      <c r="B52" s="416"/>
      <c r="C52" s="417"/>
      <c r="D52" s="102"/>
      <c r="E52" s="102"/>
      <c r="F52" s="102">
        <v>17</v>
      </c>
      <c r="G52" s="104">
        <v>43.5</v>
      </c>
      <c r="H52" s="104">
        <f t="shared" si="3"/>
        <v>13.853503184713375</v>
      </c>
      <c r="I52" s="96">
        <f t="shared" si="1"/>
        <v>94.93341890884949</v>
      </c>
      <c r="J52" s="96">
        <f>I52*'Key Data'!$F$3</f>
        <v>23.733354727212372</v>
      </c>
      <c r="K52" s="96">
        <f t="shared" si="2"/>
        <v>118.66677363606186</v>
      </c>
      <c r="L52" s="359"/>
      <c r="M52" s="359"/>
    </row>
    <row r="53" spans="1:13" ht="15.75">
      <c r="A53" s="99"/>
      <c r="B53" s="416"/>
      <c r="C53" s="417"/>
      <c r="D53" s="102"/>
      <c r="E53" s="102"/>
      <c r="F53" s="102">
        <v>18</v>
      </c>
      <c r="G53" s="104">
        <v>41</v>
      </c>
      <c r="H53" s="104">
        <f t="shared" si="3"/>
        <v>13.057324840764331</v>
      </c>
      <c r="I53" s="96">
        <f t="shared" si="1"/>
        <v>91.962027852063727</v>
      </c>
      <c r="J53" s="96">
        <f>I53*'Key Data'!$F$3</f>
        <v>22.990506963015932</v>
      </c>
      <c r="K53" s="96">
        <f t="shared" si="2"/>
        <v>114.95253481507966</v>
      </c>
      <c r="L53" s="359"/>
      <c r="M53" s="359"/>
    </row>
    <row r="54" spans="1:13" ht="15.75">
      <c r="A54" s="99"/>
      <c r="B54" s="416"/>
      <c r="C54" s="417"/>
      <c r="D54" s="102"/>
      <c r="E54" s="102"/>
      <c r="F54" s="102">
        <v>19</v>
      </c>
      <c r="G54" s="104">
        <v>15.5</v>
      </c>
      <c r="H54" s="104">
        <f t="shared" si="3"/>
        <v>4.936305732484076</v>
      </c>
      <c r="I54" s="96">
        <f t="shared" si="1"/>
        <v>26.752652871256931</v>
      </c>
      <c r="J54" s="96">
        <f>I54*'Key Data'!$F$3</f>
        <v>6.6881632178142327</v>
      </c>
      <c r="K54" s="96">
        <f t="shared" si="2"/>
        <v>33.440816089071163</v>
      </c>
      <c r="L54" s="359"/>
      <c r="M54" s="359"/>
    </row>
    <row r="55" spans="1:13" ht="15.75">
      <c r="A55" s="99"/>
      <c r="B55" s="416"/>
      <c r="C55" s="417"/>
      <c r="D55" s="102"/>
      <c r="E55" s="102"/>
      <c r="F55" s="102">
        <v>20</v>
      </c>
      <c r="G55" s="252" t="s">
        <v>454</v>
      </c>
      <c r="H55" s="252" t="s">
        <v>454</v>
      </c>
      <c r="I55" s="252" t="s">
        <v>454</v>
      </c>
      <c r="J55" s="252" t="s">
        <v>454</v>
      </c>
      <c r="K55" s="252" t="s">
        <v>454</v>
      </c>
      <c r="L55" s="359"/>
      <c r="M55" s="359"/>
    </row>
    <row r="56" spans="1:13" ht="15.75">
      <c r="A56" s="99"/>
      <c r="B56" s="420">
        <v>4</v>
      </c>
      <c r="C56" s="418" t="s">
        <v>476</v>
      </c>
      <c r="D56" s="106" t="s">
        <v>350</v>
      </c>
      <c r="E56" s="106"/>
      <c r="F56" s="106">
        <v>1</v>
      </c>
      <c r="G56" s="107">
        <v>43.5</v>
      </c>
      <c r="H56" s="107">
        <f t="shared" ref="H56:H71" si="4">G56/3.14</f>
        <v>13.853503184713375</v>
      </c>
      <c r="I56" s="62">
        <f t="shared" si="1"/>
        <v>94.93341890884949</v>
      </c>
      <c r="J56" s="62">
        <f>I56*'Key Data'!$F$3</f>
        <v>23.733354727212372</v>
      </c>
      <c r="K56" s="62">
        <f t="shared" si="2"/>
        <v>118.66677363606186</v>
      </c>
      <c r="L56" s="344">
        <f>SUM(K56:K71)/1000</f>
        <v>1.8818873956764282</v>
      </c>
      <c r="M56" s="344">
        <f>(L56/625)*10000</f>
        <v>30.11019833082285</v>
      </c>
    </row>
    <row r="57" spans="1:13" ht="15.75">
      <c r="A57" s="99"/>
      <c r="B57" s="420"/>
      <c r="C57" s="418"/>
      <c r="D57" s="106">
        <v>13.277760000000001</v>
      </c>
      <c r="E57" s="106">
        <v>79.32723</v>
      </c>
      <c r="F57" s="106">
        <v>2</v>
      </c>
      <c r="G57" s="107">
        <v>53</v>
      </c>
      <c r="H57" s="107">
        <f t="shared" si="4"/>
        <v>16.878980891719745</v>
      </c>
      <c r="I57" s="62">
        <f t="shared" si="1"/>
        <v>102.35823199607594</v>
      </c>
      <c r="J57" s="62">
        <f>I57*'Key Data'!$F$3</f>
        <v>25.589557999018986</v>
      </c>
      <c r="K57" s="62">
        <f t="shared" si="2"/>
        <v>127.94778999509492</v>
      </c>
      <c r="L57" s="344"/>
      <c r="M57" s="344"/>
    </row>
    <row r="58" spans="1:13" ht="15.75">
      <c r="A58" s="99"/>
      <c r="B58" s="420"/>
      <c r="C58" s="418"/>
      <c r="D58" s="106" t="s">
        <v>445</v>
      </c>
      <c r="E58" s="106"/>
      <c r="F58" s="106">
        <v>3</v>
      </c>
      <c r="G58" s="107">
        <v>39.5</v>
      </c>
      <c r="H58" s="107">
        <f t="shared" si="4"/>
        <v>12.579617834394904</v>
      </c>
      <c r="I58" s="62">
        <f t="shared" si="1"/>
        <v>89.916816641509769</v>
      </c>
      <c r="J58" s="62">
        <f>I58*'Key Data'!$F$3</f>
        <v>22.479204160377442</v>
      </c>
      <c r="K58" s="62">
        <f t="shared" si="2"/>
        <v>112.3960208018872</v>
      </c>
      <c r="L58" s="344"/>
      <c r="M58" s="344"/>
    </row>
    <row r="59" spans="1:13" ht="15.75">
      <c r="A59" s="99"/>
      <c r="B59" s="420"/>
      <c r="C59" s="418"/>
      <c r="D59" s="106">
        <v>13.27753</v>
      </c>
      <c r="E59" s="106">
        <v>79.32723</v>
      </c>
      <c r="F59" s="106">
        <v>4</v>
      </c>
      <c r="G59" s="107">
        <v>42.5</v>
      </c>
      <c r="H59" s="107">
        <f t="shared" si="4"/>
        <v>13.535031847133757</v>
      </c>
      <c r="I59" s="62">
        <f t="shared" si="1"/>
        <v>93.807010574210494</v>
      </c>
      <c r="J59" s="62">
        <f>I59*'Key Data'!$F$3</f>
        <v>23.451752643552624</v>
      </c>
      <c r="K59" s="62">
        <f t="shared" si="2"/>
        <v>117.25876321776312</v>
      </c>
      <c r="L59" s="344"/>
      <c r="M59" s="344"/>
    </row>
    <row r="60" spans="1:13" ht="15.75">
      <c r="A60" s="99"/>
      <c r="B60" s="420"/>
      <c r="C60" s="418"/>
      <c r="D60" s="106" t="s">
        <v>446</v>
      </c>
      <c r="E60" s="106"/>
      <c r="F60" s="106">
        <v>5</v>
      </c>
      <c r="G60" s="107">
        <v>44.5</v>
      </c>
      <c r="H60" s="107">
        <f t="shared" si="4"/>
        <v>14.171974522292993</v>
      </c>
      <c r="I60" s="62">
        <f t="shared" si="1"/>
        <v>95.982267081716614</v>
      </c>
      <c r="J60" s="62">
        <f>I60*'Key Data'!$F$3</f>
        <v>23.995566770429154</v>
      </c>
      <c r="K60" s="62">
        <f t="shared" si="2"/>
        <v>119.97783385214576</v>
      </c>
      <c r="L60" s="344"/>
      <c r="M60" s="344"/>
    </row>
    <row r="61" spans="1:13" ht="15.75">
      <c r="A61" s="99"/>
      <c r="B61" s="420"/>
      <c r="C61" s="418"/>
      <c r="D61" s="106">
        <v>13.27753</v>
      </c>
      <c r="E61" s="106">
        <v>79.327420000000004</v>
      </c>
      <c r="F61" s="106">
        <v>6</v>
      </c>
      <c r="G61" s="107">
        <v>48</v>
      </c>
      <c r="H61" s="107">
        <f t="shared" si="4"/>
        <v>15.286624203821656</v>
      </c>
      <c r="I61" s="62">
        <f t="shared" si="1"/>
        <v>99.105610669934464</v>
      </c>
      <c r="J61" s="62">
        <f>I61*'Key Data'!$F$3</f>
        <v>24.776402667483616</v>
      </c>
      <c r="K61" s="62">
        <f t="shared" si="2"/>
        <v>123.88201333741807</v>
      </c>
      <c r="L61" s="344"/>
      <c r="M61" s="344"/>
    </row>
    <row r="62" spans="1:13" ht="15.75">
      <c r="A62" s="99"/>
      <c r="B62" s="420"/>
      <c r="C62" s="418"/>
      <c r="D62" s="106" t="s">
        <v>447</v>
      </c>
      <c r="E62" s="106"/>
      <c r="F62" s="106">
        <v>7</v>
      </c>
      <c r="G62" s="107">
        <v>48.5</v>
      </c>
      <c r="H62" s="107">
        <f t="shared" si="4"/>
        <v>15.445859872611464</v>
      </c>
      <c r="I62" s="62">
        <f t="shared" si="1"/>
        <v>99.48921792052343</v>
      </c>
      <c r="J62" s="62">
        <f>I62*'Key Data'!$F$3</f>
        <v>24.872304480130857</v>
      </c>
      <c r="K62" s="62">
        <f t="shared" si="2"/>
        <v>124.36152240065428</v>
      </c>
      <c r="L62" s="344"/>
      <c r="M62" s="344"/>
    </row>
    <row r="63" spans="1:13" ht="15.75">
      <c r="A63" s="99"/>
      <c r="B63" s="420"/>
      <c r="C63" s="418"/>
      <c r="D63" s="106">
        <v>13.277749999999999</v>
      </c>
      <c r="E63" s="106">
        <v>79.327460000000002</v>
      </c>
      <c r="F63" s="106">
        <v>8</v>
      </c>
      <c r="G63" s="107">
        <v>43.5</v>
      </c>
      <c r="H63" s="107">
        <f t="shared" si="4"/>
        <v>13.853503184713375</v>
      </c>
      <c r="I63" s="62">
        <f t="shared" si="1"/>
        <v>94.93341890884949</v>
      </c>
      <c r="J63" s="62">
        <f>I63*'Key Data'!$F$3</f>
        <v>23.733354727212372</v>
      </c>
      <c r="K63" s="62">
        <f t="shared" si="2"/>
        <v>118.66677363606186</v>
      </c>
      <c r="L63" s="344"/>
      <c r="M63" s="344"/>
    </row>
    <row r="64" spans="1:13" ht="15.75">
      <c r="A64" s="99"/>
      <c r="B64" s="420"/>
      <c r="C64" s="418"/>
      <c r="D64" s="106" t="s">
        <v>448</v>
      </c>
      <c r="E64" s="106"/>
      <c r="F64" s="106">
        <v>9</v>
      </c>
      <c r="G64" s="107">
        <v>46.5</v>
      </c>
      <c r="H64" s="107">
        <f t="shared" si="4"/>
        <v>14.808917197452228</v>
      </c>
      <c r="I64" s="62">
        <f t="shared" si="1"/>
        <v>97.864972653012515</v>
      </c>
      <c r="J64" s="62">
        <f>I64*'Key Data'!$F$3</f>
        <v>24.466243163253129</v>
      </c>
      <c r="K64" s="62">
        <f t="shared" si="2"/>
        <v>122.33121581626564</v>
      </c>
      <c r="L64" s="344"/>
      <c r="M64" s="344"/>
    </row>
    <row r="65" spans="1:13" ht="15.75">
      <c r="A65" s="99"/>
      <c r="B65" s="420"/>
      <c r="C65" s="418"/>
      <c r="D65" s="106">
        <v>13.277670000000001</v>
      </c>
      <c r="E65" s="106">
        <v>79.327330000000003</v>
      </c>
      <c r="F65" s="106">
        <v>10</v>
      </c>
      <c r="G65" s="107">
        <v>49.5</v>
      </c>
      <c r="H65" s="107">
        <f t="shared" si="4"/>
        <v>15.764331210191083</v>
      </c>
      <c r="I65" s="62">
        <f t="shared" si="1"/>
        <v>100.21441490790885</v>
      </c>
      <c r="J65" s="62">
        <f>I65*'Key Data'!$F$3</f>
        <v>25.053603726977212</v>
      </c>
      <c r="K65" s="62">
        <f t="shared" si="2"/>
        <v>125.26801863488606</v>
      </c>
      <c r="L65" s="344"/>
      <c r="M65" s="344"/>
    </row>
    <row r="66" spans="1:13" ht="15.75">
      <c r="A66" s="99"/>
      <c r="B66" s="420"/>
      <c r="C66" s="418"/>
      <c r="D66" s="106"/>
      <c r="E66" s="106"/>
      <c r="F66" s="106">
        <v>11</v>
      </c>
      <c r="G66" s="107">
        <v>43.5</v>
      </c>
      <c r="H66" s="107">
        <f t="shared" si="4"/>
        <v>13.853503184713375</v>
      </c>
      <c r="I66" s="62">
        <f t="shared" si="1"/>
        <v>94.93341890884949</v>
      </c>
      <c r="J66" s="62">
        <f>I66*'Key Data'!$F$3</f>
        <v>23.733354727212372</v>
      </c>
      <c r="K66" s="62">
        <f t="shared" si="2"/>
        <v>118.66677363606186</v>
      </c>
      <c r="L66" s="344"/>
      <c r="M66" s="344"/>
    </row>
    <row r="67" spans="1:13" ht="15.75">
      <c r="A67" s="99"/>
      <c r="B67" s="420"/>
      <c r="C67" s="418"/>
      <c r="D67" s="106"/>
      <c r="E67" s="106"/>
      <c r="F67" s="106">
        <v>12</v>
      </c>
      <c r="G67" s="107">
        <v>32.5</v>
      </c>
      <c r="H67" s="107">
        <f t="shared" si="4"/>
        <v>10.350318471337578</v>
      </c>
      <c r="I67" s="62">
        <f t="shared" si="1"/>
        <v>77.297274597536656</v>
      </c>
      <c r="J67" s="62">
        <f>I67*'Key Data'!$F$3</f>
        <v>19.324318649384164</v>
      </c>
      <c r="K67" s="62">
        <f t="shared" si="2"/>
        <v>96.621593246920824</v>
      </c>
      <c r="L67" s="344"/>
      <c r="M67" s="344"/>
    </row>
    <row r="68" spans="1:13" ht="15.75">
      <c r="A68" s="99"/>
      <c r="B68" s="420"/>
      <c r="C68" s="418"/>
      <c r="D68" s="106"/>
      <c r="E68" s="106"/>
      <c r="F68" s="106">
        <v>13</v>
      </c>
      <c r="G68" s="107">
        <v>49</v>
      </c>
      <c r="H68" s="107">
        <f t="shared" si="4"/>
        <v>15.605095541401273</v>
      </c>
      <c r="I68" s="62">
        <f t="shared" si="1"/>
        <v>99.85866326147945</v>
      </c>
      <c r="J68" s="62">
        <f>I68*'Key Data'!$F$3</f>
        <v>24.964665815369862</v>
      </c>
      <c r="K68" s="62">
        <f t="shared" si="2"/>
        <v>124.82332907684932</v>
      </c>
      <c r="L68" s="344"/>
      <c r="M68" s="344"/>
    </row>
    <row r="69" spans="1:13" ht="15.75">
      <c r="A69" s="99"/>
      <c r="B69" s="420"/>
      <c r="C69" s="418"/>
      <c r="D69" s="106"/>
      <c r="E69" s="106"/>
      <c r="F69" s="106">
        <v>14</v>
      </c>
      <c r="G69" s="107">
        <v>49</v>
      </c>
      <c r="H69" s="107">
        <f t="shared" si="4"/>
        <v>15.605095541401273</v>
      </c>
      <c r="I69" s="62">
        <f t="shared" ref="I69:I71" si="5">30.4*EXP(-5.07*EXP(-0.26*H69)+1.277)</f>
        <v>99.85866326147945</v>
      </c>
      <c r="J69" s="62">
        <f>I69*'Key Data'!$F$3</f>
        <v>24.964665815369862</v>
      </c>
      <c r="K69" s="62">
        <f t="shared" ref="K69:K71" si="6">J69+I69</f>
        <v>124.82332907684932</v>
      </c>
      <c r="L69" s="344"/>
      <c r="M69" s="344"/>
    </row>
    <row r="70" spans="1:13" ht="15.75">
      <c r="A70" s="99"/>
      <c r="B70" s="420"/>
      <c r="C70" s="418"/>
      <c r="D70" s="106"/>
      <c r="E70" s="106"/>
      <c r="F70" s="106">
        <v>15</v>
      </c>
      <c r="G70" s="107">
        <v>46</v>
      </c>
      <c r="H70" s="107">
        <f t="shared" si="4"/>
        <v>14.64968152866242</v>
      </c>
      <c r="I70" s="62">
        <f t="shared" si="5"/>
        <v>97.419820513451157</v>
      </c>
      <c r="J70" s="62">
        <f>I70*'Key Data'!$F$3</f>
        <v>24.354955128362789</v>
      </c>
      <c r="K70" s="62">
        <f t="shared" si="6"/>
        <v>121.77477564181395</v>
      </c>
      <c r="L70" s="344"/>
      <c r="M70" s="344"/>
    </row>
    <row r="71" spans="1:13" ht="16.5" thickBot="1">
      <c r="A71" s="99"/>
      <c r="B71" s="421"/>
      <c r="C71" s="419"/>
      <c r="D71" s="108"/>
      <c r="E71" s="108"/>
      <c r="F71" s="108">
        <v>16</v>
      </c>
      <c r="G71" s="109">
        <v>28.5</v>
      </c>
      <c r="H71" s="109">
        <f t="shared" si="4"/>
        <v>9.0764331210191074</v>
      </c>
      <c r="I71" s="62">
        <f t="shared" si="5"/>
        <v>67.536695735755274</v>
      </c>
      <c r="J71" s="62">
        <f>I71*'Key Data'!$F$3</f>
        <v>16.884173933938818</v>
      </c>
      <c r="K71" s="62">
        <f t="shared" si="6"/>
        <v>84.420869669694099</v>
      </c>
      <c r="L71" s="344"/>
      <c r="M71" s="344"/>
    </row>
  </sheetData>
  <mergeCells count="16">
    <mergeCell ref="B36:B55"/>
    <mergeCell ref="C36:C55"/>
    <mergeCell ref="C56:C71"/>
    <mergeCell ref="B56:B71"/>
    <mergeCell ref="C4:C19"/>
    <mergeCell ref="B4:B19"/>
    <mergeCell ref="B20:B35"/>
    <mergeCell ref="C20:C35"/>
    <mergeCell ref="L4:L19"/>
    <mergeCell ref="L20:L35"/>
    <mergeCell ref="L36:L55"/>
    <mergeCell ref="L56:L71"/>
    <mergeCell ref="M4:M19"/>
    <mergeCell ref="M20:M35"/>
    <mergeCell ref="M36:M55"/>
    <mergeCell ref="M56:M7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1843A-36CA-4A88-BE65-E7959CD92CF1}">
  <dimension ref="B2:M67"/>
  <sheetViews>
    <sheetView workbookViewId="0">
      <selection activeCell="B3" sqref="B3:M3"/>
    </sheetView>
  </sheetViews>
  <sheetFormatPr defaultRowHeight="15"/>
  <cols>
    <col min="3" max="3" width="17" bestFit="1" customWidth="1"/>
    <col min="12" max="13" width="9.140625" style="56"/>
  </cols>
  <sheetData>
    <row r="2" spans="2:13" ht="15.75" thickBot="1"/>
    <row r="3" spans="2:13" ht="81.75">
      <c r="B3" s="272" t="s">
        <v>432</v>
      </c>
      <c r="C3" s="23" t="s">
        <v>433</v>
      </c>
      <c r="D3" s="23" t="s">
        <v>434</v>
      </c>
      <c r="E3" s="23" t="s">
        <v>435</v>
      </c>
      <c r="F3" s="23" t="s">
        <v>436</v>
      </c>
      <c r="G3" s="23" t="s">
        <v>437</v>
      </c>
      <c r="H3" s="273" t="s">
        <v>438</v>
      </c>
      <c r="I3" s="272" t="s">
        <v>439</v>
      </c>
      <c r="J3" s="272" t="s">
        <v>440</v>
      </c>
      <c r="K3" s="272" t="s">
        <v>441</v>
      </c>
      <c r="L3" s="272" t="s">
        <v>442</v>
      </c>
      <c r="M3" s="272" t="s">
        <v>443</v>
      </c>
    </row>
    <row r="4" spans="2:13">
      <c r="B4" s="425">
        <v>1</v>
      </c>
      <c r="C4" s="426" t="s">
        <v>477</v>
      </c>
      <c r="D4" s="111" t="s">
        <v>350</v>
      </c>
      <c r="E4" s="111"/>
      <c r="F4" s="111">
        <v>1</v>
      </c>
      <c r="G4" s="113">
        <v>40</v>
      </c>
      <c r="H4" s="113">
        <f>G4/3.14</f>
        <v>12.738853503184712</v>
      </c>
      <c r="I4" s="113">
        <f>30.4*EXP(-5.07*EXP(-0.26*H4)+1.277)</f>
        <v>90.621758137913403</v>
      </c>
      <c r="J4" s="114">
        <f>I4*'Key Data'!$F$3</f>
        <v>22.655439534478351</v>
      </c>
      <c r="K4" s="114">
        <f>J4+I4</f>
        <v>113.27719767239175</v>
      </c>
      <c r="L4" s="422">
        <f>SUM(K4:K19)/1000</f>
        <v>1.3608155992429345</v>
      </c>
      <c r="M4" s="422">
        <f>(L4/625)*10000</f>
        <v>21.773049587886952</v>
      </c>
    </row>
    <row r="5" spans="2:13">
      <c r="B5" s="425"/>
      <c r="C5" s="426"/>
      <c r="D5" s="111">
        <v>13.30186</v>
      </c>
      <c r="E5" s="111">
        <v>79.175953000000007</v>
      </c>
      <c r="F5" s="111">
        <v>2</v>
      </c>
      <c r="G5" s="113">
        <v>34.5</v>
      </c>
      <c r="H5" s="113">
        <f t="shared" ref="H5:H67" si="0">G5/3.14</f>
        <v>10.987261146496815</v>
      </c>
      <c r="I5" s="113">
        <f t="shared" ref="I5:I67" si="1">30.4*EXP(-5.07*EXP(-0.26*H5)+1.277)</f>
        <v>81.461190941682815</v>
      </c>
      <c r="J5" s="114">
        <f>I5*'Key Data'!$F$3</f>
        <v>20.365297735420704</v>
      </c>
      <c r="K5" s="114">
        <f t="shared" ref="K5:K67" si="2">J5+I5</f>
        <v>101.82648867710353</v>
      </c>
      <c r="L5" s="422"/>
      <c r="M5" s="422"/>
    </row>
    <row r="6" spans="2:13">
      <c r="B6" s="425"/>
      <c r="C6" s="426"/>
      <c r="D6" s="111" t="s">
        <v>445</v>
      </c>
      <c r="E6" s="111"/>
      <c r="F6" s="111">
        <v>3</v>
      </c>
      <c r="G6" s="113">
        <v>33</v>
      </c>
      <c r="H6" s="113">
        <f t="shared" si="0"/>
        <v>10.509554140127388</v>
      </c>
      <c r="I6" s="113">
        <f t="shared" si="1"/>
        <v>78.382538522569561</v>
      </c>
      <c r="J6" s="114">
        <f>I6*'Key Data'!$F$3</f>
        <v>19.59563463064239</v>
      </c>
      <c r="K6" s="114">
        <f t="shared" si="2"/>
        <v>97.978173153211955</v>
      </c>
      <c r="L6" s="422"/>
      <c r="M6" s="422"/>
    </row>
    <row r="7" spans="2:13">
      <c r="B7" s="425"/>
      <c r="C7" s="426"/>
      <c r="D7" s="111">
        <v>13.301679999999999</v>
      </c>
      <c r="E7" s="111">
        <v>79.165968000000007</v>
      </c>
      <c r="F7" s="111">
        <v>4</v>
      </c>
      <c r="G7" s="113">
        <v>46.5</v>
      </c>
      <c r="H7" s="113">
        <f t="shared" si="0"/>
        <v>14.808917197452228</v>
      </c>
      <c r="I7" s="113">
        <f t="shared" si="1"/>
        <v>97.864972653012515</v>
      </c>
      <c r="J7" s="114">
        <f>I7*'Key Data'!$F$3</f>
        <v>24.466243163253129</v>
      </c>
      <c r="K7" s="114">
        <f t="shared" si="2"/>
        <v>122.33121581626564</v>
      </c>
      <c r="L7" s="422"/>
      <c r="M7" s="422"/>
    </row>
    <row r="8" spans="2:13">
      <c r="B8" s="425"/>
      <c r="C8" s="426"/>
      <c r="D8" s="111" t="s">
        <v>446</v>
      </c>
      <c r="E8" s="111"/>
      <c r="F8" s="111">
        <v>5</v>
      </c>
      <c r="G8" s="113">
        <v>34</v>
      </c>
      <c r="H8" s="113">
        <f t="shared" si="0"/>
        <v>10.828025477707007</v>
      </c>
      <c r="I8" s="113">
        <f t="shared" si="1"/>
        <v>80.464228929838299</v>
      </c>
      <c r="J8" s="114">
        <f>I8*'Key Data'!$F$3</f>
        <v>20.116057232459575</v>
      </c>
      <c r="K8" s="114">
        <f t="shared" si="2"/>
        <v>100.58028616229788</v>
      </c>
      <c r="L8" s="422"/>
      <c r="M8" s="422"/>
    </row>
    <row r="9" spans="2:13">
      <c r="B9" s="425"/>
      <c r="C9" s="426"/>
      <c r="D9" s="111">
        <v>13.301596999999999</v>
      </c>
      <c r="E9" s="111">
        <v>79.176101000000003</v>
      </c>
      <c r="F9" s="111">
        <v>6</v>
      </c>
      <c r="G9" s="113">
        <v>17.5</v>
      </c>
      <c r="H9" s="113">
        <f t="shared" si="0"/>
        <v>5.5732484076433115</v>
      </c>
      <c r="I9" s="113">
        <f t="shared" si="1"/>
        <v>33.149726237027465</v>
      </c>
      <c r="J9" s="114">
        <f>I9*'Key Data'!$F$3</f>
        <v>8.2874315592568664</v>
      </c>
      <c r="K9" s="114">
        <f t="shared" si="2"/>
        <v>41.437157796284332</v>
      </c>
      <c r="L9" s="422"/>
      <c r="M9" s="422"/>
    </row>
    <row r="10" spans="2:13">
      <c r="B10" s="425"/>
      <c r="C10" s="426"/>
      <c r="D10" s="111" t="s">
        <v>447</v>
      </c>
      <c r="E10" s="111"/>
      <c r="F10" s="111">
        <v>7</v>
      </c>
      <c r="G10" s="113">
        <v>13.5</v>
      </c>
      <c r="H10" s="113">
        <f t="shared" si="0"/>
        <v>4.2993630573248405</v>
      </c>
      <c r="I10" s="113">
        <f t="shared" si="1"/>
        <v>20.772245409667665</v>
      </c>
      <c r="J10" s="114">
        <f>I10*'Key Data'!$F$3</f>
        <v>5.1930613524169162</v>
      </c>
      <c r="K10" s="114">
        <f t="shared" si="2"/>
        <v>25.96530676208458</v>
      </c>
      <c r="L10" s="422"/>
      <c r="M10" s="422"/>
    </row>
    <row r="11" spans="2:13">
      <c r="B11" s="425"/>
      <c r="C11" s="426"/>
      <c r="D11" s="111">
        <v>13.301797000000001</v>
      </c>
      <c r="E11" s="111">
        <v>79.176168000000004</v>
      </c>
      <c r="F11" s="111">
        <v>8</v>
      </c>
      <c r="G11" s="113">
        <v>36.5</v>
      </c>
      <c r="H11" s="113">
        <f t="shared" si="0"/>
        <v>11.624203821656051</v>
      </c>
      <c r="I11" s="113">
        <f t="shared" si="1"/>
        <v>85.16470767390777</v>
      </c>
      <c r="J11" s="114">
        <f>I11*'Key Data'!$F$3</f>
        <v>21.291176918476943</v>
      </c>
      <c r="K11" s="114">
        <f t="shared" si="2"/>
        <v>106.45588459238471</v>
      </c>
      <c r="L11" s="422"/>
      <c r="M11" s="422"/>
    </row>
    <row r="12" spans="2:13">
      <c r="B12" s="425"/>
      <c r="C12" s="426"/>
      <c r="D12" s="111" t="s">
        <v>457</v>
      </c>
      <c r="E12" s="111"/>
      <c r="F12" s="111">
        <v>9</v>
      </c>
      <c r="G12" s="113">
        <v>29</v>
      </c>
      <c r="H12" s="113">
        <f t="shared" si="0"/>
        <v>9.2356687898089174</v>
      </c>
      <c r="I12" s="113">
        <f t="shared" si="1"/>
        <v>68.860872127670262</v>
      </c>
      <c r="J12" s="114">
        <f>I12*'Key Data'!$F$3</f>
        <v>17.215218031917566</v>
      </c>
      <c r="K12" s="114">
        <f t="shared" si="2"/>
        <v>86.076090159587835</v>
      </c>
      <c r="L12" s="422"/>
      <c r="M12" s="422"/>
    </row>
    <row r="13" spans="2:13">
      <c r="B13" s="425"/>
      <c r="C13" s="426"/>
      <c r="D13" s="111">
        <v>13.301774</v>
      </c>
      <c r="E13" s="111">
        <v>79.176017999999999</v>
      </c>
      <c r="F13" s="111">
        <v>10</v>
      </c>
      <c r="G13" s="113">
        <v>27</v>
      </c>
      <c r="H13" s="113">
        <f t="shared" si="0"/>
        <v>8.598726114649681</v>
      </c>
      <c r="I13" s="113">
        <f t="shared" si="1"/>
        <v>63.393109582195777</v>
      </c>
      <c r="J13" s="114">
        <f>I13*'Key Data'!$F$3</f>
        <v>15.848277395548944</v>
      </c>
      <c r="K13" s="114">
        <f t="shared" si="2"/>
        <v>79.241386977744725</v>
      </c>
      <c r="L13" s="422"/>
      <c r="M13" s="422"/>
    </row>
    <row r="14" spans="2:13">
      <c r="B14" s="425"/>
      <c r="C14" s="426"/>
      <c r="D14" s="111"/>
      <c r="E14" s="111"/>
      <c r="F14" s="111">
        <v>11</v>
      </c>
      <c r="G14" s="113">
        <v>14.3</v>
      </c>
      <c r="H14" s="113">
        <f t="shared" si="0"/>
        <v>4.5541401273885347</v>
      </c>
      <c r="I14" s="113">
        <f t="shared" si="1"/>
        <v>23.101029079236937</v>
      </c>
      <c r="J14" s="114">
        <f>I14*'Key Data'!$F$3</f>
        <v>5.7752572698092344</v>
      </c>
      <c r="K14" s="114">
        <f t="shared" si="2"/>
        <v>28.876286349046172</v>
      </c>
      <c r="L14" s="422"/>
      <c r="M14" s="422"/>
    </row>
    <row r="15" spans="2:13">
      <c r="B15" s="425"/>
      <c r="C15" s="426"/>
      <c r="D15" s="111"/>
      <c r="E15" s="111"/>
      <c r="F15" s="111">
        <v>12</v>
      </c>
      <c r="G15" s="113">
        <v>51.3</v>
      </c>
      <c r="H15" s="113">
        <f t="shared" si="0"/>
        <v>16.337579617834393</v>
      </c>
      <c r="I15" s="113">
        <f t="shared" si="1"/>
        <v>101.38868939104347</v>
      </c>
      <c r="J15" s="114">
        <f>I15*'Key Data'!$F$3</f>
        <v>25.347172347760868</v>
      </c>
      <c r="K15" s="114">
        <f t="shared" si="2"/>
        <v>126.73586173880435</v>
      </c>
      <c r="L15" s="422"/>
      <c r="M15" s="422"/>
    </row>
    <row r="16" spans="2:13">
      <c r="B16" s="425"/>
      <c r="C16" s="426"/>
      <c r="D16" s="111"/>
      <c r="E16" s="111"/>
      <c r="F16" s="111">
        <v>13</v>
      </c>
      <c r="G16" s="113">
        <v>30.5</v>
      </c>
      <c r="H16" s="113">
        <f t="shared" si="0"/>
        <v>9.7133757961783438</v>
      </c>
      <c r="I16" s="113">
        <f t="shared" si="1"/>
        <v>72.65635173694983</v>
      </c>
      <c r="J16" s="114">
        <f>I16*'Key Data'!$F$3</f>
        <v>18.164087934237457</v>
      </c>
      <c r="K16" s="114">
        <f t="shared" si="2"/>
        <v>90.820439671187287</v>
      </c>
      <c r="L16" s="422"/>
      <c r="M16" s="422"/>
    </row>
    <row r="17" spans="2:13">
      <c r="B17" s="425"/>
      <c r="C17" s="426"/>
      <c r="D17" s="111"/>
      <c r="E17" s="111"/>
      <c r="F17" s="111">
        <v>14</v>
      </c>
      <c r="G17" s="113">
        <v>19.5</v>
      </c>
      <c r="H17" s="113">
        <f t="shared" si="0"/>
        <v>6.2101910828025479</v>
      </c>
      <c r="I17" s="113">
        <f t="shared" si="1"/>
        <v>39.754124421972548</v>
      </c>
      <c r="J17" s="114">
        <f>I17*'Key Data'!$F$3</f>
        <v>9.9385311054931371</v>
      </c>
      <c r="K17" s="114">
        <f t="shared" si="2"/>
        <v>49.692655527465689</v>
      </c>
      <c r="L17" s="422"/>
      <c r="M17" s="422"/>
    </row>
    <row r="18" spans="2:13">
      <c r="B18" s="425"/>
      <c r="C18" s="426"/>
      <c r="D18" s="111"/>
      <c r="E18" s="111"/>
      <c r="F18" s="111">
        <v>15</v>
      </c>
      <c r="G18" s="113">
        <v>29.5</v>
      </c>
      <c r="H18" s="113">
        <f t="shared" si="0"/>
        <v>9.3949044585987256</v>
      </c>
      <c r="I18" s="113">
        <f t="shared" si="1"/>
        <v>70.155743607976532</v>
      </c>
      <c r="J18" s="114">
        <f>I18*'Key Data'!$F$3</f>
        <v>17.538935901994133</v>
      </c>
      <c r="K18" s="114">
        <f t="shared" si="2"/>
        <v>87.694679509970669</v>
      </c>
      <c r="L18" s="422"/>
      <c r="M18" s="422"/>
    </row>
    <row r="19" spans="2:13">
      <c r="B19" s="425"/>
      <c r="C19" s="426"/>
      <c r="D19" s="111"/>
      <c r="E19" s="111"/>
      <c r="F19" s="111">
        <v>16</v>
      </c>
      <c r="G19" s="113">
        <v>34.5</v>
      </c>
      <c r="H19" s="113">
        <f t="shared" si="0"/>
        <v>10.987261146496815</v>
      </c>
      <c r="I19" s="113">
        <f t="shared" si="1"/>
        <v>81.461190941682815</v>
      </c>
      <c r="J19" s="114">
        <f>I19*'Key Data'!$F$3</f>
        <v>20.365297735420704</v>
      </c>
      <c r="K19" s="114">
        <f t="shared" si="2"/>
        <v>101.82648867710353</v>
      </c>
      <c r="L19" s="422"/>
      <c r="M19" s="422"/>
    </row>
    <row r="20" spans="2:13">
      <c r="B20" s="423">
        <v>2</v>
      </c>
      <c r="C20" s="424" t="s">
        <v>478</v>
      </c>
      <c r="D20" s="112" t="s">
        <v>350</v>
      </c>
      <c r="E20" s="112"/>
      <c r="F20" s="112">
        <v>1</v>
      </c>
      <c r="G20" s="115">
        <v>49</v>
      </c>
      <c r="H20" s="115">
        <f t="shared" si="0"/>
        <v>15.605095541401273</v>
      </c>
      <c r="I20" s="115">
        <f t="shared" si="1"/>
        <v>99.85866326147945</v>
      </c>
      <c r="J20" s="59">
        <f>I20*'Key Data'!$F$3</f>
        <v>24.964665815369862</v>
      </c>
      <c r="K20" s="59">
        <f t="shared" si="2"/>
        <v>124.82332907684932</v>
      </c>
      <c r="L20" s="344">
        <f t="shared" ref="L20" si="3">SUM(K20:K35)/1000</f>
        <v>1.8110888851673481</v>
      </c>
      <c r="M20" s="344">
        <f>(L20/625)*10000</f>
        <v>28.977422162677573</v>
      </c>
    </row>
    <row r="21" spans="2:13">
      <c r="B21" s="423"/>
      <c r="C21" s="424"/>
      <c r="D21" s="112">
        <v>13.25895</v>
      </c>
      <c r="E21" s="112">
        <v>79.233040000000003</v>
      </c>
      <c r="F21" s="112">
        <v>2</v>
      </c>
      <c r="G21" s="115">
        <v>49.5</v>
      </c>
      <c r="H21" s="115">
        <f t="shared" si="0"/>
        <v>15.764331210191083</v>
      </c>
      <c r="I21" s="115">
        <f t="shared" si="1"/>
        <v>100.21441490790885</v>
      </c>
      <c r="J21" s="59">
        <f>I21*'Key Data'!$F$3</f>
        <v>25.053603726977212</v>
      </c>
      <c r="K21" s="59">
        <f t="shared" si="2"/>
        <v>125.26801863488606</v>
      </c>
      <c r="L21" s="344"/>
      <c r="M21" s="344"/>
    </row>
    <row r="22" spans="2:13">
      <c r="B22" s="423"/>
      <c r="C22" s="424"/>
      <c r="D22" s="112" t="s">
        <v>445</v>
      </c>
      <c r="E22" s="112"/>
      <c r="F22" s="112">
        <v>3</v>
      </c>
      <c r="G22" s="115">
        <v>44</v>
      </c>
      <c r="H22" s="115">
        <f t="shared" si="0"/>
        <v>14.012738853503183</v>
      </c>
      <c r="I22" s="115">
        <f t="shared" si="1"/>
        <v>95.467257374744108</v>
      </c>
      <c r="J22" s="59">
        <f>I22*'Key Data'!$F$3</f>
        <v>23.866814343686027</v>
      </c>
      <c r="K22" s="59">
        <f t="shared" si="2"/>
        <v>119.33407171843014</v>
      </c>
      <c r="L22" s="344"/>
      <c r="M22" s="344"/>
    </row>
    <row r="23" spans="2:13">
      <c r="B23" s="423"/>
      <c r="C23" s="424"/>
      <c r="D23" s="112">
        <v>13.258990000000001</v>
      </c>
      <c r="E23" s="112">
        <v>79.232860000000002</v>
      </c>
      <c r="F23" s="112">
        <v>4</v>
      </c>
      <c r="G23" s="115">
        <v>40</v>
      </c>
      <c r="H23" s="115">
        <f t="shared" si="0"/>
        <v>12.738853503184712</v>
      </c>
      <c r="I23" s="115">
        <f t="shared" si="1"/>
        <v>90.621758137913403</v>
      </c>
      <c r="J23" s="59">
        <f>I23*'Key Data'!$F$3</f>
        <v>22.655439534478351</v>
      </c>
      <c r="K23" s="59">
        <f t="shared" si="2"/>
        <v>113.27719767239175</v>
      </c>
      <c r="L23" s="344"/>
      <c r="M23" s="344"/>
    </row>
    <row r="24" spans="2:13">
      <c r="B24" s="423"/>
      <c r="C24" s="424"/>
      <c r="D24" s="112" t="s">
        <v>446</v>
      </c>
      <c r="E24" s="112"/>
      <c r="F24" s="112">
        <v>5</v>
      </c>
      <c r="G24" s="115">
        <v>37.5</v>
      </c>
      <c r="H24" s="115">
        <f t="shared" si="0"/>
        <v>11.942675159235668</v>
      </c>
      <c r="I24" s="115">
        <f t="shared" si="1"/>
        <v>86.851868889739876</v>
      </c>
      <c r="J24" s="59">
        <f>I24*'Key Data'!$F$3</f>
        <v>21.712967222434969</v>
      </c>
      <c r="K24" s="59">
        <f t="shared" si="2"/>
        <v>108.56483611217485</v>
      </c>
      <c r="L24" s="344"/>
      <c r="M24" s="344"/>
    </row>
    <row r="25" spans="2:13">
      <c r="B25" s="423"/>
      <c r="C25" s="424"/>
      <c r="D25" s="112">
        <v>13.25881</v>
      </c>
      <c r="E25" s="112">
        <v>79.232820000000004</v>
      </c>
      <c r="F25" s="112">
        <v>6</v>
      </c>
      <c r="G25" s="115">
        <v>43.5</v>
      </c>
      <c r="H25" s="115">
        <f t="shared" si="0"/>
        <v>13.853503184713375</v>
      </c>
      <c r="I25" s="115">
        <f t="shared" si="1"/>
        <v>94.93341890884949</v>
      </c>
      <c r="J25" s="59">
        <f>I25*'Key Data'!$F$3</f>
        <v>23.733354727212372</v>
      </c>
      <c r="K25" s="59">
        <f t="shared" si="2"/>
        <v>118.66677363606186</v>
      </c>
      <c r="L25" s="344"/>
      <c r="M25" s="344"/>
    </row>
    <row r="26" spans="2:13">
      <c r="B26" s="423"/>
      <c r="C26" s="424"/>
      <c r="D26" s="112" t="s">
        <v>447</v>
      </c>
      <c r="E26" s="112"/>
      <c r="F26" s="112">
        <v>7</v>
      </c>
      <c r="G26" s="115">
        <v>43</v>
      </c>
      <c r="H26" s="115">
        <f t="shared" si="0"/>
        <v>13.694267515923567</v>
      </c>
      <c r="I26" s="115">
        <f t="shared" si="1"/>
        <v>94.380191787958069</v>
      </c>
      <c r="J26" s="59">
        <f>I26*'Key Data'!$F$3</f>
        <v>23.595047946989517</v>
      </c>
      <c r="K26" s="59">
        <f t="shared" si="2"/>
        <v>117.97523973494759</v>
      </c>
      <c r="L26" s="344"/>
      <c r="M26" s="344"/>
    </row>
    <row r="27" spans="2:13">
      <c r="B27" s="423"/>
      <c r="C27" s="424"/>
      <c r="D27" s="112">
        <v>13.258800000000001</v>
      </c>
      <c r="E27" s="112">
        <v>23297</v>
      </c>
      <c r="F27" s="112">
        <v>8</v>
      </c>
      <c r="G27" s="115">
        <v>42</v>
      </c>
      <c r="H27" s="115">
        <f t="shared" si="0"/>
        <v>13.375796178343949</v>
      </c>
      <c r="I27" s="115">
        <f t="shared" si="1"/>
        <v>93.213305341133093</v>
      </c>
      <c r="J27" s="59">
        <f>I27*'Key Data'!$F$3</f>
        <v>23.303326335283273</v>
      </c>
      <c r="K27" s="59">
        <f t="shared" si="2"/>
        <v>116.51663167641637</v>
      </c>
      <c r="L27" s="344"/>
      <c r="M27" s="344"/>
    </row>
    <row r="28" spans="2:13">
      <c r="B28" s="423"/>
      <c r="C28" s="424"/>
      <c r="D28" s="112" t="s">
        <v>448</v>
      </c>
      <c r="E28" s="112"/>
      <c r="F28" s="112">
        <v>9</v>
      </c>
      <c r="G28" s="115">
        <v>55.5</v>
      </c>
      <c r="H28" s="115">
        <f t="shared" si="0"/>
        <v>17.67515923566879</v>
      </c>
      <c r="I28" s="115">
        <f t="shared" si="1"/>
        <v>103.57045141886734</v>
      </c>
      <c r="J28" s="59">
        <f>I28*'Key Data'!$F$3</f>
        <v>25.892612854716834</v>
      </c>
      <c r="K28" s="59">
        <f t="shared" si="2"/>
        <v>129.46306427358417</v>
      </c>
      <c r="L28" s="344"/>
      <c r="M28" s="344"/>
    </row>
    <row r="29" spans="2:13">
      <c r="B29" s="423"/>
      <c r="C29" s="424"/>
      <c r="D29" s="112">
        <v>13.258889999999999</v>
      </c>
      <c r="E29" s="112">
        <v>79.232919999999993</v>
      </c>
      <c r="F29" s="112">
        <v>10</v>
      </c>
      <c r="G29" s="115">
        <v>35.5</v>
      </c>
      <c r="H29" s="115">
        <f t="shared" si="0"/>
        <v>11.305732484076433</v>
      </c>
      <c r="I29" s="115">
        <f t="shared" si="1"/>
        <v>83.369017996615284</v>
      </c>
      <c r="J29" s="59">
        <f>I29*'Key Data'!$F$3</f>
        <v>20.842254499153821</v>
      </c>
      <c r="K29" s="59">
        <f t="shared" si="2"/>
        <v>104.21127249576911</v>
      </c>
      <c r="L29" s="344"/>
      <c r="M29" s="344"/>
    </row>
    <row r="30" spans="2:13">
      <c r="B30" s="423"/>
      <c r="C30" s="424"/>
      <c r="D30" s="112"/>
      <c r="E30" s="112"/>
      <c r="F30" s="112">
        <v>11</v>
      </c>
      <c r="G30" s="115">
        <v>42.5</v>
      </c>
      <c r="H30" s="115">
        <f t="shared" si="0"/>
        <v>13.535031847133757</v>
      </c>
      <c r="I30" s="115">
        <f t="shared" si="1"/>
        <v>93.807010574210494</v>
      </c>
      <c r="J30" s="59">
        <f>I30*'Key Data'!$F$3</f>
        <v>23.451752643552624</v>
      </c>
      <c r="K30" s="59">
        <f t="shared" si="2"/>
        <v>117.25876321776312</v>
      </c>
      <c r="L30" s="344"/>
      <c r="M30" s="344"/>
    </row>
    <row r="31" spans="2:13">
      <c r="B31" s="423"/>
      <c r="C31" s="424"/>
      <c r="D31" s="112"/>
      <c r="E31" s="112"/>
      <c r="F31" s="112">
        <v>12</v>
      </c>
      <c r="G31" s="115">
        <v>35.5</v>
      </c>
      <c r="H31" s="115">
        <f t="shared" si="0"/>
        <v>11.305732484076433</v>
      </c>
      <c r="I31" s="115">
        <f t="shared" si="1"/>
        <v>83.369017996615284</v>
      </c>
      <c r="J31" s="59">
        <f>I31*'Key Data'!$F$3</f>
        <v>20.842254499153821</v>
      </c>
      <c r="K31" s="59">
        <f t="shared" si="2"/>
        <v>104.21127249576911</v>
      </c>
      <c r="L31" s="344"/>
      <c r="M31" s="344"/>
    </row>
    <row r="32" spans="2:13">
      <c r="B32" s="423"/>
      <c r="C32" s="424"/>
      <c r="D32" s="112"/>
      <c r="E32" s="112"/>
      <c r="F32" s="112">
        <v>13</v>
      </c>
      <c r="G32" s="115">
        <v>48</v>
      </c>
      <c r="H32" s="115">
        <f t="shared" si="0"/>
        <v>15.286624203821656</v>
      </c>
      <c r="I32" s="115">
        <f t="shared" si="1"/>
        <v>99.105610669934464</v>
      </c>
      <c r="J32" s="59">
        <f>I32*'Key Data'!$F$3</f>
        <v>24.776402667483616</v>
      </c>
      <c r="K32" s="59">
        <f t="shared" si="2"/>
        <v>123.88201333741807</v>
      </c>
      <c r="L32" s="344"/>
      <c r="M32" s="344"/>
    </row>
    <row r="33" spans="2:13">
      <c r="B33" s="423"/>
      <c r="C33" s="424"/>
      <c r="D33" s="112"/>
      <c r="E33" s="112"/>
      <c r="F33" s="112">
        <v>14</v>
      </c>
      <c r="G33" s="115">
        <v>37</v>
      </c>
      <c r="H33" s="115">
        <f t="shared" si="0"/>
        <v>11.783439490445859</v>
      </c>
      <c r="I33" s="115">
        <f t="shared" si="1"/>
        <v>86.021612861952391</v>
      </c>
      <c r="J33" s="59">
        <f>I33*'Key Data'!$F$3</f>
        <v>21.505403215488098</v>
      </c>
      <c r="K33" s="59">
        <f t="shared" si="2"/>
        <v>107.52701607744049</v>
      </c>
      <c r="L33" s="344"/>
      <c r="M33" s="344"/>
    </row>
    <row r="34" spans="2:13">
      <c r="B34" s="423"/>
      <c r="C34" s="424"/>
      <c r="D34" s="112"/>
      <c r="E34" s="112"/>
      <c r="F34" s="112">
        <v>15</v>
      </c>
      <c r="G34" s="115">
        <v>38.5</v>
      </c>
      <c r="H34" s="115">
        <f t="shared" si="0"/>
        <v>12.261146496815286</v>
      </c>
      <c r="I34" s="115">
        <f t="shared" si="1"/>
        <v>88.434485897848504</v>
      </c>
      <c r="J34" s="59">
        <f>I34*'Key Data'!$F$3</f>
        <v>22.108621474462126</v>
      </c>
      <c r="K34" s="59">
        <f t="shared" si="2"/>
        <v>110.54310737231063</v>
      </c>
      <c r="L34" s="344"/>
      <c r="M34" s="344"/>
    </row>
    <row r="35" spans="2:13">
      <c r="B35" s="423"/>
      <c r="C35" s="424"/>
      <c r="D35" s="112"/>
      <c r="E35" s="112"/>
      <c r="F35" s="112">
        <v>16</v>
      </c>
      <c r="G35" s="115">
        <v>24.4</v>
      </c>
      <c r="H35" s="115">
        <f t="shared" si="0"/>
        <v>7.7707006369426743</v>
      </c>
      <c r="I35" s="115">
        <f t="shared" si="1"/>
        <v>55.653022108107962</v>
      </c>
      <c r="J35" s="59">
        <f>I35*'Key Data'!$F$3</f>
        <v>13.91325552702699</v>
      </c>
      <c r="K35" s="59">
        <f t="shared" si="2"/>
        <v>69.566277635134952</v>
      </c>
      <c r="L35" s="344"/>
      <c r="M35" s="344"/>
    </row>
    <row r="36" spans="2:13">
      <c r="B36" s="426">
        <v>3</v>
      </c>
      <c r="C36" s="426" t="s">
        <v>479</v>
      </c>
      <c r="D36" s="111" t="s">
        <v>350</v>
      </c>
      <c r="E36" s="111"/>
      <c r="F36" s="111">
        <v>1</v>
      </c>
      <c r="G36" s="113">
        <v>36</v>
      </c>
      <c r="H36" s="113">
        <f t="shared" si="0"/>
        <v>11.464968152866241</v>
      </c>
      <c r="I36" s="113">
        <f t="shared" si="1"/>
        <v>84.280664533466705</v>
      </c>
      <c r="J36" s="114">
        <f>I36*'Key Data'!$F$3</f>
        <v>21.070166133366676</v>
      </c>
      <c r="K36" s="114">
        <f t="shared" si="2"/>
        <v>105.35083066683339</v>
      </c>
      <c r="L36" s="422">
        <f t="shared" ref="L36" si="4">SUM(K36:K51)/1000</f>
        <v>1.0735334364349769</v>
      </c>
      <c r="M36" s="422">
        <f>(L36/625)*10000</f>
        <v>17.17653498295963</v>
      </c>
    </row>
    <row r="37" spans="2:13">
      <c r="B37" s="426"/>
      <c r="C37" s="426"/>
      <c r="D37" s="111">
        <v>13.263405000000001</v>
      </c>
      <c r="E37" s="111">
        <v>79.174627000000001</v>
      </c>
      <c r="F37" s="111">
        <v>2</v>
      </c>
      <c r="G37" s="113">
        <v>15.5</v>
      </c>
      <c r="H37" s="113">
        <f t="shared" si="0"/>
        <v>4.936305732484076</v>
      </c>
      <c r="I37" s="113">
        <f t="shared" si="1"/>
        <v>26.752652871256931</v>
      </c>
      <c r="J37" s="114">
        <f>I37*'Key Data'!$F$3</f>
        <v>6.6881632178142327</v>
      </c>
      <c r="K37" s="114">
        <f t="shared" si="2"/>
        <v>33.440816089071163</v>
      </c>
      <c r="L37" s="422"/>
      <c r="M37" s="422"/>
    </row>
    <row r="38" spans="2:13">
      <c r="B38" s="426"/>
      <c r="C38" s="426"/>
      <c r="D38" s="111" t="s">
        <v>445</v>
      </c>
      <c r="E38" s="111"/>
      <c r="F38" s="111">
        <v>3</v>
      </c>
      <c r="G38" s="113">
        <v>48</v>
      </c>
      <c r="H38" s="113">
        <f t="shared" si="0"/>
        <v>15.286624203821656</v>
      </c>
      <c r="I38" s="113">
        <f t="shared" si="1"/>
        <v>99.105610669934464</v>
      </c>
      <c r="J38" s="114">
        <f>I38*'Key Data'!$F$3</f>
        <v>24.776402667483616</v>
      </c>
      <c r="K38" s="114">
        <f t="shared" si="2"/>
        <v>123.88201333741807</v>
      </c>
      <c r="L38" s="422"/>
      <c r="M38" s="422"/>
    </row>
    <row r="39" spans="2:13">
      <c r="B39" s="426"/>
      <c r="C39" s="426"/>
      <c r="D39" s="111">
        <v>13.263558</v>
      </c>
      <c r="E39" s="111">
        <v>79.174563000000006</v>
      </c>
      <c r="F39" s="111">
        <v>4</v>
      </c>
      <c r="G39" s="113">
        <v>14</v>
      </c>
      <c r="H39" s="113">
        <f t="shared" si="0"/>
        <v>4.4585987261146496</v>
      </c>
      <c r="I39" s="113">
        <f t="shared" si="1"/>
        <v>22.216880839369029</v>
      </c>
      <c r="J39" s="114">
        <f>I39*'Key Data'!$F$3</f>
        <v>5.5542202098422573</v>
      </c>
      <c r="K39" s="114">
        <f t="shared" si="2"/>
        <v>27.771101049211286</v>
      </c>
      <c r="L39" s="422"/>
      <c r="M39" s="422"/>
    </row>
    <row r="40" spans="2:13">
      <c r="B40" s="426"/>
      <c r="C40" s="426"/>
      <c r="D40" s="111" t="s">
        <v>446</v>
      </c>
      <c r="E40" s="111"/>
      <c r="F40" s="111">
        <v>5</v>
      </c>
      <c r="G40" s="113">
        <v>43</v>
      </c>
      <c r="H40" s="113">
        <f t="shared" si="0"/>
        <v>13.694267515923567</v>
      </c>
      <c r="I40" s="113">
        <f t="shared" si="1"/>
        <v>94.380191787958069</v>
      </c>
      <c r="J40" s="114">
        <f>I40*'Key Data'!$F$3</f>
        <v>23.595047946989517</v>
      </c>
      <c r="K40" s="114">
        <f t="shared" si="2"/>
        <v>117.97523973494759</v>
      </c>
      <c r="L40" s="422"/>
      <c r="M40" s="422"/>
    </row>
    <row r="41" spans="2:13">
      <c r="B41" s="426"/>
      <c r="C41" s="426"/>
      <c r="D41" s="111">
        <v>13.263512</v>
      </c>
      <c r="E41" s="111">
        <v>79.174383000000006</v>
      </c>
      <c r="F41" s="111">
        <v>6</v>
      </c>
      <c r="G41" s="113">
        <v>29</v>
      </c>
      <c r="H41" s="113">
        <f t="shared" si="0"/>
        <v>9.2356687898089174</v>
      </c>
      <c r="I41" s="113">
        <f t="shared" si="1"/>
        <v>68.860872127670262</v>
      </c>
      <c r="J41" s="114">
        <f>I41*'Key Data'!$F$3</f>
        <v>17.215218031917566</v>
      </c>
      <c r="K41" s="114">
        <f t="shared" si="2"/>
        <v>86.076090159587835</v>
      </c>
      <c r="L41" s="422"/>
      <c r="M41" s="422"/>
    </row>
    <row r="42" spans="2:13">
      <c r="B42" s="426"/>
      <c r="C42" s="426"/>
      <c r="D42" s="111" t="s">
        <v>447</v>
      </c>
      <c r="E42" s="111"/>
      <c r="F42" s="111">
        <v>7</v>
      </c>
      <c r="G42" s="113">
        <v>12</v>
      </c>
      <c r="H42" s="113">
        <f t="shared" si="0"/>
        <v>3.8216560509554141</v>
      </c>
      <c r="I42" s="113">
        <f t="shared" si="1"/>
        <v>16.682762464573031</v>
      </c>
      <c r="J42" s="114">
        <f>I42*'Key Data'!$F$3</f>
        <v>4.1706906161432578</v>
      </c>
      <c r="K42" s="114">
        <f t="shared" si="2"/>
        <v>20.853453080716289</v>
      </c>
      <c r="L42" s="422"/>
      <c r="M42" s="422"/>
    </row>
    <row r="43" spans="2:13">
      <c r="B43" s="426"/>
      <c r="C43" s="426"/>
      <c r="D43" s="111">
        <v>13.263387</v>
      </c>
      <c r="E43" s="111">
        <v>79.174413000000001</v>
      </c>
      <c r="F43" s="111">
        <v>8</v>
      </c>
      <c r="G43" s="113">
        <v>22</v>
      </c>
      <c r="H43" s="113">
        <f t="shared" si="0"/>
        <v>7.0063694267515917</v>
      </c>
      <c r="I43" s="113">
        <f t="shared" si="1"/>
        <v>48.00625536190465</v>
      </c>
      <c r="J43" s="114">
        <f>I43*'Key Data'!$F$3</f>
        <v>12.001563840476162</v>
      </c>
      <c r="K43" s="114">
        <f t="shared" si="2"/>
        <v>60.007819202380816</v>
      </c>
      <c r="L43" s="422"/>
      <c r="M43" s="422"/>
    </row>
    <row r="44" spans="2:13">
      <c r="B44" s="426"/>
      <c r="C44" s="426"/>
      <c r="D44" s="111" t="s">
        <v>457</v>
      </c>
      <c r="E44" s="111"/>
      <c r="F44" s="111">
        <v>9</v>
      </c>
      <c r="G44" s="113">
        <v>11.5</v>
      </c>
      <c r="H44" s="113">
        <f t="shared" si="0"/>
        <v>3.6624203821656049</v>
      </c>
      <c r="I44" s="113">
        <f t="shared" si="1"/>
        <v>15.410235164035067</v>
      </c>
      <c r="J44" s="114">
        <f>I44*'Key Data'!$F$3</f>
        <v>3.8525587910087666</v>
      </c>
      <c r="K44" s="114">
        <f t="shared" si="2"/>
        <v>19.262793955043833</v>
      </c>
      <c r="L44" s="422"/>
      <c r="M44" s="422"/>
    </row>
    <row r="45" spans="2:13">
      <c r="B45" s="426"/>
      <c r="C45" s="426"/>
      <c r="D45" s="111">
        <v>13.263522</v>
      </c>
      <c r="E45" s="111">
        <v>79.174481999999998</v>
      </c>
      <c r="F45" s="111">
        <v>10</v>
      </c>
      <c r="G45" s="113">
        <v>39.5</v>
      </c>
      <c r="H45" s="113">
        <f t="shared" si="0"/>
        <v>12.579617834394904</v>
      </c>
      <c r="I45" s="113">
        <f t="shared" si="1"/>
        <v>89.916816641509769</v>
      </c>
      <c r="J45" s="114">
        <f>I45*'Key Data'!$F$3</f>
        <v>22.479204160377442</v>
      </c>
      <c r="K45" s="114">
        <f t="shared" si="2"/>
        <v>112.3960208018872</v>
      </c>
      <c r="L45" s="422"/>
      <c r="M45" s="422"/>
    </row>
    <row r="46" spans="2:13">
      <c r="B46" s="426"/>
      <c r="C46" s="426"/>
      <c r="D46" s="111"/>
      <c r="E46" s="111"/>
      <c r="F46" s="111">
        <v>11</v>
      </c>
      <c r="G46" s="113">
        <v>11</v>
      </c>
      <c r="H46" s="113">
        <f t="shared" si="0"/>
        <v>3.5031847133757958</v>
      </c>
      <c r="I46" s="113">
        <f t="shared" si="1"/>
        <v>14.187111700351446</v>
      </c>
      <c r="J46" s="114">
        <f>I46*'Key Data'!$F$3</f>
        <v>3.5467779250878615</v>
      </c>
      <c r="K46" s="114">
        <f t="shared" si="2"/>
        <v>17.733889625439307</v>
      </c>
      <c r="L46" s="422"/>
      <c r="M46" s="422"/>
    </row>
    <row r="47" spans="2:13">
      <c r="B47" s="426"/>
      <c r="C47" s="426"/>
      <c r="D47" s="111"/>
      <c r="E47" s="111"/>
      <c r="F47" s="111">
        <v>12</v>
      </c>
      <c r="G47" s="113">
        <v>16</v>
      </c>
      <c r="H47" s="113">
        <f t="shared" si="0"/>
        <v>5.0955414012738851</v>
      </c>
      <c r="I47" s="113">
        <f t="shared" si="1"/>
        <v>28.321096871497026</v>
      </c>
      <c r="J47" s="114">
        <f>I47*'Key Data'!$F$3</f>
        <v>7.0802742178742566</v>
      </c>
      <c r="K47" s="114">
        <f t="shared" si="2"/>
        <v>35.401371089371281</v>
      </c>
      <c r="L47" s="422"/>
      <c r="M47" s="422"/>
    </row>
    <row r="48" spans="2:13">
      <c r="B48" s="426"/>
      <c r="C48" s="426"/>
      <c r="D48" s="111"/>
      <c r="E48" s="111"/>
      <c r="F48" s="111">
        <v>13</v>
      </c>
      <c r="G48" s="253" t="s">
        <v>454</v>
      </c>
      <c r="H48" s="253" t="s">
        <v>454</v>
      </c>
      <c r="I48" s="253" t="s">
        <v>454</v>
      </c>
      <c r="J48" s="253" t="s">
        <v>454</v>
      </c>
      <c r="K48" s="253" t="s">
        <v>454</v>
      </c>
      <c r="L48" s="422"/>
      <c r="M48" s="422"/>
    </row>
    <row r="49" spans="2:13">
      <c r="B49" s="426"/>
      <c r="C49" s="426"/>
      <c r="D49" s="111"/>
      <c r="E49" s="111"/>
      <c r="F49" s="111">
        <v>14</v>
      </c>
      <c r="G49" s="113">
        <v>31</v>
      </c>
      <c r="H49" s="113">
        <f t="shared" si="0"/>
        <v>9.872611464968152</v>
      </c>
      <c r="I49" s="113">
        <f t="shared" si="1"/>
        <v>73.861700758365856</v>
      </c>
      <c r="J49" s="114">
        <f>I49*'Key Data'!$F$3</f>
        <v>18.465425189591464</v>
      </c>
      <c r="K49" s="114">
        <f t="shared" si="2"/>
        <v>92.327125947957313</v>
      </c>
      <c r="L49" s="422"/>
      <c r="M49" s="422"/>
    </row>
    <row r="50" spans="2:13">
      <c r="B50" s="426"/>
      <c r="C50" s="426"/>
      <c r="D50" s="111"/>
      <c r="E50" s="111"/>
      <c r="F50" s="111">
        <v>15</v>
      </c>
      <c r="G50" s="113">
        <v>39</v>
      </c>
      <c r="H50" s="113">
        <f t="shared" si="0"/>
        <v>12.420382165605096</v>
      </c>
      <c r="I50" s="113">
        <f t="shared" si="1"/>
        <v>89.187912740586754</v>
      </c>
      <c r="J50" s="114">
        <f>I50*'Key Data'!$F$3</f>
        <v>22.296978185146688</v>
      </c>
      <c r="K50" s="114">
        <f t="shared" si="2"/>
        <v>111.48489092573344</v>
      </c>
      <c r="L50" s="422"/>
      <c r="M50" s="422"/>
    </row>
    <row r="51" spans="2:13">
      <c r="B51" s="426"/>
      <c r="C51" s="426"/>
      <c r="D51" s="111"/>
      <c r="E51" s="111"/>
      <c r="F51" s="111">
        <v>16</v>
      </c>
      <c r="G51" s="113">
        <v>38</v>
      </c>
      <c r="H51" s="113">
        <f t="shared" si="0"/>
        <v>12.101910828025478</v>
      </c>
      <c r="I51" s="113">
        <f t="shared" si="1"/>
        <v>87.655984615502476</v>
      </c>
      <c r="J51" s="114">
        <f>I51*'Key Data'!$F$3</f>
        <v>21.913996153875619</v>
      </c>
      <c r="K51" s="114">
        <f t="shared" si="2"/>
        <v>109.56998076937809</v>
      </c>
      <c r="L51" s="422"/>
      <c r="M51" s="422"/>
    </row>
    <row r="52" spans="2:13">
      <c r="B52" s="423">
        <v>4</v>
      </c>
      <c r="C52" s="424" t="s">
        <v>480</v>
      </c>
      <c r="D52" s="112" t="s">
        <v>350</v>
      </c>
      <c r="E52" s="112"/>
      <c r="F52" s="112">
        <v>1</v>
      </c>
      <c r="G52" s="115">
        <v>30</v>
      </c>
      <c r="H52" s="115">
        <f t="shared" si="0"/>
        <v>9.5541401273885338</v>
      </c>
      <c r="I52" s="115">
        <f t="shared" si="1"/>
        <v>71.420982321553225</v>
      </c>
      <c r="J52" s="59">
        <f>I52*'Key Data'!$F$3</f>
        <v>17.855245580388306</v>
      </c>
      <c r="K52" s="59">
        <f t="shared" si="2"/>
        <v>89.276227901941525</v>
      </c>
      <c r="L52" s="344">
        <f>SUM(K52:K67)/1000</f>
        <v>1.5008111912726372</v>
      </c>
      <c r="M52" s="344">
        <f>(L52/625)*10000</f>
        <v>24.012979060362191</v>
      </c>
    </row>
    <row r="53" spans="2:13">
      <c r="B53" s="423"/>
      <c r="C53" s="424"/>
      <c r="D53" s="112">
        <v>13.356873999999999</v>
      </c>
      <c r="E53" s="112">
        <v>79.352385999999996</v>
      </c>
      <c r="F53" s="112">
        <v>2</v>
      </c>
      <c r="G53" s="115">
        <v>32.200000000000003</v>
      </c>
      <c r="H53" s="115">
        <f t="shared" si="0"/>
        <v>10.254777070063694</v>
      </c>
      <c r="I53" s="115">
        <f t="shared" si="1"/>
        <v>76.63178131489812</v>
      </c>
      <c r="J53" s="59">
        <f>I53*'Key Data'!$F$3</f>
        <v>19.15794532872453</v>
      </c>
      <c r="K53" s="59">
        <f t="shared" si="2"/>
        <v>95.789726643622657</v>
      </c>
      <c r="L53" s="344"/>
      <c r="M53" s="344"/>
    </row>
    <row r="54" spans="2:13">
      <c r="B54" s="423"/>
      <c r="C54" s="424"/>
      <c r="D54" s="112" t="s">
        <v>445</v>
      </c>
      <c r="E54" s="112"/>
      <c r="F54" s="112">
        <v>3</v>
      </c>
      <c r="G54" s="115">
        <v>49</v>
      </c>
      <c r="H54" s="115">
        <f t="shared" si="0"/>
        <v>15.605095541401273</v>
      </c>
      <c r="I54" s="115">
        <f t="shared" si="1"/>
        <v>99.85866326147945</v>
      </c>
      <c r="J54" s="59">
        <f>I54*'Key Data'!$F$3</f>
        <v>24.964665815369862</v>
      </c>
      <c r="K54" s="59">
        <f t="shared" si="2"/>
        <v>124.82332907684932</v>
      </c>
      <c r="L54" s="344"/>
      <c r="M54" s="344"/>
    </row>
    <row r="55" spans="2:13">
      <c r="B55" s="423"/>
      <c r="C55" s="424"/>
      <c r="D55" s="112">
        <v>13.356854999999999</v>
      </c>
      <c r="E55" s="112">
        <v>79.352324999999993</v>
      </c>
      <c r="F55" s="112">
        <v>4</v>
      </c>
      <c r="G55" s="115">
        <v>25</v>
      </c>
      <c r="H55" s="115">
        <f t="shared" si="0"/>
        <v>7.9617834394904454</v>
      </c>
      <c r="I55" s="115">
        <f t="shared" si="1"/>
        <v>57.496348591842889</v>
      </c>
      <c r="J55" s="59">
        <f>I55*'Key Data'!$F$3</f>
        <v>14.374087147960722</v>
      </c>
      <c r="K55" s="59">
        <f t="shared" si="2"/>
        <v>71.870435739803611</v>
      </c>
      <c r="L55" s="344"/>
      <c r="M55" s="344"/>
    </row>
    <row r="56" spans="2:13">
      <c r="B56" s="423"/>
      <c r="C56" s="424"/>
      <c r="D56" s="112" t="s">
        <v>446</v>
      </c>
      <c r="E56" s="112"/>
      <c r="F56" s="112">
        <v>5</v>
      </c>
      <c r="G56" s="115">
        <v>66</v>
      </c>
      <c r="H56" s="115">
        <f t="shared" si="0"/>
        <v>21.019108280254777</v>
      </c>
      <c r="I56" s="115">
        <f t="shared" si="1"/>
        <v>106.69603057885735</v>
      </c>
      <c r="J56" s="59">
        <f>I56*'Key Data'!$F$3</f>
        <v>26.674007644714337</v>
      </c>
      <c r="K56" s="59">
        <f t="shared" si="2"/>
        <v>133.37003822357167</v>
      </c>
      <c r="L56" s="344"/>
      <c r="M56" s="344"/>
    </row>
    <row r="57" spans="2:13">
      <c r="B57" s="423"/>
      <c r="C57" s="424"/>
      <c r="D57" s="112">
        <v>13.356953000000001</v>
      </c>
      <c r="E57" s="112">
        <v>79.352554999999995</v>
      </c>
      <c r="F57" s="112">
        <v>6</v>
      </c>
      <c r="G57" s="115">
        <v>29</v>
      </c>
      <c r="H57" s="115">
        <f t="shared" si="0"/>
        <v>9.2356687898089174</v>
      </c>
      <c r="I57" s="115">
        <f t="shared" si="1"/>
        <v>68.860872127670262</v>
      </c>
      <c r="J57" s="59">
        <f>I57*'Key Data'!$F$3</f>
        <v>17.215218031917566</v>
      </c>
      <c r="K57" s="59">
        <f t="shared" si="2"/>
        <v>86.076090159587835</v>
      </c>
      <c r="L57" s="344"/>
      <c r="M57" s="344"/>
    </row>
    <row r="58" spans="2:13">
      <c r="B58" s="423"/>
      <c r="C58" s="424"/>
      <c r="D58" s="112" t="s">
        <v>447</v>
      </c>
      <c r="E58" s="112"/>
      <c r="F58" s="112">
        <v>7</v>
      </c>
      <c r="G58" s="115">
        <v>27</v>
      </c>
      <c r="H58" s="115">
        <f t="shared" si="0"/>
        <v>8.598726114649681</v>
      </c>
      <c r="I58" s="115">
        <f t="shared" si="1"/>
        <v>63.393109582195777</v>
      </c>
      <c r="J58" s="59">
        <f>I58*'Key Data'!$F$3</f>
        <v>15.848277395548944</v>
      </c>
      <c r="K58" s="59">
        <f t="shared" si="2"/>
        <v>79.241386977744725</v>
      </c>
      <c r="L58" s="344"/>
      <c r="M58" s="344"/>
    </row>
    <row r="59" spans="2:13">
      <c r="B59" s="423"/>
      <c r="C59" s="424"/>
      <c r="D59" s="112">
        <v>13.357013</v>
      </c>
      <c r="E59" s="112">
        <v>79.352343000000005</v>
      </c>
      <c r="F59" s="112">
        <v>8</v>
      </c>
      <c r="G59" s="115">
        <v>22.5</v>
      </c>
      <c r="H59" s="115">
        <f t="shared" si="0"/>
        <v>7.1656050955414008</v>
      </c>
      <c r="I59" s="115">
        <f t="shared" si="1"/>
        <v>49.629812539313463</v>
      </c>
      <c r="J59" s="59">
        <f>I59*'Key Data'!$F$3</f>
        <v>12.407453134828366</v>
      </c>
      <c r="K59" s="59">
        <f t="shared" si="2"/>
        <v>62.037265674141828</v>
      </c>
      <c r="L59" s="344"/>
      <c r="M59" s="344"/>
    </row>
    <row r="60" spans="2:13">
      <c r="B60" s="423"/>
      <c r="C60" s="424"/>
      <c r="D60" s="112" t="s">
        <v>448</v>
      </c>
      <c r="E60" s="112"/>
      <c r="F60" s="112">
        <v>9</v>
      </c>
      <c r="G60" s="115">
        <v>32</v>
      </c>
      <c r="H60" s="115">
        <f t="shared" si="0"/>
        <v>10.19108280254777</v>
      </c>
      <c r="I60" s="115">
        <f t="shared" si="1"/>
        <v>76.182125605509071</v>
      </c>
      <c r="J60" s="59">
        <f>I60*'Key Data'!$F$3</f>
        <v>19.045531401377268</v>
      </c>
      <c r="K60" s="59">
        <f t="shared" si="2"/>
        <v>95.227657006886346</v>
      </c>
      <c r="L60" s="344"/>
      <c r="M60" s="344"/>
    </row>
    <row r="61" spans="2:13">
      <c r="B61" s="423"/>
      <c r="C61" s="424"/>
      <c r="D61" s="112">
        <v>13.356897999999999</v>
      </c>
      <c r="E61" s="112">
        <v>79.352412999999999</v>
      </c>
      <c r="F61" s="112">
        <v>10</v>
      </c>
      <c r="G61" s="115">
        <v>42</v>
      </c>
      <c r="H61" s="115">
        <f t="shared" si="0"/>
        <v>13.375796178343949</v>
      </c>
      <c r="I61" s="115">
        <f t="shared" si="1"/>
        <v>93.213305341133093</v>
      </c>
      <c r="J61" s="59">
        <f>I61*'Key Data'!$F$3</f>
        <v>23.303326335283273</v>
      </c>
      <c r="K61" s="59">
        <f t="shared" si="2"/>
        <v>116.51663167641637</v>
      </c>
      <c r="L61" s="344"/>
      <c r="M61" s="344"/>
    </row>
    <row r="62" spans="2:13">
      <c r="B62" s="423"/>
      <c r="C62" s="424"/>
      <c r="D62" s="112"/>
      <c r="E62" s="112"/>
      <c r="F62" s="112">
        <v>11</v>
      </c>
      <c r="G62" s="115">
        <v>27.5</v>
      </c>
      <c r="H62" s="115">
        <f t="shared" si="0"/>
        <v>8.7579617834394909</v>
      </c>
      <c r="I62" s="115">
        <f t="shared" si="1"/>
        <v>64.802231741112209</v>
      </c>
      <c r="J62" s="59">
        <f>I62*'Key Data'!$F$3</f>
        <v>16.200557935278052</v>
      </c>
      <c r="K62" s="59">
        <f t="shared" si="2"/>
        <v>81.002789676390265</v>
      </c>
      <c r="L62" s="344"/>
      <c r="M62" s="344"/>
    </row>
    <row r="63" spans="2:13">
      <c r="B63" s="423"/>
      <c r="C63" s="424"/>
      <c r="D63" s="112"/>
      <c r="E63" s="112"/>
      <c r="F63" s="112">
        <v>12</v>
      </c>
      <c r="G63" s="115">
        <v>25.5</v>
      </c>
      <c r="H63" s="115">
        <f t="shared" si="0"/>
        <v>8.1210191082802545</v>
      </c>
      <c r="I63" s="115">
        <f t="shared" si="1"/>
        <v>59.007581804488225</v>
      </c>
      <c r="J63" s="59">
        <f>I63*'Key Data'!$F$3</f>
        <v>14.751895451122056</v>
      </c>
      <c r="K63" s="59">
        <f t="shared" si="2"/>
        <v>73.759477255610278</v>
      </c>
      <c r="L63" s="344"/>
      <c r="M63" s="344"/>
    </row>
    <row r="64" spans="2:13">
      <c r="B64" s="423"/>
      <c r="C64" s="424"/>
      <c r="D64" s="112"/>
      <c r="E64" s="112"/>
      <c r="F64" s="112">
        <v>13</v>
      </c>
      <c r="G64" s="115">
        <v>28</v>
      </c>
      <c r="H64" s="115">
        <f t="shared" si="0"/>
        <v>8.9171974522292992</v>
      </c>
      <c r="I64" s="115">
        <f t="shared" si="1"/>
        <v>66.183639528078146</v>
      </c>
      <c r="J64" s="59">
        <f>I64*'Key Data'!$F$3</f>
        <v>16.545909882019536</v>
      </c>
      <c r="K64" s="59">
        <f t="shared" si="2"/>
        <v>82.72954941009769</v>
      </c>
      <c r="L64" s="344"/>
      <c r="M64" s="344"/>
    </row>
    <row r="65" spans="2:13">
      <c r="B65" s="423"/>
      <c r="C65" s="424"/>
      <c r="D65" s="112"/>
      <c r="E65" s="112"/>
      <c r="F65" s="112">
        <v>14</v>
      </c>
      <c r="G65" s="115">
        <v>35</v>
      </c>
      <c r="H65" s="115">
        <f t="shared" si="0"/>
        <v>11.146496815286623</v>
      </c>
      <c r="I65" s="115">
        <f t="shared" si="1"/>
        <v>82.429329470591512</v>
      </c>
      <c r="J65" s="59">
        <f>I65*'Key Data'!$F$3</f>
        <v>20.607332367647878</v>
      </c>
      <c r="K65" s="59">
        <f t="shared" si="2"/>
        <v>103.03666183823938</v>
      </c>
      <c r="L65" s="344"/>
      <c r="M65" s="344"/>
    </row>
    <row r="66" spans="2:13">
      <c r="B66" s="423"/>
      <c r="C66" s="424"/>
      <c r="D66" s="112"/>
      <c r="E66" s="112"/>
      <c r="F66" s="112">
        <v>15</v>
      </c>
      <c r="G66" s="115">
        <v>29</v>
      </c>
      <c r="H66" s="115">
        <f t="shared" si="0"/>
        <v>9.2356687898089174</v>
      </c>
      <c r="I66" s="115">
        <f t="shared" si="1"/>
        <v>68.860872127670262</v>
      </c>
      <c r="J66" s="59">
        <f>I66*'Key Data'!$F$3</f>
        <v>17.215218031917566</v>
      </c>
      <c r="K66" s="59">
        <f t="shared" si="2"/>
        <v>86.076090159587835</v>
      </c>
      <c r="L66" s="344"/>
      <c r="M66" s="344"/>
    </row>
    <row r="67" spans="2:13">
      <c r="B67" s="423"/>
      <c r="C67" s="424"/>
      <c r="D67" s="112"/>
      <c r="E67" s="112"/>
      <c r="F67" s="112">
        <v>16</v>
      </c>
      <c r="G67" s="115">
        <v>44.5</v>
      </c>
      <c r="H67" s="115">
        <f t="shared" si="0"/>
        <v>14.171974522292993</v>
      </c>
      <c r="I67" s="115">
        <f t="shared" si="1"/>
        <v>95.982267081716614</v>
      </c>
      <c r="J67" s="59">
        <f>I67*'Key Data'!$F$3</f>
        <v>23.995566770429154</v>
      </c>
      <c r="K67" s="59">
        <f t="shared" si="2"/>
        <v>119.97783385214576</v>
      </c>
      <c r="L67" s="344"/>
      <c r="M67" s="344"/>
    </row>
  </sheetData>
  <mergeCells count="16">
    <mergeCell ref="M4:M19"/>
    <mergeCell ref="M20:M35"/>
    <mergeCell ref="M36:M51"/>
    <mergeCell ref="M52:M67"/>
    <mergeCell ref="B52:B67"/>
    <mergeCell ref="C52:C67"/>
    <mergeCell ref="L4:L19"/>
    <mergeCell ref="L20:L35"/>
    <mergeCell ref="L36:L51"/>
    <mergeCell ref="L52:L67"/>
    <mergeCell ref="B4:B19"/>
    <mergeCell ref="C4:C19"/>
    <mergeCell ref="B20:B35"/>
    <mergeCell ref="C20:C35"/>
    <mergeCell ref="B36:B51"/>
    <mergeCell ref="C36:C5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D4EE1-B853-4E99-8674-1182E7D4A301}">
  <dimension ref="B2:M39"/>
  <sheetViews>
    <sheetView workbookViewId="0">
      <selection activeCell="K3" sqref="K3"/>
    </sheetView>
  </sheetViews>
  <sheetFormatPr defaultRowHeight="15"/>
  <sheetData>
    <row r="2" spans="2:13" ht="15.75" thickBot="1"/>
    <row r="3" spans="2:13" ht="81.75">
      <c r="B3" s="272" t="s">
        <v>432</v>
      </c>
      <c r="C3" s="23" t="s">
        <v>433</v>
      </c>
      <c r="D3" s="23" t="s">
        <v>434</v>
      </c>
      <c r="E3" s="23" t="s">
        <v>435</v>
      </c>
      <c r="F3" s="23" t="s">
        <v>436</v>
      </c>
      <c r="G3" s="23" t="s">
        <v>437</v>
      </c>
      <c r="H3" s="273" t="s">
        <v>438</v>
      </c>
      <c r="I3" s="272" t="s">
        <v>439</v>
      </c>
      <c r="J3" s="272" t="s">
        <v>440</v>
      </c>
      <c r="K3" s="272" t="s">
        <v>441</v>
      </c>
      <c r="L3" s="272" t="s">
        <v>442</v>
      </c>
      <c r="M3" s="272" t="s">
        <v>443</v>
      </c>
    </row>
    <row r="4" spans="2:13" ht="15.75">
      <c r="B4" s="428">
        <v>1</v>
      </c>
      <c r="C4" s="429" t="s">
        <v>481</v>
      </c>
      <c r="D4" s="117" t="s">
        <v>350</v>
      </c>
      <c r="E4" s="117"/>
      <c r="F4" s="125">
        <v>1</v>
      </c>
      <c r="G4" s="117">
        <v>11.5</v>
      </c>
      <c r="H4" s="117">
        <f>G4/3.14</f>
        <v>3.6624203821656049</v>
      </c>
      <c r="I4" s="116">
        <f>30.4*EXP(-5.07*EXP(-0.26*H4)+1.277)</f>
        <v>15.410235164035067</v>
      </c>
      <c r="J4" s="116">
        <f>I4*'Key Data'!$F$3</f>
        <v>3.8525587910087666</v>
      </c>
      <c r="K4" s="116">
        <f>J4+I4</f>
        <v>19.262793955043833</v>
      </c>
      <c r="L4" s="427">
        <f>SUM(K4:K19)/1000</f>
        <v>0.24398822304867049</v>
      </c>
      <c r="M4" s="427">
        <f>(L4/625)*10000</f>
        <v>3.9038115687787274</v>
      </c>
    </row>
    <row r="5" spans="2:13" ht="15.75">
      <c r="B5" s="428"/>
      <c r="C5" s="429"/>
      <c r="D5" s="117">
        <v>13.29757</v>
      </c>
      <c r="E5" s="117">
        <v>79.20805</v>
      </c>
      <c r="F5" s="125">
        <v>2</v>
      </c>
      <c r="G5" s="117">
        <v>13.5</v>
      </c>
      <c r="H5" s="117">
        <f t="shared" ref="H5:H39" si="0">G5/3.14</f>
        <v>4.2993630573248405</v>
      </c>
      <c r="I5" s="116">
        <f t="shared" ref="I5:I39" si="1">30.4*EXP(-5.07*EXP(-0.26*H5)+1.277)</f>
        <v>20.772245409667665</v>
      </c>
      <c r="J5" s="116">
        <f>I5*'Key Data'!$F$3</f>
        <v>5.1930613524169162</v>
      </c>
      <c r="K5" s="116">
        <f t="shared" ref="K5:K39" si="2">J5+I5</f>
        <v>25.96530676208458</v>
      </c>
      <c r="L5" s="427"/>
      <c r="M5" s="427"/>
    </row>
    <row r="6" spans="2:13" ht="15.75">
      <c r="B6" s="428"/>
      <c r="C6" s="429"/>
      <c r="D6" s="117" t="s">
        <v>445</v>
      </c>
      <c r="E6" s="117"/>
      <c r="F6" s="125">
        <v>3</v>
      </c>
      <c r="G6" s="117">
        <v>9.5</v>
      </c>
      <c r="H6" s="117">
        <f t="shared" si="0"/>
        <v>3.0254777070063694</v>
      </c>
      <c r="I6" s="116">
        <f t="shared" si="1"/>
        <v>10.833776274969816</v>
      </c>
      <c r="J6" s="116">
        <f>I6*'Key Data'!$F$3</f>
        <v>2.708444068742454</v>
      </c>
      <c r="K6" s="116">
        <f t="shared" si="2"/>
        <v>13.54222034371227</v>
      </c>
      <c r="L6" s="427"/>
      <c r="M6" s="427"/>
    </row>
    <row r="7" spans="2:13" ht="15.75">
      <c r="B7" s="428"/>
      <c r="C7" s="429"/>
      <c r="D7" s="117">
        <v>13.29759</v>
      </c>
      <c r="E7" s="117">
        <v>79.20805</v>
      </c>
      <c r="F7" s="125">
        <v>4</v>
      </c>
      <c r="G7" s="117">
        <v>10.5</v>
      </c>
      <c r="H7" s="117">
        <f t="shared" si="0"/>
        <v>3.3439490445859872</v>
      </c>
      <c r="I7" s="116">
        <f t="shared" si="1"/>
        <v>13.015491172432213</v>
      </c>
      <c r="J7" s="116">
        <f>I7*'Key Data'!$F$3</f>
        <v>3.2538727931080533</v>
      </c>
      <c r="K7" s="116">
        <f t="shared" si="2"/>
        <v>16.269363965540265</v>
      </c>
      <c r="L7" s="427"/>
      <c r="M7" s="427"/>
    </row>
    <row r="8" spans="2:13" ht="15.75">
      <c r="B8" s="428"/>
      <c r="C8" s="429"/>
      <c r="D8" s="117" t="s">
        <v>446</v>
      </c>
      <c r="E8" s="117"/>
      <c r="F8" s="125">
        <v>5</v>
      </c>
      <c r="G8" s="117">
        <v>13.5</v>
      </c>
      <c r="H8" s="117">
        <f t="shared" si="0"/>
        <v>4.2993630573248405</v>
      </c>
      <c r="I8" s="116">
        <f t="shared" si="1"/>
        <v>20.772245409667665</v>
      </c>
      <c r="J8" s="116">
        <f>I8*'Key Data'!$F$3</f>
        <v>5.1930613524169162</v>
      </c>
      <c r="K8" s="116">
        <f t="shared" si="2"/>
        <v>25.96530676208458</v>
      </c>
      <c r="L8" s="427"/>
      <c r="M8" s="427"/>
    </row>
    <row r="9" spans="2:13" ht="15.75">
      <c r="B9" s="428"/>
      <c r="C9" s="429"/>
      <c r="D9" s="117">
        <v>13.297779999999999</v>
      </c>
      <c r="E9" s="117">
        <v>79.208262000000005</v>
      </c>
      <c r="F9" s="125">
        <v>6</v>
      </c>
      <c r="G9" s="254" t="s">
        <v>454</v>
      </c>
      <c r="H9" s="254" t="s">
        <v>454</v>
      </c>
      <c r="I9" s="254" t="s">
        <v>454</v>
      </c>
      <c r="J9" s="254" t="s">
        <v>454</v>
      </c>
      <c r="K9" s="254" t="s">
        <v>454</v>
      </c>
      <c r="L9" s="427"/>
      <c r="M9" s="427"/>
    </row>
    <row r="10" spans="2:13" ht="15.75">
      <c r="B10" s="428"/>
      <c r="C10" s="429"/>
      <c r="D10" s="117" t="s">
        <v>447</v>
      </c>
      <c r="E10" s="117"/>
      <c r="F10" s="125">
        <v>7</v>
      </c>
      <c r="G10" s="117">
        <v>13</v>
      </c>
      <c r="H10" s="117">
        <f t="shared" si="0"/>
        <v>4.1401273885350314</v>
      </c>
      <c r="I10" s="116">
        <f t="shared" si="1"/>
        <v>19.366428092893496</v>
      </c>
      <c r="J10" s="116">
        <f>I10*'Key Data'!$F$3</f>
        <v>4.8416070232233741</v>
      </c>
      <c r="K10" s="116">
        <f t="shared" si="2"/>
        <v>24.208035116116871</v>
      </c>
      <c r="L10" s="427"/>
      <c r="M10" s="427"/>
    </row>
    <row r="11" spans="2:13" ht="15.75">
      <c r="B11" s="428"/>
      <c r="C11" s="429"/>
      <c r="D11" s="117">
        <v>13.297787</v>
      </c>
      <c r="E11" s="117">
        <v>79.208057999999994</v>
      </c>
      <c r="F11" s="125">
        <v>8</v>
      </c>
      <c r="G11" s="117">
        <v>14</v>
      </c>
      <c r="H11" s="117">
        <f t="shared" si="0"/>
        <v>4.4585987261146496</v>
      </c>
      <c r="I11" s="116">
        <f t="shared" si="1"/>
        <v>22.216880839369029</v>
      </c>
      <c r="J11" s="116">
        <f>I11*'Key Data'!$F$3</f>
        <v>5.5542202098422573</v>
      </c>
      <c r="K11" s="116">
        <f t="shared" si="2"/>
        <v>27.771101049211286</v>
      </c>
      <c r="L11" s="427"/>
      <c r="M11" s="427"/>
    </row>
    <row r="12" spans="2:13" ht="15.75">
      <c r="B12" s="428"/>
      <c r="C12" s="429"/>
      <c r="D12" s="117" t="s">
        <v>448</v>
      </c>
      <c r="E12" s="117" t="s">
        <v>482</v>
      </c>
      <c r="F12" s="125">
        <v>9</v>
      </c>
      <c r="G12" s="117">
        <v>7.5</v>
      </c>
      <c r="H12" s="117">
        <f t="shared" si="0"/>
        <v>2.3885350318471334</v>
      </c>
      <c r="I12" s="116">
        <f t="shared" si="1"/>
        <v>7.1480699828073622</v>
      </c>
      <c r="J12" s="116">
        <f>I12*'Key Data'!$F$3</f>
        <v>1.7870174957018405</v>
      </c>
      <c r="K12" s="116">
        <f t="shared" si="2"/>
        <v>8.9350874785092032</v>
      </c>
      <c r="L12" s="427"/>
      <c r="M12" s="427"/>
    </row>
    <row r="13" spans="2:13" ht="15.75">
      <c r="B13" s="428"/>
      <c r="C13" s="429"/>
      <c r="D13" s="117">
        <v>13.297787</v>
      </c>
      <c r="E13" s="117">
        <v>79.208057999999994</v>
      </c>
      <c r="F13" s="125">
        <v>10</v>
      </c>
      <c r="G13" s="117">
        <v>7.5</v>
      </c>
      <c r="H13" s="117">
        <f t="shared" si="0"/>
        <v>2.3885350318471334</v>
      </c>
      <c r="I13" s="116">
        <f t="shared" si="1"/>
        <v>7.1480699828073622</v>
      </c>
      <c r="J13" s="116">
        <f>I13*'Key Data'!$F$3</f>
        <v>1.7870174957018405</v>
      </c>
      <c r="K13" s="116">
        <f t="shared" si="2"/>
        <v>8.9350874785092032</v>
      </c>
      <c r="L13" s="427"/>
      <c r="M13" s="427"/>
    </row>
    <row r="14" spans="2:13" ht="15.75">
      <c r="B14" s="428"/>
      <c r="C14" s="429"/>
      <c r="D14" s="117"/>
      <c r="E14" s="117"/>
      <c r="F14" s="125">
        <v>11</v>
      </c>
      <c r="G14" s="254" t="s">
        <v>454</v>
      </c>
      <c r="H14" s="254" t="s">
        <v>454</v>
      </c>
      <c r="I14" s="254" t="s">
        <v>454</v>
      </c>
      <c r="J14" s="254" t="s">
        <v>454</v>
      </c>
      <c r="K14" s="254" t="s">
        <v>454</v>
      </c>
      <c r="L14" s="427"/>
      <c r="M14" s="427"/>
    </row>
    <row r="15" spans="2:13" ht="15.75">
      <c r="B15" s="428"/>
      <c r="C15" s="429"/>
      <c r="D15" s="117"/>
      <c r="E15" s="117"/>
      <c r="F15" s="125">
        <v>12</v>
      </c>
      <c r="G15" s="117">
        <v>11</v>
      </c>
      <c r="H15" s="117">
        <f t="shared" si="0"/>
        <v>3.5031847133757958</v>
      </c>
      <c r="I15" s="116">
        <f t="shared" si="1"/>
        <v>14.187111700351446</v>
      </c>
      <c r="J15" s="116">
        <f>I15*'Key Data'!$F$3</f>
        <v>3.5467779250878615</v>
      </c>
      <c r="K15" s="116">
        <f t="shared" si="2"/>
        <v>17.733889625439307</v>
      </c>
      <c r="L15" s="427"/>
      <c r="M15" s="427"/>
    </row>
    <row r="16" spans="2:13" ht="15.75">
      <c r="B16" s="428"/>
      <c r="C16" s="429"/>
      <c r="D16" s="117"/>
      <c r="E16" s="117"/>
      <c r="F16" s="125">
        <v>13</v>
      </c>
      <c r="G16" s="117">
        <v>8.6</v>
      </c>
      <c r="H16" s="117">
        <f t="shared" si="0"/>
        <v>2.7388535031847132</v>
      </c>
      <c r="I16" s="116">
        <f t="shared" si="1"/>
        <v>9.0615512372732034</v>
      </c>
      <c r="J16" s="116">
        <f>I16*'Key Data'!$F$3</f>
        <v>2.2653878093183009</v>
      </c>
      <c r="K16" s="116">
        <f t="shared" si="2"/>
        <v>11.326939046591505</v>
      </c>
      <c r="L16" s="427"/>
      <c r="M16" s="427"/>
    </row>
    <row r="17" spans="2:13" ht="15.75">
      <c r="B17" s="428"/>
      <c r="C17" s="429"/>
      <c r="D17" s="117"/>
      <c r="E17" s="117"/>
      <c r="F17" s="125">
        <v>14</v>
      </c>
      <c r="G17" s="117">
        <v>12.1</v>
      </c>
      <c r="H17" s="117">
        <f t="shared" si="0"/>
        <v>3.8535031847133756</v>
      </c>
      <c r="I17" s="116">
        <f t="shared" si="1"/>
        <v>16.942994038181787</v>
      </c>
      <c r="J17" s="116">
        <f>I17*'Key Data'!$F$3</f>
        <v>4.2357485095454468</v>
      </c>
      <c r="K17" s="116">
        <f t="shared" si="2"/>
        <v>21.178742547727232</v>
      </c>
      <c r="L17" s="427"/>
      <c r="M17" s="427"/>
    </row>
    <row r="18" spans="2:13" ht="15.75">
      <c r="B18" s="428"/>
      <c r="C18" s="429"/>
      <c r="D18" s="117"/>
      <c r="E18" s="117"/>
      <c r="F18" s="125">
        <v>15</v>
      </c>
      <c r="G18" s="117">
        <v>8.5</v>
      </c>
      <c r="H18" s="117">
        <f t="shared" si="0"/>
        <v>2.7070063694267517</v>
      </c>
      <c r="I18" s="116">
        <f t="shared" si="1"/>
        <v>8.8760664519080965</v>
      </c>
      <c r="J18" s="116">
        <f>I18*'Key Data'!$F$3</f>
        <v>2.2190166129770241</v>
      </c>
      <c r="K18" s="116">
        <f t="shared" si="2"/>
        <v>11.09508306488512</v>
      </c>
      <c r="L18" s="427"/>
      <c r="M18" s="427"/>
    </row>
    <row r="19" spans="2:13" ht="15.75">
      <c r="B19" s="428"/>
      <c r="C19" s="429"/>
      <c r="D19" s="117"/>
      <c r="E19" s="117"/>
      <c r="F19" s="125">
        <v>16</v>
      </c>
      <c r="G19" s="117">
        <v>8.8000000000000007</v>
      </c>
      <c r="H19" s="117">
        <f t="shared" si="0"/>
        <v>2.8025477707006372</v>
      </c>
      <c r="I19" s="116">
        <f t="shared" si="1"/>
        <v>9.4394126825721312</v>
      </c>
      <c r="J19" s="116">
        <f>I19*'Key Data'!$F$3</f>
        <v>2.3598531706430328</v>
      </c>
      <c r="K19" s="116">
        <f t="shared" si="2"/>
        <v>11.799265853215164</v>
      </c>
      <c r="L19" s="427"/>
      <c r="M19" s="427"/>
    </row>
    <row r="20" spans="2:13" ht="15.75">
      <c r="B20" s="430">
        <v>2</v>
      </c>
      <c r="C20" s="431" t="s">
        <v>483</v>
      </c>
      <c r="D20" s="118" t="s">
        <v>350</v>
      </c>
      <c r="E20" s="118"/>
      <c r="F20" s="124">
        <v>1</v>
      </c>
      <c r="G20" s="118">
        <v>21</v>
      </c>
      <c r="H20" s="118">
        <f t="shared" si="0"/>
        <v>6.6878980891719744</v>
      </c>
      <c r="I20" s="62">
        <f t="shared" si="1"/>
        <v>44.725031690100835</v>
      </c>
      <c r="J20" s="62">
        <f>I20*'Key Data'!$F$3</f>
        <v>11.181257922525209</v>
      </c>
      <c r="K20" s="62">
        <f t="shared" si="2"/>
        <v>55.90628961262604</v>
      </c>
      <c r="L20" s="344">
        <f>SUM(K20:K39)/1000</f>
        <v>1.0610146270373515</v>
      </c>
      <c r="M20" s="344">
        <f>L20/625*10000</f>
        <v>16.976234032597624</v>
      </c>
    </row>
    <row r="21" spans="2:13" ht="15.75">
      <c r="B21" s="430"/>
      <c r="C21" s="431"/>
      <c r="D21" s="118">
        <v>13.302989999999999</v>
      </c>
      <c r="E21" s="118">
        <v>79.308490000000006</v>
      </c>
      <c r="F21" s="124">
        <v>2</v>
      </c>
      <c r="G21" s="118">
        <v>19</v>
      </c>
      <c r="H21" s="118">
        <f t="shared" si="0"/>
        <v>6.0509554140127388</v>
      </c>
      <c r="I21" s="62">
        <f t="shared" si="1"/>
        <v>38.094669325505315</v>
      </c>
      <c r="J21" s="62">
        <f>I21*'Key Data'!$F$3</f>
        <v>9.5236673313763287</v>
      </c>
      <c r="K21" s="62">
        <f t="shared" si="2"/>
        <v>47.618336656881645</v>
      </c>
      <c r="L21" s="344"/>
      <c r="M21" s="344"/>
    </row>
    <row r="22" spans="2:13" ht="15.75">
      <c r="B22" s="430"/>
      <c r="C22" s="431"/>
      <c r="D22" s="118" t="s">
        <v>445</v>
      </c>
      <c r="E22" s="118"/>
      <c r="F22" s="124">
        <v>3</v>
      </c>
      <c r="G22" s="118">
        <v>14</v>
      </c>
      <c r="H22" s="118">
        <f t="shared" si="0"/>
        <v>4.4585987261146496</v>
      </c>
      <c r="I22" s="62">
        <f t="shared" si="1"/>
        <v>22.216880839369029</v>
      </c>
      <c r="J22" s="62">
        <f>I22*'Key Data'!$F$3</f>
        <v>5.5542202098422573</v>
      </c>
      <c r="K22" s="62">
        <f t="shared" si="2"/>
        <v>27.771101049211286</v>
      </c>
      <c r="L22" s="344"/>
      <c r="M22" s="344"/>
    </row>
    <row r="23" spans="2:13" ht="15.75">
      <c r="B23" s="430"/>
      <c r="C23" s="431"/>
      <c r="D23" s="118">
        <v>13.30274</v>
      </c>
      <c r="E23" s="118">
        <v>79.308490000000006</v>
      </c>
      <c r="F23" s="124">
        <v>4</v>
      </c>
      <c r="G23" s="118">
        <v>17.5</v>
      </c>
      <c r="H23" s="118">
        <f t="shared" si="0"/>
        <v>5.5732484076433115</v>
      </c>
      <c r="I23" s="62">
        <f t="shared" si="1"/>
        <v>33.149726237027465</v>
      </c>
      <c r="J23" s="62">
        <f>I23*'Key Data'!$F$3</f>
        <v>8.2874315592568664</v>
      </c>
      <c r="K23" s="62">
        <f t="shared" si="2"/>
        <v>41.437157796284332</v>
      </c>
      <c r="L23" s="344"/>
      <c r="M23" s="344"/>
    </row>
    <row r="24" spans="2:13" ht="15.75">
      <c r="B24" s="430"/>
      <c r="C24" s="431"/>
      <c r="D24" s="118" t="s">
        <v>446</v>
      </c>
      <c r="E24" s="118"/>
      <c r="F24" s="124">
        <v>5</v>
      </c>
      <c r="G24" s="118">
        <v>19</v>
      </c>
      <c r="H24" s="118">
        <f t="shared" si="0"/>
        <v>6.0509554140127388</v>
      </c>
      <c r="I24" s="62">
        <f t="shared" si="1"/>
        <v>38.094669325505315</v>
      </c>
      <c r="J24" s="62">
        <f>I24*'Key Data'!$F$3</f>
        <v>9.5236673313763287</v>
      </c>
      <c r="K24" s="62">
        <f t="shared" si="2"/>
        <v>47.618336656881645</v>
      </c>
      <c r="L24" s="344"/>
      <c r="M24" s="344"/>
    </row>
    <row r="25" spans="2:13" ht="15.75">
      <c r="B25" s="430"/>
      <c r="C25" s="431"/>
      <c r="D25" s="118">
        <v>13.30274</v>
      </c>
      <c r="E25" s="118">
        <v>79.308859999999996</v>
      </c>
      <c r="F25" s="124">
        <v>6</v>
      </c>
      <c r="G25" s="118">
        <v>23.5</v>
      </c>
      <c r="H25" s="118">
        <f t="shared" si="0"/>
        <v>7.484076433121019</v>
      </c>
      <c r="I25" s="62">
        <f t="shared" si="1"/>
        <v>52.832180208319791</v>
      </c>
      <c r="J25" s="62">
        <f>I25*'Key Data'!$F$3</f>
        <v>13.208045052079948</v>
      </c>
      <c r="K25" s="62">
        <f t="shared" si="2"/>
        <v>66.040225260399737</v>
      </c>
      <c r="L25" s="344"/>
      <c r="M25" s="344"/>
    </row>
    <row r="26" spans="2:13" ht="15.75">
      <c r="B26" s="430"/>
      <c r="C26" s="431"/>
      <c r="D26" s="118" t="s">
        <v>447</v>
      </c>
      <c r="E26" s="118"/>
      <c r="F26" s="124">
        <v>7</v>
      </c>
      <c r="G26" s="118">
        <v>17.5</v>
      </c>
      <c r="H26" s="118">
        <f t="shared" si="0"/>
        <v>5.5732484076433115</v>
      </c>
      <c r="I26" s="62">
        <f t="shared" si="1"/>
        <v>33.149726237027465</v>
      </c>
      <c r="J26" s="62">
        <f>I26*'Key Data'!$F$3</f>
        <v>8.2874315592568664</v>
      </c>
      <c r="K26" s="62">
        <f t="shared" si="2"/>
        <v>41.437157796284332</v>
      </c>
      <c r="L26" s="344"/>
      <c r="M26" s="344"/>
    </row>
    <row r="27" spans="2:13" ht="15.75">
      <c r="B27" s="430"/>
      <c r="C27" s="431"/>
      <c r="D27" s="118">
        <v>13.30297</v>
      </c>
      <c r="E27" s="118">
        <v>79.308689999999999</v>
      </c>
      <c r="F27" s="124">
        <v>8</v>
      </c>
      <c r="G27" s="118">
        <v>20</v>
      </c>
      <c r="H27" s="118">
        <f t="shared" si="0"/>
        <v>6.3694267515923562</v>
      </c>
      <c r="I27" s="62">
        <f t="shared" si="1"/>
        <v>41.414189155155697</v>
      </c>
      <c r="J27" s="62">
        <f>I27*'Key Data'!$F$3</f>
        <v>10.353547288788924</v>
      </c>
      <c r="K27" s="62">
        <f t="shared" si="2"/>
        <v>51.767736443944621</v>
      </c>
      <c r="L27" s="344"/>
      <c r="M27" s="344"/>
    </row>
    <row r="28" spans="2:13" ht="15.75">
      <c r="B28" s="430"/>
      <c r="C28" s="431"/>
      <c r="D28" s="118" t="s">
        <v>448</v>
      </c>
      <c r="E28" s="118"/>
      <c r="F28" s="124">
        <v>9</v>
      </c>
      <c r="G28" s="118">
        <v>21.8</v>
      </c>
      <c r="H28" s="118">
        <f t="shared" si="0"/>
        <v>6.9426751592356686</v>
      </c>
      <c r="I28" s="62">
        <f t="shared" si="1"/>
        <v>47.353312755820248</v>
      </c>
      <c r="J28" s="62">
        <f>I28*'Key Data'!$F$3</f>
        <v>11.838328188955062</v>
      </c>
      <c r="K28" s="62">
        <f t="shared" si="2"/>
        <v>59.191640944775308</v>
      </c>
      <c r="L28" s="344"/>
      <c r="M28" s="344"/>
    </row>
    <row r="29" spans="2:13" ht="15.75">
      <c r="B29" s="430"/>
      <c r="C29" s="431"/>
      <c r="D29" s="118">
        <v>13.302860000000001</v>
      </c>
      <c r="E29" s="118">
        <v>79.30856</v>
      </c>
      <c r="F29" s="124">
        <v>10</v>
      </c>
      <c r="G29" s="118">
        <v>19.5</v>
      </c>
      <c r="H29" s="118">
        <f t="shared" si="0"/>
        <v>6.2101910828025479</v>
      </c>
      <c r="I29" s="62">
        <f t="shared" si="1"/>
        <v>39.754124421972548</v>
      </c>
      <c r="J29" s="62">
        <f>I29*'Key Data'!$F$3</f>
        <v>9.9385311054931371</v>
      </c>
      <c r="K29" s="62">
        <f t="shared" si="2"/>
        <v>49.692655527465689</v>
      </c>
      <c r="L29" s="344"/>
      <c r="M29" s="344"/>
    </row>
    <row r="30" spans="2:13" ht="15.75">
      <c r="B30" s="430"/>
      <c r="C30" s="431"/>
      <c r="D30" s="118"/>
      <c r="E30" s="118"/>
      <c r="F30" s="124">
        <v>11</v>
      </c>
      <c r="G30" s="118">
        <v>26</v>
      </c>
      <c r="H30" s="118">
        <f t="shared" si="0"/>
        <v>8.2802547770700627</v>
      </c>
      <c r="I30" s="62">
        <f t="shared" si="1"/>
        <v>60.494849846184152</v>
      </c>
      <c r="J30" s="62">
        <f>I30*'Key Data'!$F$3</f>
        <v>15.123712461546038</v>
      </c>
      <c r="K30" s="62">
        <f t="shared" si="2"/>
        <v>75.618562307730187</v>
      </c>
      <c r="L30" s="344"/>
      <c r="M30" s="344"/>
    </row>
    <row r="31" spans="2:13" ht="15.75">
      <c r="B31" s="430"/>
      <c r="C31" s="431"/>
      <c r="D31" s="118"/>
      <c r="E31" s="118"/>
      <c r="F31" s="124">
        <v>12</v>
      </c>
      <c r="G31" s="118">
        <v>23.5</v>
      </c>
      <c r="H31" s="118">
        <f t="shared" si="0"/>
        <v>7.484076433121019</v>
      </c>
      <c r="I31" s="62">
        <f t="shared" si="1"/>
        <v>52.832180208319791</v>
      </c>
      <c r="J31" s="62">
        <f>I31*'Key Data'!$F$3</f>
        <v>13.208045052079948</v>
      </c>
      <c r="K31" s="62">
        <f t="shared" si="2"/>
        <v>66.040225260399737</v>
      </c>
      <c r="L31" s="344"/>
      <c r="M31" s="344"/>
    </row>
    <row r="32" spans="2:13" ht="15.75">
      <c r="B32" s="430"/>
      <c r="C32" s="431"/>
      <c r="D32" s="118"/>
      <c r="E32" s="118"/>
      <c r="F32" s="124">
        <v>13</v>
      </c>
      <c r="G32" s="118">
        <v>19.8</v>
      </c>
      <c r="H32" s="118">
        <f t="shared" si="0"/>
        <v>6.3057324840764331</v>
      </c>
      <c r="I32" s="62">
        <f t="shared" si="1"/>
        <v>40.75027265546592</v>
      </c>
      <c r="J32" s="62">
        <f>I32*'Key Data'!$F$3</f>
        <v>10.18756816386648</v>
      </c>
      <c r="K32" s="62">
        <f t="shared" si="2"/>
        <v>50.937840819332401</v>
      </c>
      <c r="L32" s="344"/>
      <c r="M32" s="344"/>
    </row>
    <row r="33" spans="2:13" ht="15.75">
      <c r="B33" s="430"/>
      <c r="C33" s="431"/>
      <c r="D33" s="118"/>
      <c r="E33" s="118"/>
      <c r="F33" s="124">
        <v>14</v>
      </c>
      <c r="G33" s="118">
        <v>19.399999999999999</v>
      </c>
      <c r="H33" s="118">
        <f t="shared" si="0"/>
        <v>6.1783439490445851</v>
      </c>
      <c r="I33" s="62">
        <f t="shared" si="1"/>
        <v>39.422092611355914</v>
      </c>
      <c r="J33" s="62">
        <f>I33*'Key Data'!$F$3</f>
        <v>9.8555231528389786</v>
      </c>
      <c r="K33" s="62">
        <f t="shared" si="2"/>
        <v>49.277615764194891</v>
      </c>
      <c r="L33" s="344"/>
      <c r="M33" s="344"/>
    </row>
    <row r="34" spans="2:13" ht="15.75">
      <c r="B34" s="430"/>
      <c r="C34" s="431"/>
      <c r="D34" s="118"/>
      <c r="E34" s="118"/>
      <c r="F34" s="124">
        <v>15</v>
      </c>
      <c r="G34" s="118">
        <v>23.5</v>
      </c>
      <c r="H34" s="118">
        <f t="shared" si="0"/>
        <v>7.484076433121019</v>
      </c>
      <c r="I34" s="62">
        <f t="shared" si="1"/>
        <v>52.832180208319791</v>
      </c>
      <c r="J34" s="62">
        <f>I34*'Key Data'!$F$3</f>
        <v>13.208045052079948</v>
      </c>
      <c r="K34" s="62">
        <f t="shared" si="2"/>
        <v>66.040225260399737</v>
      </c>
      <c r="L34" s="344"/>
      <c r="M34" s="344"/>
    </row>
    <row r="35" spans="2:13" ht="15.75">
      <c r="B35" s="430"/>
      <c r="C35" s="431"/>
      <c r="D35" s="118"/>
      <c r="E35" s="118"/>
      <c r="F35" s="124">
        <v>16</v>
      </c>
      <c r="G35" s="118">
        <v>21.5</v>
      </c>
      <c r="H35" s="118">
        <f t="shared" si="0"/>
        <v>6.8471337579617835</v>
      </c>
      <c r="I35" s="62">
        <f t="shared" si="1"/>
        <v>46.370570764170942</v>
      </c>
      <c r="J35" s="62">
        <f>I35*'Key Data'!$F$3</f>
        <v>11.592642691042736</v>
      </c>
      <c r="K35" s="62">
        <f t="shared" si="2"/>
        <v>57.963213455213676</v>
      </c>
      <c r="L35" s="344"/>
      <c r="M35" s="344"/>
    </row>
    <row r="36" spans="2:13" ht="15.75">
      <c r="B36" s="430"/>
      <c r="C36" s="431"/>
      <c r="D36" s="118"/>
      <c r="E36" s="118"/>
      <c r="F36" s="124">
        <v>17</v>
      </c>
      <c r="G36" s="118">
        <v>22.6</v>
      </c>
      <c r="H36" s="118">
        <f t="shared" si="0"/>
        <v>7.1974522292993628</v>
      </c>
      <c r="I36" s="62">
        <f t="shared" si="1"/>
        <v>49.952878863371062</v>
      </c>
      <c r="J36" s="62">
        <f>I36*'Key Data'!$F$3</f>
        <v>12.488219715842765</v>
      </c>
      <c r="K36" s="62">
        <f t="shared" si="2"/>
        <v>62.441098579213829</v>
      </c>
      <c r="L36" s="344"/>
      <c r="M36" s="344"/>
    </row>
    <row r="37" spans="2:13" ht="15.75">
      <c r="B37" s="430"/>
      <c r="C37" s="431"/>
      <c r="D37" s="118"/>
      <c r="E37" s="118"/>
      <c r="F37" s="124">
        <v>18</v>
      </c>
      <c r="G37" s="118">
        <v>15.5</v>
      </c>
      <c r="H37" s="118">
        <f t="shared" si="0"/>
        <v>4.936305732484076</v>
      </c>
      <c r="I37" s="62">
        <f t="shared" si="1"/>
        <v>26.752652871256931</v>
      </c>
      <c r="J37" s="62">
        <f>I37*'Key Data'!$F$3</f>
        <v>6.6881632178142327</v>
      </c>
      <c r="K37" s="62">
        <f t="shared" si="2"/>
        <v>33.440816089071163</v>
      </c>
      <c r="L37" s="344"/>
      <c r="M37" s="344"/>
    </row>
    <row r="38" spans="2:13" ht="15.75">
      <c r="B38" s="430"/>
      <c r="C38" s="431"/>
      <c r="D38" s="118"/>
      <c r="E38" s="118"/>
      <c r="F38" s="124">
        <v>19</v>
      </c>
      <c r="G38" s="118">
        <v>16.5</v>
      </c>
      <c r="H38" s="118">
        <f t="shared" si="0"/>
        <v>5.2547770700636942</v>
      </c>
      <c r="I38" s="62">
        <f t="shared" si="1"/>
        <v>29.912299464442071</v>
      </c>
      <c r="J38" s="62">
        <f>I38*'Key Data'!$F$3</f>
        <v>7.4780748661105179</v>
      </c>
      <c r="K38" s="62">
        <f t="shared" si="2"/>
        <v>37.390374330552589</v>
      </c>
      <c r="L38" s="344"/>
      <c r="M38" s="344"/>
    </row>
    <row r="39" spans="2:13" ht="15.75">
      <c r="B39" s="430"/>
      <c r="C39" s="431"/>
      <c r="D39" s="118"/>
      <c r="E39" s="118"/>
      <c r="F39" s="124">
        <v>20</v>
      </c>
      <c r="G39" s="118">
        <v>25.4</v>
      </c>
      <c r="H39" s="118">
        <f t="shared" si="0"/>
        <v>8.0891719745222925</v>
      </c>
      <c r="I39" s="62">
        <f t="shared" si="1"/>
        <v>58.707213941190801</v>
      </c>
      <c r="J39" s="62">
        <f>I39*'Key Data'!$F$3</f>
        <v>14.6768034852977</v>
      </c>
      <c r="K39" s="62">
        <f t="shared" si="2"/>
        <v>73.384017426488498</v>
      </c>
      <c r="L39" s="344"/>
      <c r="M39" s="344"/>
    </row>
  </sheetData>
  <mergeCells count="8">
    <mergeCell ref="M4:M19"/>
    <mergeCell ref="M20:M39"/>
    <mergeCell ref="B4:B19"/>
    <mergeCell ref="C4:C19"/>
    <mergeCell ref="B20:B39"/>
    <mergeCell ref="C20:C39"/>
    <mergeCell ref="L4:L19"/>
    <mergeCell ref="L20:L39"/>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472D2-8778-4756-B948-F2762D4C550A}">
  <dimension ref="B2:M31"/>
  <sheetViews>
    <sheetView workbookViewId="0">
      <selection activeCell="B3" sqref="B3:M3"/>
    </sheetView>
  </sheetViews>
  <sheetFormatPr defaultRowHeight="15"/>
  <sheetData>
    <row r="2" spans="2:13" ht="15.75" thickBot="1"/>
    <row r="3" spans="2:13" ht="81.75">
      <c r="B3" s="272" t="s">
        <v>432</v>
      </c>
      <c r="C3" s="23" t="s">
        <v>433</v>
      </c>
      <c r="D3" s="23" t="s">
        <v>434</v>
      </c>
      <c r="E3" s="23" t="s">
        <v>435</v>
      </c>
      <c r="F3" s="23" t="s">
        <v>436</v>
      </c>
      <c r="G3" s="23" t="s">
        <v>437</v>
      </c>
      <c r="H3" s="273" t="s">
        <v>438</v>
      </c>
      <c r="I3" s="272" t="s">
        <v>439</v>
      </c>
      <c r="J3" s="272" t="s">
        <v>440</v>
      </c>
      <c r="K3" s="272" t="s">
        <v>441</v>
      </c>
      <c r="L3" s="272" t="s">
        <v>442</v>
      </c>
      <c r="M3" s="272" t="s">
        <v>443</v>
      </c>
    </row>
    <row r="4" spans="2:13" ht="15.75">
      <c r="B4" s="434">
        <v>1</v>
      </c>
      <c r="C4" s="435" t="s">
        <v>484</v>
      </c>
      <c r="D4" s="126" t="s">
        <v>350</v>
      </c>
      <c r="E4" s="126"/>
      <c r="F4" s="127">
        <v>1</v>
      </c>
      <c r="G4" s="126">
        <v>17</v>
      </c>
      <c r="H4" s="126">
        <f>G4/3.14</f>
        <v>5.4140127388535033</v>
      </c>
      <c r="I4" s="128">
        <f>30.4*EXP(-5.07*EXP(-0.26*H4)+1.277)</f>
        <v>31.522942034033758</v>
      </c>
      <c r="J4" s="128">
        <f>I4*'Key Data'!$F$3</f>
        <v>7.8807355085084394</v>
      </c>
      <c r="K4" s="128">
        <f>J4+I4</f>
        <v>39.403677542542198</v>
      </c>
      <c r="L4" s="432">
        <f>SUM(K4:K15)/1000</f>
        <v>0.51374593910835475</v>
      </c>
      <c r="M4" s="432">
        <f>L4/625*10000</f>
        <v>8.2199350257336761</v>
      </c>
    </row>
    <row r="5" spans="2:13" ht="15.75">
      <c r="B5" s="434"/>
      <c r="C5" s="435"/>
      <c r="D5" s="126">
        <v>13.291383</v>
      </c>
      <c r="E5" s="126">
        <v>79.234939999999995</v>
      </c>
      <c r="F5" s="127">
        <v>2</v>
      </c>
      <c r="G5" s="126">
        <v>14.5</v>
      </c>
      <c r="H5" s="126">
        <f t="shared" ref="H5:H31" si="0">G5/3.14</f>
        <v>4.6178343949044587</v>
      </c>
      <c r="I5" s="128">
        <f t="shared" ref="I5:I31" si="1">30.4*EXP(-5.07*EXP(-0.26*H5)+1.277)</f>
        <v>23.697280402321486</v>
      </c>
      <c r="J5" s="128">
        <f>I5*'Key Data'!$F$3</f>
        <v>5.9243201005803714</v>
      </c>
      <c r="K5" s="128">
        <f t="shared" ref="K5:K31" si="2">J5+I5</f>
        <v>29.621600502901856</v>
      </c>
      <c r="L5" s="432"/>
      <c r="M5" s="432"/>
    </row>
    <row r="6" spans="2:13" ht="15.75">
      <c r="B6" s="434"/>
      <c r="C6" s="435"/>
      <c r="D6" s="126" t="s">
        <v>445</v>
      </c>
      <c r="E6" s="126"/>
      <c r="F6" s="127">
        <v>3</v>
      </c>
      <c r="G6" s="126">
        <v>18.5</v>
      </c>
      <c r="H6" s="126">
        <f t="shared" si="0"/>
        <v>5.8917197452229297</v>
      </c>
      <c r="I6" s="128">
        <f t="shared" si="1"/>
        <v>36.43874942450919</v>
      </c>
      <c r="J6" s="128">
        <f>I6*'Key Data'!$F$3</f>
        <v>9.1096873561272975</v>
      </c>
      <c r="K6" s="128">
        <f t="shared" si="2"/>
        <v>45.548436780636486</v>
      </c>
      <c r="L6" s="432"/>
      <c r="M6" s="432"/>
    </row>
    <row r="7" spans="2:13" ht="15.75">
      <c r="B7" s="434"/>
      <c r="C7" s="435"/>
      <c r="D7" s="126">
        <v>13.291762</v>
      </c>
      <c r="E7" s="126">
        <v>79.235152999999997</v>
      </c>
      <c r="F7" s="127">
        <v>4</v>
      </c>
      <c r="G7" s="126">
        <v>19.5</v>
      </c>
      <c r="H7" s="126">
        <f t="shared" si="0"/>
        <v>6.2101910828025479</v>
      </c>
      <c r="I7" s="128">
        <f t="shared" si="1"/>
        <v>39.754124421972548</v>
      </c>
      <c r="J7" s="128">
        <f>I7*'Key Data'!$F$3</f>
        <v>9.9385311054931371</v>
      </c>
      <c r="K7" s="128">
        <f t="shared" si="2"/>
        <v>49.692655527465689</v>
      </c>
      <c r="L7" s="432"/>
      <c r="M7" s="432"/>
    </row>
    <row r="8" spans="2:13" ht="15.75">
      <c r="B8" s="434"/>
      <c r="C8" s="435"/>
      <c r="D8" s="126" t="s">
        <v>446</v>
      </c>
      <c r="E8" s="126"/>
      <c r="F8" s="127">
        <v>5</v>
      </c>
      <c r="G8" s="126">
        <v>18.5</v>
      </c>
      <c r="H8" s="126">
        <f t="shared" si="0"/>
        <v>5.8917197452229297</v>
      </c>
      <c r="I8" s="128">
        <f t="shared" si="1"/>
        <v>36.43874942450919</v>
      </c>
      <c r="J8" s="128">
        <f>I8*'Key Data'!$F$3</f>
        <v>9.1096873561272975</v>
      </c>
      <c r="K8" s="128">
        <f t="shared" si="2"/>
        <v>45.548436780636486</v>
      </c>
      <c r="L8" s="432"/>
      <c r="M8" s="432"/>
    </row>
    <row r="9" spans="2:13" ht="15.75">
      <c r="B9" s="434"/>
      <c r="C9" s="435"/>
      <c r="D9" s="126">
        <v>13.291532</v>
      </c>
      <c r="E9" s="126">
        <v>79.255170000000007</v>
      </c>
      <c r="F9" s="127">
        <v>6</v>
      </c>
      <c r="G9" s="126">
        <v>16</v>
      </c>
      <c r="H9" s="126">
        <f t="shared" si="0"/>
        <v>5.0955414012738851</v>
      </c>
      <c r="I9" s="128">
        <f t="shared" si="1"/>
        <v>28.321096871497026</v>
      </c>
      <c r="J9" s="128">
        <f>I9*'Key Data'!$F$3</f>
        <v>7.0802742178742566</v>
      </c>
      <c r="K9" s="128">
        <f t="shared" si="2"/>
        <v>35.401371089371281</v>
      </c>
      <c r="L9" s="432"/>
      <c r="M9" s="432"/>
    </row>
    <row r="10" spans="2:13" ht="15.75">
      <c r="B10" s="434"/>
      <c r="C10" s="435"/>
      <c r="D10" s="126" t="s">
        <v>447</v>
      </c>
      <c r="E10" s="126"/>
      <c r="F10" s="127">
        <v>7</v>
      </c>
      <c r="G10" s="126">
        <v>16.5</v>
      </c>
      <c r="H10" s="126">
        <f t="shared" si="0"/>
        <v>5.2547770700636942</v>
      </c>
      <c r="I10" s="128">
        <f t="shared" si="1"/>
        <v>29.912299464442071</v>
      </c>
      <c r="J10" s="128">
        <f>I10*'Key Data'!$F$3</f>
        <v>7.4780748661105179</v>
      </c>
      <c r="K10" s="128">
        <f t="shared" si="2"/>
        <v>37.390374330552589</v>
      </c>
      <c r="L10" s="432"/>
      <c r="M10" s="432"/>
    </row>
    <row r="11" spans="2:13" ht="15.75">
      <c r="B11" s="434"/>
      <c r="C11" s="435"/>
      <c r="D11" s="126">
        <v>13.291544999999999</v>
      </c>
      <c r="E11" s="126">
        <v>79.234917999999993</v>
      </c>
      <c r="F11" s="127">
        <v>8</v>
      </c>
      <c r="G11" s="126">
        <v>20</v>
      </c>
      <c r="H11" s="126">
        <f t="shared" si="0"/>
        <v>6.3694267515923562</v>
      </c>
      <c r="I11" s="128">
        <f t="shared" si="1"/>
        <v>41.414189155155697</v>
      </c>
      <c r="J11" s="128">
        <f>I11*'Key Data'!$F$3</f>
        <v>10.353547288788924</v>
      </c>
      <c r="K11" s="128">
        <f t="shared" si="2"/>
        <v>51.767736443944621</v>
      </c>
      <c r="L11" s="432"/>
      <c r="M11" s="432"/>
    </row>
    <row r="12" spans="2:13" ht="15.75">
      <c r="B12" s="434"/>
      <c r="C12" s="435"/>
      <c r="D12" s="126" t="s">
        <v>448</v>
      </c>
      <c r="E12" s="126"/>
      <c r="F12" s="127">
        <v>9</v>
      </c>
      <c r="G12" s="126">
        <v>18</v>
      </c>
      <c r="H12" s="126">
        <f t="shared" si="0"/>
        <v>5.7324840764331206</v>
      </c>
      <c r="I12" s="128">
        <f t="shared" si="1"/>
        <v>34.789394629629783</v>
      </c>
      <c r="J12" s="128">
        <f>I12*'Key Data'!$F$3</f>
        <v>8.6973486574074457</v>
      </c>
      <c r="K12" s="128">
        <f t="shared" si="2"/>
        <v>43.486743287037228</v>
      </c>
      <c r="L12" s="432"/>
      <c r="M12" s="432"/>
    </row>
    <row r="13" spans="2:13" ht="15.75">
      <c r="B13" s="434"/>
      <c r="C13" s="435"/>
      <c r="D13" s="126">
        <v>13.291465000000001</v>
      </c>
      <c r="E13" s="126">
        <v>79.235022999999998</v>
      </c>
      <c r="F13" s="127">
        <v>10</v>
      </c>
      <c r="G13" s="126">
        <v>8.5</v>
      </c>
      <c r="H13" s="126">
        <f t="shared" si="0"/>
        <v>2.7070063694267517</v>
      </c>
      <c r="I13" s="128">
        <f t="shared" si="1"/>
        <v>8.8760664519080965</v>
      </c>
      <c r="J13" s="128">
        <f>I13*'Key Data'!$F$3</f>
        <v>2.2190166129770241</v>
      </c>
      <c r="K13" s="128">
        <f t="shared" si="2"/>
        <v>11.09508306488512</v>
      </c>
      <c r="L13" s="432"/>
      <c r="M13" s="432"/>
    </row>
    <row r="14" spans="2:13" ht="15.75">
      <c r="B14" s="434"/>
      <c r="C14" s="435"/>
      <c r="D14" s="126"/>
      <c r="E14" s="126"/>
      <c r="F14" s="127">
        <v>11</v>
      </c>
      <c r="G14" s="126">
        <v>18.5</v>
      </c>
      <c r="H14" s="126">
        <f t="shared" si="0"/>
        <v>5.8917197452229297</v>
      </c>
      <c r="I14" s="128">
        <f t="shared" si="1"/>
        <v>36.43874942450919</v>
      </c>
      <c r="J14" s="128">
        <f>I14*'Key Data'!$F$3</f>
        <v>9.1096873561272975</v>
      </c>
      <c r="K14" s="128">
        <f t="shared" si="2"/>
        <v>45.548436780636486</v>
      </c>
      <c r="L14" s="432"/>
      <c r="M14" s="432"/>
    </row>
    <row r="15" spans="2:13" ht="15.75">
      <c r="B15" s="434"/>
      <c r="C15" s="435"/>
      <c r="D15" s="126"/>
      <c r="E15" s="126"/>
      <c r="F15" s="127">
        <v>12</v>
      </c>
      <c r="G15" s="126">
        <v>27</v>
      </c>
      <c r="H15" s="126">
        <f t="shared" si="0"/>
        <v>8.598726114649681</v>
      </c>
      <c r="I15" s="128">
        <f t="shared" si="1"/>
        <v>63.393109582195777</v>
      </c>
      <c r="J15" s="128">
        <f>I15*'Key Data'!$F$3</f>
        <v>15.848277395548944</v>
      </c>
      <c r="K15" s="128">
        <f t="shared" si="2"/>
        <v>79.241386977744725</v>
      </c>
      <c r="L15" s="432"/>
      <c r="M15" s="432"/>
    </row>
    <row r="16" spans="2:13" ht="15.75">
      <c r="B16" s="436">
        <v>2</v>
      </c>
      <c r="C16" s="418" t="s">
        <v>485</v>
      </c>
      <c r="D16" s="118" t="s">
        <v>350</v>
      </c>
      <c r="E16" s="118"/>
      <c r="F16" s="124">
        <v>1</v>
      </c>
      <c r="G16" s="118">
        <v>18.5</v>
      </c>
      <c r="H16" s="118">
        <f t="shared" si="0"/>
        <v>5.8917197452229297</v>
      </c>
      <c r="I16" s="62">
        <f t="shared" si="1"/>
        <v>36.43874942450919</v>
      </c>
      <c r="J16" s="62">
        <f>I16*'Key Data'!$F$3</f>
        <v>9.1096873561272975</v>
      </c>
      <c r="K16" s="62">
        <f t="shared" si="2"/>
        <v>45.548436780636486</v>
      </c>
      <c r="L16" s="433">
        <f>SUM(K16:K31)/1000</f>
        <v>0.76667638873156352</v>
      </c>
      <c r="M16" s="433">
        <f>L16/625*10000</f>
        <v>12.266822219705016</v>
      </c>
    </row>
    <row r="17" spans="2:13" ht="15.75">
      <c r="B17" s="436"/>
      <c r="C17" s="418"/>
      <c r="D17" s="118">
        <v>13.29494</v>
      </c>
      <c r="E17" s="118">
        <v>79.354029999999995</v>
      </c>
      <c r="F17" s="124">
        <v>2</v>
      </c>
      <c r="G17" s="118">
        <v>22.5</v>
      </c>
      <c r="H17" s="118">
        <f t="shared" si="0"/>
        <v>7.1656050955414008</v>
      </c>
      <c r="I17" s="62">
        <f t="shared" si="1"/>
        <v>49.629812539313463</v>
      </c>
      <c r="J17" s="62">
        <f>I17*'Key Data'!$F$3</f>
        <v>12.407453134828366</v>
      </c>
      <c r="K17" s="62">
        <f t="shared" si="2"/>
        <v>62.037265674141828</v>
      </c>
      <c r="L17" s="433"/>
      <c r="M17" s="433"/>
    </row>
    <row r="18" spans="2:13" ht="15.75">
      <c r="B18" s="436"/>
      <c r="C18" s="418"/>
      <c r="D18" s="118" t="s">
        <v>445</v>
      </c>
      <c r="E18" s="118"/>
      <c r="F18" s="124">
        <v>3</v>
      </c>
      <c r="G18" s="118">
        <v>17</v>
      </c>
      <c r="H18" s="118">
        <f t="shared" si="0"/>
        <v>5.4140127388535033</v>
      </c>
      <c r="I18" s="62">
        <f t="shared" si="1"/>
        <v>31.522942034033758</v>
      </c>
      <c r="J18" s="62">
        <f>I18*'Key Data'!$F$3</f>
        <v>7.8807355085084394</v>
      </c>
      <c r="K18" s="62">
        <f t="shared" si="2"/>
        <v>39.403677542542198</v>
      </c>
      <c r="L18" s="433"/>
      <c r="M18" s="433"/>
    </row>
    <row r="19" spans="2:13" ht="15.75">
      <c r="B19" s="436"/>
      <c r="C19" s="418"/>
      <c r="D19" s="118">
        <v>13.29496</v>
      </c>
      <c r="E19" s="118">
        <v>79.35427</v>
      </c>
      <c r="F19" s="124">
        <v>4</v>
      </c>
      <c r="G19" s="118">
        <v>15.5</v>
      </c>
      <c r="H19" s="118">
        <f t="shared" si="0"/>
        <v>4.936305732484076</v>
      </c>
      <c r="I19" s="62">
        <f t="shared" si="1"/>
        <v>26.752652871256931</v>
      </c>
      <c r="J19" s="62">
        <f>I19*'Key Data'!$F$3</f>
        <v>6.6881632178142327</v>
      </c>
      <c r="K19" s="62">
        <f t="shared" si="2"/>
        <v>33.440816089071163</v>
      </c>
      <c r="L19" s="433"/>
      <c r="M19" s="433"/>
    </row>
    <row r="20" spans="2:13" ht="15.75">
      <c r="B20" s="436"/>
      <c r="C20" s="418"/>
      <c r="D20" s="118" t="s">
        <v>446</v>
      </c>
      <c r="E20" s="118"/>
      <c r="F20" s="124">
        <v>5</v>
      </c>
      <c r="G20" s="118">
        <v>22</v>
      </c>
      <c r="H20" s="118">
        <f t="shared" si="0"/>
        <v>7.0063694267515917</v>
      </c>
      <c r="I20" s="62">
        <f t="shared" si="1"/>
        <v>48.00625536190465</v>
      </c>
      <c r="J20" s="62">
        <f>I20*'Key Data'!$F$3</f>
        <v>12.001563840476162</v>
      </c>
      <c r="K20" s="62">
        <f t="shared" si="2"/>
        <v>60.007819202380816</v>
      </c>
      <c r="L20" s="433"/>
      <c r="M20" s="433"/>
    </row>
    <row r="21" spans="2:13" ht="15.75">
      <c r="B21" s="436"/>
      <c r="C21" s="418"/>
      <c r="D21" s="118">
        <v>13.295170000000001</v>
      </c>
      <c r="E21" s="118">
        <v>79.354259999999996</v>
      </c>
      <c r="F21" s="124">
        <v>6</v>
      </c>
      <c r="G21" s="118">
        <v>22</v>
      </c>
      <c r="H21" s="118">
        <f t="shared" si="0"/>
        <v>7.0063694267515917</v>
      </c>
      <c r="I21" s="62">
        <f t="shared" si="1"/>
        <v>48.00625536190465</v>
      </c>
      <c r="J21" s="62">
        <f>I21*'Key Data'!$F$3</f>
        <v>12.001563840476162</v>
      </c>
      <c r="K21" s="62">
        <f t="shared" si="2"/>
        <v>60.007819202380816</v>
      </c>
      <c r="L21" s="433"/>
      <c r="M21" s="433"/>
    </row>
    <row r="22" spans="2:13" ht="15.75">
      <c r="B22" s="436"/>
      <c r="C22" s="418"/>
      <c r="D22" s="118" t="s">
        <v>447</v>
      </c>
      <c r="E22" s="118"/>
      <c r="F22" s="124">
        <v>7</v>
      </c>
      <c r="G22" s="118">
        <v>21</v>
      </c>
      <c r="H22" s="118">
        <f t="shared" si="0"/>
        <v>6.6878980891719744</v>
      </c>
      <c r="I22" s="62">
        <f t="shared" si="1"/>
        <v>44.725031690100835</v>
      </c>
      <c r="J22" s="62">
        <f>I22*'Key Data'!$F$3</f>
        <v>11.181257922525209</v>
      </c>
      <c r="K22" s="62">
        <f t="shared" si="2"/>
        <v>55.90628961262604</v>
      </c>
      <c r="L22" s="433"/>
      <c r="M22" s="433"/>
    </row>
    <row r="23" spans="2:13" ht="15.75">
      <c r="B23" s="436"/>
      <c r="C23" s="418"/>
      <c r="D23" s="118">
        <v>13.295159999999999</v>
      </c>
      <c r="E23" s="118">
        <v>79.254040000000003</v>
      </c>
      <c r="F23" s="124">
        <v>8</v>
      </c>
      <c r="G23" s="118">
        <v>19.5</v>
      </c>
      <c r="H23" s="118">
        <f t="shared" si="0"/>
        <v>6.2101910828025479</v>
      </c>
      <c r="I23" s="62">
        <f t="shared" si="1"/>
        <v>39.754124421972548</v>
      </c>
      <c r="J23" s="62">
        <f>I23*'Key Data'!$F$3</f>
        <v>9.9385311054931371</v>
      </c>
      <c r="K23" s="62">
        <f t="shared" si="2"/>
        <v>49.692655527465689</v>
      </c>
      <c r="L23" s="433"/>
      <c r="M23" s="433"/>
    </row>
    <row r="24" spans="2:13" ht="15.75">
      <c r="B24" s="436"/>
      <c r="C24" s="418"/>
      <c r="D24" s="118" t="s">
        <v>448</v>
      </c>
      <c r="E24" s="118"/>
      <c r="F24" s="124">
        <v>9</v>
      </c>
      <c r="G24" s="118">
        <v>17</v>
      </c>
      <c r="H24" s="118">
        <f t="shared" si="0"/>
        <v>5.4140127388535033</v>
      </c>
      <c r="I24" s="62">
        <f t="shared" si="1"/>
        <v>31.522942034033758</v>
      </c>
      <c r="J24" s="62">
        <f>I24*'Key Data'!$F$3</f>
        <v>7.8807355085084394</v>
      </c>
      <c r="K24" s="62">
        <f t="shared" si="2"/>
        <v>39.403677542542198</v>
      </c>
      <c r="L24" s="433"/>
      <c r="M24" s="433"/>
    </row>
    <row r="25" spans="2:13" ht="15.75">
      <c r="B25" s="436"/>
      <c r="C25" s="418"/>
      <c r="D25" s="118">
        <v>13.295059999999999</v>
      </c>
      <c r="E25" s="118">
        <v>79.354179999999999</v>
      </c>
      <c r="F25" s="124">
        <v>10</v>
      </c>
      <c r="G25" s="118">
        <v>19.5</v>
      </c>
      <c r="H25" s="118">
        <f t="shared" si="0"/>
        <v>6.2101910828025479</v>
      </c>
      <c r="I25" s="62">
        <f t="shared" si="1"/>
        <v>39.754124421972548</v>
      </c>
      <c r="J25" s="62">
        <f>I25*'Key Data'!$F$3</f>
        <v>9.9385311054931371</v>
      </c>
      <c r="K25" s="62">
        <f t="shared" si="2"/>
        <v>49.692655527465689</v>
      </c>
      <c r="L25" s="433"/>
      <c r="M25" s="433"/>
    </row>
    <row r="26" spans="2:13" ht="15.75">
      <c r="B26" s="436"/>
      <c r="C26" s="418"/>
      <c r="D26" s="118"/>
      <c r="E26" s="118"/>
      <c r="F26" s="124">
        <v>11</v>
      </c>
      <c r="G26" s="118">
        <v>18.5</v>
      </c>
      <c r="H26" s="118">
        <f t="shared" si="0"/>
        <v>5.8917197452229297</v>
      </c>
      <c r="I26" s="62">
        <f t="shared" si="1"/>
        <v>36.43874942450919</v>
      </c>
      <c r="J26" s="62">
        <f>I26*'Key Data'!$F$3</f>
        <v>9.1096873561272975</v>
      </c>
      <c r="K26" s="62">
        <f t="shared" si="2"/>
        <v>45.548436780636486</v>
      </c>
      <c r="L26" s="433"/>
      <c r="M26" s="433"/>
    </row>
    <row r="27" spans="2:13" ht="15.75">
      <c r="B27" s="436"/>
      <c r="C27" s="418"/>
      <c r="D27" s="118"/>
      <c r="E27" s="118"/>
      <c r="F27" s="124">
        <v>12</v>
      </c>
      <c r="G27" s="118">
        <v>17</v>
      </c>
      <c r="H27" s="118">
        <f t="shared" si="0"/>
        <v>5.4140127388535033</v>
      </c>
      <c r="I27" s="62">
        <f t="shared" si="1"/>
        <v>31.522942034033758</v>
      </c>
      <c r="J27" s="62">
        <f>I27*'Key Data'!$F$3</f>
        <v>7.8807355085084394</v>
      </c>
      <c r="K27" s="62">
        <f t="shared" si="2"/>
        <v>39.403677542542198</v>
      </c>
      <c r="L27" s="433"/>
      <c r="M27" s="433"/>
    </row>
    <row r="28" spans="2:13" ht="15.75">
      <c r="B28" s="436"/>
      <c r="C28" s="418"/>
      <c r="D28" s="118"/>
      <c r="E28" s="118"/>
      <c r="F28" s="124">
        <v>13</v>
      </c>
      <c r="G28" s="118">
        <v>15.5</v>
      </c>
      <c r="H28" s="118">
        <f t="shared" si="0"/>
        <v>4.936305732484076</v>
      </c>
      <c r="I28" s="62">
        <f t="shared" si="1"/>
        <v>26.752652871256931</v>
      </c>
      <c r="J28" s="62">
        <f>I28*'Key Data'!$F$3</f>
        <v>6.6881632178142327</v>
      </c>
      <c r="K28" s="62">
        <f t="shared" si="2"/>
        <v>33.440816089071163</v>
      </c>
      <c r="L28" s="433"/>
      <c r="M28" s="433"/>
    </row>
    <row r="29" spans="2:13" ht="15.75">
      <c r="B29" s="436"/>
      <c r="C29" s="418"/>
      <c r="D29" s="118"/>
      <c r="E29" s="118"/>
      <c r="F29" s="124">
        <v>14</v>
      </c>
      <c r="G29" s="118">
        <v>19</v>
      </c>
      <c r="H29" s="118">
        <f t="shared" si="0"/>
        <v>6.0509554140127388</v>
      </c>
      <c r="I29" s="62">
        <f t="shared" si="1"/>
        <v>38.094669325505315</v>
      </c>
      <c r="J29" s="62">
        <f>I29*'Key Data'!$F$3</f>
        <v>9.5236673313763287</v>
      </c>
      <c r="K29" s="62">
        <f t="shared" si="2"/>
        <v>47.618336656881645</v>
      </c>
      <c r="L29" s="433"/>
      <c r="M29" s="433"/>
    </row>
    <row r="30" spans="2:13" ht="15.75">
      <c r="B30" s="436"/>
      <c r="C30" s="418"/>
      <c r="D30" s="118"/>
      <c r="E30" s="118"/>
      <c r="F30" s="124">
        <v>15</v>
      </c>
      <c r="G30" s="118">
        <v>22.5</v>
      </c>
      <c r="H30" s="118">
        <f t="shared" si="0"/>
        <v>7.1656050955414008</v>
      </c>
      <c r="I30" s="62">
        <f t="shared" si="1"/>
        <v>49.629812539313463</v>
      </c>
      <c r="J30" s="62">
        <f>I30*'Key Data'!$F$3</f>
        <v>12.407453134828366</v>
      </c>
      <c r="K30" s="62">
        <f t="shared" si="2"/>
        <v>62.037265674141828</v>
      </c>
      <c r="L30" s="433"/>
      <c r="M30" s="433"/>
    </row>
    <row r="31" spans="2:13" ht="15.75">
      <c r="B31" s="436"/>
      <c r="C31" s="418"/>
      <c r="D31" s="118"/>
      <c r="E31" s="118"/>
      <c r="F31" s="124">
        <v>16</v>
      </c>
      <c r="G31" s="118">
        <v>18</v>
      </c>
      <c r="H31" s="118">
        <f t="shared" si="0"/>
        <v>5.7324840764331206</v>
      </c>
      <c r="I31" s="62">
        <f t="shared" si="1"/>
        <v>34.789394629629783</v>
      </c>
      <c r="J31" s="62">
        <f>I31*'Key Data'!$F$3</f>
        <v>8.6973486574074457</v>
      </c>
      <c r="K31" s="62">
        <f t="shared" si="2"/>
        <v>43.486743287037228</v>
      </c>
      <c r="L31" s="433"/>
      <c r="M31" s="433"/>
    </row>
  </sheetData>
  <mergeCells count="8">
    <mergeCell ref="M4:M15"/>
    <mergeCell ref="M16:M31"/>
    <mergeCell ref="B4:B15"/>
    <mergeCell ref="C4:C15"/>
    <mergeCell ref="B16:B31"/>
    <mergeCell ref="C16:C31"/>
    <mergeCell ref="L4:L15"/>
    <mergeCell ref="L16:L3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0A9B2-2A66-434B-8AE3-86F04AB03CC5}">
  <dimension ref="B3:N148"/>
  <sheetViews>
    <sheetView workbookViewId="0">
      <selection activeCell="B3" sqref="B3:N3"/>
    </sheetView>
  </sheetViews>
  <sheetFormatPr defaultRowHeight="15"/>
  <cols>
    <col min="9" max="9" width="10.5703125" customWidth="1"/>
    <col min="10" max="10" width="9.7109375" customWidth="1"/>
    <col min="11" max="11" width="12.42578125" customWidth="1"/>
    <col min="12" max="12" width="11" customWidth="1"/>
    <col min="13" max="13" width="13.85546875" customWidth="1"/>
    <col min="14" max="14" width="11.5703125" bestFit="1" customWidth="1"/>
  </cols>
  <sheetData>
    <row r="3" spans="2:14" ht="50.25">
      <c r="B3" s="122" t="s">
        <v>486</v>
      </c>
      <c r="C3" s="122" t="s">
        <v>433</v>
      </c>
      <c r="D3" s="122" t="s">
        <v>434</v>
      </c>
      <c r="E3" s="122" t="s">
        <v>435</v>
      </c>
      <c r="F3" s="122" t="s">
        <v>67</v>
      </c>
      <c r="G3" s="122" t="s">
        <v>487</v>
      </c>
      <c r="H3" s="122" t="s">
        <v>488</v>
      </c>
      <c r="I3" s="122" t="s">
        <v>489</v>
      </c>
      <c r="J3" s="122" t="s">
        <v>490</v>
      </c>
      <c r="K3" s="274" t="s">
        <v>491</v>
      </c>
      <c r="L3" s="274" t="s">
        <v>492</v>
      </c>
      <c r="M3" s="274" t="s">
        <v>442</v>
      </c>
      <c r="N3" s="274" t="s">
        <v>443</v>
      </c>
    </row>
    <row r="4" spans="2:14">
      <c r="B4" s="439">
        <v>1</v>
      </c>
      <c r="C4" s="439" t="s">
        <v>493</v>
      </c>
      <c r="D4" s="135">
        <v>15.206042</v>
      </c>
      <c r="E4" s="135">
        <v>79.431443999999999</v>
      </c>
      <c r="F4" s="135">
        <v>1</v>
      </c>
      <c r="G4" s="133">
        <v>0.10668789808917198</v>
      </c>
      <c r="H4" s="64">
        <f>(0.144504+2.943115*G4)^2</f>
        <v>0.21022110667193677</v>
      </c>
      <c r="I4" s="64">
        <f>H4*'Key Data'!$I$8</f>
        <v>9.2497286935652179E-2</v>
      </c>
      <c r="J4" s="64">
        <f>I4*'Key Data'!$F$8</f>
        <v>0.14707068622768696</v>
      </c>
      <c r="K4" s="64">
        <f>J4*'Key Data'!$K$8</f>
        <v>3.676767155692174E-2</v>
      </c>
      <c r="L4" s="64">
        <f>K4+J4</f>
        <v>0.18383835778460869</v>
      </c>
      <c r="M4" s="437">
        <f>SUM(L4:L84)</f>
        <v>12.481017699167623</v>
      </c>
      <c r="N4" s="437">
        <f>M4/625*10000</f>
        <v>199.69628318668197</v>
      </c>
    </row>
    <row r="5" spans="2:14">
      <c r="B5" s="439"/>
      <c r="C5" s="439"/>
      <c r="D5" s="135">
        <v>15.206021</v>
      </c>
      <c r="E5" s="135">
        <v>79.43168</v>
      </c>
      <c r="F5" s="135">
        <v>2</v>
      </c>
      <c r="G5" s="133">
        <v>0.13853503184713375</v>
      </c>
      <c r="H5" s="64">
        <f t="shared" ref="H5:H68" si="0">(0.144504+2.943115*G5)^2</f>
        <v>0.30495634962735119</v>
      </c>
      <c r="I5" s="64">
        <f>H5*'Key Data'!$I$8</f>
        <v>0.13418079383603451</v>
      </c>
      <c r="J5" s="64">
        <f>I5*'Key Data'!$F$8</f>
        <v>0.21334746219929487</v>
      </c>
      <c r="K5" s="64">
        <f>J5*'Key Data'!$K$8</f>
        <v>5.3336865549823718E-2</v>
      </c>
      <c r="L5" s="64">
        <f t="shared" ref="L5:L68" si="1">K5+J5</f>
        <v>0.2666843277491186</v>
      </c>
      <c r="M5" s="437"/>
      <c r="N5" s="437"/>
    </row>
    <row r="6" spans="2:14">
      <c r="B6" s="439"/>
      <c r="C6" s="439"/>
      <c r="D6" s="135">
        <v>15.206211</v>
      </c>
      <c r="E6" s="135">
        <v>79.431709999999995</v>
      </c>
      <c r="F6" s="135">
        <v>3</v>
      </c>
      <c r="G6" s="133">
        <v>7.9617834394904455E-2</v>
      </c>
      <c r="H6" s="64">
        <f t="shared" si="0"/>
        <v>0.14351098897968642</v>
      </c>
      <c r="I6" s="64">
        <f>H6*'Key Data'!$I$8</f>
        <v>6.314483515106202E-2</v>
      </c>
      <c r="J6" s="64">
        <f>I6*'Key Data'!$F$8</f>
        <v>0.10040028789018862</v>
      </c>
      <c r="K6" s="64">
        <f>J6*'Key Data'!$K$8</f>
        <v>2.5100071972547155E-2</v>
      </c>
      <c r="L6" s="64">
        <f t="shared" si="1"/>
        <v>0.12550035986273578</v>
      </c>
      <c r="M6" s="437"/>
      <c r="N6" s="437"/>
    </row>
    <row r="7" spans="2:14">
      <c r="B7" s="439"/>
      <c r="C7" s="439"/>
      <c r="D7" s="135">
        <v>15.206256</v>
      </c>
      <c r="E7" s="135">
        <v>79.431482000000003</v>
      </c>
      <c r="F7" s="135">
        <v>4</v>
      </c>
      <c r="G7" s="133">
        <v>9.2356687898089165E-2</v>
      </c>
      <c r="H7" s="64">
        <f t="shared" si="0"/>
        <v>0.17332263674101672</v>
      </c>
      <c r="I7" s="64">
        <f>H7*'Key Data'!$I$8</f>
        <v>7.626196016604736E-2</v>
      </c>
      <c r="J7" s="64">
        <f>I7*'Key Data'!$F$8</f>
        <v>0.12125651666401531</v>
      </c>
      <c r="K7" s="64">
        <f>J7*'Key Data'!$K$8</f>
        <v>3.0314129166003827E-2</v>
      </c>
      <c r="L7" s="64">
        <f t="shared" si="1"/>
        <v>0.15157064583001914</v>
      </c>
      <c r="M7" s="437"/>
      <c r="N7" s="437"/>
    </row>
    <row r="8" spans="2:14">
      <c r="B8" s="439"/>
      <c r="C8" s="439"/>
      <c r="D8" s="135">
        <v>15.206490000000001</v>
      </c>
      <c r="E8" s="135">
        <v>79.431573</v>
      </c>
      <c r="F8" s="135">
        <v>5</v>
      </c>
      <c r="G8" s="133">
        <v>9.5541401273885343E-2</v>
      </c>
      <c r="H8" s="64">
        <f t="shared" si="0"/>
        <v>0.18121481223682942</v>
      </c>
      <c r="I8" s="64">
        <f>H8*'Key Data'!$I$8</f>
        <v>7.973451738420495E-2</v>
      </c>
      <c r="J8" s="64">
        <f>I8*'Key Data'!$F$8</f>
        <v>0.12677788264088588</v>
      </c>
      <c r="K8" s="64">
        <f>J8*'Key Data'!$K$8</f>
        <v>3.169447066022147E-2</v>
      </c>
      <c r="L8" s="64">
        <f t="shared" si="1"/>
        <v>0.15847235330110734</v>
      </c>
      <c r="M8" s="437"/>
      <c r="N8" s="437"/>
    </row>
    <row r="9" spans="2:14">
      <c r="B9" s="439"/>
      <c r="C9" s="439"/>
      <c r="D9" s="135"/>
      <c r="E9" s="135"/>
      <c r="F9" s="135">
        <v>6</v>
      </c>
      <c r="G9" s="133">
        <v>8.2802547770700632E-2</v>
      </c>
      <c r="H9" s="64">
        <f t="shared" si="0"/>
        <v>0.15070034278673086</v>
      </c>
      <c r="I9" s="64">
        <f>H9*'Key Data'!$I$8</f>
        <v>6.630815082616158E-2</v>
      </c>
      <c r="J9" s="64">
        <f>I9*'Key Data'!$F$8</f>
        <v>0.10542995981359692</v>
      </c>
      <c r="K9" s="64">
        <f>J9*'Key Data'!$K$8</f>
        <v>2.6357489953399229E-2</v>
      </c>
      <c r="L9" s="64">
        <f t="shared" si="1"/>
        <v>0.13178744976699613</v>
      </c>
      <c r="M9" s="437"/>
      <c r="N9" s="437"/>
    </row>
    <row r="10" spans="2:14">
      <c r="B10" s="439"/>
      <c r="C10" s="439"/>
      <c r="D10" s="135"/>
      <c r="E10" s="135"/>
      <c r="F10" s="135">
        <v>7</v>
      </c>
      <c r="G10" s="133">
        <v>7.6433121019108277E-2</v>
      </c>
      <c r="H10" s="64">
        <f t="shared" si="0"/>
        <v>0.13649734059483401</v>
      </c>
      <c r="I10" s="64">
        <f>H10*'Key Data'!$I$8</f>
        <v>6.0058829861726962E-2</v>
      </c>
      <c r="J10" s="64">
        <f>I10*'Key Data'!$F$8</f>
        <v>9.549353948014587E-2</v>
      </c>
      <c r="K10" s="64">
        <f>J10*'Key Data'!$K$8</f>
        <v>2.3873384870036467E-2</v>
      </c>
      <c r="L10" s="64">
        <f t="shared" si="1"/>
        <v>0.11936692435018234</v>
      </c>
      <c r="M10" s="437"/>
      <c r="N10" s="437"/>
    </row>
    <row r="11" spans="2:14">
      <c r="B11" s="439"/>
      <c r="C11" s="439"/>
      <c r="D11" s="135"/>
      <c r="E11" s="135"/>
      <c r="F11" s="135">
        <v>8</v>
      </c>
      <c r="G11" s="133">
        <v>0.1019108280254777</v>
      </c>
      <c r="H11" s="64">
        <f t="shared" si="0"/>
        <v>0.19752627949503121</v>
      </c>
      <c r="I11" s="64">
        <f>H11*'Key Data'!$I$8</f>
        <v>8.6911562977813731E-2</v>
      </c>
      <c r="J11" s="64">
        <f>I11*'Key Data'!$F$8</f>
        <v>0.13818938513472384</v>
      </c>
      <c r="K11" s="64">
        <f>J11*'Key Data'!$K$8</f>
        <v>3.454734628368096E-2</v>
      </c>
      <c r="L11" s="64">
        <f t="shared" si="1"/>
        <v>0.17273673141840479</v>
      </c>
      <c r="M11" s="437"/>
      <c r="N11" s="437"/>
    </row>
    <row r="12" spans="2:14">
      <c r="B12" s="439"/>
      <c r="C12" s="439"/>
      <c r="D12" s="135"/>
      <c r="E12" s="135"/>
      <c r="F12" s="135">
        <v>9</v>
      </c>
      <c r="G12" s="133">
        <v>6.6878980891719744E-2</v>
      </c>
      <c r="H12" s="64">
        <f t="shared" si="0"/>
        <v>0.11651062797342936</v>
      </c>
      <c r="I12" s="64">
        <f>H12*'Key Data'!$I$8</f>
        <v>5.1264676308308915E-2</v>
      </c>
      <c r="J12" s="64">
        <f>I12*'Key Data'!$F$8</f>
        <v>8.1510835330211182E-2</v>
      </c>
      <c r="K12" s="64">
        <f>J12*'Key Data'!$K$8</f>
        <v>2.0377708832552795E-2</v>
      </c>
      <c r="L12" s="64">
        <f t="shared" si="1"/>
        <v>0.10188854416276398</v>
      </c>
      <c r="M12" s="437"/>
      <c r="N12" s="437"/>
    </row>
    <row r="13" spans="2:14">
      <c r="B13" s="439"/>
      <c r="C13" s="439"/>
      <c r="D13" s="135"/>
      <c r="E13" s="135"/>
      <c r="F13" s="135">
        <v>10</v>
      </c>
      <c r="G13" s="133">
        <v>0.10509554140127389</v>
      </c>
      <c r="H13" s="64">
        <f t="shared" si="0"/>
        <v>0.20594557125742025</v>
      </c>
      <c r="I13" s="64">
        <f>H13*'Key Data'!$I$8</f>
        <v>9.0616051353264906E-2</v>
      </c>
      <c r="J13" s="64">
        <f>I13*'Key Data'!$F$8</f>
        <v>0.14407952165169122</v>
      </c>
      <c r="K13" s="64">
        <f>J13*'Key Data'!$K$8</f>
        <v>3.6019880412922804E-2</v>
      </c>
      <c r="L13" s="64">
        <f t="shared" si="1"/>
        <v>0.18009940206461403</v>
      </c>
      <c r="M13" s="437"/>
      <c r="N13" s="437"/>
    </row>
    <row r="14" spans="2:14">
      <c r="B14" s="439"/>
      <c r="C14" s="439"/>
      <c r="D14" s="135"/>
      <c r="E14" s="135"/>
      <c r="F14" s="135">
        <v>11</v>
      </c>
      <c r="G14" s="133">
        <v>0.12738853503184713</v>
      </c>
      <c r="H14" s="64">
        <f t="shared" si="0"/>
        <v>0.26980036541552133</v>
      </c>
      <c r="I14" s="64">
        <f>H14*'Key Data'!$I$8</f>
        <v>0.11871216078282938</v>
      </c>
      <c r="J14" s="64">
        <f>I14*'Key Data'!$F$8</f>
        <v>0.18875233564469873</v>
      </c>
      <c r="K14" s="64">
        <f>J14*'Key Data'!$K$8</f>
        <v>4.7188083911174683E-2</v>
      </c>
      <c r="L14" s="64">
        <f t="shared" si="1"/>
        <v>0.23594041955587342</v>
      </c>
      <c r="M14" s="437"/>
      <c r="N14" s="437"/>
    </row>
    <row r="15" spans="2:14">
      <c r="B15" s="439"/>
      <c r="C15" s="439"/>
      <c r="D15" s="135"/>
      <c r="E15" s="135"/>
      <c r="F15" s="135">
        <v>12</v>
      </c>
      <c r="G15" s="133">
        <v>7.0063694267515922E-2</v>
      </c>
      <c r="H15" s="64">
        <f t="shared" si="0"/>
        <v>0.12299716009170553</v>
      </c>
      <c r="I15" s="64">
        <f>H15*'Key Data'!$I$8</f>
        <v>5.411875044035043E-2</v>
      </c>
      <c r="J15" s="64">
        <f>I15*'Key Data'!$F$8</f>
        <v>8.6048813200157184E-2</v>
      </c>
      <c r="K15" s="64">
        <f>J15*'Key Data'!$K$8</f>
        <v>2.1512203300039296E-2</v>
      </c>
      <c r="L15" s="64">
        <f t="shared" si="1"/>
        <v>0.10756101650019648</v>
      </c>
      <c r="M15" s="437"/>
      <c r="N15" s="437"/>
    </row>
    <row r="16" spans="2:14">
      <c r="B16" s="439"/>
      <c r="C16" s="439"/>
      <c r="D16" s="135"/>
      <c r="E16" s="135"/>
      <c r="F16" s="135">
        <v>13</v>
      </c>
      <c r="G16" s="133">
        <v>9.0764331210191077E-2</v>
      </c>
      <c r="H16" s="64">
        <f t="shared" si="0"/>
        <v>0.16944243852643234</v>
      </c>
      <c r="I16" s="64">
        <f>H16*'Key Data'!$I$8</f>
        <v>7.4554672951630235E-2</v>
      </c>
      <c r="J16" s="64">
        <f>I16*'Key Data'!$F$8</f>
        <v>0.11854192999309209</v>
      </c>
      <c r="K16" s="64">
        <f>J16*'Key Data'!$K$8</f>
        <v>2.9635482498273021E-2</v>
      </c>
      <c r="L16" s="64">
        <f t="shared" si="1"/>
        <v>0.1481774124913651</v>
      </c>
      <c r="M16" s="437"/>
      <c r="N16" s="437"/>
    </row>
    <row r="17" spans="2:14">
      <c r="B17" s="439"/>
      <c r="C17" s="439"/>
      <c r="D17" s="135"/>
      <c r="E17" s="135"/>
      <c r="F17" s="135">
        <v>14</v>
      </c>
      <c r="G17" s="133">
        <v>0.11942675159235669</v>
      </c>
      <c r="H17" s="64">
        <f t="shared" si="0"/>
        <v>0.24600673878779758</v>
      </c>
      <c r="I17" s="64">
        <f>H17*'Key Data'!$I$8</f>
        <v>0.10824296506663093</v>
      </c>
      <c r="J17" s="64">
        <f>I17*'Key Data'!$F$8</f>
        <v>0.17210631445594318</v>
      </c>
      <c r="K17" s="64">
        <f>J17*'Key Data'!$K$8</f>
        <v>4.3026578613985796E-2</v>
      </c>
      <c r="L17" s="64">
        <f t="shared" si="1"/>
        <v>0.21513289306992897</v>
      </c>
      <c r="M17" s="437"/>
      <c r="N17" s="437"/>
    </row>
    <row r="18" spans="2:14">
      <c r="B18" s="439"/>
      <c r="C18" s="439"/>
      <c r="D18" s="135"/>
      <c r="E18" s="135"/>
      <c r="F18" s="135">
        <v>15</v>
      </c>
      <c r="G18" s="133">
        <v>0.10031847133757961</v>
      </c>
      <c r="H18" s="64">
        <f t="shared" si="0"/>
        <v>0.19338252314715873</v>
      </c>
      <c r="I18" s="64">
        <f>H18*'Key Data'!$I$8</f>
        <v>8.5088310184749841E-2</v>
      </c>
      <c r="J18" s="64">
        <f>I18*'Key Data'!$F$8</f>
        <v>0.13529041319375226</v>
      </c>
      <c r="K18" s="64">
        <f>J18*'Key Data'!$K$8</f>
        <v>3.3822603298438066E-2</v>
      </c>
      <c r="L18" s="64">
        <f t="shared" si="1"/>
        <v>0.16911301649219032</v>
      </c>
      <c r="M18" s="437"/>
      <c r="N18" s="437"/>
    </row>
    <row r="19" spans="2:14">
      <c r="B19" s="439"/>
      <c r="C19" s="439"/>
      <c r="D19" s="135"/>
      <c r="E19" s="135"/>
      <c r="F19" s="135">
        <v>16</v>
      </c>
      <c r="G19" s="133">
        <v>9.458598726114649E-2</v>
      </c>
      <c r="H19" s="64">
        <f t="shared" si="0"/>
        <v>0.17882871051875546</v>
      </c>
      <c r="I19" s="64">
        <f>H19*'Key Data'!$I$8</f>
        <v>7.8684632628252399E-2</v>
      </c>
      <c r="J19" s="64">
        <f>I19*'Key Data'!$F$8</f>
        <v>0.12510856587892133</v>
      </c>
      <c r="K19" s="64">
        <f>J19*'Key Data'!$K$8</f>
        <v>3.1277141469730332E-2</v>
      </c>
      <c r="L19" s="64">
        <f t="shared" si="1"/>
        <v>0.15638570734865165</v>
      </c>
      <c r="M19" s="437"/>
      <c r="N19" s="437"/>
    </row>
    <row r="20" spans="2:14">
      <c r="B20" s="439"/>
      <c r="C20" s="439"/>
      <c r="D20" s="135"/>
      <c r="E20" s="135"/>
      <c r="F20" s="135">
        <v>17</v>
      </c>
      <c r="G20" s="133">
        <v>9.7133757961783432E-2</v>
      </c>
      <c r="H20" s="64">
        <f t="shared" si="0"/>
        <v>0.18522678951805782</v>
      </c>
      <c r="I20" s="64">
        <f>H20*'Key Data'!$I$8</f>
        <v>8.1499787387945444E-2</v>
      </c>
      <c r="J20" s="64">
        <f>I20*'Key Data'!$F$8</f>
        <v>0.12958466194683327</v>
      </c>
      <c r="K20" s="64">
        <f>J20*'Key Data'!$K$8</f>
        <v>3.2396165486708317E-2</v>
      </c>
      <c r="L20" s="64">
        <f t="shared" si="1"/>
        <v>0.16198082743354159</v>
      </c>
      <c r="M20" s="437"/>
      <c r="N20" s="437"/>
    </row>
    <row r="21" spans="2:14">
      <c r="B21" s="439"/>
      <c r="C21" s="439"/>
      <c r="D21" s="135"/>
      <c r="E21" s="135"/>
      <c r="F21" s="135">
        <v>18</v>
      </c>
      <c r="G21" s="133">
        <v>9.7133757961783432E-2</v>
      </c>
      <c r="H21" s="64">
        <f t="shared" si="0"/>
        <v>0.18522678951805782</v>
      </c>
      <c r="I21" s="64">
        <f>H21*'Key Data'!$I$8</f>
        <v>8.1499787387945444E-2</v>
      </c>
      <c r="J21" s="64">
        <f>I21*'Key Data'!$F$8</f>
        <v>0.12958466194683327</v>
      </c>
      <c r="K21" s="64">
        <f>J21*'Key Data'!$K$8</f>
        <v>3.2396165486708317E-2</v>
      </c>
      <c r="L21" s="64">
        <f t="shared" si="1"/>
        <v>0.16198082743354159</v>
      </c>
      <c r="M21" s="437"/>
      <c r="N21" s="437"/>
    </row>
    <row r="22" spans="2:14">
      <c r="B22" s="439"/>
      <c r="C22" s="439"/>
      <c r="D22" s="135"/>
      <c r="E22" s="135"/>
      <c r="F22" s="135">
        <v>19</v>
      </c>
      <c r="G22" s="133">
        <v>9.8726114649681521E-2</v>
      </c>
      <c r="H22" s="64">
        <f t="shared" si="0"/>
        <v>0.18928269315483429</v>
      </c>
      <c r="I22" s="64">
        <f>H22*'Key Data'!$I$8</f>
        <v>8.3284384988127083E-2</v>
      </c>
      <c r="J22" s="64">
        <f>I22*'Key Data'!$F$8</f>
        <v>0.13242217213112206</v>
      </c>
      <c r="K22" s="64">
        <f>J22*'Key Data'!$K$8</f>
        <v>3.3105543032780516E-2</v>
      </c>
      <c r="L22" s="64">
        <f t="shared" si="1"/>
        <v>0.16552771516390258</v>
      </c>
      <c r="M22" s="437"/>
      <c r="N22" s="437"/>
    </row>
    <row r="23" spans="2:14">
      <c r="B23" s="439"/>
      <c r="C23" s="439"/>
      <c r="D23" s="135"/>
      <c r="E23" s="135"/>
      <c r="F23" s="135">
        <v>20</v>
      </c>
      <c r="G23" s="133">
        <v>9.3949044585987254E-2</v>
      </c>
      <c r="H23" s="64">
        <f t="shared" si="0"/>
        <v>0.177246761311149</v>
      </c>
      <c r="I23" s="64">
        <f>H23*'Key Data'!$I$8</f>
        <v>7.7988574976905561E-2</v>
      </c>
      <c r="J23" s="64">
        <f>I23*'Key Data'!$F$8</f>
        <v>0.12400183421327984</v>
      </c>
      <c r="K23" s="64">
        <f>J23*'Key Data'!$K$8</f>
        <v>3.1000458553319961E-2</v>
      </c>
      <c r="L23" s="64">
        <f t="shared" si="1"/>
        <v>0.1550022927665998</v>
      </c>
      <c r="M23" s="437"/>
      <c r="N23" s="437"/>
    </row>
    <row r="24" spans="2:14">
      <c r="B24" s="439"/>
      <c r="C24" s="439"/>
      <c r="D24" s="135"/>
      <c r="E24" s="135"/>
      <c r="F24" s="135">
        <v>21</v>
      </c>
      <c r="G24" s="133">
        <v>8.5987261146496824E-2</v>
      </c>
      <c r="H24" s="64">
        <f t="shared" si="0"/>
        <v>0.15806540201596744</v>
      </c>
      <c r="I24" s="64">
        <f>H24*'Key Data'!$I$8</f>
        <v>6.9548776887025682E-2</v>
      </c>
      <c r="J24" s="64">
        <f>I24*'Key Data'!$F$8</f>
        <v>0.11058255525037083</v>
      </c>
      <c r="K24" s="64">
        <f>J24*'Key Data'!$K$8</f>
        <v>2.7645638812592709E-2</v>
      </c>
      <c r="L24" s="64">
        <f t="shared" si="1"/>
        <v>0.13822819406296355</v>
      </c>
      <c r="M24" s="437"/>
      <c r="N24" s="437"/>
    </row>
    <row r="25" spans="2:14">
      <c r="B25" s="439"/>
      <c r="C25" s="439"/>
      <c r="D25" s="135"/>
      <c r="E25" s="135"/>
      <c r="F25" s="135">
        <v>22</v>
      </c>
      <c r="G25" s="133">
        <v>9.0764331210191077E-2</v>
      </c>
      <c r="H25" s="64">
        <f t="shared" si="0"/>
        <v>0.16944243852643234</v>
      </c>
      <c r="I25" s="64">
        <f>H25*'Key Data'!$I$8</f>
        <v>7.4554672951630235E-2</v>
      </c>
      <c r="J25" s="64">
        <f>I25*'Key Data'!$F$8</f>
        <v>0.11854192999309209</v>
      </c>
      <c r="K25" s="64">
        <f>J25*'Key Data'!$K$8</f>
        <v>2.9635482498273021E-2</v>
      </c>
      <c r="L25" s="64">
        <f t="shared" si="1"/>
        <v>0.1481774124913651</v>
      </c>
      <c r="M25" s="437"/>
      <c r="N25" s="437"/>
    </row>
    <row r="26" spans="2:14">
      <c r="B26" s="439"/>
      <c r="C26" s="439"/>
      <c r="D26" s="135"/>
      <c r="E26" s="135"/>
      <c r="F26" s="135">
        <v>23</v>
      </c>
      <c r="G26" s="133">
        <v>0.10828025477707007</v>
      </c>
      <c r="H26" s="64">
        <f t="shared" si="0"/>
        <v>0.21454056844200123</v>
      </c>
      <c r="I26" s="64">
        <f>H26*'Key Data'!$I$8</f>
        <v>9.4397850114480542E-2</v>
      </c>
      <c r="J26" s="64">
        <f>I26*'Key Data'!$F$8</f>
        <v>0.15009258168202408</v>
      </c>
      <c r="K26" s="64">
        <f>J26*'Key Data'!$K$8</f>
        <v>3.752314542050602E-2</v>
      </c>
      <c r="L26" s="64">
        <f t="shared" si="1"/>
        <v>0.18761572710253011</v>
      </c>
      <c r="M26" s="437"/>
      <c r="N26" s="437"/>
    </row>
    <row r="27" spans="2:14">
      <c r="B27" s="439"/>
      <c r="C27" s="439"/>
      <c r="D27" s="135"/>
      <c r="E27" s="135"/>
      <c r="F27" s="135">
        <v>24</v>
      </c>
      <c r="G27" s="133">
        <v>0.12101910828025478</v>
      </c>
      <c r="H27" s="64">
        <f t="shared" si="0"/>
        <v>0.25067761140224631</v>
      </c>
      <c r="I27" s="64">
        <f>H27*'Key Data'!$I$8</f>
        <v>0.11029814901698838</v>
      </c>
      <c r="J27" s="64">
        <f>I27*'Key Data'!$F$8</f>
        <v>0.17537405693701152</v>
      </c>
      <c r="K27" s="64">
        <f>J27*'Key Data'!$K$8</f>
        <v>4.3843514234252881E-2</v>
      </c>
      <c r="L27" s="64">
        <f t="shared" si="1"/>
        <v>0.21921757117126439</v>
      </c>
      <c r="M27" s="437"/>
      <c r="N27" s="437"/>
    </row>
    <row r="28" spans="2:14">
      <c r="B28" s="439"/>
      <c r="C28" s="439"/>
      <c r="D28" s="135"/>
      <c r="E28" s="135"/>
      <c r="F28" s="135">
        <v>25</v>
      </c>
      <c r="G28" s="133">
        <v>0.10828025477707007</v>
      </c>
      <c r="H28" s="64">
        <f t="shared" si="0"/>
        <v>0.21454056844200123</v>
      </c>
      <c r="I28" s="64">
        <f>H28*'Key Data'!$I$8</f>
        <v>9.4397850114480542E-2</v>
      </c>
      <c r="J28" s="64">
        <f>I28*'Key Data'!$F$8</f>
        <v>0.15009258168202408</v>
      </c>
      <c r="K28" s="64">
        <f>J28*'Key Data'!$K$8</f>
        <v>3.752314542050602E-2</v>
      </c>
      <c r="L28" s="64">
        <f t="shared" si="1"/>
        <v>0.18761572710253011</v>
      </c>
      <c r="M28" s="437"/>
      <c r="N28" s="437"/>
    </row>
    <row r="29" spans="2:14">
      <c r="B29" s="439"/>
      <c r="C29" s="439"/>
      <c r="D29" s="135"/>
      <c r="E29" s="135"/>
      <c r="F29" s="135">
        <v>26</v>
      </c>
      <c r="G29" s="133">
        <v>8.7579617834394913E-2</v>
      </c>
      <c r="H29" s="64">
        <f t="shared" si="0"/>
        <v>0.16181382116390766</v>
      </c>
      <c r="I29" s="64">
        <f>H29*'Key Data'!$I$8</f>
        <v>7.1198081312119368E-2</v>
      </c>
      <c r="J29" s="64">
        <f>I29*'Key Data'!$F$8</f>
        <v>0.1132049492862698</v>
      </c>
      <c r="K29" s="64">
        <f>J29*'Key Data'!$K$8</f>
        <v>2.830123732156745E-2</v>
      </c>
      <c r="L29" s="64">
        <f t="shared" si="1"/>
        <v>0.14150618660783726</v>
      </c>
      <c r="M29" s="437"/>
      <c r="N29" s="437"/>
    </row>
    <row r="30" spans="2:14">
      <c r="B30" s="439"/>
      <c r="C30" s="439"/>
      <c r="D30" s="135"/>
      <c r="E30" s="135"/>
      <c r="F30" s="135">
        <v>27</v>
      </c>
      <c r="G30" s="133">
        <v>9.7133757961783432E-2</v>
      </c>
      <c r="H30" s="64">
        <f t="shared" si="0"/>
        <v>0.18522678951805782</v>
      </c>
      <c r="I30" s="64">
        <f>H30*'Key Data'!$I$8</f>
        <v>8.1499787387945444E-2</v>
      </c>
      <c r="J30" s="64">
        <f>I30*'Key Data'!$F$8</f>
        <v>0.12958466194683327</v>
      </c>
      <c r="K30" s="64">
        <f>J30*'Key Data'!$K$8</f>
        <v>3.2396165486708317E-2</v>
      </c>
      <c r="L30" s="64">
        <f t="shared" si="1"/>
        <v>0.16198082743354159</v>
      </c>
      <c r="M30" s="437"/>
      <c r="N30" s="437"/>
    </row>
    <row r="31" spans="2:14">
      <c r="B31" s="439"/>
      <c r="C31" s="439"/>
      <c r="D31" s="135"/>
      <c r="E31" s="135"/>
      <c r="F31" s="135">
        <v>28</v>
      </c>
      <c r="G31" s="133">
        <v>9.8726114649681521E-2</v>
      </c>
      <c r="H31" s="64">
        <f t="shared" si="0"/>
        <v>0.18928269315483429</v>
      </c>
      <c r="I31" s="64">
        <f>H31*'Key Data'!$I$8</f>
        <v>8.3284384988127083E-2</v>
      </c>
      <c r="J31" s="64">
        <f>I31*'Key Data'!$F$8</f>
        <v>0.13242217213112206</v>
      </c>
      <c r="K31" s="64">
        <f>J31*'Key Data'!$K$8</f>
        <v>3.3105543032780516E-2</v>
      </c>
      <c r="L31" s="64">
        <f t="shared" si="1"/>
        <v>0.16552771516390258</v>
      </c>
      <c r="M31" s="437"/>
      <c r="N31" s="437"/>
    </row>
    <row r="32" spans="2:14">
      <c r="B32" s="439"/>
      <c r="C32" s="439"/>
      <c r="D32" s="135"/>
      <c r="E32" s="135"/>
      <c r="F32" s="135">
        <v>29</v>
      </c>
      <c r="G32" s="133">
        <v>9.2356687898089165E-2</v>
      </c>
      <c r="H32" s="64">
        <f t="shared" si="0"/>
        <v>0.17332263674101672</v>
      </c>
      <c r="I32" s="64">
        <f>H32*'Key Data'!$I$8</f>
        <v>7.626196016604736E-2</v>
      </c>
      <c r="J32" s="64">
        <f>I32*'Key Data'!$F$8</f>
        <v>0.12125651666401531</v>
      </c>
      <c r="K32" s="64">
        <f>J32*'Key Data'!$K$8</f>
        <v>3.0314129166003827E-2</v>
      </c>
      <c r="L32" s="64">
        <f t="shared" si="1"/>
        <v>0.15157064583001914</v>
      </c>
      <c r="M32" s="437"/>
      <c r="N32" s="437"/>
    </row>
    <row r="33" spans="2:14">
      <c r="B33" s="439"/>
      <c r="C33" s="439"/>
      <c r="D33" s="135"/>
      <c r="E33" s="135"/>
      <c r="F33" s="135">
        <v>30</v>
      </c>
      <c r="G33" s="133">
        <v>5.5732484076433116E-2</v>
      </c>
      <c r="H33" s="64">
        <f t="shared" si="0"/>
        <v>9.5191445759225446E-2</v>
      </c>
      <c r="I33" s="64">
        <f>H33*'Key Data'!$I$8</f>
        <v>4.18842361340592E-2</v>
      </c>
      <c r="J33" s="64">
        <f>I33*'Key Data'!$F$8</f>
        <v>6.6595935453154134E-2</v>
      </c>
      <c r="K33" s="64">
        <f>J33*'Key Data'!$K$8</f>
        <v>1.6648983863288534E-2</v>
      </c>
      <c r="L33" s="64">
        <f t="shared" si="1"/>
        <v>8.3244919316442664E-2</v>
      </c>
      <c r="M33" s="437"/>
      <c r="N33" s="437"/>
    </row>
    <row r="34" spans="2:14">
      <c r="B34" s="439"/>
      <c r="C34" s="439"/>
      <c r="D34" s="135"/>
      <c r="E34" s="135"/>
      <c r="F34" s="135">
        <v>31</v>
      </c>
      <c r="G34" s="133">
        <v>8.5987261146496824E-2</v>
      </c>
      <c r="H34" s="64">
        <f t="shared" si="0"/>
        <v>0.15806540201596744</v>
      </c>
      <c r="I34" s="64">
        <f>H34*'Key Data'!$I$8</f>
        <v>6.9548776887025682E-2</v>
      </c>
      <c r="J34" s="64">
        <f>I34*'Key Data'!$F$8</f>
        <v>0.11058255525037083</v>
      </c>
      <c r="K34" s="64">
        <f>J34*'Key Data'!$K$8</f>
        <v>2.7645638812592709E-2</v>
      </c>
      <c r="L34" s="64">
        <f t="shared" si="1"/>
        <v>0.13822819406296355</v>
      </c>
      <c r="M34" s="437"/>
      <c r="N34" s="437"/>
    </row>
    <row r="35" spans="2:14">
      <c r="B35" s="439"/>
      <c r="C35" s="439"/>
      <c r="D35" s="135"/>
      <c r="E35" s="135"/>
      <c r="F35" s="135">
        <v>32</v>
      </c>
      <c r="G35" s="133">
        <v>8.4394904458598721E-2</v>
      </c>
      <c r="H35" s="64">
        <f t="shared" si="0"/>
        <v>0.15436090922357507</v>
      </c>
      <c r="I35" s="64">
        <f>H35*'Key Data'!$I$8</f>
        <v>6.791880005837303E-2</v>
      </c>
      <c r="J35" s="64">
        <f>I35*'Key Data'!$F$8</f>
        <v>0.10799089209281312</v>
      </c>
      <c r="K35" s="64">
        <f>J35*'Key Data'!$K$8</f>
        <v>2.6997723023203281E-2</v>
      </c>
      <c r="L35" s="64">
        <f t="shared" si="1"/>
        <v>0.1349886151160164</v>
      </c>
      <c r="M35" s="437"/>
      <c r="N35" s="437"/>
    </row>
    <row r="36" spans="2:14">
      <c r="B36" s="439"/>
      <c r="C36" s="439"/>
      <c r="D36" s="135"/>
      <c r="E36" s="135"/>
      <c r="F36" s="135">
        <v>33</v>
      </c>
      <c r="G36" s="133">
        <v>0.11305732484076432</v>
      </c>
      <c r="H36" s="64">
        <f t="shared" si="0"/>
        <v>0.22776251188548302</v>
      </c>
      <c r="I36" s="64">
        <f>H36*'Key Data'!$I$8</f>
        <v>0.10021550522961253</v>
      </c>
      <c r="J36" s="64">
        <f>I36*'Key Data'!$F$8</f>
        <v>0.15934265331508393</v>
      </c>
      <c r="K36" s="64">
        <f>J36*'Key Data'!$K$8</f>
        <v>3.9835663328770983E-2</v>
      </c>
      <c r="L36" s="64">
        <f t="shared" si="1"/>
        <v>0.19917831664385491</v>
      </c>
      <c r="M36" s="437"/>
      <c r="N36" s="437"/>
    </row>
    <row r="37" spans="2:14">
      <c r="B37" s="439"/>
      <c r="C37" s="439"/>
      <c r="D37" s="135"/>
      <c r="E37" s="135"/>
      <c r="F37" s="135">
        <v>34</v>
      </c>
      <c r="G37" s="133">
        <v>9.7133757961783432E-2</v>
      </c>
      <c r="H37" s="64">
        <f t="shared" si="0"/>
        <v>0.18522678951805782</v>
      </c>
      <c r="I37" s="64">
        <f>H37*'Key Data'!$I$8</f>
        <v>8.1499787387945444E-2</v>
      </c>
      <c r="J37" s="64">
        <f>I37*'Key Data'!$F$8</f>
        <v>0.12958466194683327</v>
      </c>
      <c r="K37" s="64">
        <f>J37*'Key Data'!$K$8</f>
        <v>3.2396165486708317E-2</v>
      </c>
      <c r="L37" s="64">
        <f t="shared" si="1"/>
        <v>0.16198082743354159</v>
      </c>
      <c r="M37" s="437"/>
      <c r="N37" s="437"/>
    </row>
    <row r="38" spans="2:14">
      <c r="B38" s="439"/>
      <c r="C38" s="439"/>
      <c r="D38" s="135"/>
      <c r="E38" s="135"/>
      <c r="F38" s="135">
        <v>35</v>
      </c>
      <c r="G38" s="133">
        <v>7.8025477707006366E-2</v>
      </c>
      <c r="H38" s="64">
        <f t="shared" si="0"/>
        <v>0.13998220160948621</v>
      </c>
      <c r="I38" s="64">
        <f>H38*'Key Data'!$I$8</f>
        <v>6.1592168708173932E-2</v>
      </c>
      <c r="J38" s="64">
        <f>I38*'Key Data'!$F$8</f>
        <v>9.7931548245996564E-2</v>
      </c>
      <c r="K38" s="64">
        <f>J38*'Key Data'!$K$8</f>
        <v>2.4482887061499141E-2</v>
      </c>
      <c r="L38" s="64">
        <f t="shared" si="1"/>
        <v>0.12241443530749571</v>
      </c>
      <c r="M38" s="437"/>
      <c r="N38" s="437"/>
    </row>
    <row r="39" spans="2:14">
      <c r="B39" s="439"/>
      <c r="C39" s="439"/>
      <c r="D39" s="135"/>
      <c r="E39" s="135"/>
      <c r="F39" s="135">
        <v>36</v>
      </c>
      <c r="G39" s="133">
        <v>0.10031847133757961</v>
      </c>
      <c r="H39" s="64">
        <f t="shared" si="0"/>
        <v>0.19338252314715873</v>
      </c>
      <c r="I39" s="64">
        <f>H39*'Key Data'!$I$8</f>
        <v>8.5088310184749841E-2</v>
      </c>
      <c r="J39" s="64">
        <f>I39*'Key Data'!$F$8</f>
        <v>0.13529041319375226</v>
      </c>
      <c r="K39" s="64">
        <f>J39*'Key Data'!$K$8</f>
        <v>3.3822603298438066E-2</v>
      </c>
      <c r="L39" s="64">
        <f t="shared" si="1"/>
        <v>0.16911301649219032</v>
      </c>
      <c r="M39" s="437"/>
      <c r="N39" s="437"/>
    </row>
    <row r="40" spans="2:14">
      <c r="B40" s="439"/>
      <c r="C40" s="439"/>
      <c r="D40" s="135"/>
      <c r="E40" s="135"/>
      <c r="F40" s="135">
        <v>37</v>
      </c>
      <c r="G40" s="133">
        <v>9.0764331210191077E-2</v>
      </c>
      <c r="H40" s="64">
        <f t="shared" si="0"/>
        <v>0.16944243852643234</v>
      </c>
      <c r="I40" s="64">
        <f>H40*'Key Data'!$I$8</f>
        <v>7.4554672951630235E-2</v>
      </c>
      <c r="J40" s="64">
        <f>I40*'Key Data'!$F$8</f>
        <v>0.11854192999309209</v>
      </c>
      <c r="K40" s="64">
        <f>J40*'Key Data'!$K$8</f>
        <v>2.9635482498273021E-2</v>
      </c>
      <c r="L40" s="64">
        <f t="shared" si="1"/>
        <v>0.1481774124913651</v>
      </c>
      <c r="M40" s="437"/>
      <c r="N40" s="437"/>
    </row>
    <row r="41" spans="2:14">
      <c r="B41" s="439"/>
      <c r="C41" s="439"/>
      <c r="D41" s="135"/>
      <c r="E41" s="135"/>
      <c r="F41" s="135">
        <v>38</v>
      </c>
      <c r="G41" s="133">
        <v>9.2356687898089165E-2</v>
      </c>
      <c r="H41" s="64">
        <f t="shared" si="0"/>
        <v>0.17332263674101672</v>
      </c>
      <c r="I41" s="64">
        <f>H41*'Key Data'!$I$8</f>
        <v>7.626196016604736E-2</v>
      </c>
      <c r="J41" s="64">
        <f>I41*'Key Data'!$F$8</f>
        <v>0.12125651666401531</v>
      </c>
      <c r="K41" s="64">
        <f>J41*'Key Data'!$K$8</f>
        <v>3.0314129166003827E-2</v>
      </c>
      <c r="L41" s="64">
        <f t="shared" si="1"/>
        <v>0.15157064583001914</v>
      </c>
      <c r="M41" s="437"/>
      <c r="N41" s="437"/>
    </row>
    <row r="42" spans="2:14">
      <c r="B42" s="439"/>
      <c r="C42" s="439"/>
      <c r="D42" s="135"/>
      <c r="E42" s="135"/>
      <c r="F42" s="135">
        <v>39</v>
      </c>
      <c r="G42" s="133">
        <v>9.5541401273885343E-2</v>
      </c>
      <c r="H42" s="64">
        <f t="shared" si="0"/>
        <v>0.18121481223682942</v>
      </c>
      <c r="I42" s="64">
        <f>H42*'Key Data'!$I$8</f>
        <v>7.973451738420495E-2</v>
      </c>
      <c r="J42" s="64">
        <f>I42*'Key Data'!$F$8</f>
        <v>0.12677788264088588</v>
      </c>
      <c r="K42" s="64">
        <f>J42*'Key Data'!$K$8</f>
        <v>3.169447066022147E-2</v>
      </c>
      <c r="L42" s="64">
        <f t="shared" si="1"/>
        <v>0.15847235330110734</v>
      </c>
      <c r="M42" s="437"/>
      <c r="N42" s="437"/>
    </row>
    <row r="43" spans="2:14">
      <c r="B43" s="439"/>
      <c r="C43" s="439"/>
      <c r="D43" s="135"/>
      <c r="E43" s="135"/>
      <c r="F43" s="135">
        <v>40</v>
      </c>
      <c r="G43" s="133">
        <v>8.9171974522293002E-2</v>
      </c>
      <c r="H43" s="64">
        <f t="shared" si="0"/>
        <v>0.165606166667396</v>
      </c>
      <c r="I43" s="64">
        <f>H43*'Key Data'!$I$8</f>
        <v>7.2866713333654243E-2</v>
      </c>
      <c r="J43" s="64">
        <f>I43*'Key Data'!$F$8</f>
        <v>0.11585807420051025</v>
      </c>
      <c r="K43" s="64">
        <f>J43*'Key Data'!$K$8</f>
        <v>2.8964518550127563E-2</v>
      </c>
      <c r="L43" s="64">
        <f t="shared" si="1"/>
        <v>0.1448225927506378</v>
      </c>
      <c r="M43" s="437"/>
      <c r="N43" s="437"/>
    </row>
    <row r="44" spans="2:14">
      <c r="B44" s="439"/>
      <c r="C44" s="439"/>
      <c r="D44" s="135"/>
      <c r="E44" s="135"/>
      <c r="F44" s="135">
        <v>41</v>
      </c>
      <c r="G44" s="133">
        <v>7.6433121019108277E-2</v>
      </c>
      <c r="H44" s="64">
        <f t="shared" si="0"/>
        <v>0.13649734059483401</v>
      </c>
      <c r="I44" s="64">
        <f>H44*'Key Data'!$I$8</f>
        <v>6.0058829861726962E-2</v>
      </c>
      <c r="J44" s="64">
        <f>I44*'Key Data'!$F$8</f>
        <v>9.549353948014587E-2</v>
      </c>
      <c r="K44" s="64">
        <f>J44*'Key Data'!$K$8</f>
        <v>2.3873384870036467E-2</v>
      </c>
      <c r="L44" s="64">
        <f t="shared" si="1"/>
        <v>0.11936692435018234</v>
      </c>
      <c r="M44" s="437"/>
      <c r="N44" s="437"/>
    </row>
    <row r="45" spans="2:14">
      <c r="B45" s="439"/>
      <c r="C45" s="439"/>
      <c r="D45" s="135"/>
      <c r="E45" s="135"/>
      <c r="F45" s="135">
        <v>42</v>
      </c>
      <c r="G45" s="133">
        <v>7.8025477707006366E-2</v>
      </c>
      <c r="H45" s="64">
        <f t="shared" si="0"/>
        <v>0.13998220160948621</v>
      </c>
      <c r="I45" s="64">
        <f>H45*'Key Data'!$I$8</f>
        <v>6.1592168708173932E-2</v>
      </c>
      <c r="J45" s="64">
        <f>I45*'Key Data'!$F$8</f>
        <v>9.7931548245996564E-2</v>
      </c>
      <c r="K45" s="64">
        <f>J45*'Key Data'!$K$8</f>
        <v>2.4482887061499141E-2</v>
      </c>
      <c r="L45" s="64">
        <f t="shared" si="1"/>
        <v>0.12241443530749571</v>
      </c>
      <c r="M45" s="437"/>
      <c r="N45" s="437"/>
    </row>
    <row r="46" spans="2:14">
      <c r="B46" s="439"/>
      <c r="C46" s="439"/>
      <c r="D46" s="135"/>
      <c r="E46" s="135"/>
      <c r="F46" s="135">
        <v>43</v>
      </c>
      <c r="G46" s="133">
        <v>6.6878980891719744E-2</v>
      </c>
      <c r="H46" s="64">
        <f t="shared" si="0"/>
        <v>0.11651062797342936</v>
      </c>
      <c r="I46" s="64">
        <f>H46*'Key Data'!$I$8</f>
        <v>5.1264676308308915E-2</v>
      </c>
      <c r="J46" s="64">
        <f>I46*'Key Data'!$F$8</f>
        <v>8.1510835330211182E-2</v>
      </c>
      <c r="K46" s="64">
        <f>J46*'Key Data'!$K$8</f>
        <v>2.0377708832552795E-2</v>
      </c>
      <c r="L46" s="64">
        <f t="shared" si="1"/>
        <v>0.10188854416276398</v>
      </c>
      <c r="M46" s="437"/>
      <c r="N46" s="437"/>
    </row>
    <row r="47" spans="2:14">
      <c r="B47" s="439"/>
      <c r="C47" s="439"/>
      <c r="D47" s="135"/>
      <c r="E47" s="135"/>
      <c r="F47" s="135">
        <v>44</v>
      </c>
      <c r="G47" s="133">
        <v>0.14171974522292993</v>
      </c>
      <c r="H47" s="64">
        <f t="shared" si="0"/>
        <v>0.31539625374494912</v>
      </c>
      <c r="I47" s="64">
        <f>H47*'Key Data'!$I$8</f>
        <v>0.1387743516477776</v>
      </c>
      <c r="J47" s="64">
        <f>I47*'Key Data'!$F$8</f>
        <v>0.22065121911996641</v>
      </c>
      <c r="K47" s="64">
        <f>J47*'Key Data'!$K$8</f>
        <v>5.5162804779991602E-2</v>
      </c>
      <c r="L47" s="64">
        <f t="shared" si="1"/>
        <v>0.27581402389995802</v>
      </c>
      <c r="M47" s="437"/>
      <c r="N47" s="437"/>
    </row>
    <row r="48" spans="2:14">
      <c r="B48" s="439"/>
      <c r="C48" s="439"/>
      <c r="D48" s="135"/>
      <c r="E48" s="135"/>
      <c r="F48" s="135">
        <v>45</v>
      </c>
      <c r="G48" s="133">
        <v>0.10828025477707007</v>
      </c>
      <c r="H48" s="64">
        <f t="shared" si="0"/>
        <v>0.21454056844200123</v>
      </c>
      <c r="I48" s="64">
        <f>H48*'Key Data'!$I$8</f>
        <v>9.4397850114480542E-2</v>
      </c>
      <c r="J48" s="64">
        <f>I48*'Key Data'!$F$8</f>
        <v>0.15009258168202408</v>
      </c>
      <c r="K48" s="64">
        <f>J48*'Key Data'!$K$8</f>
        <v>3.752314542050602E-2</v>
      </c>
      <c r="L48" s="64">
        <f t="shared" si="1"/>
        <v>0.18761572710253011</v>
      </c>
      <c r="M48" s="437"/>
      <c r="N48" s="437"/>
    </row>
    <row r="49" spans="2:14">
      <c r="B49" s="439"/>
      <c r="C49" s="439"/>
      <c r="D49" s="135"/>
      <c r="E49" s="135"/>
      <c r="F49" s="135">
        <v>46</v>
      </c>
      <c r="G49" s="133">
        <v>5.7324840764331204E-2</v>
      </c>
      <c r="H49" s="64">
        <f t="shared" si="0"/>
        <v>9.8105264151753385E-2</v>
      </c>
      <c r="I49" s="64">
        <f>H49*'Key Data'!$I$8</f>
        <v>4.3166316226771487E-2</v>
      </c>
      <c r="J49" s="64">
        <f>I49*'Key Data'!$F$8</f>
        <v>6.8634442800566672E-2</v>
      </c>
      <c r="K49" s="64">
        <f>J49*'Key Data'!$K$8</f>
        <v>1.7158610700141668E-2</v>
      </c>
      <c r="L49" s="64">
        <f t="shared" si="1"/>
        <v>8.5793053500708344E-2</v>
      </c>
      <c r="M49" s="437"/>
      <c r="N49" s="437"/>
    </row>
    <row r="50" spans="2:14">
      <c r="B50" s="439"/>
      <c r="C50" s="439"/>
      <c r="D50" s="135"/>
      <c r="E50" s="135"/>
      <c r="F50" s="135">
        <v>47</v>
      </c>
      <c r="G50" s="133">
        <v>6.0509554140127389E-2</v>
      </c>
      <c r="H50" s="64">
        <f t="shared" si="0"/>
        <v>0.10406468000345331</v>
      </c>
      <c r="I50" s="64">
        <f>H50*'Key Data'!$I$8</f>
        <v>4.5788459201519457E-2</v>
      </c>
      <c r="J50" s="64">
        <f>I50*'Key Data'!$F$8</f>
        <v>7.2803650130415939E-2</v>
      </c>
      <c r="K50" s="64">
        <f>J50*'Key Data'!$K$8</f>
        <v>1.8200912532603985E-2</v>
      </c>
      <c r="L50" s="64">
        <f t="shared" si="1"/>
        <v>9.1004562663019928E-2</v>
      </c>
      <c r="M50" s="437"/>
      <c r="N50" s="437"/>
    </row>
    <row r="51" spans="2:14">
      <c r="B51" s="439"/>
      <c r="C51" s="439"/>
      <c r="D51" s="135"/>
      <c r="E51" s="135"/>
      <c r="F51" s="135">
        <v>48</v>
      </c>
      <c r="G51" s="133">
        <v>7.0063694267515922E-2</v>
      </c>
      <c r="H51" s="64">
        <f t="shared" si="0"/>
        <v>0.12299716009170553</v>
      </c>
      <c r="I51" s="64">
        <f>H51*'Key Data'!$I$8</f>
        <v>5.411875044035043E-2</v>
      </c>
      <c r="J51" s="64">
        <f>I51*'Key Data'!$F$8</f>
        <v>8.6048813200157184E-2</v>
      </c>
      <c r="K51" s="64">
        <f>J51*'Key Data'!$K$8</f>
        <v>2.1512203300039296E-2</v>
      </c>
      <c r="L51" s="64">
        <f t="shared" si="1"/>
        <v>0.10756101650019648</v>
      </c>
      <c r="M51" s="437"/>
      <c r="N51" s="437"/>
    </row>
    <row r="52" spans="2:14">
      <c r="B52" s="439"/>
      <c r="C52" s="439"/>
      <c r="D52" s="135"/>
      <c r="E52" s="135"/>
      <c r="F52" s="135">
        <v>49</v>
      </c>
      <c r="G52" s="133">
        <v>0.12738853503184713</v>
      </c>
      <c r="H52" s="64">
        <f t="shared" si="0"/>
        <v>0.26980036541552133</v>
      </c>
      <c r="I52" s="64">
        <f>H52*'Key Data'!$I$8</f>
        <v>0.11871216078282938</v>
      </c>
      <c r="J52" s="64">
        <f>I52*'Key Data'!$F$8</f>
        <v>0.18875233564469873</v>
      </c>
      <c r="K52" s="64">
        <f>J52*'Key Data'!$K$8</f>
        <v>4.7188083911174683E-2</v>
      </c>
      <c r="L52" s="64">
        <f t="shared" si="1"/>
        <v>0.23594041955587342</v>
      </c>
      <c r="M52" s="437"/>
      <c r="N52" s="437"/>
    </row>
    <row r="53" spans="2:14">
      <c r="B53" s="439"/>
      <c r="C53" s="439"/>
      <c r="D53" s="135"/>
      <c r="E53" s="135"/>
      <c r="F53" s="135">
        <v>50</v>
      </c>
      <c r="G53" s="133">
        <v>8.5987261146496824E-2</v>
      </c>
      <c r="H53" s="64">
        <f t="shared" si="0"/>
        <v>0.15806540201596744</v>
      </c>
      <c r="I53" s="64">
        <f>H53*'Key Data'!$I$8</f>
        <v>6.9548776887025682E-2</v>
      </c>
      <c r="J53" s="64">
        <f>I53*'Key Data'!$F$8</f>
        <v>0.11058255525037083</v>
      </c>
      <c r="K53" s="64">
        <f>J53*'Key Data'!$K$8</f>
        <v>2.7645638812592709E-2</v>
      </c>
      <c r="L53" s="64">
        <f t="shared" si="1"/>
        <v>0.13822819406296355</v>
      </c>
      <c r="M53" s="437"/>
      <c r="N53" s="437"/>
    </row>
    <row r="54" spans="2:14">
      <c r="B54" s="439"/>
      <c r="C54" s="439"/>
      <c r="D54" s="135"/>
      <c r="E54" s="135"/>
      <c r="F54" s="135">
        <v>51</v>
      </c>
      <c r="G54" s="133">
        <v>7.1656050955414011E-2</v>
      </c>
      <c r="H54" s="64">
        <f t="shared" si="0"/>
        <v>0.12630631568416559</v>
      </c>
      <c r="I54" s="64">
        <f>H54*'Key Data'!$I$8</f>
        <v>5.5574778901032858E-2</v>
      </c>
      <c r="J54" s="64">
        <f>I54*'Key Data'!$F$8</f>
        <v>8.8363898452642253E-2</v>
      </c>
      <c r="K54" s="64">
        <f>J54*'Key Data'!$K$8</f>
        <v>2.2090974613160563E-2</v>
      </c>
      <c r="L54" s="64">
        <f t="shared" si="1"/>
        <v>0.11045487306580282</v>
      </c>
      <c r="M54" s="437"/>
      <c r="N54" s="437"/>
    </row>
    <row r="55" spans="2:14">
      <c r="B55" s="439"/>
      <c r="C55" s="439"/>
      <c r="D55" s="135"/>
      <c r="E55" s="135"/>
      <c r="F55" s="135">
        <v>52</v>
      </c>
      <c r="G55" s="133">
        <v>0.12738853503184713</v>
      </c>
      <c r="H55" s="64">
        <f t="shared" si="0"/>
        <v>0.26980036541552133</v>
      </c>
      <c r="I55" s="64">
        <f>H55*'Key Data'!$I$8</f>
        <v>0.11871216078282938</v>
      </c>
      <c r="J55" s="64">
        <f>I55*'Key Data'!$F$8</f>
        <v>0.18875233564469873</v>
      </c>
      <c r="K55" s="64">
        <f>J55*'Key Data'!$K$8</f>
        <v>4.7188083911174683E-2</v>
      </c>
      <c r="L55" s="64">
        <f t="shared" si="1"/>
        <v>0.23594041955587342</v>
      </c>
      <c r="M55" s="437"/>
      <c r="N55" s="437"/>
    </row>
    <row r="56" spans="2:14">
      <c r="B56" s="439"/>
      <c r="C56" s="439"/>
      <c r="D56" s="135"/>
      <c r="E56" s="135"/>
      <c r="F56" s="135">
        <v>53</v>
      </c>
      <c r="G56" s="133">
        <v>9.7133757961783432E-2</v>
      </c>
      <c r="H56" s="64">
        <f t="shared" si="0"/>
        <v>0.18522678951805782</v>
      </c>
      <c r="I56" s="64">
        <f>H56*'Key Data'!$I$8</f>
        <v>8.1499787387945444E-2</v>
      </c>
      <c r="J56" s="64">
        <f>I56*'Key Data'!$F$8</f>
        <v>0.12958466194683327</v>
      </c>
      <c r="K56" s="64">
        <f>J56*'Key Data'!$K$8</f>
        <v>3.2396165486708317E-2</v>
      </c>
      <c r="L56" s="64">
        <f t="shared" si="1"/>
        <v>0.16198082743354159</v>
      </c>
      <c r="M56" s="437"/>
      <c r="N56" s="437"/>
    </row>
    <row r="57" spans="2:14">
      <c r="B57" s="439"/>
      <c r="C57" s="439"/>
      <c r="D57" s="135"/>
      <c r="E57" s="135"/>
      <c r="F57" s="135">
        <v>54</v>
      </c>
      <c r="G57" s="133">
        <v>0.1019108280254777</v>
      </c>
      <c r="H57" s="64">
        <f t="shared" si="0"/>
        <v>0.19752627949503121</v>
      </c>
      <c r="I57" s="64">
        <f>H57*'Key Data'!$I$8</f>
        <v>8.6911562977813731E-2</v>
      </c>
      <c r="J57" s="64">
        <f>I57*'Key Data'!$F$8</f>
        <v>0.13818938513472384</v>
      </c>
      <c r="K57" s="64">
        <f>J57*'Key Data'!$K$8</f>
        <v>3.454734628368096E-2</v>
      </c>
      <c r="L57" s="64">
        <f t="shared" si="1"/>
        <v>0.17273673141840479</v>
      </c>
      <c r="M57" s="437"/>
      <c r="N57" s="437"/>
    </row>
    <row r="58" spans="2:14">
      <c r="B58" s="439"/>
      <c r="C58" s="439"/>
      <c r="D58" s="135"/>
      <c r="E58" s="135"/>
      <c r="F58" s="135">
        <v>55</v>
      </c>
      <c r="G58" s="133">
        <v>0.10382165605095542</v>
      </c>
      <c r="H58" s="64">
        <f t="shared" si="0"/>
        <v>0.20255676990180158</v>
      </c>
      <c r="I58" s="64">
        <f>H58*'Key Data'!$I$8</f>
        <v>8.9124978756792692E-2</v>
      </c>
      <c r="J58" s="64">
        <f>I58*'Key Data'!$F$8</f>
        <v>0.14170871622330039</v>
      </c>
      <c r="K58" s="64">
        <f>J58*'Key Data'!$K$8</f>
        <v>3.5427179055825098E-2</v>
      </c>
      <c r="L58" s="64">
        <f t="shared" si="1"/>
        <v>0.17713589527912549</v>
      </c>
      <c r="M58" s="437"/>
      <c r="N58" s="437"/>
    </row>
    <row r="59" spans="2:14">
      <c r="B59" s="439"/>
      <c r="C59" s="439"/>
      <c r="D59" s="135"/>
      <c r="E59" s="135"/>
      <c r="F59" s="135">
        <v>56</v>
      </c>
      <c r="G59" s="133">
        <v>8.5350318471337575E-2</v>
      </c>
      <c r="H59" s="64">
        <f t="shared" si="0"/>
        <v>0.15657833373634472</v>
      </c>
      <c r="I59" s="64">
        <f>H59*'Key Data'!$I$8</f>
        <v>6.8894466843991684E-2</v>
      </c>
      <c r="J59" s="64">
        <f>I59*'Key Data'!$F$8</f>
        <v>0.10954220228194678</v>
      </c>
      <c r="K59" s="64">
        <f>J59*'Key Data'!$K$8</f>
        <v>2.7385550570486694E-2</v>
      </c>
      <c r="L59" s="64">
        <f t="shared" si="1"/>
        <v>0.13692775285243347</v>
      </c>
      <c r="M59" s="437"/>
      <c r="N59" s="437"/>
    </row>
    <row r="60" spans="2:14">
      <c r="B60" s="439"/>
      <c r="C60" s="439"/>
      <c r="D60" s="135"/>
      <c r="E60" s="135"/>
      <c r="F60" s="135">
        <v>57</v>
      </c>
      <c r="G60" s="133">
        <v>5.7324840764331204E-2</v>
      </c>
      <c r="H60" s="64">
        <f t="shared" si="0"/>
        <v>9.8105264151753385E-2</v>
      </c>
      <c r="I60" s="64">
        <f>H60*'Key Data'!$I$8</f>
        <v>4.3166316226771487E-2</v>
      </c>
      <c r="J60" s="64">
        <f>I60*'Key Data'!$F$8</f>
        <v>6.8634442800566672E-2</v>
      </c>
      <c r="K60" s="64">
        <f>J60*'Key Data'!$K$8</f>
        <v>1.7158610700141668E-2</v>
      </c>
      <c r="L60" s="64">
        <f t="shared" si="1"/>
        <v>8.5793053500708344E-2</v>
      </c>
      <c r="M60" s="437"/>
      <c r="N60" s="437"/>
    </row>
    <row r="61" spans="2:14">
      <c r="B61" s="439"/>
      <c r="C61" s="439"/>
      <c r="D61" s="135"/>
      <c r="E61" s="135"/>
      <c r="F61" s="135">
        <v>58</v>
      </c>
      <c r="G61" s="133">
        <v>7.6433121019108277E-2</v>
      </c>
      <c r="H61" s="64">
        <f t="shared" si="0"/>
        <v>0.13649734059483401</v>
      </c>
      <c r="I61" s="64">
        <f>H61*'Key Data'!$I$8</f>
        <v>6.0058829861726962E-2</v>
      </c>
      <c r="J61" s="64">
        <f>I61*'Key Data'!$F$8</f>
        <v>9.549353948014587E-2</v>
      </c>
      <c r="K61" s="64">
        <f>J61*'Key Data'!$K$8</f>
        <v>2.3873384870036467E-2</v>
      </c>
      <c r="L61" s="64">
        <f t="shared" si="1"/>
        <v>0.11936692435018234</v>
      </c>
      <c r="M61" s="437"/>
      <c r="N61" s="437"/>
    </row>
    <row r="62" spans="2:14">
      <c r="B62" s="439"/>
      <c r="C62" s="439"/>
      <c r="D62" s="135"/>
      <c r="E62" s="135"/>
      <c r="F62" s="135">
        <v>59</v>
      </c>
      <c r="G62" s="133">
        <v>7.1656050955414011E-2</v>
      </c>
      <c r="H62" s="64">
        <f t="shared" si="0"/>
        <v>0.12630631568416559</v>
      </c>
      <c r="I62" s="64">
        <f>H62*'Key Data'!$I$8</f>
        <v>5.5574778901032858E-2</v>
      </c>
      <c r="J62" s="64">
        <f>I62*'Key Data'!$F$8</f>
        <v>8.8363898452642253E-2</v>
      </c>
      <c r="K62" s="64">
        <f>J62*'Key Data'!$K$8</f>
        <v>2.2090974613160563E-2</v>
      </c>
      <c r="L62" s="64">
        <f t="shared" si="1"/>
        <v>0.11045487306580282</v>
      </c>
      <c r="M62" s="437"/>
      <c r="N62" s="437"/>
    </row>
    <row r="63" spans="2:14">
      <c r="B63" s="439"/>
      <c r="C63" s="439"/>
      <c r="D63" s="135"/>
      <c r="E63" s="135"/>
      <c r="F63" s="135">
        <v>60</v>
      </c>
      <c r="G63" s="133">
        <v>0.12420382165605096</v>
      </c>
      <c r="H63" s="64">
        <f t="shared" si="0"/>
        <v>0.26015113569778781</v>
      </c>
      <c r="I63" s="64">
        <f>H63*'Key Data'!$I$8</f>
        <v>0.11446649970702663</v>
      </c>
      <c r="J63" s="64">
        <f>I63*'Key Data'!$F$8</f>
        <v>0.18200173453417234</v>
      </c>
      <c r="K63" s="64">
        <f>J63*'Key Data'!$K$8</f>
        <v>4.5500433633543086E-2</v>
      </c>
      <c r="L63" s="64">
        <f t="shared" si="1"/>
        <v>0.22750216816771543</v>
      </c>
      <c r="M63" s="437"/>
      <c r="N63" s="437"/>
    </row>
    <row r="64" spans="2:14">
      <c r="B64" s="439"/>
      <c r="C64" s="439"/>
      <c r="D64" s="135"/>
      <c r="E64" s="135"/>
      <c r="F64" s="135">
        <v>61</v>
      </c>
      <c r="G64" s="133">
        <v>0.1019108280254777</v>
      </c>
      <c r="H64" s="64">
        <f t="shared" si="0"/>
        <v>0.19752627949503121</v>
      </c>
      <c r="I64" s="64">
        <f>H64*'Key Data'!$I$8</f>
        <v>8.6911562977813731E-2</v>
      </c>
      <c r="J64" s="64">
        <f>I64*'Key Data'!$F$8</f>
        <v>0.13818938513472384</v>
      </c>
      <c r="K64" s="64">
        <f>J64*'Key Data'!$K$8</f>
        <v>3.454734628368096E-2</v>
      </c>
      <c r="L64" s="64">
        <f t="shared" si="1"/>
        <v>0.17273673141840479</v>
      </c>
      <c r="M64" s="437"/>
      <c r="N64" s="437"/>
    </row>
    <row r="65" spans="2:14">
      <c r="B65" s="439"/>
      <c r="C65" s="439"/>
      <c r="D65" s="135"/>
      <c r="E65" s="135"/>
      <c r="F65" s="135">
        <v>62</v>
      </c>
      <c r="G65" s="133">
        <v>7.8025477707006366E-2</v>
      </c>
      <c r="H65" s="64">
        <f t="shared" si="0"/>
        <v>0.13998220160948621</v>
      </c>
      <c r="I65" s="64">
        <f>H65*'Key Data'!$I$8</f>
        <v>6.1592168708173932E-2</v>
      </c>
      <c r="J65" s="64">
        <f>I65*'Key Data'!$F$8</f>
        <v>9.7931548245996564E-2</v>
      </c>
      <c r="K65" s="64">
        <f>J65*'Key Data'!$K$8</f>
        <v>2.4482887061499141E-2</v>
      </c>
      <c r="L65" s="64">
        <f t="shared" si="1"/>
        <v>0.12241443530749571</v>
      </c>
      <c r="M65" s="437"/>
      <c r="N65" s="437"/>
    </row>
    <row r="66" spans="2:14">
      <c r="B66" s="439"/>
      <c r="C66" s="439"/>
      <c r="D66" s="135"/>
      <c r="E66" s="135"/>
      <c r="F66" s="135">
        <v>63</v>
      </c>
      <c r="G66" s="133">
        <v>8.4394904458598721E-2</v>
      </c>
      <c r="H66" s="64">
        <f t="shared" si="0"/>
        <v>0.15436090922357507</v>
      </c>
      <c r="I66" s="64">
        <f>H66*'Key Data'!$I$8</f>
        <v>6.791880005837303E-2</v>
      </c>
      <c r="J66" s="64">
        <f>I66*'Key Data'!$F$8</f>
        <v>0.10799089209281312</v>
      </c>
      <c r="K66" s="64">
        <f>J66*'Key Data'!$K$8</f>
        <v>2.6997723023203281E-2</v>
      </c>
      <c r="L66" s="64">
        <f t="shared" si="1"/>
        <v>0.1349886151160164</v>
      </c>
      <c r="M66" s="437"/>
      <c r="N66" s="437"/>
    </row>
    <row r="67" spans="2:14">
      <c r="B67" s="439"/>
      <c r="C67" s="439"/>
      <c r="D67" s="135"/>
      <c r="E67" s="135"/>
      <c r="F67" s="135">
        <v>64</v>
      </c>
      <c r="G67" s="133">
        <v>0.1035031847133758</v>
      </c>
      <c r="H67" s="64">
        <f t="shared" si="0"/>
        <v>0.20171396219845172</v>
      </c>
      <c r="I67" s="64">
        <f>H67*'Key Data'!$I$8</f>
        <v>8.8754143367318752E-2</v>
      </c>
      <c r="J67" s="64">
        <f>I67*'Key Data'!$F$8</f>
        <v>0.14111908795403683</v>
      </c>
      <c r="K67" s="64">
        <f>J67*'Key Data'!$K$8</f>
        <v>3.5279771988509206E-2</v>
      </c>
      <c r="L67" s="64">
        <f t="shared" si="1"/>
        <v>0.17639885994254603</v>
      </c>
      <c r="M67" s="437"/>
      <c r="N67" s="437"/>
    </row>
    <row r="68" spans="2:14">
      <c r="B68" s="439"/>
      <c r="C68" s="439"/>
      <c r="D68" s="135"/>
      <c r="E68" s="135"/>
      <c r="F68" s="135">
        <v>65</v>
      </c>
      <c r="G68" s="133">
        <v>7.6433121019108277E-2</v>
      </c>
      <c r="H68" s="64">
        <f t="shared" si="0"/>
        <v>0.13649734059483401</v>
      </c>
      <c r="I68" s="64">
        <f>H68*'Key Data'!$I$8</f>
        <v>6.0058829861726962E-2</v>
      </c>
      <c r="J68" s="64">
        <f>I68*'Key Data'!$F$8</f>
        <v>9.549353948014587E-2</v>
      </c>
      <c r="K68" s="64">
        <f>J68*'Key Data'!$K$8</f>
        <v>2.3873384870036467E-2</v>
      </c>
      <c r="L68" s="64">
        <f t="shared" si="1"/>
        <v>0.11936692435018234</v>
      </c>
      <c r="M68" s="437"/>
      <c r="N68" s="437"/>
    </row>
    <row r="69" spans="2:14">
      <c r="B69" s="439"/>
      <c r="C69" s="439"/>
      <c r="D69" s="135"/>
      <c r="E69" s="135"/>
      <c r="F69" s="135">
        <v>66</v>
      </c>
      <c r="G69" s="133">
        <v>7.0063694267515922E-2</v>
      </c>
      <c r="H69" s="64">
        <f t="shared" ref="H69:H124" si="2">(0.144504+2.943115*G69)^2</f>
        <v>0.12299716009170553</v>
      </c>
      <c r="I69" s="64">
        <f>H69*'Key Data'!$I$8</f>
        <v>5.411875044035043E-2</v>
      </c>
      <c r="J69" s="64">
        <f>I69*'Key Data'!$F$8</f>
        <v>8.6048813200157184E-2</v>
      </c>
      <c r="K69" s="64">
        <f>J69*'Key Data'!$K$8</f>
        <v>2.1512203300039296E-2</v>
      </c>
      <c r="L69" s="64">
        <f t="shared" ref="L69:L132" si="3">K69+J69</f>
        <v>0.10756101650019648</v>
      </c>
      <c r="M69" s="437"/>
      <c r="N69" s="437"/>
    </row>
    <row r="70" spans="2:14">
      <c r="B70" s="439"/>
      <c r="C70" s="439"/>
      <c r="D70" s="135"/>
      <c r="E70" s="135"/>
      <c r="F70" s="135">
        <v>67</v>
      </c>
      <c r="G70" s="133">
        <v>0.11305732484076432</v>
      </c>
      <c r="H70" s="64">
        <f t="shared" si="2"/>
        <v>0.22776251188548302</v>
      </c>
      <c r="I70" s="64">
        <f>H70*'Key Data'!$I$8</f>
        <v>0.10021550522961253</v>
      </c>
      <c r="J70" s="64">
        <f>I70*'Key Data'!$F$8</f>
        <v>0.15934265331508393</v>
      </c>
      <c r="K70" s="64">
        <f>J70*'Key Data'!$K$8</f>
        <v>3.9835663328770983E-2</v>
      </c>
      <c r="L70" s="64">
        <f t="shared" si="3"/>
        <v>0.19917831664385491</v>
      </c>
      <c r="M70" s="437"/>
      <c r="N70" s="437"/>
    </row>
    <row r="71" spans="2:14">
      <c r="B71" s="439"/>
      <c r="C71" s="439"/>
      <c r="D71" s="135"/>
      <c r="E71" s="135"/>
      <c r="F71" s="135">
        <v>68</v>
      </c>
      <c r="G71" s="133">
        <v>0.10509554140127389</v>
      </c>
      <c r="H71" s="64">
        <f t="shared" si="2"/>
        <v>0.20594557125742025</v>
      </c>
      <c r="I71" s="64">
        <f>H71*'Key Data'!$I$8</f>
        <v>9.0616051353264906E-2</v>
      </c>
      <c r="J71" s="64">
        <f>I71*'Key Data'!$F$8</f>
        <v>0.14407952165169122</v>
      </c>
      <c r="K71" s="64">
        <f>J71*'Key Data'!$K$8</f>
        <v>3.6019880412922804E-2</v>
      </c>
      <c r="L71" s="64">
        <f t="shared" si="3"/>
        <v>0.18009940206461403</v>
      </c>
      <c r="M71" s="437"/>
      <c r="N71" s="437"/>
    </row>
    <row r="72" spans="2:14">
      <c r="B72" s="439"/>
      <c r="C72" s="439"/>
      <c r="D72" s="135"/>
      <c r="E72" s="135"/>
      <c r="F72" s="135">
        <v>69</v>
      </c>
      <c r="G72" s="133">
        <v>9.3949044585987254E-2</v>
      </c>
      <c r="H72" s="64">
        <f t="shared" si="2"/>
        <v>0.177246761311149</v>
      </c>
      <c r="I72" s="64">
        <f>H72*'Key Data'!$I$8</f>
        <v>7.7988574976905561E-2</v>
      </c>
      <c r="J72" s="64">
        <f>I72*'Key Data'!$F$8</f>
        <v>0.12400183421327984</v>
      </c>
      <c r="K72" s="64">
        <f>J72*'Key Data'!$K$8</f>
        <v>3.1000458553319961E-2</v>
      </c>
      <c r="L72" s="64">
        <f t="shared" si="3"/>
        <v>0.1550022927665998</v>
      </c>
      <c r="M72" s="437"/>
      <c r="N72" s="437"/>
    </row>
    <row r="73" spans="2:14">
      <c r="B73" s="439"/>
      <c r="C73" s="439"/>
      <c r="D73" s="135"/>
      <c r="E73" s="135"/>
      <c r="F73" s="135">
        <v>70</v>
      </c>
      <c r="G73" s="133">
        <v>9.2356687898089165E-2</v>
      </c>
      <c r="H73" s="64">
        <f t="shared" si="2"/>
        <v>0.17332263674101672</v>
      </c>
      <c r="I73" s="64">
        <f>H73*'Key Data'!$I$8</f>
        <v>7.626196016604736E-2</v>
      </c>
      <c r="J73" s="64">
        <f>I73*'Key Data'!$F$8</f>
        <v>0.12125651666401531</v>
      </c>
      <c r="K73" s="64">
        <f>J73*'Key Data'!$K$8</f>
        <v>3.0314129166003827E-2</v>
      </c>
      <c r="L73" s="64">
        <f t="shared" si="3"/>
        <v>0.15157064583001914</v>
      </c>
      <c r="M73" s="437"/>
      <c r="N73" s="437"/>
    </row>
    <row r="74" spans="2:14">
      <c r="B74" s="439"/>
      <c r="C74" s="439"/>
      <c r="D74" s="135"/>
      <c r="E74" s="135"/>
      <c r="F74" s="135">
        <v>71</v>
      </c>
      <c r="G74" s="255" t="s">
        <v>454</v>
      </c>
      <c r="H74" s="64">
        <v>0</v>
      </c>
      <c r="I74" s="64">
        <v>0</v>
      </c>
      <c r="J74" s="64">
        <v>0</v>
      </c>
      <c r="K74" s="64">
        <v>0</v>
      </c>
      <c r="L74" s="64">
        <f t="shared" si="3"/>
        <v>0</v>
      </c>
      <c r="M74" s="437"/>
      <c r="N74" s="437"/>
    </row>
    <row r="75" spans="2:14">
      <c r="B75" s="439"/>
      <c r="C75" s="439"/>
      <c r="D75" s="135"/>
      <c r="E75" s="135"/>
      <c r="F75" s="135">
        <v>72</v>
      </c>
      <c r="G75" s="133">
        <v>0.1019108280254777</v>
      </c>
      <c r="H75" s="64">
        <f t="shared" si="2"/>
        <v>0.19752627949503121</v>
      </c>
      <c r="I75" s="64">
        <f>H75*'Key Data'!$I$8</f>
        <v>8.6911562977813731E-2</v>
      </c>
      <c r="J75" s="64">
        <f>I75*'Key Data'!$F$8</f>
        <v>0.13818938513472384</v>
      </c>
      <c r="K75" s="64">
        <f>J75*'Key Data'!$K$8</f>
        <v>3.454734628368096E-2</v>
      </c>
      <c r="L75" s="64">
        <f t="shared" si="3"/>
        <v>0.17273673141840479</v>
      </c>
      <c r="M75" s="437"/>
      <c r="N75" s="437"/>
    </row>
    <row r="76" spans="2:14">
      <c r="B76" s="439"/>
      <c r="C76" s="439"/>
      <c r="D76" s="135"/>
      <c r="E76" s="135"/>
      <c r="F76" s="135">
        <v>73</v>
      </c>
      <c r="G76" s="133">
        <v>8.5987261146496824E-2</v>
      </c>
      <c r="H76" s="64">
        <f t="shared" si="2"/>
        <v>0.15806540201596744</v>
      </c>
      <c r="I76" s="64">
        <f>H76*'Key Data'!$I$8</f>
        <v>6.9548776887025682E-2</v>
      </c>
      <c r="J76" s="64">
        <f>I76*'Key Data'!$F$8</f>
        <v>0.11058255525037083</v>
      </c>
      <c r="K76" s="64">
        <f>J76*'Key Data'!$K$8</f>
        <v>2.7645638812592709E-2</v>
      </c>
      <c r="L76" s="64">
        <f t="shared" si="3"/>
        <v>0.13822819406296355</v>
      </c>
      <c r="M76" s="437"/>
      <c r="N76" s="437"/>
    </row>
    <row r="77" spans="2:14">
      <c r="B77" s="439"/>
      <c r="C77" s="439"/>
      <c r="D77" s="135"/>
      <c r="E77" s="135"/>
      <c r="F77" s="135">
        <v>74</v>
      </c>
      <c r="G77" s="133">
        <v>9.0764331210191077E-2</v>
      </c>
      <c r="H77" s="64">
        <f t="shared" si="2"/>
        <v>0.16944243852643234</v>
      </c>
      <c r="I77" s="64">
        <f>H77*'Key Data'!$I$8</f>
        <v>7.4554672951630235E-2</v>
      </c>
      <c r="J77" s="64">
        <f>I77*'Key Data'!$F$8</f>
        <v>0.11854192999309209</v>
      </c>
      <c r="K77" s="64">
        <f>J77*'Key Data'!$K$8</f>
        <v>2.9635482498273021E-2</v>
      </c>
      <c r="L77" s="64">
        <f t="shared" si="3"/>
        <v>0.1481774124913651</v>
      </c>
      <c r="M77" s="437"/>
      <c r="N77" s="437"/>
    </row>
    <row r="78" spans="2:14">
      <c r="B78" s="439"/>
      <c r="C78" s="439"/>
      <c r="D78" s="135"/>
      <c r="E78" s="135"/>
      <c r="F78" s="135">
        <v>75</v>
      </c>
      <c r="G78" s="133">
        <v>8.7579617834394913E-2</v>
      </c>
      <c r="H78" s="64">
        <f t="shared" si="2"/>
        <v>0.16181382116390766</v>
      </c>
      <c r="I78" s="64">
        <f>H78*'Key Data'!$I$8</f>
        <v>7.1198081312119368E-2</v>
      </c>
      <c r="J78" s="64">
        <f>I78*'Key Data'!$F$8</f>
        <v>0.1132049492862698</v>
      </c>
      <c r="K78" s="64">
        <f>J78*'Key Data'!$K$8</f>
        <v>2.830123732156745E-2</v>
      </c>
      <c r="L78" s="64">
        <f t="shared" si="3"/>
        <v>0.14150618660783726</v>
      </c>
      <c r="M78" s="437"/>
      <c r="N78" s="437"/>
    </row>
    <row r="79" spans="2:14">
      <c r="B79" s="439"/>
      <c r="C79" s="439"/>
      <c r="D79" s="135"/>
      <c r="E79" s="135"/>
      <c r="F79" s="135">
        <v>76</v>
      </c>
      <c r="G79" s="133">
        <v>0.11942675159235669</v>
      </c>
      <c r="H79" s="64">
        <f t="shared" si="2"/>
        <v>0.24600673878779758</v>
      </c>
      <c r="I79" s="64">
        <f>H79*'Key Data'!$I$8</f>
        <v>0.10824296506663093</v>
      </c>
      <c r="J79" s="64">
        <f>I79*'Key Data'!$F$8</f>
        <v>0.17210631445594318</v>
      </c>
      <c r="K79" s="64">
        <f>J79*'Key Data'!$K$8</f>
        <v>4.3026578613985796E-2</v>
      </c>
      <c r="L79" s="64">
        <f t="shared" si="3"/>
        <v>0.21513289306992897</v>
      </c>
      <c r="M79" s="437"/>
      <c r="N79" s="437"/>
    </row>
    <row r="80" spans="2:14">
      <c r="B80" s="439"/>
      <c r="C80" s="439"/>
      <c r="D80" s="135"/>
      <c r="E80" s="135"/>
      <c r="F80" s="135">
        <v>77</v>
      </c>
      <c r="G80" s="133">
        <v>0.12738853503184713</v>
      </c>
      <c r="H80" s="64">
        <f t="shared" si="2"/>
        <v>0.26980036541552133</v>
      </c>
      <c r="I80" s="64">
        <f>H80*'Key Data'!$I$8</f>
        <v>0.11871216078282938</v>
      </c>
      <c r="J80" s="64">
        <f>I80*'Key Data'!$F$8</f>
        <v>0.18875233564469873</v>
      </c>
      <c r="K80" s="64">
        <f>J80*'Key Data'!$K$8</f>
        <v>4.7188083911174683E-2</v>
      </c>
      <c r="L80" s="64">
        <f t="shared" si="3"/>
        <v>0.23594041955587342</v>
      </c>
      <c r="M80" s="437"/>
      <c r="N80" s="437"/>
    </row>
    <row r="81" spans="2:14">
      <c r="B81" s="439"/>
      <c r="C81" s="439"/>
      <c r="D81" s="135"/>
      <c r="E81" s="135"/>
      <c r="F81" s="135">
        <v>78</v>
      </c>
      <c r="G81" s="133">
        <v>0.1019108280254777</v>
      </c>
      <c r="H81" s="64">
        <f t="shared" si="2"/>
        <v>0.19752627949503121</v>
      </c>
      <c r="I81" s="64">
        <f>H81*'Key Data'!$I$8</f>
        <v>8.6911562977813731E-2</v>
      </c>
      <c r="J81" s="64">
        <f>I81*'Key Data'!$F$8</f>
        <v>0.13818938513472384</v>
      </c>
      <c r="K81" s="64">
        <f>J81*'Key Data'!$K$8</f>
        <v>3.454734628368096E-2</v>
      </c>
      <c r="L81" s="64">
        <f t="shared" si="3"/>
        <v>0.17273673141840479</v>
      </c>
      <c r="M81" s="437"/>
      <c r="N81" s="437"/>
    </row>
    <row r="82" spans="2:14">
      <c r="B82" s="439"/>
      <c r="C82" s="439"/>
      <c r="D82" s="135"/>
      <c r="E82" s="135"/>
      <c r="F82" s="135">
        <v>79</v>
      </c>
      <c r="G82" s="133">
        <v>5.8917197452229293E-2</v>
      </c>
      <c r="H82" s="64">
        <f t="shared" si="2"/>
        <v>0.10106300889982935</v>
      </c>
      <c r="I82" s="64">
        <f>H82*'Key Data'!$I$8</f>
        <v>4.4467723915924913E-2</v>
      </c>
      <c r="J82" s="64">
        <f>I82*'Key Data'!$F$8</f>
        <v>7.0703681026320617E-2</v>
      </c>
      <c r="K82" s="64">
        <f>J82*'Key Data'!$K$8</f>
        <v>1.7675920256580154E-2</v>
      </c>
      <c r="L82" s="64">
        <f t="shared" si="3"/>
        <v>8.8379601282900774E-2</v>
      </c>
      <c r="M82" s="437"/>
      <c r="N82" s="437"/>
    </row>
    <row r="83" spans="2:14">
      <c r="B83" s="439"/>
      <c r="C83" s="439"/>
      <c r="D83" s="135"/>
      <c r="E83" s="135"/>
      <c r="F83" s="135">
        <v>80</v>
      </c>
      <c r="G83" s="133">
        <v>9.3949044585987254E-2</v>
      </c>
      <c r="H83" s="64">
        <f t="shared" si="2"/>
        <v>0.177246761311149</v>
      </c>
      <c r="I83" s="64">
        <f>H83*'Key Data'!$I$8</f>
        <v>7.7988574976905561E-2</v>
      </c>
      <c r="J83" s="64">
        <f>I83*'Key Data'!$F$8</f>
        <v>0.12400183421327984</v>
      </c>
      <c r="K83" s="64">
        <f>J83*'Key Data'!$K$8</f>
        <v>3.1000458553319961E-2</v>
      </c>
      <c r="L83" s="64">
        <f t="shared" si="3"/>
        <v>0.1550022927665998</v>
      </c>
      <c r="M83" s="437"/>
      <c r="N83" s="437"/>
    </row>
    <row r="84" spans="2:14">
      <c r="B84" s="439"/>
      <c r="C84" s="439"/>
      <c r="D84" s="135"/>
      <c r="E84" s="135"/>
      <c r="F84" s="135">
        <v>81</v>
      </c>
      <c r="G84" s="133">
        <v>7.0063694267515922E-2</v>
      </c>
      <c r="H84" s="64">
        <f t="shared" si="2"/>
        <v>0.12299716009170553</v>
      </c>
      <c r="I84" s="64">
        <f>H84*'Key Data'!$I$8</f>
        <v>5.411875044035043E-2</v>
      </c>
      <c r="J84" s="64">
        <f>I84*'Key Data'!$F$8</f>
        <v>8.6048813200157184E-2</v>
      </c>
      <c r="K84" s="64">
        <f>J84*'Key Data'!$K$8</f>
        <v>2.1512203300039296E-2</v>
      </c>
      <c r="L84" s="64">
        <f t="shared" si="3"/>
        <v>0.10756101650019648</v>
      </c>
      <c r="M84" s="437"/>
      <c r="N84" s="437"/>
    </row>
    <row r="85" spans="2:14">
      <c r="B85" s="440">
        <v>2</v>
      </c>
      <c r="C85" s="441" t="s">
        <v>493</v>
      </c>
      <c r="D85" s="137">
        <v>15.259795</v>
      </c>
      <c r="E85" s="137">
        <v>79.468102999999999</v>
      </c>
      <c r="F85" s="137">
        <v>1</v>
      </c>
      <c r="G85" s="136">
        <v>0.11942675159235669</v>
      </c>
      <c r="H85" s="138">
        <f t="shared" si="2"/>
        <v>0.24600673878779758</v>
      </c>
      <c r="I85" s="138">
        <f>H85*'Key Data'!$I$8</f>
        <v>0.10824296506663093</v>
      </c>
      <c r="J85" s="138">
        <f>I85*'Key Data'!$F$8</f>
        <v>0.17210631445594318</v>
      </c>
      <c r="K85" s="138">
        <f>J85*'Key Data'!$K$8</f>
        <v>4.3026578613985796E-2</v>
      </c>
      <c r="L85" s="138">
        <f t="shared" si="3"/>
        <v>0.21513289306992897</v>
      </c>
      <c r="M85" s="438">
        <f>SUM(L85:L148)</f>
        <v>5.4492954661686817</v>
      </c>
      <c r="N85" s="438">
        <f>M85/625*10000</f>
        <v>87.188727458698907</v>
      </c>
    </row>
    <row r="86" spans="2:14">
      <c r="B86" s="440"/>
      <c r="C86" s="441"/>
      <c r="D86" s="137">
        <v>15.26003</v>
      </c>
      <c r="E86" s="137">
        <v>79.479029999999995</v>
      </c>
      <c r="F86" s="137">
        <v>2</v>
      </c>
      <c r="G86" s="136">
        <v>0.12038216560509551</v>
      </c>
      <c r="H86" s="138">
        <f t="shared" si="2"/>
        <v>0.24880399119380098</v>
      </c>
      <c r="I86" s="138">
        <f>H86*'Key Data'!$I$8</f>
        <v>0.10947375612527244</v>
      </c>
      <c r="J86" s="138">
        <f>I86*'Key Data'!$F$8</f>
        <v>0.17406327223918319</v>
      </c>
      <c r="K86" s="138">
        <f>J86*'Key Data'!$K$8</f>
        <v>4.3515818059795798E-2</v>
      </c>
      <c r="L86" s="138">
        <f t="shared" si="3"/>
        <v>0.21757909029897898</v>
      </c>
      <c r="M86" s="438"/>
      <c r="N86" s="438"/>
    </row>
    <row r="87" spans="2:14">
      <c r="B87" s="440"/>
      <c r="C87" s="441"/>
      <c r="D87" s="137">
        <v>15.260019</v>
      </c>
      <c r="E87" s="137">
        <v>79.479208999999997</v>
      </c>
      <c r="F87" s="137">
        <v>3</v>
      </c>
      <c r="G87" s="136" t="s">
        <v>454</v>
      </c>
      <c r="H87" s="138">
        <v>0</v>
      </c>
      <c r="I87" s="138">
        <f>H87*'Key Data'!$I$8</f>
        <v>0</v>
      </c>
      <c r="J87" s="138">
        <f>I87*'Key Data'!$F$8</f>
        <v>0</v>
      </c>
      <c r="K87" s="138">
        <f>J87*'Key Data'!$K$8</f>
        <v>0</v>
      </c>
      <c r="L87" s="138">
        <f t="shared" si="3"/>
        <v>0</v>
      </c>
      <c r="M87" s="438"/>
      <c r="N87" s="438"/>
    </row>
    <row r="88" spans="2:14">
      <c r="B88" s="440"/>
      <c r="C88" s="441"/>
      <c r="D88" s="137">
        <v>15.260147999999999</v>
      </c>
      <c r="E88" s="137">
        <v>79.479221999999993</v>
      </c>
      <c r="F88" s="137">
        <v>4</v>
      </c>
      <c r="G88" s="136">
        <v>0.1162420382165605</v>
      </c>
      <c r="H88" s="138">
        <f t="shared" si="2"/>
        <v>0.23679677262554422</v>
      </c>
      <c r="I88" s="138">
        <f>H88*'Key Data'!$I$8</f>
        <v>0.10419057995523946</v>
      </c>
      <c r="J88" s="138">
        <f>I88*'Key Data'!$F$8</f>
        <v>0.16566302212883074</v>
      </c>
      <c r="K88" s="138">
        <f>J88*'Key Data'!$K$8</f>
        <v>4.1415755532207686E-2</v>
      </c>
      <c r="L88" s="138">
        <f t="shared" si="3"/>
        <v>0.20707877766103844</v>
      </c>
      <c r="M88" s="438"/>
      <c r="N88" s="438"/>
    </row>
    <row r="89" spans="2:14">
      <c r="B89" s="440"/>
      <c r="C89" s="441"/>
      <c r="D89" s="137">
        <v>15.260260000000001</v>
      </c>
      <c r="E89" s="137">
        <v>79.479136999999994</v>
      </c>
      <c r="F89" s="137">
        <v>5</v>
      </c>
      <c r="G89" s="136">
        <v>7.8025477707006366E-2</v>
      </c>
      <c r="H89" s="138">
        <f t="shared" si="2"/>
        <v>0.13998220160948621</v>
      </c>
      <c r="I89" s="138">
        <f>H89*'Key Data'!$I$8</f>
        <v>6.1592168708173932E-2</v>
      </c>
      <c r="J89" s="138">
        <f>I89*'Key Data'!$F$8</f>
        <v>9.7931548245996564E-2</v>
      </c>
      <c r="K89" s="138">
        <f>J89*'Key Data'!$K$8</f>
        <v>2.4482887061499141E-2</v>
      </c>
      <c r="L89" s="138">
        <f t="shared" si="3"/>
        <v>0.12241443530749571</v>
      </c>
      <c r="M89" s="438"/>
      <c r="N89" s="438"/>
    </row>
    <row r="90" spans="2:14">
      <c r="B90" s="440"/>
      <c r="C90" s="441"/>
      <c r="D90" s="137"/>
      <c r="E90" s="137"/>
      <c r="F90" s="137">
        <v>6</v>
      </c>
      <c r="G90" s="136">
        <v>0.11464968152866241</v>
      </c>
      <c r="H90" s="138">
        <f t="shared" si="2"/>
        <v>0.23225767907773956</v>
      </c>
      <c r="I90" s="138">
        <f>H90*'Key Data'!$I$8</f>
        <v>0.10219337879420541</v>
      </c>
      <c r="J90" s="138">
        <f>I90*'Key Data'!$F$8</f>
        <v>0.16248747228278662</v>
      </c>
      <c r="K90" s="138">
        <f>J90*'Key Data'!$K$8</f>
        <v>4.0621868070696655E-2</v>
      </c>
      <c r="L90" s="138">
        <f t="shared" si="3"/>
        <v>0.20310934035348327</v>
      </c>
      <c r="M90" s="438"/>
      <c r="N90" s="438"/>
    </row>
    <row r="91" spans="2:14">
      <c r="B91" s="440"/>
      <c r="C91" s="441"/>
      <c r="D91" s="137"/>
      <c r="E91" s="137"/>
      <c r="F91" s="137">
        <v>7</v>
      </c>
      <c r="G91" s="136">
        <v>4.936305732484076E-2</v>
      </c>
      <c r="H91" s="138">
        <f t="shared" si="2"/>
        <v>8.3975435744593901E-2</v>
      </c>
      <c r="I91" s="138">
        <f>H91*'Key Data'!$I$8</f>
        <v>3.6949191727621317E-2</v>
      </c>
      <c r="J91" s="138">
        <f>I91*'Key Data'!$F$8</f>
        <v>5.8749214846917898E-2</v>
      </c>
      <c r="K91" s="138">
        <f>J91*'Key Data'!$K$8</f>
        <v>1.4687303711729474E-2</v>
      </c>
      <c r="L91" s="138">
        <f t="shared" si="3"/>
        <v>7.3436518558647371E-2</v>
      </c>
      <c r="M91" s="438"/>
      <c r="N91" s="438"/>
    </row>
    <row r="92" spans="2:14">
      <c r="B92" s="440"/>
      <c r="C92" s="441"/>
      <c r="D92" s="137"/>
      <c r="E92" s="137"/>
      <c r="F92" s="137">
        <v>8</v>
      </c>
      <c r="G92" s="136">
        <v>0.1162420382165605</v>
      </c>
      <c r="H92" s="138">
        <f t="shared" si="2"/>
        <v>0.23679677262554422</v>
      </c>
      <c r="I92" s="138">
        <f>H92*'Key Data'!$I$8</f>
        <v>0.10419057995523946</v>
      </c>
      <c r="J92" s="138">
        <f>I92*'Key Data'!$F$8</f>
        <v>0.16566302212883074</v>
      </c>
      <c r="K92" s="138">
        <f>J92*'Key Data'!$K$8</f>
        <v>4.1415755532207686E-2</v>
      </c>
      <c r="L92" s="138">
        <f t="shared" si="3"/>
        <v>0.20707877766103844</v>
      </c>
      <c r="M92" s="438"/>
      <c r="N92" s="438"/>
    </row>
    <row r="93" spans="2:14">
      <c r="B93" s="440"/>
      <c r="C93" s="441"/>
      <c r="D93" s="137"/>
      <c r="E93" s="137"/>
      <c r="F93" s="137">
        <v>9</v>
      </c>
      <c r="G93" s="136" t="s">
        <v>454</v>
      </c>
      <c r="H93" s="138">
        <v>0</v>
      </c>
      <c r="I93" s="138">
        <f>H93*'Key Data'!$I$8</f>
        <v>0</v>
      </c>
      <c r="J93" s="138">
        <f>I93*'Key Data'!$F$8</f>
        <v>0</v>
      </c>
      <c r="K93" s="138">
        <f>J93*'Key Data'!$K$8</f>
        <v>0</v>
      </c>
      <c r="L93" s="138">
        <f t="shared" si="3"/>
        <v>0</v>
      </c>
      <c r="M93" s="438"/>
      <c r="N93" s="438"/>
    </row>
    <row r="94" spans="2:14">
      <c r="B94" s="440"/>
      <c r="C94" s="441"/>
      <c r="D94" s="137"/>
      <c r="E94" s="137"/>
      <c r="F94" s="137">
        <v>10</v>
      </c>
      <c r="G94" s="136">
        <v>1.751592356687898E-2</v>
      </c>
      <c r="H94" s="138">
        <f t="shared" si="2"/>
        <v>3.8437711002960888E-2</v>
      </c>
      <c r="I94" s="138">
        <f>H94*'Key Data'!$I$8</f>
        <v>1.6912592841302792E-2</v>
      </c>
      <c r="J94" s="138">
        <f>I94*'Key Data'!$F$8</f>
        <v>2.6891022617671439E-2</v>
      </c>
      <c r="K94" s="138">
        <f>J94*'Key Data'!$K$8</f>
        <v>6.7227556544178597E-3</v>
      </c>
      <c r="L94" s="138">
        <f t="shared" si="3"/>
        <v>3.3613778272089299E-2</v>
      </c>
      <c r="M94" s="438"/>
      <c r="N94" s="438"/>
    </row>
    <row r="95" spans="2:14">
      <c r="B95" s="440"/>
      <c r="C95" s="441"/>
      <c r="D95" s="137"/>
      <c r="E95" s="137"/>
      <c r="F95" s="137">
        <v>11</v>
      </c>
      <c r="G95" s="136">
        <v>3.1847133757961783E-2</v>
      </c>
      <c r="H95" s="138">
        <f t="shared" si="2"/>
        <v>5.6755332537068812E-2</v>
      </c>
      <c r="I95" s="138">
        <f>H95*'Key Data'!$I$8</f>
        <v>2.4972346316310276E-2</v>
      </c>
      <c r="J95" s="138">
        <f>I95*'Key Data'!$F$8</f>
        <v>3.9706030642933342E-2</v>
      </c>
      <c r="K95" s="138">
        <f>J95*'Key Data'!$K$8</f>
        <v>9.9265076607333354E-3</v>
      </c>
      <c r="L95" s="138">
        <f t="shared" si="3"/>
        <v>4.9632538303666679E-2</v>
      </c>
      <c r="M95" s="438"/>
      <c r="N95" s="438"/>
    </row>
    <row r="96" spans="2:14">
      <c r="B96" s="440"/>
      <c r="C96" s="441"/>
      <c r="D96" s="137"/>
      <c r="E96" s="137"/>
      <c r="F96" s="137">
        <v>12</v>
      </c>
      <c r="G96" s="136">
        <v>2.0700636942675158E-2</v>
      </c>
      <c r="H96" s="138">
        <f t="shared" si="2"/>
        <v>4.2200809077259843E-2</v>
      </c>
      <c r="I96" s="138">
        <f>H96*'Key Data'!$I$8</f>
        <v>1.8568355993994329E-2</v>
      </c>
      <c r="J96" s="138">
        <f>I96*'Key Data'!$F$8</f>
        <v>2.9523686030450986E-2</v>
      </c>
      <c r="K96" s="138">
        <f>J96*'Key Data'!$K$8</f>
        <v>7.3809215076127465E-3</v>
      </c>
      <c r="L96" s="138">
        <f t="shared" si="3"/>
        <v>3.6904607538063731E-2</v>
      </c>
      <c r="M96" s="438"/>
      <c r="N96" s="438"/>
    </row>
    <row r="97" spans="2:14">
      <c r="B97" s="440"/>
      <c r="C97" s="441"/>
      <c r="D97" s="137"/>
      <c r="E97" s="137"/>
      <c r="F97" s="137">
        <v>13</v>
      </c>
      <c r="G97" s="136">
        <v>3.6942675159235668E-2</v>
      </c>
      <c r="H97" s="138">
        <f t="shared" si="2"/>
        <v>6.4125707098382279E-2</v>
      </c>
      <c r="I97" s="138">
        <f>H97*'Key Data'!$I$8</f>
        <v>2.8215311123288202E-2</v>
      </c>
      <c r="J97" s="138">
        <f>I97*'Key Data'!$F$8</f>
        <v>4.4862344686028247E-2</v>
      </c>
      <c r="K97" s="138">
        <f>J97*'Key Data'!$K$8</f>
        <v>1.1215586171507062E-2</v>
      </c>
      <c r="L97" s="138">
        <f t="shared" si="3"/>
        <v>5.6077930857535305E-2</v>
      </c>
      <c r="M97" s="438"/>
      <c r="N97" s="438"/>
    </row>
    <row r="98" spans="2:14">
      <c r="B98" s="440"/>
      <c r="C98" s="441"/>
      <c r="D98" s="137"/>
      <c r="E98" s="137"/>
      <c r="F98" s="137">
        <v>14</v>
      </c>
      <c r="G98" s="136" t="s">
        <v>454</v>
      </c>
      <c r="H98" s="138">
        <v>0</v>
      </c>
      <c r="I98" s="138">
        <f>H98*'Key Data'!$I$8</f>
        <v>0</v>
      </c>
      <c r="J98" s="138">
        <f>I98*'Key Data'!$F$8</f>
        <v>0</v>
      </c>
      <c r="K98" s="138">
        <f>J98*'Key Data'!$K$8</f>
        <v>0</v>
      </c>
      <c r="L98" s="138">
        <f t="shared" si="3"/>
        <v>0</v>
      </c>
      <c r="M98" s="438"/>
      <c r="N98" s="438"/>
    </row>
    <row r="99" spans="2:14">
      <c r="B99" s="440"/>
      <c r="C99" s="441"/>
      <c r="D99" s="137"/>
      <c r="E99" s="137"/>
      <c r="F99" s="137">
        <v>15</v>
      </c>
      <c r="G99" s="136" t="s">
        <v>454</v>
      </c>
      <c r="H99" s="138">
        <v>0</v>
      </c>
      <c r="I99" s="138">
        <f>H99*'Key Data'!$I$8</f>
        <v>0</v>
      </c>
      <c r="J99" s="138">
        <f>I99*'Key Data'!$F$8</f>
        <v>0</v>
      </c>
      <c r="K99" s="138">
        <f>J99*'Key Data'!$K$8</f>
        <v>0</v>
      </c>
      <c r="L99" s="138">
        <f t="shared" si="3"/>
        <v>0</v>
      </c>
      <c r="M99" s="438"/>
      <c r="N99" s="438"/>
    </row>
    <row r="100" spans="2:14">
      <c r="B100" s="440"/>
      <c r="C100" s="441"/>
      <c r="D100" s="137"/>
      <c r="E100" s="137"/>
      <c r="F100" s="137">
        <v>16</v>
      </c>
      <c r="G100" s="136">
        <v>3.8216560509554139E-2</v>
      </c>
      <c r="H100" s="138">
        <f t="shared" si="2"/>
        <v>6.6038582907587504E-2</v>
      </c>
      <c r="I100" s="138">
        <f>H100*'Key Data'!$I$8</f>
        <v>2.9056976479338501E-2</v>
      </c>
      <c r="J100" s="138">
        <f>I100*'Key Data'!$F$8</f>
        <v>4.6200592602148219E-2</v>
      </c>
      <c r="K100" s="138">
        <f>J100*'Key Data'!$K$8</f>
        <v>1.1550148150537055E-2</v>
      </c>
      <c r="L100" s="138">
        <f t="shared" si="3"/>
        <v>5.775074075268527E-2</v>
      </c>
      <c r="M100" s="438"/>
      <c r="N100" s="438"/>
    </row>
    <row r="101" spans="2:14">
      <c r="B101" s="440"/>
      <c r="C101" s="441"/>
      <c r="D101" s="137"/>
      <c r="E101" s="137"/>
      <c r="F101" s="137">
        <v>17</v>
      </c>
      <c r="G101" s="136">
        <v>8.9171974522293002E-2</v>
      </c>
      <c r="H101" s="138">
        <f t="shared" si="2"/>
        <v>0.165606166667396</v>
      </c>
      <c r="I101" s="138">
        <f>H101*'Key Data'!$I$8</f>
        <v>7.2866713333654243E-2</v>
      </c>
      <c r="J101" s="138">
        <f>I101*'Key Data'!$F$8</f>
        <v>0.11585807420051025</v>
      </c>
      <c r="K101" s="138">
        <f>J101*'Key Data'!$K$8</f>
        <v>2.8964518550127563E-2</v>
      </c>
      <c r="L101" s="138">
        <f t="shared" si="3"/>
        <v>0.1448225927506378</v>
      </c>
      <c r="M101" s="438"/>
      <c r="N101" s="438"/>
    </row>
    <row r="102" spans="2:14">
      <c r="B102" s="440"/>
      <c r="C102" s="441"/>
      <c r="D102" s="137"/>
      <c r="E102" s="137"/>
      <c r="F102" s="137">
        <v>18</v>
      </c>
      <c r="G102" s="136">
        <v>8.4394904458598721E-2</v>
      </c>
      <c r="H102" s="138">
        <f t="shared" si="2"/>
        <v>0.15436090922357507</v>
      </c>
      <c r="I102" s="138">
        <f>H102*'Key Data'!$I$8</f>
        <v>6.791880005837303E-2</v>
      </c>
      <c r="J102" s="138">
        <f>I102*'Key Data'!$F$8</f>
        <v>0.10799089209281312</v>
      </c>
      <c r="K102" s="138">
        <f>J102*'Key Data'!$K$8</f>
        <v>2.6997723023203281E-2</v>
      </c>
      <c r="L102" s="138">
        <f t="shared" si="3"/>
        <v>0.1349886151160164</v>
      </c>
      <c r="M102" s="438"/>
      <c r="N102" s="438"/>
    </row>
    <row r="103" spans="2:14">
      <c r="B103" s="440"/>
      <c r="C103" s="441"/>
      <c r="D103" s="137"/>
      <c r="E103" s="137"/>
      <c r="F103" s="137">
        <v>19</v>
      </c>
      <c r="G103" s="136">
        <v>2.0700636942675158E-2</v>
      </c>
      <c r="H103" s="138">
        <f t="shared" si="2"/>
        <v>4.2200809077259843E-2</v>
      </c>
      <c r="I103" s="138">
        <f>H103*'Key Data'!$I$8</f>
        <v>1.8568355993994329E-2</v>
      </c>
      <c r="J103" s="138">
        <f>I103*'Key Data'!$F$8</f>
        <v>2.9523686030450986E-2</v>
      </c>
      <c r="K103" s="138">
        <f>J103*'Key Data'!$K$8</f>
        <v>7.3809215076127465E-3</v>
      </c>
      <c r="L103" s="138">
        <f t="shared" si="3"/>
        <v>3.6904607538063731E-2</v>
      </c>
      <c r="M103" s="438"/>
      <c r="N103" s="438"/>
    </row>
    <row r="104" spans="2:14">
      <c r="B104" s="440"/>
      <c r="C104" s="441"/>
      <c r="D104" s="137"/>
      <c r="E104" s="137"/>
      <c r="F104" s="137">
        <v>20</v>
      </c>
      <c r="G104" s="136">
        <v>7.1656050955414011E-2</v>
      </c>
      <c r="H104" s="138">
        <f t="shared" si="2"/>
        <v>0.12630631568416559</v>
      </c>
      <c r="I104" s="138">
        <f>H104*'Key Data'!$I$8</f>
        <v>5.5574778901032858E-2</v>
      </c>
      <c r="J104" s="138">
        <f>I104*'Key Data'!$F$8</f>
        <v>8.8363898452642253E-2</v>
      </c>
      <c r="K104" s="138">
        <f>J104*'Key Data'!$K$8</f>
        <v>2.2090974613160563E-2</v>
      </c>
      <c r="L104" s="138">
        <f t="shared" si="3"/>
        <v>0.11045487306580282</v>
      </c>
      <c r="M104" s="438"/>
      <c r="N104" s="438"/>
    </row>
    <row r="105" spans="2:14">
      <c r="B105" s="440"/>
      <c r="C105" s="441"/>
      <c r="D105" s="137"/>
      <c r="E105" s="137"/>
      <c r="F105" s="137">
        <v>21</v>
      </c>
      <c r="G105" s="136">
        <v>8.2802547770700632E-2</v>
      </c>
      <c r="H105" s="138">
        <f t="shared" si="2"/>
        <v>0.15070034278673086</v>
      </c>
      <c r="I105" s="138">
        <f>H105*'Key Data'!$I$8</f>
        <v>6.630815082616158E-2</v>
      </c>
      <c r="J105" s="138">
        <f>I105*'Key Data'!$F$8</f>
        <v>0.10542995981359692</v>
      </c>
      <c r="K105" s="138">
        <f>J105*'Key Data'!$K$8</f>
        <v>2.6357489953399229E-2</v>
      </c>
      <c r="L105" s="138">
        <f t="shared" si="3"/>
        <v>0.13178744976699613</v>
      </c>
      <c r="M105" s="438"/>
      <c r="N105" s="438"/>
    </row>
    <row r="106" spans="2:14">
      <c r="B106" s="440"/>
      <c r="C106" s="441"/>
      <c r="D106" s="137"/>
      <c r="E106" s="137"/>
      <c r="F106" s="137">
        <v>22</v>
      </c>
      <c r="G106" s="136">
        <v>8.4394904458598721E-2</v>
      </c>
      <c r="H106" s="138">
        <f t="shared" si="2"/>
        <v>0.15436090922357507</v>
      </c>
      <c r="I106" s="138">
        <f>H106*'Key Data'!$I$8</f>
        <v>6.791880005837303E-2</v>
      </c>
      <c r="J106" s="138">
        <f>I106*'Key Data'!$F$8</f>
        <v>0.10799089209281312</v>
      </c>
      <c r="K106" s="138">
        <f>J106*'Key Data'!$K$8</f>
        <v>2.6997723023203281E-2</v>
      </c>
      <c r="L106" s="138">
        <f t="shared" si="3"/>
        <v>0.1349886151160164</v>
      </c>
      <c r="M106" s="438"/>
      <c r="N106" s="438"/>
    </row>
    <row r="107" spans="2:14">
      <c r="B107" s="440"/>
      <c r="C107" s="441"/>
      <c r="D107" s="137"/>
      <c r="E107" s="137"/>
      <c r="F107" s="137">
        <v>23</v>
      </c>
      <c r="G107" s="136">
        <v>0.10031847133757961</v>
      </c>
      <c r="H107" s="138">
        <f t="shared" si="2"/>
        <v>0.19338252314715873</v>
      </c>
      <c r="I107" s="138">
        <f>H107*'Key Data'!$I$8</f>
        <v>8.5088310184749841E-2</v>
      </c>
      <c r="J107" s="138">
        <f>I107*'Key Data'!$F$8</f>
        <v>0.13529041319375226</v>
      </c>
      <c r="K107" s="138">
        <f>J107*'Key Data'!$K$8</f>
        <v>3.3822603298438066E-2</v>
      </c>
      <c r="L107" s="138">
        <f t="shared" si="3"/>
        <v>0.16911301649219032</v>
      </c>
      <c r="M107" s="438"/>
      <c r="N107" s="438"/>
    </row>
    <row r="108" spans="2:14">
      <c r="B108" s="440"/>
      <c r="C108" s="441"/>
      <c r="D108" s="137"/>
      <c r="E108" s="137"/>
      <c r="F108" s="137">
        <v>24</v>
      </c>
      <c r="G108" s="136">
        <v>8.2802547770700632E-2</v>
      </c>
      <c r="H108" s="138">
        <f t="shared" si="2"/>
        <v>0.15070034278673086</v>
      </c>
      <c r="I108" s="138">
        <f>H108*'Key Data'!$I$8</f>
        <v>6.630815082616158E-2</v>
      </c>
      <c r="J108" s="138">
        <f>I108*'Key Data'!$F$8</f>
        <v>0.10542995981359692</v>
      </c>
      <c r="K108" s="138">
        <f>J108*'Key Data'!$K$8</f>
        <v>2.6357489953399229E-2</v>
      </c>
      <c r="L108" s="138">
        <f t="shared" si="3"/>
        <v>0.13178744976699613</v>
      </c>
      <c r="M108" s="438"/>
      <c r="N108" s="438"/>
    </row>
    <row r="109" spans="2:14">
      <c r="B109" s="440"/>
      <c r="C109" s="441"/>
      <c r="D109" s="137"/>
      <c r="E109" s="137"/>
      <c r="F109" s="137">
        <v>25</v>
      </c>
      <c r="G109" s="136">
        <v>3.5031847133757961E-2</v>
      </c>
      <c r="H109" s="138">
        <f t="shared" si="2"/>
        <v>6.1309105011232108E-2</v>
      </c>
      <c r="I109" s="138">
        <f>H109*'Key Data'!$I$8</f>
        <v>2.6976006204942126E-2</v>
      </c>
      <c r="J109" s="138">
        <f>I109*'Key Data'!$F$8</f>
        <v>4.2891849865857985E-2</v>
      </c>
      <c r="K109" s="138">
        <f>J109*'Key Data'!$K$8</f>
        <v>1.0722962466464496E-2</v>
      </c>
      <c r="L109" s="138">
        <f t="shared" si="3"/>
        <v>5.361481233232248E-2</v>
      </c>
      <c r="M109" s="438"/>
      <c r="N109" s="438"/>
    </row>
    <row r="110" spans="2:14">
      <c r="B110" s="440"/>
      <c r="C110" s="441"/>
      <c r="D110" s="137"/>
      <c r="E110" s="137"/>
      <c r="F110" s="137">
        <v>26</v>
      </c>
      <c r="G110" s="136">
        <v>5.0955414012738849E-2</v>
      </c>
      <c r="H110" s="138">
        <f t="shared" si="2"/>
        <v>8.671354871492977E-2</v>
      </c>
      <c r="I110" s="138">
        <f>H110*'Key Data'!$I$8</f>
        <v>3.8153961434569096E-2</v>
      </c>
      <c r="J110" s="138">
        <f>I110*'Key Data'!$F$8</f>
        <v>6.0664798680964867E-2</v>
      </c>
      <c r="K110" s="138">
        <f>J110*'Key Data'!$K$8</f>
        <v>1.5166199670241217E-2</v>
      </c>
      <c r="L110" s="138">
        <f t="shared" si="3"/>
        <v>7.5830998351206089E-2</v>
      </c>
      <c r="M110" s="438"/>
      <c r="N110" s="438"/>
    </row>
    <row r="111" spans="2:14">
      <c r="B111" s="440"/>
      <c r="C111" s="441"/>
      <c r="D111" s="137"/>
      <c r="E111" s="137"/>
      <c r="F111" s="137">
        <v>27</v>
      </c>
      <c r="G111" s="136">
        <v>3.4076433121019108E-2</v>
      </c>
      <c r="H111" s="138">
        <f t="shared" si="2"/>
        <v>5.9924524199652947E-2</v>
      </c>
      <c r="I111" s="138">
        <f>H111*'Key Data'!$I$8</f>
        <v>2.6366790647847298E-2</v>
      </c>
      <c r="J111" s="138">
        <f>I111*'Key Data'!$F$8</f>
        <v>4.1923197130077208E-2</v>
      </c>
      <c r="K111" s="138">
        <f>J111*'Key Data'!$K$8</f>
        <v>1.0480799282519302E-2</v>
      </c>
      <c r="L111" s="138">
        <f t="shared" si="3"/>
        <v>5.2403996412596507E-2</v>
      </c>
      <c r="M111" s="438"/>
      <c r="N111" s="438"/>
    </row>
    <row r="112" spans="2:14">
      <c r="B112" s="440"/>
      <c r="C112" s="441"/>
      <c r="D112" s="137"/>
      <c r="E112" s="137"/>
      <c r="F112" s="137">
        <v>28</v>
      </c>
      <c r="G112" s="136" t="s">
        <v>454</v>
      </c>
      <c r="H112" s="138">
        <v>0</v>
      </c>
      <c r="I112" s="138">
        <f>H112*'Key Data'!$I$8</f>
        <v>0</v>
      </c>
      <c r="J112" s="138">
        <f>I112*'Key Data'!$F$8</f>
        <v>0</v>
      </c>
      <c r="K112" s="138">
        <f>J112*'Key Data'!$K$8</f>
        <v>0</v>
      </c>
      <c r="L112" s="138">
        <f t="shared" si="3"/>
        <v>0</v>
      </c>
      <c r="M112" s="438"/>
      <c r="N112" s="438"/>
    </row>
    <row r="113" spans="2:14">
      <c r="B113" s="440"/>
      <c r="C113" s="441"/>
      <c r="D113" s="137"/>
      <c r="E113" s="137"/>
      <c r="F113" s="137">
        <v>29</v>
      </c>
      <c r="G113" s="136">
        <v>3.1847133757961783E-2</v>
      </c>
      <c r="H113" s="138">
        <f t="shared" si="2"/>
        <v>5.6755332537068812E-2</v>
      </c>
      <c r="I113" s="138">
        <f>H113*'Key Data'!$I$8</f>
        <v>2.4972346316310276E-2</v>
      </c>
      <c r="J113" s="138">
        <f>I113*'Key Data'!$F$8</f>
        <v>3.9706030642933342E-2</v>
      </c>
      <c r="K113" s="138">
        <f>J113*'Key Data'!$K$8</f>
        <v>9.9265076607333354E-3</v>
      </c>
      <c r="L113" s="138">
        <f t="shared" si="3"/>
        <v>4.9632538303666679E-2</v>
      </c>
      <c r="M113" s="438"/>
      <c r="N113" s="438"/>
    </row>
    <row r="114" spans="2:14">
      <c r="B114" s="440"/>
      <c r="C114" s="441"/>
      <c r="D114" s="137"/>
      <c r="E114" s="137"/>
      <c r="F114" s="137">
        <v>30</v>
      </c>
      <c r="G114" s="136">
        <v>5.7324840764331204E-2</v>
      </c>
      <c r="H114" s="138">
        <f t="shared" si="2"/>
        <v>9.8105264151753385E-2</v>
      </c>
      <c r="I114" s="138">
        <f>H114*'Key Data'!$I$8</f>
        <v>4.3166316226771487E-2</v>
      </c>
      <c r="J114" s="138">
        <f>I114*'Key Data'!$F$8</f>
        <v>6.8634442800566672E-2</v>
      </c>
      <c r="K114" s="138">
        <f>J114*'Key Data'!$K$8</f>
        <v>1.7158610700141668E-2</v>
      </c>
      <c r="L114" s="138">
        <f t="shared" si="3"/>
        <v>8.5793053500708344E-2</v>
      </c>
      <c r="M114" s="438"/>
      <c r="N114" s="438"/>
    </row>
    <row r="115" spans="2:14">
      <c r="B115" s="440"/>
      <c r="C115" s="441"/>
      <c r="D115" s="137"/>
      <c r="E115" s="137"/>
      <c r="F115" s="137">
        <v>31</v>
      </c>
      <c r="G115" s="136" t="s">
        <v>454</v>
      </c>
      <c r="H115" s="138">
        <v>0</v>
      </c>
      <c r="I115" s="138">
        <f>H115*'Key Data'!$I$8</f>
        <v>0</v>
      </c>
      <c r="J115" s="138">
        <f>I115*'Key Data'!$F$8</f>
        <v>0</v>
      </c>
      <c r="K115" s="138">
        <f>J115*'Key Data'!$K$8</f>
        <v>0</v>
      </c>
      <c r="L115" s="138">
        <f t="shared" si="3"/>
        <v>0</v>
      </c>
      <c r="M115" s="438"/>
      <c r="N115" s="438"/>
    </row>
    <row r="116" spans="2:14">
      <c r="B116" s="440"/>
      <c r="C116" s="441"/>
      <c r="D116" s="137"/>
      <c r="E116" s="137"/>
      <c r="F116" s="137">
        <v>32</v>
      </c>
      <c r="G116" s="136">
        <v>1.5923566878980892E-2</v>
      </c>
      <c r="H116" s="138">
        <f t="shared" si="2"/>
        <v>3.6622051499133439E-2</v>
      </c>
      <c r="I116" s="138">
        <f>H116*'Key Data'!$I$8</f>
        <v>1.6113702659618714E-2</v>
      </c>
      <c r="J116" s="138">
        <f>I116*'Key Data'!$F$8</f>
        <v>2.5620787228793757E-2</v>
      </c>
      <c r="K116" s="138">
        <f>J116*'Key Data'!$K$8</f>
        <v>6.4051968071984393E-3</v>
      </c>
      <c r="L116" s="138">
        <f t="shared" si="3"/>
        <v>3.2025984035992196E-2</v>
      </c>
      <c r="M116" s="438"/>
      <c r="N116" s="438"/>
    </row>
    <row r="117" spans="2:14">
      <c r="B117" s="440"/>
      <c r="C117" s="441"/>
      <c r="D117" s="137"/>
      <c r="E117" s="137"/>
      <c r="F117" s="137">
        <v>33</v>
      </c>
      <c r="G117" s="136">
        <v>0.10509554140127389</v>
      </c>
      <c r="H117" s="138">
        <f t="shared" si="2"/>
        <v>0.20594557125742025</v>
      </c>
      <c r="I117" s="138">
        <f>H117*'Key Data'!$I$8</f>
        <v>9.0616051353264906E-2</v>
      </c>
      <c r="J117" s="138">
        <f>I117*'Key Data'!$F$8</f>
        <v>0.14407952165169122</v>
      </c>
      <c r="K117" s="138">
        <f>J117*'Key Data'!$K$8</f>
        <v>3.6019880412922804E-2</v>
      </c>
      <c r="L117" s="138">
        <f t="shared" si="3"/>
        <v>0.18009940206461403</v>
      </c>
      <c r="M117" s="438"/>
      <c r="N117" s="438"/>
    </row>
    <row r="118" spans="2:14">
      <c r="B118" s="440"/>
      <c r="C118" s="441"/>
      <c r="D118" s="137"/>
      <c r="E118" s="137"/>
      <c r="F118" s="137">
        <v>34</v>
      </c>
      <c r="G118" s="136">
        <v>0.10828025477707007</v>
      </c>
      <c r="H118" s="138">
        <f t="shared" si="2"/>
        <v>0.21454056844200123</v>
      </c>
      <c r="I118" s="138">
        <f>H118*'Key Data'!$I$8</f>
        <v>9.4397850114480542E-2</v>
      </c>
      <c r="J118" s="138">
        <f>I118*'Key Data'!$F$8</f>
        <v>0.15009258168202408</v>
      </c>
      <c r="K118" s="138">
        <f>J118*'Key Data'!$K$8</f>
        <v>3.752314542050602E-2</v>
      </c>
      <c r="L118" s="138">
        <f t="shared" si="3"/>
        <v>0.18761572710253011</v>
      </c>
      <c r="M118" s="438"/>
      <c r="N118" s="438"/>
    </row>
    <row r="119" spans="2:14">
      <c r="B119" s="440"/>
      <c r="C119" s="441"/>
      <c r="D119" s="137"/>
      <c r="E119" s="137"/>
      <c r="F119" s="137">
        <v>35</v>
      </c>
      <c r="G119" s="136">
        <v>2.7070063694267517E-2</v>
      </c>
      <c r="H119" s="138">
        <f t="shared" si="2"/>
        <v>5.0254121492433995E-2</v>
      </c>
      <c r="I119" s="138">
        <f>H119*'Key Data'!$I$8</f>
        <v>2.2111813456670959E-2</v>
      </c>
      <c r="J119" s="138">
        <f>I119*'Key Data'!$F$8</f>
        <v>3.5157783396106826E-2</v>
      </c>
      <c r="K119" s="138">
        <f>J119*'Key Data'!$K$8</f>
        <v>8.7894458490267065E-3</v>
      </c>
      <c r="L119" s="138">
        <f t="shared" si="3"/>
        <v>4.3947229245133529E-2</v>
      </c>
      <c r="M119" s="438"/>
      <c r="N119" s="438"/>
    </row>
    <row r="120" spans="2:14">
      <c r="B120" s="440"/>
      <c r="C120" s="441"/>
      <c r="D120" s="137"/>
      <c r="E120" s="137"/>
      <c r="F120" s="137">
        <v>36</v>
      </c>
      <c r="G120" s="136">
        <v>0.11496815286624203</v>
      </c>
      <c r="H120" s="138">
        <f t="shared" si="2"/>
        <v>0.23316198367885674</v>
      </c>
      <c r="I120" s="138">
        <f>H120*'Key Data'!$I$8</f>
        <v>0.10259127281869697</v>
      </c>
      <c r="J120" s="138">
        <f>I120*'Key Data'!$F$8</f>
        <v>0.16312012378172819</v>
      </c>
      <c r="K120" s="138">
        <f>J120*'Key Data'!$K$8</f>
        <v>4.0780030945432047E-2</v>
      </c>
      <c r="L120" s="138">
        <f t="shared" si="3"/>
        <v>0.20390015472716022</v>
      </c>
      <c r="M120" s="438"/>
      <c r="N120" s="438"/>
    </row>
    <row r="121" spans="2:14">
      <c r="B121" s="440"/>
      <c r="C121" s="441"/>
      <c r="D121" s="137"/>
      <c r="E121" s="137"/>
      <c r="F121" s="137">
        <v>37</v>
      </c>
      <c r="G121" s="136">
        <v>0.11401273885350317</v>
      </c>
      <c r="H121" s="138">
        <f t="shared" si="2"/>
        <v>0.2304543410381712</v>
      </c>
      <c r="I121" s="138">
        <f>H121*'Key Data'!$I$8</f>
        <v>0.10139991005679533</v>
      </c>
      <c r="J121" s="138">
        <f>I121*'Key Data'!$F$8</f>
        <v>0.16122585699030459</v>
      </c>
      <c r="K121" s="138">
        <f>J121*'Key Data'!$K$8</f>
        <v>4.0306464247576147E-2</v>
      </c>
      <c r="L121" s="138">
        <f t="shared" si="3"/>
        <v>0.20153232123788073</v>
      </c>
      <c r="M121" s="438"/>
      <c r="N121" s="438"/>
    </row>
    <row r="122" spans="2:14">
      <c r="B122" s="440"/>
      <c r="C122" s="441"/>
      <c r="D122" s="137"/>
      <c r="E122" s="137"/>
      <c r="F122" s="137">
        <v>38</v>
      </c>
      <c r="G122" s="136">
        <v>0.10828025477707007</v>
      </c>
      <c r="H122" s="138">
        <f t="shared" si="2"/>
        <v>0.21454056844200123</v>
      </c>
      <c r="I122" s="138">
        <f>H122*'Key Data'!$I$8</f>
        <v>9.4397850114480542E-2</v>
      </c>
      <c r="J122" s="138">
        <f>I122*'Key Data'!$F$8</f>
        <v>0.15009258168202408</v>
      </c>
      <c r="K122" s="138">
        <f>J122*'Key Data'!$K$8</f>
        <v>3.752314542050602E-2</v>
      </c>
      <c r="L122" s="138">
        <f t="shared" si="3"/>
        <v>0.18761572710253011</v>
      </c>
      <c r="M122" s="438"/>
      <c r="N122" s="438"/>
    </row>
    <row r="123" spans="2:14">
      <c r="B123" s="440"/>
      <c r="C123" s="441"/>
      <c r="D123" s="137"/>
      <c r="E123" s="137"/>
      <c r="F123" s="137">
        <v>39</v>
      </c>
      <c r="G123" s="136">
        <v>8.9171974522293002E-2</v>
      </c>
      <c r="H123" s="138">
        <f t="shared" si="2"/>
        <v>0.165606166667396</v>
      </c>
      <c r="I123" s="138">
        <f>H123*'Key Data'!$I$8</f>
        <v>7.2866713333654243E-2</v>
      </c>
      <c r="J123" s="138">
        <f>I123*'Key Data'!$F$8</f>
        <v>0.11585807420051025</v>
      </c>
      <c r="K123" s="138">
        <f>J123*'Key Data'!$K$8</f>
        <v>2.8964518550127563E-2</v>
      </c>
      <c r="L123" s="138">
        <f t="shared" si="3"/>
        <v>0.1448225927506378</v>
      </c>
      <c r="M123" s="438"/>
      <c r="N123" s="438"/>
    </row>
    <row r="124" spans="2:14">
      <c r="B124" s="440"/>
      <c r="C124" s="441"/>
      <c r="D124" s="137"/>
      <c r="E124" s="137"/>
      <c r="F124" s="137">
        <v>40</v>
      </c>
      <c r="G124" s="136">
        <v>9.0764331210191077E-2</v>
      </c>
      <c r="H124" s="138">
        <f t="shared" si="2"/>
        <v>0.16944243852643234</v>
      </c>
      <c r="I124" s="138">
        <f>H124*'Key Data'!$I$8</f>
        <v>7.4554672951630235E-2</v>
      </c>
      <c r="J124" s="138">
        <f>I124*'Key Data'!$F$8</f>
        <v>0.11854192999309209</v>
      </c>
      <c r="K124" s="138">
        <f>J124*'Key Data'!$K$8</f>
        <v>2.9635482498273021E-2</v>
      </c>
      <c r="L124" s="138">
        <f t="shared" si="3"/>
        <v>0.1481774124913651</v>
      </c>
      <c r="M124" s="438"/>
      <c r="N124" s="438"/>
    </row>
    <row r="125" spans="2:14">
      <c r="B125" s="440"/>
      <c r="C125" s="441"/>
      <c r="D125" s="137"/>
      <c r="E125" s="137"/>
      <c r="F125" s="137">
        <v>41</v>
      </c>
      <c r="G125" s="136" t="s">
        <v>454</v>
      </c>
      <c r="H125" s="138">
        <v>0</v>
      </c>
      <c r="I125" s="138">
        <f>H125*'Key Data'!$I$8</f>
        <v>0</v>
      </c>
      <c r="J125" s="138">
        <f>I125*'Key Data'!$F$8</f>
        <v>0</v>
      </c>
      <c r="K125" s="138">
        <f>J125*'Key Data'!$K$8</f>
        <v>0</v>
      </c>
      <c r="L125" s="138">
        <f t="shared" si="3"/>
        <v>0</v>
      </c>
      <c r="M125" s="438"/>
      <c r="N125" s="438"/>
    </row>
    <row r="126" spans="2:14">
      <c r="B126" s="440"/>
      <c r="C126" s="441"/>
      <c r="D126" s="137"/>
      <c r="E126" s="137"/>
      <c r="F126" s="137">
        <v>42</v>
      </c>
      <c r="G126" s="136" t="s">
        <v>454</v>
      </c>
      <c r="H126" s="138">
        <v>0</v>
      </c>
      <c r="I126" s="138">
        <f>H126*'Key Data'!$I$8</f>
        <v>0</v>
      </c>
      <c r="J126" s="138">
        <f>I126*'Key Data'!$F$8</f>
        <v>0</v>
      </c>
      <c r="K126" s="138">
        <f>J126*'Key Data'!$K$8</f>
        <v>0</v>
      </c>
      <c r="L126" s="138">
        <f t="shared" si="3"/>
        <v>0</v>
      </c>
      <c r="M126" s="438"/>
      <c r="N126" s="438"/>
    </row>
    <row r="127" spans="2:14">
      <c r="B127" s="440"/>
      <c r="C127" s="441"/>
      <c r="D127" s="137"/>
      <c r="E127" s="137"/>
      <c r="F127" s="137">
        <v>43</v>
      </c>
      <c r="G127" s="136" t="s">
        <v>454</v>
      </c>
      <c r="H127" s="138">
        <v>0</v>
      </c>
      <c r="I127" s="138">
        <f>H127*'Key Data'!$I$8</f>
        <v>0</v>
      </c>
      <c r="J127" s="138">
        <f>I127*'Key Data'!$F$8</f>
        <v>0</v>
      </c>
      <c r="K127" s="138">
        <f>J127*'Key Data'!$K$8</f>
        <v>0</v>
      </c>
      <c r="L127" s="138">
        <f t="shared" si="3"/>
        <v>0</v>
      </c>
      <c r="M127" s="438"/>
      <c r="N127" s="438"/>
    </row>
    <row r="128" spans="2:14">
      <c r="B128" s="440"/>
      <c r="C128" s="441"/>
      <c r="D128" s="137"/>
      <c r="E128" s="137"/>
      <c r="F128" s="137">
        <v>44</v>
      </c>
      <c r="G128" s="136" t="s">
        <v>454</v>
      </c>
      <c r="H128" s="138">
        <v>0</v>
      </c>
      <c r="I128" s="138">
        <f>H128*'Key Data'!$I$8</f>
        <v>0</v>
      </c>
      <c r="J128" s="138">
        <f>I128*'Key Data'!$F$8</f>
        <v>0</v>
      </c>
      <c r="K128" s="138">
        <f>J128*'Key Data'!$K$8</f>
        <v>0</v>
      </c>
      <c r="L128" s="138">
        <f t="shared" si="3"/>
        <v>0</v>
      </c>
      <c r="M128" s="438"/>
      <c r="N128" s="438"/>
    </row>
    <row r="129" spans="2:14">
      <c r="B129" s="440"/>
      <c r="C129" s="441"/>
      <c r="D129" s="137"/>
      <c r="E129" s="137"/>
      <c r="F129" s="137">
        <v>45</v>
      </c>
      <c r="G129" s="136" t="s">
        <v>454</v>
      </c>
      <c r="H129" s="138">
        <v>0</v>
      </c>
      <c r="I129" s="138">
        <f>H129*'Key Data'!$I$8</f>
        <v>0</v>
      </c>
      <c r="J129" s="138">
        <f>I129*'Key Data'!$F$8</f>
        <v>0</v>
      </c>
      <c r="K129" s="138">
        <f>J129*'Key Data'!$K$8</f>
        <v>0</v>
      </c>
      <c r="L129" s="138">
        <f t="shared" si="3"/>
        <v>0</v>
      </c>
      <c r="M129" s="438"/>
      <c r="N129" s="438"/>
    </row>
    <row r="130" spans="2:14">
      <c r="B130" s="440"/>
      <c r="C130" s="441"/>
      <c r="D130" s="137"/>
      <c r="E130" s="137"/>
      <c r="F130" s="137">
        <v>46</v>
      </c>
      <c r="G130" s="136" t="s">
        <v>454</v>
      </c>
      <c r="H130" s="138">
        <v>0</v>
      </c>
      <c r="I130" s="138">
        <f>H130*'Key Data'!$I$8</f>
        <v>0</v>
      </c>
      <c r="J130" s="138">
        <f>I130*'Key Data'!$F$8</f>
        <v>0</v>
      </c>
      <c r="K130" s="138">
        <f>J130*'Key Data'!$K$8</f>
        <v>0</v>
      </c>
      <c r="L130" s="138">
        <f t="shared" si="3"/>
        <v>0</v>
      </c>
      <c r="M130" s="438"/>
      <c r="N130" s="438"/>
    </row>
    <row r="131" spans="2:14">
      <c r="B131" s="440"/>
      <c r="C131" s="441"/>
      <c r="D131" s="137"/>
      <c r="E131" s="137"/>
      <c r="F131" s="137">
        <v>47</v>
      </c>
      <c r="G131" s="136" t="s">
        <v>454</v>
      </c>
      <c r="H131" s="138">
        <v>0</v>
      </c>
      <c r="I131" s="138">
        <f>H131*'Key Data'!$I$8</f>
        <v>0</v>
      </c>
      <c r="J131" s="138">
        <f>I131*'Key Data'!$F$8</f>
        <v>0</v>
      </c>
      <c r="K131" s="138">
        <f>J131*'Key Data'!$K$8</f>
        <v>0</v>
      </c>
      <c r="L131" s="138">
        <f t="shared" si="3"/>
        <v>0</v>
      </c>
      <c r="M131" s="438"/>
      <c r="N131" s="438"/>
    </row>
    <row r="132" spans="2:14">
      <c r="B132" s="440"/>
      <c r="C132" s="441"/>
      <c r="D132" s="137"/>
      <c r="E132" s="137"/>
      <c r="F132" s="137">
        <v>48</v>
      </c>
      <c r="G132" s="136" t="s">
        <v>454</v>
      </c>
      <c r="H132" s="138">
        <v>0</v>
      </c>
      <c r="I132" s="138">
        <f>H132*'Key Data'!$I$8</f>
        <v>0</v>
      </c>
      <c r="J132" s="138">
        <f>I132*'Key Data'!$F$8</f>
        <v>0</v>
      </c>
      <c r="K132" s="138">
        <f>J132*'Key Data'!$K$8</f>
        <v>0</v>
      </c>
      <c r="L132" s="138">
        <f t="shared" si="3"/>
        <v>0</v>
      </c>
      <c r="M132" s="438"/>
      <c r="N132" s="438"/>
    </row>
    <row r="133" spans="2:14">
      <c r="B133" s="440"/>
      <c r="C133" s="441"/>
      <c r="D133" s="137"/>
      <c r="E133" s="137"/>
      <c r="F133" s="137">
        <v>49</v>
      </c>
      <c r="G133" s="136">
        <v>8.4394904458598721E-2</v>
      </c>
      <c r="H133" s="138">
        <f t="shared" ref="H133:H148" si="4">(0.144504+2.943115*G133)^2</f>
        <v>0.15436090922357507</v>
      </c>
      <c r="I133" s="138">
        <f>H133*'Key Data'!$I$8</f>
        <v>6.791880005837303E-2</v>
      </c>
      <c r="J133" s="138">
        <f>I133*'Key Data'!$F$8</f>
        <v>0.10799089209281312</v>
      </c>
      <c r="K133" s="138">
        <f>J133*'Key Data'!$K$8</f>
        <v>2.6997723023203281E-2</v>
      </c>
      <c r="L133" s="138">
        <f t="shared" ref="L133:L148" si="5">K133+J133</f>
        <v>0.1349886151160164</v>
      </c>
      <c r="M133" s="438"/>
      <c r="N133" s="438"/>
    </row>
    <row r="134" spans="2:14">
      <c r="B134" s="440"/>
      <c r="C134" s="441"/>
      <c r="D134" s="137"/>
      <c r="E134" s="137"/>
      <c r="F134" s="137">
        <v>50</v>
      </c>
      <c r="G134" s="136">
        <v>0.13121019108280255</v>
      </c>
      <c r="H134" s="138">
        <f t="shared" si="4"/>
        <v>0.2816113722340951</v>
      </c>
      <c r="I134" s="138">
        <f>H134*'Key Data'!$I$8</f>
        <v>0.12390900378300185</v>
      </c>
      <c r="J134" s="138">
        <f>I134*'Key Data'!$F$8</f>
        <v>0.19701531601497294</v>
      </c>
      <c r="K134" s="138">
        <f>J134*'Key Data'!$K$8</f>
        <v>4.9253829003743234E-2</v>
      </c>
      <c r="L134" s="138">
        <f t="shared" si="5"/>
        <v>0.24626914501871616</v>
      </c>
      <c r="M134" s="438"/>
      <c r="N134" s="438"/>
    </row>
    <row r="135" spans="2:14">
      <c r="B135" s="440"/>
      <c r="C135" s="441"/>
      <c r="D135" s="137"/>
      <c r="E135" s="137"/>
      <c r="F135" s="137">
        <v>51</v>
      </c>
      <c r="G135" s="136">
        <v>3.9808917197452227E-2</v>
      </c>
      <c r="H135" s="138">
        <f t="shared" si="4"/>
        <v>6.8469211389087195E-2</v>
      </c>
      <c r="I135" s="138">
        <f>H135*'Key Data'!$I$8</f>
        <v>3.0126453011198366E-2</v>
      </c>
      <c r="J135" s="138">
        <f>I135*'Key Data'!$F$8</f>
        <v>4.7901060287805407E-2</v>
      </c>
      <c r="K135" s="138">
        <f>J135*'Key Data'!$K$8</f>
        <v>1.1975265071951352E-2</v>
      </c>
      <c r="L135" s="138">
        <f t="shared" si="5"/>
        <v>5.987632535975676E-2</v>
      </c>
      <c r="M135" s="438"/>
      <c r="N135" s="438"/>
    </row>
    <row r="136" spans="2:14">
      <c r="B136" s="440"/>
      <c r="C136" s="441"/>
      <c r="D136" s="137"/>
      <c r="E136" s="137"/>
      <c r="F136" s="137">
        <v>52</v>
      </c>
      <c r="G136" s="136">
        <v>0.1019108280254777</v>
      </c>
      <c r="H136" s="138">
        <f t="shared" si="4"/>
        <v>0.19752627949503121</v>
      </c>
      <c r="I136" s="138">
        <f>H136*'Key Data'!$I$8</f>
        <v>8.6911562977813731E-2</v>
      </c>
      <c r="J136" s="138">
        <f>I136*'Key Data'!$F$8</f>
        <v>0.13818938513472384</v>
      </c>
      <c r="K136" s="138">
        <f>J136*'Key Data'!$K$8</f>
        <v>3.454734628368096E-2</v>
      </c>
      <c r="L136" s="138">
        <f t="shared" si="5"/>
        <v>0.17273673141840479</v>
      </c>
      <c r="M136" s="438"/>
      <c r="N136" s="438"/>
    </row>
    <row r="137" spans="2:14">
      <c r="B137" s="440"/>
      <c r="C137" s="441"/>
      <c r="D137" s="137"/>
      <c r="E137" s="137"/>
      <c r="F137" s="137">
        <v>53</v>
      </c>
      <c r="G137" s="136">
        <v>0.10509554140127389</v>
      </c>
      <c r="H137" s="138">
        <f t="shared" si="4"/>
        <v>0.20594557125742025</v>
      </c>
      <c r="I137" s="138">
        <f>H137*'Key Data'!$I$8</f>
        <v>9.0616051353264906E-2</v>
      </c>
      <c r="J137" s="138">
        <f>I137*'Key Data'!$F$8</f>
        <v>0.14407952165169122</v>
      </c>
      <c r="K137" s="138">
        <f>J137*'Key Data'!$K$8</f>
        <v>3.6019880412922804E-2</v>
      </c>
      <c r="L137" s="138">
        <f t="shared" si="5"/>
        <v>0.18009940206461403</v>
      </c>
      <c r="M137" s="438"/>
      <c r="N137" s="438"/>
    </row>
    <row r="138" spans="2:14">
      <c r="B138" s="440"/>
      <c r="C138" s="441"/>
      <c r="D138" s="137"/>
      <c r="E138" s="137"/>
      <c r="F138" s="137">
        <v>54</v>
      </c>
      <c r="G138" s="136">
        <v>8.2802547770700632E-2</v>
      </c>
      <c r="H138" s="138">
        <f t="shared" si="4"/>
        <v>0.15070034278673086</v>
      </c>
      <c r="I138" s="138">
        <f>H138*'Key Data'!$I$8</f>
        <v>6.630815082616158E-2</v>
      </c>
      <c r="J138" s="138">
        <f>I138*'Key Data'!$F$8</f>
        <v>0.10542995981359692</v>
      </c>
      <c r="K138" s="138">
        <f>J138*'Key Data'!$K$8</f>
        <v>2.6357489953399229E-2</v>
      </c>
      <c r="L138" s="138">
        <f t="shared" si="5"/>
        <v>0.13178744976699613</v>
      </c>
      <c r="M138" s="438"/>
      <c r="N138" s="438"/>
    </row>
    <row r="139" spans="2:14">
      <c r="B139" s="440"/>
      <c r="C139" s="441"/>
      <c r="D139" s="137"/>
      <c r="E139" s="137"/>
      <c r="F139" s="137">
        <v>55</v>
      </c>
      <c r="G139" s="136">
        <v>8.4394904458598721E-2</v>
      </c>
      <c r="H139" s="138">
        <f t="shared" si="4"/>
        <v>0.15436090922357507</v>
      </c>
      <c r="I139" s="138">
        <f>H139*'Key Data'!$I$8</f>
        <v>6.791880005837303E-2</v>
      </c>
      <c r="J139" s="138">
        <f>I139*'Key Data'!$F$8</f>
        <v>0.10799089209281312</v>
      </c>
      <c r="K139" s="138">
        <f>J139*'Key Data'!$K$8</f>
        <v>2.6997723023203281E-2</v>
      </c>
      <c r="L139" s="138">
        <f t="shared" si="5"/>
        <v>0.1349886151160164</v>
      </c>
      <c r="M139" s="438"/>
      <c r="N139" s="438"/>
    </row>
    <row r="140" spans="2:14">
      <c r="B140" s="440"/>
      <c r="C140" s="441"/>
      <c r="D140" s="137"/>
      <c r="E140" s="137"/>
      <c r="F140" s="137">
        <v>56</v>
      </c>
      <c r="G140" s="136">
        <v>8.2802547770700632E-2</v>
      </c>
      <c r="H140" s="138">
        <f t="shared" si="4"/>
        <v>0.15070034278673086</v>
      </c>
      <c r="I140" s="138">
        <f>H140*'Key Data'!$I$8</f>
        <v>6.630815082616158E-2</v>
      </c>
      <c r="J140" s="138">
        <f>I140*'Key Data'!$F$8</f>
        <v>0.10542995981359692</v>
      </c>
      <c r="K140" s="138">
        <f>J140*'Key Data'!$K$8</f>
        <v>2.6357489953399229E-2</v>
      </c>
      <c r="L140" s="138">
        <f t="shared" si="5"/>
        <v>0.13178744976699613</v>
      </c>
      <c r="M140" s="438"/>
      <c r="N140" s="438"/>
    </row>
    <row r="141" spans="2:14">
      <c r="B141" s="440"/>
      <c r="C141" s="441"/>
      <c r="D141" s="137"/>
      <c r="E141" s="137"/>
      <c r="F141" s="137">
        <v>57</v>
      </c>
      <c r="G141" s="136" t="s">
        <v>454</v>
      </c>
      <c r="H141" s="138">
        <v>0</v>
      </c>
      <c r="I141" s="138">
        <f>H141*'Key Data'!$I$8</f>
        <v>0</v>
      </c>
      <c r="J141" s="138">
        <f>I141*'Key Data'!$F$8</f>
        <v>0</v>
      </c>
      <c r="K141" s="138">
        <f>J141*'Key Data'!$K$8</f>
        <v>0</v>
      </c>
      <c r="L141" s="138">
        <f t="shared" si="5"/>
        <v>0</v>
      </c>
      <c r="M141" s="438"/>
      <c r="N141" s="438"/>
    </row>
    <row r="142" spans="2:14">
      <c r="B142" s="440"/>
      <c r="C142" s="441"/>
      <c r="D142" s="137"/>
      <c r="E142" s="137"/>
      <c r="F142" s="137">
        <v>58</v>
      </c>
      <c r="G142" s="136" t="s">
        <v>454</v>
      </c>
      <c r="H142" s="138">
        <v>0</v>
      </c>
      <c r="I142" s="138">
        <f>H142*'Key Data'!$I$8</f>
        <v>0</v>
      </c>
      <c r="J142" s="138">
        <f>I142*'Key Data'!$F$8</f>
        <v>0</v>
      </c>
      <c r="K142" s="138">
        <f>J142*'Key Data'!$K$8</f>
        <v>0</v>
      </c>
      <c r="L142" s="138">
        <f t="shared" si="5"/>
        <v>0</v>
      </c>
      <c r="M142" s="438"/>
      <c r="N142" s="438"/>
    </row>
    <row r="143" spans="2:14">
      <c r="B143" s="440"/>
      <c r="C143" s="441"/>
      <c r="D143" s="137"/>
      <c r="E143" s="137"/>
      <c r="F143" s="137">
        <v>59</v>
      </c>
      <c r="G143" s="136">
        <v>6.2738853503184699E-2</v>
      </c>
      <c r="H143" s="138">
        <f t="shared" si="4"/>
        <v>0.10834081582584749</v>
      </c>
      <c r="I143" s="138">
        <f>H143*'Key Data'!$I$8</f>
        <v>4.7669958963372901E-2</v>
      </c>
      <c r="J143" s="138">
        <f>I143*'Key Data'!$F$8</f>
        <v>7.5795234751762919E-2</v>
      </c>
      <c r="K143" s="138">
        <f>J143*'Key Data'!$K$8</f>
        <v>1.894880868794073E-2</v>
      </c>
      <c r="L143" s="138">
        <f t="shared" si="5"/>
        <v>9.4744043439703649E-2</v>
      </c>
      <c r="M143" s="438"/>
      <c r="N143" s="438"/>
    </row>
    <row r="144" spans="2:14">
      <c r="B144" s="440"/>
      <c r="C144" s="441"/>
      <c r="D144" s="137"/>
      <c r="E144" s="137"/>
      <c r="F144" s="137">
        <v>60</v>
      </c>
      <c r="G144" s="136" t="s">
        <v>454</v>
      </c>
      <c r="H144" s="138">
        <v>0</v>
      </c>
      <c r="I144" s="138">
        <f>H144*'Key Data'!$I$8</f>
        <v>0</v>
      </c>
      <c r="J144" s="138">
        <f>I144*'Key Data'!$F$8</f>
        <v>0</v>
      </c>
      <c r="K144" s="138">
        <f>J144*'Key Data'!$K$8</f>
        <v>0</v>
      </c>
      <c r="L144" s="138">
        <f t="shared" si="5"/>
        <v>0</v>
      </c>
      <c r="M144" s="438"/>
      <c r="N144" s="438"/>
    </row>
    <row r="145" spans="2:14">
      <c r="B145" s="440"/>
      <c r="C145" s="441"/>
      <c r="D145" s="137"/>
      <c r="E145" s="137"/>
      <c r="F145" s="137">
        <v>61</v>
      </c>
      <c r="G145" s="136" t="s">
        <v>454</v>
      </c>
      <c r="H145" s="138">
        <v>0</v>
      </c>
      <c r="I145" s="138">
        <f>H145*'Key Data'!$I$8</f>
        <v>0</v>
      </c>
      <c r="J145" s="138">
        <f>I145*'Key Data'!$F$8</f>
        <v>0</v>
      </c>
      <c r="K145" s="138">
        <f>J145*'Key Data'!$K$8</f>
        <v>0</v>
      </c>
      <c r="L145" s="138">
        <f t="shared" si="5"/>
        <v>0</v>
      </c>
      <c r="M145" s="438"/>
      <c r="N145" s="438"/>
    </row>
    <row r="146" spans="2:14">
      <c r="B146" s="440"/>
      <c r="C146" s="441"/>
      <c r="D146" s="137"/>
      <c r="E146" s="137"/>
      <c r="F146" s="137">
        <v>62</v>
      </c>
      <c r="G146" s="136" t="s">
        <v>454</v>
      </c>
      <c r="H146" s="138">
        <v>0</v>
      </c>
      <c r="I146" s="138">
        <f>H146*'Key Data'!$I$8</f>
        <v>0</v>
      </c>
      <c r="J146" s="138">
        <f>I146*'Key Data'!$F$8</f>
        <v>0</v>
      </c>
      <c r="K146" s="138">
        <f>J146*'Key Data'!$K$8</f>
        <v>0</v>
      </c>
      <c r="L146" s="138">
        <f t="shared" si="5"/>
        <v>0</v>
      </c>
      <c r="M146" s="438"/>
      <c r="N146" s="438"/>
    </row>
    <row r="147" spans="2:14">
      <c r="B147" s="440"/>
      <c r="C147" s="441"/>
      <c r="D147" s="137"/>
      <c r="E147" s="137"/>
      <c r="F147" s="137">
        <v>63</v>
      </c>
      <c r="G147" s="136" t="s">
        <v>454</v>
      </c>
      <c r="H147" s="138">
        <v>0</v>
      </c>
      <c r="I147" s="138">
        <f>H147*'Key Data'!$I$8</f>
        <v>0</v>
      </c>
      <c r="J147" s="138">
        <f>I147*'Key Data'!$F$8</f>
        <v>0</v>
      </c>
      <c r="K147" s="138">
        <f>J147*'Key Data'!$K$8</f>
        <v>0</v>
      </c>
      <c r="L147" s="138">
        <f t="shared" si="5"/>
        <v>0</v>
      </c>
      <c r="M147" s="438"/>
      <c r="N147" s="438"/>
    </row>
    <row r="148" spans="2:14">
      <c r="B148" s="440"/>
      <c r="C148" s="441"/>
      <c r="D148" s="137"/>
      <c r="E148" s="137"/>
      <c r="F148" s="137">
        <v>64</v>
      </c>
      <c r="G148" s="136">
        <v>2.3885350318471336E-2</v>
      </c>
      <c r="H148" s="138">
        <f t="shared" si="4"/>
        <v>4.6139612573750884E-2</v>
      </c>
      <c r="I148" s="138">
        <f>H148*'Key Data'!$I$8</f>
        <v>2.0301429532450389E-2</v>
      </c>
      <c r="J148" s="138">
        <f>I148*'Key Data'!$F$8</f>
        <v>3.227927295659612E-2</v>
      </c>
      <c r="K148" s="138">
        <f>J148*'Key Data'!$K$8</f>
        <v>8.0698182391490299E-3</v>
      </c>
      <c r="L148" s="138">
        <f t="shared" si="5"/>
        <v>4.0349091195745146E-2</v>
      </c>
      <c r="M148" s="438"/>
      <c r="N148" s="438"/>
    </row>
  </sheetData>
  <mergeCells count="8">
    <mergeCell ref="N4:N84"/>
    <mergeCell ref="N85:N148"/>
    <mergeCell ref="B4:B84"/>
    <mergeCell ref="C4:C84"/>
    <mergeCell ref="B85:B148"/>
    <mergeCell ref="C85:C148"/>
    <mergeCell ref="M4:M84"/>
    <mergeCell ref="M85:M14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57AA4-0E9D-4825-AD18-2E65965CC6C7}">
  <dimension ref="B3:N84"/>
  <sheetViews>
    <sheetView topLeftCell="A2" workbookViewId="0">
      <selection activeCell="B3" sqref="B3:N3"/>
    </sheetView>
  </sheetViews>
  <sheetFormatPr defaultRowHeight="15"/>
  <sheetData>
    <row r="3" spans="2:14" ht="81.75">
      <c r="B3" s="122" t="s">
        <v>486</v>
      </c>
      <c r="C3" s="122" t="s">
        <v>433</v>
      </c>
      <c r="D3" s="122" t="s">
        <v>434</v>
      </c>
      <c r="E3" s="122" t="s">
        <v>435</v>
      </c>
      <c r="F3" s="122" t="s">
        <v>67</v>
      </c>
      <c r="G3" s="122" t="s">
        <v>487</v>
      </c>
      <c r="H3" s="122" t="s">
        <v>488</v>
      </c>
      <c r="I3" s="122" t="s">
        <v>489</v>
      </c>
      <c r="J3" s="122" t="s">
        <v>490</v>
      </c>
      <c r="K3" s="274" t="s">
        <v>491</v>
      </c>
      <c r="L3" s="274" t="s">
        <v>492</v>
      </c>
      <c r="M3" s="274" t="s">
        <v>442</v>
      </c>
      <c r="N3" s="274" t="s">
        <v>443</v>
      </c>
    </row>
    <row r="4" spans="2:14">
      <c r="B4" s="442">
        <v>1</v>
      </c>
      <c r="C4" s="442" t="s">
        <v>493</v>
      </c>
      <c r="D4" s="142">
        <v>15.202036</v>
      </c>
      <c r="E4" s="142">
        <v>79.423615999999996</v>
      </c>
      <c r="F4" s="142">
        <v>1</v>
      </c>
      <c r="G4" s="143">
        <v>9.3949044585987254E-2</v>
      </c>
      <c r="H4" s="83">
        <f>(0.144504+2.943115*G4)^2</f>
        <v>0.177246761311149</v>
      </c>
      <c r="I4" s="83">
        <f>H4*'Key Data'!$I$8</f>
        <v>7.7988574976905561E-2</v>
      </c>
      <c r="J4" s="83">
        <f>I4*'Key Data'!$F$8</f>
        <v>0.12400183421327984</v>
      </c>
      <c r="K4" s="83">
        <f>J4*'Key Data'!$K$8</f>
        <v>3.1000458553319961E-2</v>
      </c>
      <c r="L4" s="83">
        <f>K4+J4</f>
        <v>0.1550022927665998</v>
      </c>
      <c r="M4" s="443">
        <f>SUM(L4:L84)</f>
        <v>11.288396652399419</v>
      </c>
      <c r="N4" s="443">
        <f>M4/625*10000</f>
        <v>180.6143464383907</v>
      </c>
    </row>
    <row r="5" spans="2:14">
      <c r="B5" s="442"/>
      <c r="C5" s="442"/>
      <c r="D5" s="142">
        <v>15.201883</v>
      </c>
      <c r="E5" s="142">
        <v>79.423934000000003</v>
      </c>
      <c r="F5" s="142">
        <v>2</v>
      </c>
      <c r="G5" s="143">
        <v>0.10668789808917198</v>
      </c>
      <c r="H5" s="83">
        <f t="shared" ref="H5:H68" si="0">(0.144504+2.943115*G5)^2</f>
        <v>0.21022110667193677</v>
      </c>
      <c r="I5" s="83">
        <f>H5*'Key Data'!$I$8</f>
        <v>9.2497286935652179E-2</v>
      </c>
      <c r="J5" s="83">
        <f>I5*'Key Data'!$F$8</f>
        <v>0.14707068622768696</v>
      </c>
      <c r="K5" s="83">
        <f>J5*'Key Data'!$K$8</f>
        <v>3.676767155692174E-2</v>
      </c>
      <c r="L5" s="83">
        <f t="shared" ref="L5:L68" si="1">K5+J5</f>
        <v>0.18383835778460869</v>
      </c>
      <c r="M5" s="443"/>
      <c r="N5" s="443"/>
    </row>
    <row r="6" spans="2:14">
      <c r="B6" s="442"/>
      <c r="C6" s="442"/>
      <c r="D6" s="142">
        <v>15.201790000000001</v>
      </c>
      <c r="E6" s="142">
        <v>79.423696000000007</v>
      </c>
      <c r="F6" s="142">
        <v>3</v>
      </c>
      <c r="G6" s="143">
        <v>7.9617834394904455E-2</v>
      </c>
      <c r="H6" s="83">
        <f t="shared" si="0"/>
        <v>0.14351098897968642</v>
      </c>
      <c r="I6" s="83">
        <f>H6*'Key Data'!$I$8</f>
        <v>6.314483515106202E-2</v>
      </c>
      <c r="J6" s="83">
        <f>I6*'Key Data'!$F$8</f>
        <v>0.10040028789018862</v>
      </c>
      <c r="K6" s="83">
        <f>J6*'Key Data'!$K$8</f>
        <v>2.5100071972547155E-2</v>
      </c>
      <c r="L6" s="83">
        <f t="shared" si="1"/>
        <v>0.12550035986273578</v>
      </c>
      <c r="M6" s="443"/>
      <c r="N6" s="443"/>
    </row>
    <row r="7" spans="2:14">
      <c r="B7" s="442"/>
      <c r="C7" s="442"/>
      <c r="D7" s="142">
        <v>15.202055</v>
      </c>
      <c r="E7" s="142">
        <v>79.423851999999997</v>
      </c>
      <c r="F7" s="142">
        <v>4</v>
      </c>
      <c r="G7" s="143">
        <v>7.9617834394904455E-2</v>
      </c>
      <c r="H7" s="83">
        <f t="shared" si="0"/>
        <v>0.14351098897968642</v>
      </c>
      <c r="I7" s="83">
        <f>H7*'Key Data'!$I$8</f>
        <v>6.314483515106202E-2</v>
      </c>
      <c r="J7" s="83">
        <f>I7*'Key Data'!$F$8</f>
        <v>0.10040028789018862</v>
      </c>
      <c r="K7" s="83">
        <f>J7*'Key Data'!$K$8</f>
        <v>2.5100071972547155E-2</v>
      </c>
      <c r="L7" s="83">
        <f t="shared" si="1"/>
        <v>0.12550035986273578</v>
      </c>
      <c r="M7" s="443"/>
      <c r="N7" s="443"/>
    </row>
    <row r="8" spans="2:14">
      <c r="B8" s="442"/>
      <c r="C8" s="442"/>
      <c r="D8" s="142">
        <v>15.201968000000001</v>
      </c>
      <c r="E8" s="142">
        <v>79.423760000000001</v>
      </c>
      <c r="F8" s="142">
        <v>5</v>
      </c>
      <c r="G8" s="143">
        <v>8.2802547770700632E-2</v>
      </c>
      <c r="H8" s="83">
        <f t="shared" si="0"/>
        <v>0.15070034278673086</v>
      </c>
      <c r="I8" s="83">
        <f>H8*'Key Data'!$I$8</f>
        <v>6.630815082616158E-2</v>
      </c>
      <c r="J8" s="83">
        <f>I8*'Key Data'!$F$8</f>
        <v>0.10542995981359692</v>
      </c>
      <c r="K8" s="83">
        <f>J8*'Key Data'!$K$8</f>
        <v>2.6357489953399229E-2</v>
      </c>
      <c r="L8" s="83">
        <f t="shared" si="1"/>
        <v>0.13178744976699613</v>
      </c>
      <c r="M8" s="443"/>
      <c r="N8" s="443"/>
    </row>
    <row r="9" spans="2:14">
      <c r="B9" s="442"/>
      <c r="C9" s="442"/>
      <c r="D9" s="142"/>
      <c r="E9" s="142"/>
      <c r="F9" s="142">
        <v>6</v>
      </c>
      <c r="G9" s="143">
        <v>7.6433121019108277E-2</v>
      </c>
      <c r="H9" s="83">
        <f t="shared" si="0"/>
        <v>0.13649734059483401</v>
      </c>
      <c r="I9" s="83">
        <f>H9*'Key Data'!$I$8</f>
        <v>6.0058829861726962E-2</v>
      </c>
      <c r="J9" s="83">
        <f>I9*'Key Data'!$F$8</f>
        <v>9.549353948014587E-2</v>
      </c>
      <c r="K9" s="83">
        <f>J9*'Key Data'!$K$8</f>
        <v>2.3873384870036467E-2</v>
      </c>
      <c r="L9" s="83">
        <f t="shared" si="1"/>
        <v>0.11936692435018234</v>
      </c>
      <c r="M9" s="443"/>
      <c r="N9" s="443"/>
    </row>
    <row r="10" spans="2:14">
      <c r="B10" s="442"/>
      <c r="C10" s="442"/>
      <c r="D10" s="142"/>
      <c r="E10" s="142"/>
      <c r="F10" s="142">
        <v>7</v>
      </c>
      <c r="G10" s="143">
        <v>0.10031847133757961</v>
      </c>
      <c r="H10" s="83">
        <f t="shared" si="0"/>
        <v>0.19338252314715873</v>
      </c>
      <c r="I10" s="83">
        <f>H10*'Key Data'!$I$8</f>
        <v>8.5088310184749841E-2</v>
      </c>
      <c r="J10" s="83">
        <f>I10*'Key Data'!$F$8</f>
        <v>0.13529041319375226</v>
      </c>
      <c r="K10" s="83">
        <f>J10*'Key Data'!$K$8</f>
        <v>3.3822603298438066E-2</v>
      </c>
      <c r="L10" s="83">
        <f t="shared" si="1"/>
        <v>0.16911301649219032</v>
      </c>
      <c r="M10" s="443"/>
      <c r="N10" s="443"/>
    </row>
    <row r="11" spans="2:14">
      <c r="B11" s="442"/>
      <c r="C11" s="442"/>
      <c r="D11" s="142"/>
      <c r="E11" s="142"/>
      <c r="F11" s="142">
        <v>8</v>
      </c>
      <c r="G11" s="143">
        <v>9.3949044585987254E-2</v>
      </c>
      <c r="H11" s="83">
        <f t="shared" si="0"/>
        <v>0.177246761311149</v>
      </c>
      <c r="I11" s="83">
        <f>H11*'Key Data'!$I$8</f>
        <v>7.7988574976905561E-2</v>
      </c>
      <c r="J11" s="83">
        <f>I11*'Key Data'!$F$8</f>
        <v>0.12400183421327984</v>
      </c>
      <c r="K11" s="83">
        <f>J11*'Key Data'!$K$8</f>
        <v>3.1000458553319961E-2</v>
      </c>
      <c r="L11" s="83">
        <f t="shared" si="1"/>
        <v>0.1550022927665998</v>
      </c>
      <c r="M11" s="443"/>
      <c r="N11" s="443"/>
    </row>
    <row r="12" spans="2:14">
      <c r="B12" s="442"/>
      <c r="C12" s="442"/>
      <c r="D12" s="142"/>
      <c r="E12" s="142"/>
      <c r="F12" s="142">
        <v>9</v>
      </c>
      <c r="G12" s="143">
        <v>5.8917197452229293E-2</v>
      </c>
      <c r="H12" s="83">
        <f t="shared" si="0"/>
        <v>0.10106300889982935</v>
      </c>
      <c r="I12" s="83">
        <f>H12*'Key Data'!$I$8</f>
        <v>4.4467723915924913E-2</v>
      </c>
      <c r="J12" s="83">
        <f>I12*'Key Data'!$F$8</f>
        <v>7.0703681026320617E-2</v>
      </c>
      <c r="K12" s="83">
        <f>J12*'Key Data'!$K$8</f>
        <v>1.7675920256580154E-2</v>
      </c>
      <c r="L12" s="83">
        <f t="shared" si="1"/>
        <v>8.8379601282900774E-2</v>
      </c>
      <c r="M12" s="443"/>
      <c r="N12" s="443"/>
    </row>
    <row r="13" spans="2:14">
      <c r="B13" s="442"/>
      <c r="C13" s="442"/>
      <c r="D13" s="142"/>
      <c r="E13" s="142"/>
      <c r="F13" s="142">
        <v>10</v>
      </c>
      <c r="G13" s="143">
        <v>0.10509554140127389</v>
      </c>
      <c r="H13" s="83">
        <f t="shared" si="0"/>
        <v>0.20594557125742025</v>
      </c>
      <c r="I13" s="83">
        <f>H13*'Key Data'!$I$8</f>
        <v>9.0616051353264906E-2</v>
      </c>
      <c r="J13" s="83">
        <f>I13*'Key Data'!$F$8</f>
        <v>0.14407952165169122</v>
      </c>
      <c r="K13" s="83">
        <f>J13*'Key Data'!$K$8</f>
        <v>3.6019880412922804E-2</v>
      </c>
      <c r="L13" s="83">
        <f t="shared" si="1"/>
        <v>0.18009940206461403</v>
      </c>
      <c r="M13" s="443"/>
      <c r="N13" s="443"/>
    </row>
    <row r="14" spans="2:14">
      <c r="B14" s="442"/>
      <c r="C14" s="442"/>
      <c r="D14" s="142"/>
      <c r="E14" s="142"/>
      <c r="F14" s="142">
        <v>11</v>
      </c>
      <c r="G14" s="143">
        <v>9.7133757961783432E-2</v>
      </c>
      <c r="H14" s="83">
        <f t="shared" si="0"/>
        <v>0.18522678951805782</v>
      </c>
      <c r="I14" s="83">
        <f>H14*'Key Data'!$I$8</f>
        <v>8.1499787387945444E-2</v>
      </c>
      <c r="J14" s="83">
        <f>I14*'Key Data'!$F$8</f>
        <v>0.12958466194683327</v>
      </c>
      <c r="K14" s="83">
        <f>J14*'Key Data'!$K$8</f>
        <v>3.2396165486708317E-2</v>
      </c>
      <c r="L14" s="83">
        <f t="shared" si="1"/>
        <v>0.16198082743354159</v>
      </c>
      <c r="M14" s="443"/>
      <c r="N14" s="443"/>
    </row>
    <row r="15" spans="2:14">
      <c r="B15" s="442"/>
      <c r="C15" s="442"/>
      <c r="D15" s="142"/>
      <c r="E15" s="142"/>
      <c r="F15" s="142">
        <v>12</v>
      </c>
      <c r="G15" s="143">
        <v>0.10668789808917198</v>
      </c>
      <c r="H15" s="83">
        <f t="shared" si="0"/>
        <v>0.21022110667193677</v>
      </c>
      <c r="I15" s="83">
        <f>H15*'Key Data'!$I$8</f>
        <v>9.2497286935652179E-2</v>
      </c>
      <c r="J15" s="83">
        <f>I15*'Key Data'!$F$8</f>
        <v>0.14707068622768696</v>
      </c>
      <c r="K15" s="83">
        <f>J15*'Key Data'!$K$8</f>
        <v>3.676767155692174E-2</v>
      </c>
      <c r="L15" s="83">
        <f t="shared" si="1"/>
        <v>0.18383835778460869</v>
      </c>
      <c r="M15" s="443"/>
      <c r="N15" s="443"/>
    </row>
    <row r="16" spans="2:14">
      <c r="B16" s="442"/>
      <c r="C16" s="442"/>
      <c r="D16" s="142"/>
      <c r="E16" s="142"/>
      <c r="F16" s="142">
        <v>13</v>
      </c>
      <c r="G16" s="143">
        <v>7.6433121019108277E-2</v>
      </c>
      <c r="H16" s="83">
        <f t="shared" si="0"/>
        <v>0.13649734059483401</v>
      </c>
      <c r="I16" s="83">
        <f>H16*'Key Data'!$I$8</f>
        <v>6.0058829861726962E-2</v>
      </c>
      <c r="J16" s="83">
        <f>I16*'Key Data'!$F$8</f>
        <v>9.549353948014587E-2</v>
      </c>
      <c r="K16" s="83">
        <f>J16*'Key Data'!$K$8</f>
        <v>2.3873384870036467E-2</v>
      </c>
      <c r="L16" s="83">
        <f t="shared" si="1"/>
        <v>0.11936692435018234</v>
      </c>
      <c r="M16" s="443"/>
      <c r="N16" s="443"/>
    </row>
    <row r="17" spans="2:14">
      <c r="B17" s="442"/>
      <c r="C17" s="442"/>
      <c r="D17" s="142"/>
      <c r="E17" s="142"/>
      <c r="F17" s="142">
        <v>14</v>
      </c>
      <c r="G17" s="143">
        <v>5.8917197452229293E-2</v>
      </c>
      <c r="H17" s="83">
        <f t="shared" si="0"/>
        <v>0.10106300889982935</v>
      </c>
      <c r="I17" s="83">
        <f>H17*'Key Data'!$I$8</f>
        <v>4.4467723915924913E-2</v>
      </c>
      <c r="J17" s="83">
        <f>I17*'Key Data'!$F$8</f>
        <v>7.0703681026320617E-2</v>
      </c>
      <c r="K17" s="83">
        <f>J17*'Key Data'!$K$8</f>
        <v>1.7675920256580154E-2</v>
      </c>
      <c r="L17" s="83">
        <f t="shared" si="1"/>
        <v>8.8379601282900774E-2</v>
      </c>
      <c r="M17" s="443"/>
      <c r="N17" s="443"/>
    </row>
    <row r="18" spans="2:14">
      <c r="B18" s="442"/>
      <c r="C18" s="442"/>
      <c r="D18" s="142"/>
      <c r="E18" s="142"/>
      <c r="F18" s="142">
        <v>15</v>
      </c>
      <c r="G18" s="143">
        <v>4.6178343949044583E-2</v>
      </c>
      <c r="H18" s="83">
        <f t="shared" si="0"/>
        <v>7.8630988870566271E-2</v>
      </c>
      <c r="I18" s="83">
        <f>H18*'Key Data'!$I$8</f>
        <v>3.4597635103049161E-2</v>
      </c>
      <c r="J18" s="83">
        <f>I18*'Key Data'!$F$8</f>
        <v>5.5010239813848172E-2</v>
      </c>
      <c r="K18" s="83">
        <f>J18*'Key Data'!$K$8</f>
        <v>1.3752559953462043E-2</v>
      </c>
      <c r="L18" s="83">
        <f t="shared" si="1"/>
        <v>6.8762799767310215E-2</v>
      </c>
      <c r="M18" s="443"/>
      <c r="N18" s="443"/>
    </row>
    <row r="19" spans="2:14">
      <c r="B19" s="442"/>
      <c r="C19" s="442"/>
      <c r="D19" s="142"/>
      <c r="E19" s="142"/>
      <c r="F19" s="142">
        <v>16</v>
      </c>
      <c r="G19" s="143">
        <v>0.10031847133757961</v>
      </c>
      <c r="H19" s="83">
        <f t="shared" si="0"/>
        <v>0.19338252314715873</v>
      </c>
      <c r="I19" s="83">
        <f>H19*'Key Data'!$I$8</f>
        <v>8.5088310184749841E-2</v>
      </c>
      <c r="J19" s="83">
        <f>I19*'Key Data'!$F$8</f>
        <v>0.13529041319375226</v>
      </c>
      <c r="K19" s="83">
        <f>J19*'Key Data'!$K$8</f>
        <v>3.3822603298438066E-2</v>
      </c>
      <c r="L19" s="83">
        <f t="shared" si="1"/>
        <v>0.16911301649219032</v>
      </c>
      <c r="M19" s="443"/>
      <c r="N19" s="443"/>
    </row>
    <row r="20" spans="2:14">
      <c r="B20" s="442"/>
      <c r="C20" s="442"/>
      <c r="D20" s="142"/>
      <c r="E20" s="142"/>
      <c r="F20" s="142">
        <v>17</v>
      </c>
      <c r="G20" s="143">
        <v>0.1035031847133758</v>
      </c>
      <c r="H20" s="83">
        <f t="shared" si="0"/>
        <v>0.20171396219845172</v>
      </c>
      <c r="I20" s="83">
        <f>H20*'Key Data'!$I$8</f>
        <v>8.8754143367318752E-2</v>
      </c>
      <c r="J20" s="83">
        <f>I20*'Key Data'!$F$8</f>
        <v>0.14111908795403683</v>
      </c>
      <c r="K20" s="83">
        <f>J20*'Key Data'!$K$8</f>
        <v>3.5279771988509206E-2</v>
      </c>
      <c r="L20" s="83">
        <f t="shared" si="1"/>
        <v>0.17639885994254603</v>
      </c>
      <c r="M20" s="443"/>
      <c r="N20" s="443"/>
    </row>
    <row r="21" spans="2:14">
      <c r="B21" s="442"/>
      <c r="C21" s="442"/>
      <c r="D21" s="142"/>
      <c r="E21" s="142"/>
      <c r="F21" s="142">
        <v>18</v>
      </c>
      <c r="G21" s="143">
        <v>7.9617834394904455E-2</v>
      </c>
      <c r="H21" s="83">
        <f t="shared" si="0"/>
        <v>0.14351098897968642</v>
      </c>
      <c r="I21" s="83">
        <f>H21*'Key Data'!$I$8</f>
        <v>6.314483515106202E-2</v>
      </c>
      <c r="J21" s="83">
        <f>I21*'Key Data'!$F$8</f>
        <v>0.10040028789018862</v>
      </c>
      <c r="K21" s="83">
        <f>J21*'Key Data'!$K$8</f>
        <v>2.5100071972547155E-2</v>
      </c>
      <c r="L21" s="83">
        <f t="shared" si="1"/>
        <v>0.12550035986273578</v>
      </c>
      <c r="M21" s="443"/>
      <c r="N21" s="443"/>
    </row>
    <row r="22" spans="2:14">
      <c r="B22" s="442"/>
      <c r="C22" s="442"/>
      <c r="D22" s="142"/>
      <c r="E22" s="142"/>
      <c r="F22" s="142">
        <v>19</v>
      </c>
      <c r="G22" s="143">
        <v>9.2356687898089165E-2</v>
      </c>
      <c r="H22" s="83">
        <f t="shared" si="0"/>
        <v>0.17332263674101672</v>
      </c>
      <c r="I22" s="83">
        <f>H22*'Key Data'!$I$8</f>
        <v>7.626196016604736E-2</v>
      </c>
      <c r="J22" s="83">
        <f>I22*'Key Data'!$F$8</f>
        <v>0.12125651666401531</v>
      </c>
      <c r="K22" s="83">
        <f>J22*'Key Data'!$K$8</f>
        <v>3.0314129166003827E-2</v>
      </c>
      <c r="L22" s="83">
        <f t="shared" si="1"/>
        <v>0.15157064583001914</v>
      </c>
      <c r="M22" s="443"/>
      <c r="N22" s="443"/>
    </row>
    <row r="23" spans="2:14">
      <c r="B23" s="442"/>
      <c r="C23" s="442"/>
      <c r="D23" s="142"/>
      <c r="E23" s="142"/>
      <c r="F23" s="142">
        <v>20</v>
      </c>
      <c r="G23" s="143">
        <v>9.2356687898089165E-2</v>
      </c>
      <c r="H23" s="83">
        <f t="shared" si="0"/>
        <v>0.17332263674101672</v>
      </c>
      <c r="I23" s="83">
        <f>H23*'Key Data'!$I$8</f>
        <v>7.626196016604736E-2</v>
      </c>
      <c r="J23" s="83">
        <f>I23*'Key Data'!$F$8</f>
        <v>0.12125651666401531</v>
      </c>
      <c r="K23" s="83">
        <f>J23*'Key Data'!$K$8</f>
        <v>3.0314129166003827E-2</v>
      </c>
      <c r="L23" s="83">
        <f t="shared" si="1"/>
        <v>0.15157064583001914</v>
      </c>
      <c r="M23" s="443"/>
      <c r="N23" s="443"/>
    </row>
    <row r="24" spans="2:14">
      <c r="B24" s="442"/>
      <c r="C24" s="442"/>
      <c r="D24" s="142"/>
      <c r="E24" s="142"/>
      <c r="F24" s="142">
        <v>21</v>
      </c>
      <c r="G24" s="143">
        <v>8.7579617834394913E-2</v>
      </c>
      <c r="H24" s="83">
        <f t="shared" si="0"/>
        <v>0.16181382116390766</v>
      </c>
      <c r="I24" s="83">
        <f>H24*'Key Data'!$I$8</f>
        <v>7.1198081312119368E-2</v>
      </c>
      <c r="J24" s="83">
        <f>I24*'Key Data'!$F$8</f>
        <v>0.1132049492862698</v>
      </c>
      <c r="K24" s="83">
        <f>J24*'Key Data'!$K$8</f>
        <v>2.830123732156745E-2</v>
      </c>
      <c r="L24" s="83">
        <f t="shared" si="1"/>
        <v>0.14150618660783726</v>
      </c>
      <c r="M24" s="443"/>
      <c r="N24" s="443"/>
    </row>
    <row r="25" spans="2:14">
      <c r="B25" s="442"/>
      <c r="C25" s="442"/>
      <c r="D25" s="142"/>
      <c r="E25" s="142"/>
      <c r="F25" s="142">
        <v>22</v>
      </c>
      <c r="G25" s="143">
        <v>0.10031847133757961</v>
      </c>
      <c r="H25" s="83">
        <f t="shared" si="0"/>
        <v>0.19338252314715873</v>
      </c>
      <c r="I25" s="83">
        <f>H25*'Key Data'!$I$8</f>
        <v>8.5088310184749841E-2</v>
      </c>
      <c r="J25" s="83">
        <f>I25*'Key Data'!$F$8</f>
        <v>0.13529041319375226</v>
      </c>
      <c r="K25" s="83">
        <f>J25*'Key Data'!$K$8</f>
        <v>3.3822603298438066E-2</v>
      </c>
      <c r="L25" s="83">
        <f t="shared" si="1"/>
        <v>0.16911301649219032</v>
      </c>
      <c r="M25" s="443"/>
      <c r="N25" s="443"/>
    </row>
    <row r="26" spans="2:14">
      <c r="B26" s="442"/>
      <c r="C26" s="442"/>
      <c r="D26" s="142"/>
      <c r="E26" s="142"/>
      <c r="F26" s="142">
        <v>23</v>
      </c>
      <c r="G26" s="143">
        <v>8.9171974522293002E-2</v>
      </c>
      <c r="H26" s="83">
        <f t="shared" si="0"/>
        <v>0.165606166667396</v>
      </c>
      <c r="I26" s="83">
        <f>H26*'Key Data'!$I$8</f>
        <v>7.2866713333654243E-2</v>
      </c>
      <c r="J26" s="83">
        <f>I26*'Key Data'!$F$8</f>
        <v>0.11585807420051025</v>
      </c>
      <c r="K26" s="83">
        <f>J26*'Key Data'!$K$8</f>
        <v>2.8964518550127563E-2</v>
      </c>
      <c r="L26" s="83">
        <f t="shared" si="1"/>
        <v>0.1448225927506378</v>
      </c>
      <c r="M26" s="443"/>
      <c r="N26" s="443"/>
    </row>
    <row r="27" spans="2:14">
      <c r="B27" s="442"/>
      <c r="C27" s="442"/>
      <c r="D27" s="142"/>
      <c r="E27" s="142"/>
      <c r="F27" s="142">
        <v>24</v>
      </c>
      <c r="G27" s="143">
        <v>0.1162420382165605</v>
      </c>
      <c r="H27" s="83">
        <f t="shared" si="0"/>
        <v>0.23679677262554422</v>
      </c>
      <c r="I27" s="83">
        <f>H27*'Key Data'!$I$8</f>
        <v>0.10419057995523946</v>
      </c>
      <c r="J27" s="83">
        <f>I27*'Key Data'!$F$8</f>
        <v>0.16566302212883074</v>
      </c>
      <c r="K27" s="83">
        <f>J27*'Key Data'!$K$8</f>
        <v>4.1415755532207686E-2</v>
      </c>
      <c r="L27" s="83">
        <f t="shared" si="1"/>
        <v>0.20707877766103844</v>
      </c>
      <c r="M27" s="443"/>
      <c r="N27" s="443"/>
    </row>
    <row r="28" spans="2:14">
      <c r="B28" s="442"/>
      <c r="C28" s="442"/>
      <c r="D28" s="142"/>
      <c r="E28" s="142"/>
      <c r="F28" s="142">
        <v>25</v>
      </c>
      <c r="G28" s="143">
        <v>8.5987261146496824E-2</v>
      </c>
      <c r="H28" s="83">
        <f t="shared" si="0"/>
        <v>0.15806540201596744</v>
      </c>
      <c r="I28" s="83">
        <f>H28*'Key Data'!$I$8</f>
        <v>6.9548776887025682E-2</v>
      </c>
      <c r="J28" s="83">
        <f>I28*'Key Data'!$F$8</f>
        <v>0.11058255525037083</v>
      </c>
      <c r="K28" s="83">
        <f>J28*'Key Data'!$K$8</f>
        <v>2.7645638812592709E-2</v>
      </c>
      <c r="L28" s="83">
        <f t="shared" si="1"/>
        <v>0.13822819406296355</v>
      </c>
      <c r="M28" s="443"/>
      <c r="N28" s="443"/>
    </row>
    <row r="29" spans="2:14">
      <c r="B29" s="442"/>
      <c r="C29" s="442"/>
      <c r="D29" s="142"/>
      <c r="E29" s="142"/>
      <c r="F29" s="142">
        <v>26</v>
      </c>
      <c r="G29" s="143">
        <v>8.5987261146496824E-2</v>
      </c>
      <c r="H29" s="83">
        <f t="shared" si="0"/>
        <v>0.15806540201596744</v>
      </c>
      <c r="I29" s="83">
        <f>H29*'Key Data'!$I$8</f>
        <v>6.9548776887025682E-2</v>
      </c>
      <c r="J29" s="83">
        <f>I29*'Key Data'!$F$8</f>
        <v>0.11058255525037083</v>
      </c>
      <c r="K29" s="83">
        <f>J29*'Key Data'!$K$8</f>
        <v>2.7645638812592709E-2</v>
      </c>
      <c r="L29" s="83">
        <f t="shared" si="1"/>
        <v>0.13822819406296355</v>
      </c>
      <c r="M29" s="443"/>
      <c r="N29" s="443"/>
    </row>
    <row r="30" spans="2:14">
      <c r="B30" s="442"/>
      <c r="C30" s="442"/>
      <c r="D30" s="142"/>
      <c r="E30" s="142"/>
      <c r="F30" s="142">
        <v>27</v>
      </c>
      <c r="G30" s="143">
        <v>9.2356687898089165E-2</v>
      </c>
      <c r="H30" s="83">
        <f t="shared" si="0"/>
        <v>0.17332263674101672</v>
      </c>
      <c r="I30" s="83">
        <f>H30*'Key Data'!$I$8</f>
        <v>7.626196016604736E-2</v>
      </c>
      <c r="J30" s="83">
        <f>I30*'Key Data'!$F$8</f>
        <v>0.12125651666401531</v>
      </c>
      <c r="K30" s="83">
        <f>J30*'Key Data'!$K$8</f>
        <v>3.0314129166003827E-2</v>
      </c>
      <c r="L30" s="83">
        <f t="shared" si="1"/>
        <v>0.15157064583001914</v>
      </c>
      <c r="M30" s="443"/>
      <c r="N30" s="443"/>
    </row>
    <row r="31" spans="2:14">
      <c r="B31" s="442"/>
      <c r="C31" s="442"/>
      <c r="D31" s="142"/>
      <c r="E31" s="142"/>
      <c r="F31" s="142">
        <v>28</v>
      </c>
      <c r="G31" s="143">
        <v>9.0764331210191077E-2</v>
      </c>
      <c r="H31" s="83">
        <f t="shared" si="0"/>
        <v>0.16944243852643234</v>
      </c>
      <c r="I31" s="83">
        <f>H31*'Key Data'!$I$8</f>
        <v>7.4554672951630235E-2</v>
      </c>
      <c r="J31" s="83">
        <f>I31*'Key Data'!$F$8</f>
        <v>0.11854192999309209</v>
      </c>
      <c r="K31" s="83">
        <f>J31*'Key Data'!$K$8</f>
        <v>2.9635482498273021E-2</v>
      </c>
      <c r="L31" s="83">
        <f t="shared" si="1"/>
        <v>0.1481774124913651</v>
      </c>
      <c r="M31" s="443"/>
      <c r="N31" s="443"/>
    </row>
    <row r="32" spans="2:14">
      <c r="B32" s="442"/>
      <c r="C32" s="442"/>
      <c r="D32" s="142"/>
      <c r="E32" s="142"/>
      <c r="F32" s="142">
        <v>29</v>
      </c>
      <c r="G32" s="143">
        <v>6.6878980891719744E-2</v>
      </c>
      <c r="H32" s="83">
        <f t="shared" si="0"/>
        <v>0.11651062797342936</v>
      </c>
      <c r="I32" s="83">
        <f>H32*'Key Data'!$I$8</f>
        <v>5.1264676308308915E-2</v>
      </c>
      <c r="J32" s="83">
        <f>I32*'Key Data'!$F$8</f>
        <v>8.1510835330211182E-2</v>
      </c>
      <c r="K32" s="83">
        <f>J32*'Key Data'!$K$8</f>
        <v>2.0377708832552795E-2</v>
      </c>
      <c r="L32" s="83">
        <f t="shared" si="1"/>
        <v>0.10188854416276398</v>
      </c>
      <c r="M32" s="443"/>
      <c r="N32" s="443"/>
    </row>
    <row r="33" spans="2:14">
      <c r="B33" s="442"/>
      <c r="C33" s="442"/>
      <c r="D33" s="142"/>
      <c r="E33" s="142"/>
      <c r="F33" s="142">
        <v>30</v>
      </c>
      <c r="G33" s="143">
        <v>0.12898089171974522</v>
      </c>
      <c r="H33" s="83">
        <f t="shared" si="0"/>
        <v>0.27469086980771001</v>
      </c>
      <c r="I33" s="83">
        <f>H33*'Key Data'!$I$8</f>
        <v>0.12086398271539241</v>
      </c>
      <c r="J33" s="83">
        <f>I33*'Key Data'!$F$8</f>
        <v>0.19217373251747394</v>
      </c>
      <c r="K33" s="83">
        <f>J33*'Key Data'!$K$8</f>
        <v>4.8043433129368485E-2</v>
      </c>
      <c r="L33" s="83">
        <f t="shared" si="1"/>
        <v>0.24021716564684242</v>
      </c>
      <c r="M33" s="443"/>
      <c r="N33" s="443"/>
    </row>
    <row r="34" spans="2:14">
      <c r="B34" s="442"/>
      <c r="C34" s="442"/>
      <c r="D34" s="142"/>
      <c r="E34" s="142"/>
      <c r="F34" s="142">
        <v>31</v>
      </c>
      <c r="G34" s="143">
        <v>8.9171974522293002E-2</v>
      </c>
      <c r="H34" s="83">
        <f t="shared" si="0"/>
        <v>0.165606166667396</v>
      </c>
      <c r="I34" s="83">
        <f>H34*'Key Data'!$I$8</f>
        <v>7.2866713333654243E-2</v>
      </c>
      <c r="J34" s="83">
        <f>I34*'Key Data'!$F$8</f>
        <v>0.11585807420051025</v>
      </c>
      <c r="K34" s="83">
        <f>J34*'Key Data'!$K$8</f>
        <v>2.8964518550127563E-2</v>
      </c>
      <c r="L34" s="83">
        <f t="shared" si="1"/>
        <v>0.1448225927506378</v>
      </c>
      <c r="M34" s="443"/>
      <c r="N34" s="443"/>
    </row>
    <row r="35" spans="2:14">
      <c r="B35" s="442"/>
      <c r="C35" s="442"/>
      <c r="D35" s="142"/>
      <c r="E35" s="142"/>
      <c r="F35" s="142">
        <v>32</v>
      </c>
      <c r="G35" s="143">
        <v>7.6433121019108277E-2</v>
      </c>
      <c r="H35" s="83">
        <f t="shared" si="0"/>
        <v>0.13649734059483401</v>
      </c>
      <c r="I35" s="83">
        <f>H35*'Key Data'!$I$8</f>
        <v>6.0058829861726962E-2</v>
      </c>
      <c r="J35" s="83">
        <f>I35*'Key Data'!$F$8</f>
        <v>9.549353948014587E-2</v>
      </c>
      <c r="K35" s="83">
        <f>J35*'Key Data'!$K$8</f>
        <v>2.3873384870036467E-2</v>
      </c>
      <c r="L35" s="83">
        <f t="shared" si="1"/>
        <v>0.11936692435018234</v>
      </c>
      <c r="M35" s="443"/>
      <c r="N35" s="443"/>
    </row>
    <row r="36" spans="2:14">
      <c r="B36" s="442"/>
      <c r="C36" s="442"/>
      <c r="D36" s="142"/>
      <c r="E36" s="142"/>
      <c r="F36" s="142">
        <v>33</v>
      </c>
      <c r="G36" s="143">
        <v>4.4585987261146501E-2</v>
      </c>
      <c r="H36" s="83">
        <f t="shared" si="0"/>
        <v>7.6024654966874466E-2</v>
      </c>
      <c r="I36" s="83">
        <f>H36*'Key Data'!$I$8</f>
        <v>3.3450848185424764E-2</v>
      </c>
      <c r="J36" s="83">
        <f>I36*'Key Data'!$F$8</f>
        <v>5.318684861482538E-2</v>
      </c>
      <c r="K36" s="83">
        <f>J36*'Key Data'!$K$8</f>
        <v>1.3296712153706345E-2</v>
      </c>
      <c r="L36" s="83">
        <f t="shared" si="1"/>
        <v>6.6483560768531721E-2</v>
      </c>
      <c r="M36" s="443"/>
      <c r="N36" s="443"/>
    </row>
    <row r="37" spans="2:14">
      <c r="B37" s="442"/>
      <c r="C37" s="442"/>
      <c r="D37" s="142"/>
      <c r="E37" s="142"/>
      <c r="F37" s="142">
        <v>34</v>
      </c>
      <c r="G37" s="143">
        <v>6.8471337579617833E-2</v>
      </c>
      <c r="H37" s="83">
        <f t="shared" si="0"/>
        <v>0.11973193085479343</v>
      </c>
      <c r="I37" s="83">
        <f>H37*'Key Data'!$I$8</f>
        <v>5.2682049576109106E-2</v>
      </c>
      <c r="J37" s="83">
        <f>I37*'Key Data'!$F$8</f>
        <v>8.376445882601348E-2</v>
      </c>
      <c r="K37" s="83">
        <f>J37*'Key Data'!$K$8</f>
        <v>2.094111470650337E-2</v>
      </c>
      <c r="L37" s="83">
        <f t="shared" si="1"/>
        <v>0.10470557353251685</v>
      </c>
      <c r="M37" s="443"/>
      <c r="N37" s="443"/>
    </row>
    <row r="38" spans="2:14">
      <c r="B38" s="442"/>
      <c r="C38" s="442"/>
      <c r="D38" s="142"/>
      <c r="E38" s="142"/>
      <c r="F38" s="142">
        <v>35</v>
      </c>
      <c r="G38" s="143">
        <v>8.5987261146496824E-2</v>
      </c>
      <c r="H38" s="83">
        <f t="shared" si="0"/>
        <v>0.15806540201596744</v>
      </c>
      <c r="I38" s="83">
        <f>H38*'Key Data'!$I$8</f>
        <v>6.9548776887025682E-2</v>
      </c>
      <c r="J38" s="83">
        <f>I38*'Key Data'!$F$8</f>
        <v>0.11058255525037083</v>
      </c>
      <c r="K38" s="83">
        <f>J38*'Key Data'!$K$8</f>
        <v>2.7645638812592709E-2</v>
      </c>
      <c r="L38" s="83">
        <f t="shared" si="1"/>
        <v>0.13822819406296355</v>
      </c>
      <c r="M38" s="443"/>
      <c r="N38" s="443"/>
    </row>
    <row r="39" spans="2:14">
      <c r="B39" s="442"/>
      <c r="C39" s="442"/>
      <c r="D39" s="142"/>
      <c r="E39" s="142"/>
      <c r="F39" s="142">
        <v>36</v>
      </c>
      <c r="G39" s="143">
        <v>0.1035031847133758</v>
      </c>
      <c r="H39" s="83">
        <f t="shared" si="0"/>
        <v>0.20171396219845172</v>
      </c>
      <c r="I39" s="83">
        <f>H39*'Key Data'!$I$8</f>
        <v>8.8754143367318752E-2</v>
      </c>
      <c r="J39" s="83">
        <f>I39*'Key Data'!$F$8</f>
        <v>0.14111908795403683</v>
      </c>
      <c r="K39" s="83">
        <f>J39*'Key Data'!$K$8</f>
        <v>3.5279771988509206E-2</v>
      </c>
      <c r="L39" s="83">
        <f t="shared" si="1"/>
        <v>0.17639885994254603</v>
      </c>
      <c r="M39" s="443"/>
      <c r="N39" s="443"/>
    </row>
    <row r="40" spans="2:14">
      <c r="B40" s="442"/>
      <c r="C40" s="442"/>
      <c r="D40" s="142"/>
      <c r="E40" s="142"/>
      <c r="F40" s="142">
        <v>37</v>
      </c>
      <c r="G40" s="143">
        <v>8.7579617834394913E-2</v>
      </c>
      <c r="H40" s="83">
        <f t="shared" si="0"/>
        <v>0.16181382116390766</v>
      </c>
      <c r="I40" s="83">
        <f>H40*'Key Data'!$I$8</f>
        <v>7.1198081312119368E-2</v>
      </c>
      <c r="J40" s="83">
        <f>I40*'Key Data'!$F$8</f>
        <v>0.1132049492862698</v>
      </c>
      <c r="K40" s="83">
        <f>J40*'Key Data'!$K$8</f>
        <v>2.830123732156745E-2</v>
      </c>
      <c r="L40" s="83">
        <f t="shared" si="1"/>
        <v>0.14150618660783726</v>
      </c>
      <c r="M40" s="443"/>
      <c r="N40" s="443"/>
    </row>
    <row r="41" spans="2:14">
      <c r="B41" s="442"/>
      <c r="C41" s="442"/>
      <c r="D41" s="142"/>
      <c r="E41" s="142"/>
      <c r="F41" s="142">
        <v>38</v>
      </c>
      <c r="G41" s="143">
        <v>6.5286624203821655E-2</v>
      </c>
      <c r="H41" s="83">
        <f t="shared" si="0"/>
        <v>0.1133332514476133</v>
      </c>
      <c r="I41" s="83">
        <f>H41*'Key Data'!$I$8</f>
        <v>4.9866630636949856E-2</v>
      </c>
      <c r="J41" s="83">
        <f>I41*'Key Data'!$F$8</f>
        <v>7.9287942712750276E-2</v>
      </c>
      <c r="K41" s="83">
        <f>J41*'Key Data'!$K$8</f>
        <v>1.9821985678187569E-2</v>
      </c>
      <c r="L41" s="83">
        <f t="shared" si="1"/>
        <v>9.9109928390937851E-2</v>
      </c>
      <c r="M41" s="443"/>
      <c r="N41" s="443"/>
    </row>
    <row r="42" spans="2:14">
      <c r="B42" s="442"/>
      <c r="C42" s="442"/>
      <c r="D42" s="142"/>
      <c r="E42" s="142"/>
      <c r="F42" s="142">
        <v>39</v>
      </c>
      <c r="G42" s="143">
        <v>8.7579617834394913E-2</v>
      </c>
      <c r="H42" s="83">
        <f t="shared" si="0"/>
        <v>0.16181382116390766</v>
      </c>
      <c r="I42" s="83">
        <f>H42*'Key Data'!$I$8</f>
        <v>7.1198081312119368E-2</v>
      </c>
      <c r="J42" s="83">
        <f>I42*'Key Data'!$F$8</f>
        <v>0.1132049492862698</v>
      </c>
      <c r="K42" s="83">
        <f>J42*'Key Data'!$K$8</f>
        <v>2.830123732156745E-2</v>
      </c>
      <c r="L42" s="83">
        <f t="shared" si="1"/>
        <v>0.14150618660783726</v>
      </c>
      <c r="M42" s="443"/>
      <c r="N42" s="443"/>
    </row>
    <row r="43" spans="2:14">
      <c r="B43" s="442"/>
      <c r="C43" s="442"/>
      <c r="D43" s="142"/>
      <c r="E43" s="142"/>
      <c r="F43" s="142">
        <v>40</v>
      </c>
      <c r="G43" s="143">
        <v>0.12738853503184713</v>
      </c>
      <c r="H43" s="83">
        <f t="shared" si="0"/>
        <v>0.26980036541552133</v>
      </c>
      <c r="I43" s="83">
        <f>H43*'Key Data'!$I$8</f>
        <v>0.11871216078282938</v>
      </c>
      <c r="J43" s="83">
        <f>I43*'Key Data'!$F$8</f>
        <v>0.18875233564469873</v>
      </c>
      <c r="K43" s="83">
        <f>J43*'Key Data'!$K$8</f>
        <v>4.7188083911174683E-2</v>
      </c>
      <c r="L43" s="83">
        <f t="shared" si="1"/>
        <v>0.23594041955587342</v>
      </c>
      <c r="M43" s="443"/>
      <c r="N43" s="443"/>
    </row>
    <row r="44" spans="2:14">
      <c r="B44" s="442"/>
      <c r="C44" s="442"/>
      <c r="D44" s="142"/>
      <c r="E44" s="142"/>
      <c r="F44" s="142">
        <v>41</v>
      </c>
      <c r="G44" s="143">
        <v>9.0764331210191077E-2</v>
      </c>
      <c r="H44" s="83">
        <f t="shared" si="0"/>
        <v>0.16944243852643234</v>
      </c>
      <c r="I44" s="83">
        <f>H44*'Key Data'!$I$8</f>
        <v>7.4554672951630235E-2</v>
      </c>
      <c r="J44" s="83">
        <f>I44*'Key Data'!$F$8</f>
        <v>0.11854192999309209</v>
      </c>
      <c r="K44" s="83">
        <f>J44*'Key Data'!$K$8</f>
        <v>2.9635482498273021E-2</v>
      </c>
      <c r="L44" s="83">
        <f t="shared" si="1"/>
        <v>0.1481774124913651</v>
      </c>
      <c r="M44" s="443"/>
      <c r="N44" s="443"/>
    </row>
    <row r="45" spans="2:14">
      <c r="B45" s="442"/>
      <c r="C45" s="442"/>
      <c r="D45" s="142"/>
      <c r="E45" s="142"/>
      <c r="F45" s="142">
        <v>42</v>
      </c>
      <c r="G45" s="143">
        <v>7.0063694267515922E-2</v>
      </c>
      <c r="H45" s="83">
        <f t="shared" si="0"/>
        <v>0.12299716009170553</v>
      </c>
      <c r="I45" s="83">
        <f>H45*'Key Data'!$I$8</f>
        <v>5.411875044035043E-2</v>
      </c>
      <c r="J45" s="83">
        <f>I45*'Key Data'!$F$8</f>
        <v>8.6048813200157184E-2</v>
      </c>
      <c r="K45" s="83">
        <f>J45*'Key Data'!$K$8</f>
        <v>2.1512203300039296E-2</v>
      </c>
      <c r="L45" s="83">
        <f t="shared" si="1"/>
        <v>0.10756101650019648</v>
      </c>
      <c r="M45" s="443"/>
      <c r="N45" s="443"/>
    </row>
    <row r="46" spans="2:14">
      <c r="B46" s="442"/>
      <c r="C46" s="442"/>
      <c r="D46" s="142"/>
      <c r="E46" s="142"/>
      <c r="F46" s="142">
        <v>43</v>
      </c>
      <c r="G46" s="143">
        <v>9.8726114649681521E-2</v>
      </c>
      <c r="H46" s="83">
        <f t="shared" si="0"/>
        <v>0.18928269315483429</v>
      </c>
      <c r="I46" s="83">
        <f>H46*'Key Data'!$I$8</f>
        <v>8.3284384988127083E-2</v>
      </c>
      <c r="J46" s="83">
        <f>I46*'Key Data'!$F$8</f>
        <v>0.13242217213112206</v>
      </c>
      <c r="K46" s="83">
        <f>J46*'Key Data'!$K$8</f>
        <v>3.3105543032780516E-2</v>
      </c>
      <c r="L46" s="83">
        <f t="shared" si="1"/>
        <v>0.16552771516390258</v>
      </c>
      <c r="M46" s="443"/>
      <c r="N46" s="443"/>
    </row>
    <row r="47" spans="2:14">
      <c r="B47" s="442"/>
      <c r="C47" s="442"/>
      <c r="D47" s="142"/>
      <c r="E47" s="142"/>
      <c r="F47" s="142">
        <v>44</v>
      </c>
      <c r="G47" s="143">
        <v>3.9808917197452227E-2</v>
      </c>
      <c r="H47" s="83">
        <f t="shared" si="0"/>
        <v>6.8469211389087195E-2</v>
      </c>
      <c r="I47" s="83">
        <f>H47*'Key Data'!$I$8</f>
        <v>3.0126453011198366E-2</v>
      </c>
      <c r="J47" s="83">
        <f>I47*'Key Data'!$F$8</f>
        <v>4.7901060287805407E-2</v>
      </c>
      <c r="K47" s="83">
        <f>J47*'Key Data'!$K$8</f>
        <v>1.1975265071951352E-2</v>
      </c>
      <c r="L47" s="83">
        <f t="shared" si="1"/>
        <v>5.987632535975676E-2</v>
      </c>
      <c r="M47" s="443"/>
      <c r="N47" s="443"/>
    </row>
    <row r="48" spans="2:14">
      <c r="B48" s="442"/>
      <c r="C48" s="442"/>
      <c r="D48" s="142"/>
      <c r="E48" s="142"/>
      <c r="F48" s="142">
        <v>45</v>
      </c>
      <c r="G48" s="143">
        <v>7.6433121019108277E-2</v>
      </c>
      <c r="H48" s="83">
        <f t="shared" si="0"/>
        <v>0.13649734059483401</v>
      </c>
      <c r="I48" s="83">
        <f>H48*'Key Data'!$I$8</f>
        <v>6.0058829861726962E-2</v>
      </c>
      <c r="J48" s="83">
        <f>I48*'Key Data'!$F$8</f>
        <v>9.549353948014587E-2</v>
      </c>
      <c r="K48" s="83">
        <f>J48*'Key Data'!$K$8</f>
        <v>2.3873384870036467E-2</v>
      </c>
      <c r="L48" s="83">
        <f t="shared" si="1"/>
        <v>0.11936692435018234</v>
      </c>
      <c r="M48" s="443"/>
      <c r="N48" s="443"/>
    </row>
    <row r="49" spans="2:14">
      <c r="B49" s="442"/>
      <c r="C49" s="442"/>
      <c r="D49" s="142"/>
      <c r="E49" s="142"/>
      <c r="F49" s="142">
        <v>46</v>
      </c>
      <c r="G49" s="143">
        <v>0.1019108280254777</v>
      </c>
      <c r="H49" s="83">
        <f t="shared" si="0"/>
        <v>0.19752627949503121</v>
      </c>
      <c r="I49" s="83">
        <f>H49*'Key Data'!$I$8</f>
        <v>8.6911562977813731E-2</v>
      </c>
      <c r="J49" s="83">
        <f>I49*'Key Data'!$F$8</f>
        <v>0.13818938513472384</v>
      </c>
      <c r="K49" s="83">
        <f>J49*'Key Data'!$K$8</f>
        <v>3.454734628368096E-2</v>
      </c>
      <c r="L49" s="83">
        <f t="shared" si="1"/>
        <v>0.17273673141840479</v>
      </c>
      <c r="M49" s="443"/>
      <c r="N49" s="443"/>
    </row>
    <row r="50" spans="2:14">
      <c r="B50" s="442"/>
      <c r="C50" s="442"/>
      <c r="D50" s="142"/>
      <c r="E50" s="142"/>
      <c r="F50" s="142">
        <v>47</v>
      </c>
      <c r="G50" s="143">
        <v>0.10828025477707007</v>
      </c>
      <c r="H50" s="83">
        <f t="shared" si="0"/>
        <v>0.21454056844200123</v>
      </c>
      <c r="I50" s="83">
        <f>H50*'Key Data'!$I$8</f>
        <v>9.4397850114480542E-2</v>
      </c>
      <c r="J50" s="83">
        <f>I50*'Key Data'!$F$8</f>
        <v>0.15009258168202408</v>
      </c>
      <c r="K50" s="83">
        <f>J50*'Key Data'!$K$8</f>
        <v>3.752314542050602E-2</v>
      </c>
      <c r="L50" s="83">
        <f t="shared" si="1"/>
        <v>0.18761572710253011</v>
      </c>
      <c r="M50" s="443"/>
      <c r="N50" s="443"/>
    </row>
    <row r="51" spans="2:14">
      <c r="B51" s="442"/>
      <c r="C51" s="442"/>
      <c r="D51" s="142"/>
      <c r="E51" s="142"/>
      <c r="F51" s="142">
        <v>48</v>
      </c>
      <c r="G51" s="143">
        <v>8.4394904458598721E-2</v>
      </c>
      <c r="H51" s="83">
        <f t="shared" si="0"/>
        <v>0.15436090922357507</v>
      </c>
      <c r="I51" s="83">
        <f>H51*'Key Data'!$I$8</f>
        <v>6.791880005837303E-2</v>
      </c>
      <c r="J51" s="83">
        <f>I51*'Key Data'!$F$8</f>
        <v>0.10799089209281312</v>
      </c>
      <c r="K51" s="83">
        <f>J51*'Key Data'!$K$8</f>
        <v>2.6997723023203281E-2</v>
      </c>
      <c r="L51" s="83">
        <f t="shared" si="1"/>
        <v>0.1349886151160164</v>
      </c>
      <c r="M51" s="443"/>
      <c r="N51" s="443"/>
    </row>
    <row r="52" spans="2:14">
      <c r="B52" s="442"/>
      <c r="C52" s="442"/>
      <c r="D52" s="142"/>
      <c r="E52" s="142"/>
      <c r="F52" s="142">
        <v>49</v>
      </c>
      <c r="G52" s="143">
        <v>8.5987261146496824E-2</v>
      </c>
      <c r="H52" s="83">
        <f t="shared" si="0"/>
        <v>0.15806540201596744</v>
      </c>
      <c r="I52" s="83">
        <f>H52*'Key Data'!$I$8</f>
        <v>6.9548776887025682E-2</v>
      </c>
      <c r="J52" s="83">
        <f>I52*'Key Data'!$F$8</f>
        <v>0.11058255525037083</v>
      </c>
      <c r="K52" s="83">
        <f>J52*'Key Data'!$K$8</f>
        <v>2.7645638812592709E-2</v>
      </c>
      <c r="L52" s="83">
        <f t="shared" si="1"/>
        <v>0.13822819406296355</v>
      </c>
      <c r="M52" s="443"/>
      <c r="N52" s="443"/>
    </row>
    <row r="53" spans="2:14">
      <c r="B53" s="442"/>
      <c r="C53" s="442"/>
      <c r="D53" s="142"/>
      <c r="E53" s="142"/>
      <c r="F53" s="142">
        <v>50</v>
      </c>
      <c r="G53" s="143">
        <v>8.5987261146496824E-2</v>
      </c>
      <c r="H53" s="83">
        <f t="shared" si="0"/>
        <v>0.15806540201596744</v>
      </c>
      <c r="I53" s="83">
        <f>H53*'Key Data'!$I$8</f>
        <v>6.9548776887025682E-2</v>
      </c>
      <c r="J53" s="83">
        <f>I53*'Key Data'!$F$8</f>
        <v>0.11058255525037083</v>
      </c>
      <c r="K53" s="83">
        <f>J53*'Key Data'!$K$8</f>
        <v>2.7645638812592709E-2</v>
      </c>
      <c r="L53" s="83">
        <f t="shared" si="1"/>
        <v>0.13822819406296355</v>
      </c>
      <c r="M53" s="443"/>
      <c r="N53" s="443"/>
    </row>
    <row r="54" spans="2:14">
      <c r="B54" s="442"/>
      <c r="C54" s="442"/>
      <c r="D54" s="142"/>
      <c r="E54" s="142"/>
      <c r="F54" s="142">
        <v>51</v>
      </c>
      <c r="G54" s="143">
        <v>8.2802547770700632E-2</v>
      </c>
      <c r="H54" s="83">
        <f t="shared" si="0"/>
        <v>0.15070034278673086</v>
      </c>
      <c r="I54" s="83">
        <f>H54*'Key Data'!$I$8</f>
        <v>6.630815082616158E-2</v>
      </c>
      <c r="J54" s="83">
        <f>I54*'Key Data'!$F$8</f>
        <v>0.10542995981359692</v>
      </c>
      <c r="K54" s="83">
        <f>J54*'Key Data'!$K$8</f>
        <v>2.6357489953399229E-2</v>
      </c>
      <c r="L54" s="83">
        <f t="shared" si="1"/>
        <v>0.13178744976699613</v>
      </c>
      <c r="M54" s="443"/>
      <c r="N54" s="443"/>
    </row>
    <row r="55" spans="2:14">
      <c r="B55" s="442"/>
      <c r="C55" s="442"/>
      <c r="D55" s="142"/>
      <c r="E55" s="142"/>
      <c r="F55" s="142">
        <v>52</v>
      </c>
      <c r="G55" s="143">
        <v>9.7133757961783432E-2</v>
      </c>
      <c r="H55" s="83">
        <f t="shared" si="0"/>
        <v>0.18522678951805782</v>
      </c>
      <c r="I55" s="83">
        <f>H55*'Key Data'!$I$8</f>
        <v>8.1499787387945444E-2</v>
      </c>
      <c r="J55" s="83">
        <f>I55*'Key Data'!$F$8</f>
        <v>0.12958466194683327</v>
      </c>
      <c r="K55" s="83">
        <f>J55*'Key Data'!$K$8</f>
        <v>3.2396165486708317E-2</v>
      </c>
      <c r="L55" s="83">
        <f t="shared" si="1"/>
        <v>0.16198082743354159</v>
      </c>
      <c r="M55" s="443"/>
      <c r="N55" s="443"/>
    </row>
    <row r="56" spans="2:14">
      <c r="B56" s="442"/>
      <c r="C56" s="442"/>
      <c r="D56" s="142"/>
      <c r="E56" s="142"/>
      <c r="F56" s="142">
        <v>53</v>
      </c>
      <c r="G56" s="143">
        <v>7.9617834394904455E-2</v>
      </c>
      <c r="H56" s="83">
        <f t="shared" si="0"/>
        <v>0.14351098897968642</v>
      </c>
      <c r="I56" s="83">
        <f>H56*'Key Data'!$I$8</f>
        <v>6.314483515106202E-2</v>
      </c>
      <c r="J56" s="83">
        <f>I56*'Key Data'!$F$8</f>
        <v>0.10040028789018862</v>
      </c>
      <c r="K56" s="83">
        <f>J56*'Key Data'!$K$8</f>
        <v>2.5100071972547155E-2</v>
      </c>
      <c r="L56" s="83">
        <f t="shared" si="1"/>
        <v>0.12550035986273578</v>
      </c>
      <c r="M56" s="443"/>
      <c r="N56" s="443"/>
    </row>
    <row r="57" spans="2:14">
      <c r="B57" s="442"/>
      <c r="C57" s="442"/>
      <c r="D57" s="142"/>
      <c r="E57" s="142"/>
      <c r="F57" s="142">
        <v>54</v>
      </c>
      <c r="G57" s="143">
        <v>6.3694267515923567E-2</v>
      </c>
      <c r="H57" s="83">
        <f t="shared" si="0"/>
        <v>0.1101998012773453</v>
      </c>
      <c r="I57" s="83">
        <f>H57*'Key Data'!$I$8</f>
        <v>4.8487912562031929E-2</v>
      </c>
      <c r="J57" s="83">
        <f>I57*'Key Data'!$F$8</f>
        <v>7.7095780973630776E-2</v>
      </c>
      <c r="K57" s="83">
        <f>J57*'Key Data'!$K$8</f>
        <v>1.9273945243407694E-2</v>
      </c>
      <c r="L57" s="83">
        <f t="shared" si="1"/>
        <v>9.6369726217038473E-2</v>
      </c>
      <c r="M57" s="443"/>
      <c r="N57" s="443"/>
    </row>
    <row r="58" spans="2:14">
      <c r="B58" s="442"/>
      <c r="C58" s="442"/>
      <c r="D58" s="142"/>
      <c r="E58" s="142"/>
      <c r="F58" s="142">
        <v>55</v>
      </c>
      <c r="G58" s="143">
        <v>0.10509554140127389</v>
      </c>
      <c r="H58" s="83">
        <f t="shared" si="0"/>
        <v>0.20594557125742025</v>
      </c>
      <c r="I58" s="83">
        <f>H58*'Key Data'!$I$8</f>
        <v>9.0616051353264906E-2</v>
      </c>
      <c r="J58" s="83">
        <f>I58*'Key Data'!$F$8</f>
        <v>0.14407952165169122</v>
      </c>
      <c r="K58" s="83">
        <f>J58*'Key Data'!$K$8</f>
        <v>3.6019880412922804E-2</v>
      </c>
      <c r="L58" s="83">
        <f t="shared" si="1"/>
        <v>0.18009940206461403</v>
      </c>
      <c r="M58" s="443"/>
      <c r="N58" s="443"/>
    </row>
    <row r="59" spans="2:14">
      <c r="B59" s="442"/>
      <c r="C59" s="442"/>
      <c r="D59" s="142"/>
      <c r="E59" s="142"/>
      <c r="F59" s="142">
        <v>56</v>
      </c>
      <c r="G59" s="143">
        <v>8.4394904458598721E-2</v>
      </c>
      <c r="H59" s="83">
        <f t="shared" si="0"/>
        <v>0.15436090922357507</v>
      </c>
      <c r="I59" s="83">
        <f>H59*'Key Data'!$I$8</f>
        <v>6.791880005837303E-2</v>
      </c>
      <c r="J59" s="83">
        <f>I59*'Key Data'!$F$8</f>
        <v>0.10799089209281312</v>
      </c>
      <c r="K59" s="83">
        <f>J59*'Key Data'!$K$8</f>
        <v>2.6997723023203281E-2</v>
      </c>
      <c r="L59" s="83">
        <f t="shared" si="1"/>
        <v>0.1349886151160164</v>
      </c>
      <c r="M59" s="443"/>
      <c r="N59" s="443"/>
    </row>
    <row r="60" spans="2:14">
      <c r="B60" s="442"/>
      <c r="C60" s="442"/>
      <c r="D60" s="142"/>
      <c r="E60" s="142"/>
      <c r="F60" s="142">
        <v>57</v>
      </c>
      <c r="G60" s="143">
        <v>0.10828025477707007</v>
      </c>
      <c r="H60" s="83">
        <f t="shared" si="0"/>
        <v>0.21454056844200123</v>
      </c>
      <c r="I60" s="83">
        <f>H60*'Key Data'!$I$8</f>
        <v>9.4397850114480542E-2</v>
      </c>
      <c r="J60" s="83">
        <f>I60*'Key Data'!$F$8</f>
        <v>0.15009258168202408</v>
      </c>
      <c r="K60" s="83">
        <f>J60*'Key Data'!$K$8</f>
        <v>3.752314542050602E-2</v>
      </c>
      <c r="L60" s="83">
        <f t="shared" si="1"/>
        <v>0.18761572710253011</v>
      </c>
      <c r="M60" s="443"/>
      <c r="N60" s="443"/>
    </row>
    <row r="61" spans="2:14">
      <c r="B61" s="442"/>
      <c r="C61" s="442"/>
      <c r="D61" s="142"/>
      <c r="E61" s="142"/>
      <c r="F61" s="142">
        <v>58</v>
      </c>
      <c r="G61" s="143">
        <v>8.4394904458598721E-2</v>
      </c>
      <c r="H61" s="83">
        <f t="shared" si="0"/>
        <v>0.15436090922357507</v>
      </c>
      <c r="I61" s="83">
        <f>H61*'Key Data'!$I$8</f>
        <v>6.791880005837303E-2</v>
      </c>
      <c r="J61" s="83">
        <f>I61*'Key Data'!$F$8</f>
        <v>0.10799089209281312</v>
      </c>
      <c r="K61" s="83">
        <f>J61*'Key Data'!$K$8</f>
        <v>2.6997723023203281E-2</v>
      </c>
      <c r="L61" s="83">
        <f t="shared" si="1"/>
        <v>0.1349886151160164</v>
      </c>
      <c r="M61" s="443"/>
      <c r="N61" s="443"/>
    </row>
    <row r="62" spans="2:14">
      <c r="B62" s="442"/>
      <c r="C62" s="442"/>
      <c r="D62" s="142"/>
      <c r="E62" s="142"/>
      <c r="F62" s="142">
        <v>59</v>
      </c>
      <c r="G62" s="143">
        <v>0.10828025477707007</v>
      </c>
      <c r="H62" s="83">
        <f t="shared" si="0"/>
        <v>0.21454056844200123</v>
      </c>
      <c r="I62" s="83">
        <f>H62*'Key Data'!$I$8</f>
        <v>9.4397850114480542E-2</v>
      </c>
      <c r="J62" s="83">
        <f>I62*'Key Data'!$F$8</f>
        <v>0.15009258168202408</v>
      </c>
      <c r="K62" s="83">
        <f>J62*'Key Data'!$K$8</f>
        <v>3.752314542050602E-2</v>
      </c>
      <c r="L62" s="83">
        <f t="shared" si="1"/>
        <v>0.18761572710253011</v>
      </c>
      <c r="M62" s="443"/>
      <c r="N62" s="443"/>
    </row>
    <row r="63" spans="2:14">
      <c r="B63" s="442"/>
      <c r="C63" s="442"/>
      <c r="D63" s="142"/>
      <c r="E63" s="142"/>
      <c r="F63" s="142">
        <v>60</v>
      </c>
      <c r="G63" s="143">
        <v>8.9171974522293002E-2</v>
      </c>
      <c r="H63" s="83">
        <f t="shared" si="0"/>
        <v>0.165606166667396</v>
      </c>
      <c r="I63" s="83">
        <f>H63*'Key Data'!$I$8</f>
        <v>7.2866713333654243E-2</v>
      </c>
      <c r="J63" s="83">
        <f>I63*'Key Data'!$F$8</f>
        <v>0.11585807420051025</v>
      </c>
      <c r="K63" s="83">
        <f>J63*'Key Data'!$K$8</f>
        <v>2.8964518550127563E-2</v>
      </c>
      <c r="L63" s="83">
        <f t="shared" si="1"/>
        <v>0.1448225927506378</v>
      </c>
      <c r="M63" s="443"/>
      <c r="N63" s="443"/>
    </row>
    <row r="64" spans="2:14">
      <c r="B64" s="442"/>
      <c r="C64" s="442"/>
      <c r="D64" s="142"/>
      <c r="E64" s="142"/>
      <c r="F64" s="142">
        <v>61</v>
      </c>
      <c r="G64" s="143">
        <v>8.2802547770700632E-2</v>
      </c>
      <c r="H64" s="83">
        <f t="shared" si="0"/>
        <v>0.15070034278673086</v>
      </c>
      <c r="I64" s="83">
        <f>H64*'Key Data'!$I$8</f>
        <v>6.630815082616158E-2</v>
      </c>
      <c r="J64" s="83">
        <f>I64*'Key Data'!$F$8</f>
        <v>0.10542995981359692</v>
      </c>
      <c r="K64" s="83">
        <f>J64*'Key Data'!$K$8</f>
        <v>2.6357489953399229E-2</v>
      </c>
      <c r="L64" s="83">
        <f t="shared" si="1"/>
        <v>0.13178744976699613</v>
      </c>
      <c r="M64" s="443"/>
      <c r="N64" s="443"/>
    </row>
    <row r="65" spans="2:14">
      <c r="B65" s="442"/>
      <c r="C65" s="442"/>
      <c r="D65" s="142"/>
      <c r="E65" s="142"/>
      <c r="F65" s="142">
        <v>62</v>
      </c>
      <c r="G65" s="143">
        <v>7.0063694267515922E-2</v>
      </c>
      <c r="H65" s="83">
        <f t="shared" si="0"/>
        <v>0.12299716009170553</v>
      </c>
      <c r="I65" s="83">
        <f>H65*'Key Data'!$I$8</f>
        <v>5.411875044035043E-2</v>
      </c>
      <c r="J65" s="83">
        <f>I65*'Key Data'!$F$8</f>
        <v>8.6048813200157184E-2</v>
      </c>
      <c r="K65" s="83">
        <f>J65*'Key Data'!$K$8</f>
        <v>2.1512203300039296E-2</v>
      </c>
      <c r="L65" s="83">
        <f t="shared" si="1"/>
        <v>0.10756101650019648</v>
      </c>
      <c r="M65" s="443"/>
      <c r="N65" s="443"/>
    </row>
    <row r="66" spans="2:14">
      <c r="B66" s="442"/>
      <c r="C66" s="442"/>
      <c r="D66" s="142"/>
      <c r="E66" s="142"/>
      <c r="F66" s="142">
        <v>63</v>
      </c>
      <c r="G66" s="143">
        <v>9.8726114649681521E-2</v>
      </c>
      <c r="H66" s="83">
        <f t="shared" si="0"/>
        <v>0.18928269315483429</v>
      </c>
      <c r="I66" s="83">
        <f>H66*'Key Data'!$I$8</f>
        <v>8.3284384988127083E-2</v>
      </c>
      <c r="J66" s="83">
        <f>I66*'Key Data'!$F$8</f>
        <v>0.13242217213112206</v>
      </c>
      <c r="K66" s="83">
        <f>J66*'Key Data'!$K$8</f>
        <v>3.3105543032780516E-2</v>
      </c>
      <c r="L66" s="83">
        <f t="shared" si="1"/>
        <v>0.16552771516390258</v>
      </c>
      <c r="M66" s="443"/>
      <c r="N66" s="443"/>
    </row>
    <row r="67" spans="2:14">
      <c r="B67" s="442"/>
      <c r="C67" s="442"/>
      <c r="D67" s="142"/>
      <c r="E67" s="142"/>
      <c r="F67" s="142">
        <v>64</v>
      </c>
      <c r="G67" s="143">
        <v>7.9617834394904455E-2</v>
      </c>
      <c r="H67" s="83">
        <f t="shared" si="0"/>
        <v>0.14351098897968642</v>
      </c>
      <c r="I67" s="83">
        <f>H67*'Key Data'!$I$8</f>
        <v>6.314483515106202E-2</v>
      </c>
      <c r="J67" s="83">
        <f>I67*'Key Data'!$F$8</f>
        <v>0.10040028789018862</v>
      </c>
      <c r="K67" s="83">
        <f>J67*'Key Data'!$K$8</f>
        <v>2.5100071972547155E-2</v>
      </c>
      <c r="L67" s="83">
        <f t="shared" si="1"/>
        <v>0.12550035986273578</v>
      </c>
      <c r="M67" s="443"/>
      <c r="N67" s="443"/>
    </row>
    <row r="68" spans="2:14">
      <c r="B68" s="442"/>
      <c r="C68" s="442"/>
      <c r="D68" s="142"/>
      <c r="E68" s="142"/>
      <c r="F68" s="142">
        <v>65</v>
      </c>
      <c r="G68" s="143">
        <v>8.7579617834394913E-2</v>
      </c>
      <c r="H68" s="83">
        <f t="shared" si="0"/>
        <v>0.16181382116390766</v>
      </c>
      <c r="I68" s="83">
        <f>H68*'Key Data'!$I$8</f>
        <v>7.1198081312119368E-2</v>
      </c>
      <c r="J68" s="83">
        <f>I68*'Key Data'!$F$8</f>
        <v>0.1132049492862698</v>
      </c>
      <c r="K68" s="83">
        <f>J68*'Key Data'!$K$8</f>
        <v>2.830123732156745E-2</v>
      </c>
      <c r="L68" s="83">
        <f t="shared" si="1"/>
        <v>0.14150618660783726</v>
      </c>
      <c r="M68" s="443"/>
      <c r="N68" s="443"/>
    </row>
    <row r="69" spans="2:14">
      <c r="B69" s="442"/>
      <c r="C69" s="442"/>
      <c r="D69" s="142"/>
      <c r="E69" s="142"/>
      <c r="F69" s="142">
        <v>66</v>
      </c>
      <c r="G69" s="143">
        <v>7.1656050955414011E-2</v>
      </c>
      <c r="H69" s="83">
        <f t="shared" ref="H69:H84" si="2">(0.144504+2.943115*G69)^2</f>
        <v>0.12630631568416559</v>
      </c>
      <c r="I69" s="83">
        <f>H69*'Key Data'!$I$8</f>
        <v>5.5574778901032858E-2</v>
      </c>
      <c r="J69" s="83">
        <f>I69*'Key Data'!$F$8</f>
        <v>8.8363898452642253E-2</v>
      </c>
      <c r="K69" s="83">
        <f>J69*'Key Data'!$K$8</f>
        <v>2.2090974613160563E-2</v>
      </c>
      <c r="L69" s="83">
        <f t="shared" ref="L69:L84" si="3">K69+J69</f>
        <v>0.11045487306580282</v>
      </c>
      <c r="M69" s="443"/>
      <c r="N69" s="443"/>
    </row>
    <row r="70" spans="2:14">
      <c r="B70" s="442"/>
      <c r="C70" s="442"/>
      <c r="D70" s="142"/>
      <c r="E70" s="142"/>
      <c r="F70" s="142">
        <v>67</v>
      </c>
      <c r="G70" s="143">
        <v>7.32484076433121E-2</v>
      </c>
      <c r="H70" s="83">
        <f t="shared" si="2"/>
        <v>0.12965939763217374</v>
      </c>
      <c r="I70" s="83">
        <f>H70*'Key Data'!$I$8</f>
        <v>5.7050134958156445E-2</v>
      </c>
      <c r="J70" s="83">
        <f>I70*'Key Data'!$F$8</f>
        <v>9.0709714583468756E-2</v>
      </c>
      <c r="K70" s="83">
        <f>J70*'Key Data'!$K$8</f>
        <v>2.2677428645867189E-2</v>
      </c>
      <c r="L70" s="83">
        <f t="shared" si="3"/>
        <v>0.11338714322933595</v>
      </c>
      <c r="M70" s="443"/>
      <c r="N70" s="443"/>
    </row>
    <row r="71" spans="2:14">
      <c r="B71" s="442"/>
      <c r="C71" s="442"/>
      <c r="D71" s="142"/>
      <c r="E71" s="142"/>
      <c r="F71" s="142">
        <v>68</v>
      </c>
      <c r="G71" s="143">
        <v>7.32484076433121E-2</v>
      </c>
      <c r="H71" s="83">
        <f t="shared" si="2"/>
        <v>0.12965939763217374</v>
      </c>
      <c r="I71" s="83">
        <f>H71*'Key Data'!$I$8</f>
        <v>5.7050134958156445E-2</v>
      </c>
      <c r="J71" s="83">
        <f>I71*'Key Data'!$F$8</f>
        <v>9.0709714583468756E-2</v>
      </c>
      <c r="K71" s="83">
        <f>J71*'Key Data'!$K$8</f>
        <v>2.2677428645867189E-2</v>
      </c>
      <c r="L71" s="83">
        <f t="shared" si="3"/>
        <v>0.11338714322933595</v>
      </c>
      <c r="M71" s="443"/>
      <c r="N71" s="443"/>
    </row>
    <row r="72" spans="2:14">
      <c r="B72" s="442"/>
      <c r="C72" s="442"/>
      <c r="D72" s="142"/>
      <c r="E72" s="142"/>
      <c r="F72" s="142">
        <v>69</v>
      </c>
      <c r="G72" s="143">
        <v>6.6878980891719744E-2</v>
      </c>
      <c r="H72" s="83">
        <f t="shared" si="2"/>
        <v>0.11651062797342936</v>
      </c>
      <c r="I72" s="83">
        <f>H72*'Key Data'!$I$8</f>
        <v>5.1264676308308915E-2</v>
      </c>
      <c r="J72" s="83">
        <f>I72*'Key Data'!$F$8</f>
        <v>8.1510835330211182E-2</v>
      </c>
      <c r="K72" s="83">
        <f>J72*'Key Data'!$K$8</f>
        <v>2.0377708832552795E-2</v>
      </c>
      <c r="L72" s="83">
        <f t="shared" si="3"/>
        <v>0.10188854416276398</v>
      </c>
      <c r="M72" s="443"/>
      <c r="N72" s="443"/>
    </row>
    <row r="73" spans="2:14">
      <c r="B73" s="442"/>
      <c r="C73" s="442"/>
      <c r="D73" s="142"/>
      <c r="E73" s="142"/>
      <c r="F73" s="142">
        <v>70</v>
      </c>
      <c r="G73" s="143">
        <v>6.5286624203821655E-2</v>
      </c>
      <c r="H73" s="83">
        <f t="shared" si="2"/>
        <v>0.1133332514476133</v>
      </c>
      <c r="I73" s="83">
        <f>H73*'Key Data'!$I$8</f>
        <v>4.9866630636949856E-2</v>
      </c>
      <c r="J73" s="83">
        <f>I73*'Key Data'!$F$8</f>
        <v>7.9287942712750276E-2</v>
      </c>
      <c r="K73" s="83">
        <f>J73*'Key Data'!$K$8</f>
        <v>1.9821985678187569E-2</v>
      </c>
      <c r="L73" s="83">
        <f t="shared" si="3"/>
        <v>9.9109928390937851E-2</v>
      </c>
      <c r="M73" s="443"/>
      <c r="N73" s="443"/>
    </row>
    <row r="74" spans="2:14">
      <c r="B74" s="442"/>
      <c r="C74" s="442"/>
      <c r="D74" s="142"/>
      <c r="E74" s="142"/>
      <c r="F74" s="142">
        <v>71</v>
      </c>
      <c r="G74" s="143">
        <v>7.6433121019108277E-2</v>
      </c>
      <c r="H74" s="83">
        <f t="shared" si="2"/>
        <v>0.13649734059483401</v>
      </c>
      <c r="I74" s="83">
        <f>H74*'Key Data'!$I$8</f>
        <v>6.0058829861726962E-2</v>
      </c>
      <c r="J74" s="83">
        <f>I74*'Key Data'!$F$8</f>
        <v>9.549353948014587E-2</v>
      </c>
      <c r="K74" s="83">
        <f>J74*'Key Data'!$K$8</f>
        <v>2.3873384870036467E-2</v>
      </c>
      <c r="L74" s="83">
        <f t="shared" si="3"/>
        <v>0.11936692435018234</v>
      </c>
      <c r="M74" s="443"/>
      <c r="N74" s="443"/>
    </row>
    <row r="75" spans="2:14">
      <c r="B75" s="442"/>
      <c r="C75" s="442"/>
      <c r="D75" s="142"/>
      <c r="E75" s="142"/>
      <c r="F75" s="142">
        <v>72</v>
      </c>
      <c r="G75" s="143">
        <v>0.11464968152866241</v>
      </c>
      <c r="H75" s="83">
        <f t="shared" si="2"/>
        <v>0.23225767907773956</v>
      </c>
      <c r="I75" s="83">
        <f>H75*'Key Data'!$I$8</f>
        <v>0.10219337879420541</v>
      </c>
      <c r="J75" s="83">
        <f>I75*'Key Data'!$F$8</f>
        <v>0.16248747228278662</v>
      </c>
      <c r="K75" s="83">
        <f>J75*'Key Data'!$K$8</f>
        <v>4.0621868070696655E-2</v>
      </c>
      <c r="L75" s="83">
        <f t="shared" si="3"/>
        <v>0.20310934035348327</v>
      </c>
      <c r="M75" s="443"/>
      <c r="N75" s="443"/>
    </row>
    <row r="76" spans="2:14">
      <c r="B76" s="442"/>
      <c r="C76" s="442"/>
      <c r="D76" s="142"/>
      <c r="E76" s="142"/>
      <c r="F76" s="142">
        <v>73</v>
      </c>
      <c r="G76" s="143">
        <v>0.11305732484076432</v>
      </c>
      <c r="H76" s="83">
        <f t="shared" si="2"/>
        <v>0.22776251188548302</v>
      </c>
      <c r="I76" s="83">
        <f>H76*'Key Data'!$I$8</f>
        <v>0.10021550522961253</v>
      </c>
      <c r="J76" s="83">
        <f>I76*'Key Data'!$F$8</f>
        <v>0.15934265331508393</v>
      </c>
      <c r="K76" s="83">
        <f>J76*'Key Data'!$K$8</f>
        <v>3.9835663328770983E-2</v>
      </c>
      <c r="L76" s="83">
        <f t="shared" si="3"/>
        <v>0.19917831664385491</v>
      </c>
      <c r="M76" s="443"/>
      <c r="N76" s="443"/>
    </row>
    <row r="77" spans="2:14">
      <c r="B77" s="442"/>
      <c r="C77" s="442"/>
      <c r="D77" s="142"/>
      <c r="E77" s="142"/>
      <c r="F77" s="142">
        <v>74</v>
      </c>
      <c r="G77" s="143">
        <v>3.0254777070063694E-2</v>
      </c>
      <c r="H77" s="83">
        <f t="shared" si="2"/>
        <v>5.4544335833309185E-2</v>
      </c>
      <c r="I77" s="83">
        <f>H77*'Key Data'!$I$8</f>
        <v>2.3999507766656041E-2</v>
      </c>
      <c r="J77" s="83">
        <f>I77*'Key Data'!$F$8</f>
        <v>3.8159217348983109E-2</v>
      </c>
      <c r="K77" s="83">
        <f>J77*'Key Data'!$K$8</f>
        <v>9.5398043372457771E-3</v>
      </c>
      <c r="L77" s="83">
        <f t="shared" si="3"/>
        <v>4.7699021686228887E-2</v>
      </c>
      <c r="M77" s="443"/>
      <c r="N77" s="443"/>
    </row>
    <row r="78" spans="2:14">
      <c r="B78" s="442"/>
      <c r="C78" s="442"/>
      <c r="D78" s="142"/>
      <c r="E78" s="142"/>
      <c r="F78" s="142">
        <v>75</v>
      </c>
      <c r="G78" s="143">
        <v>8.5987261146496824E-2</v>
      </c>
      <c r="H78" s="83">
        <f t="shared" si="2"/>
        <v>0.15806540201596744</v>
      </c>
      <c r="I78" s="83">
        <f>H78*'Key Data'!$I$8</f>
        <v>6.9548776887025682E-2</v>
      </c>
      <c r="J78" s="83">
        <f>I78*'Key Data'!$F$8</f>
        <v>0.11058255525037083</v>
      </c>
      <c r="K78" s="83">
        <f>J78*'Key Data'!$K$8</f>
        <v>2.7645638812592709E-2</v>
      </c>
      <c r="L78" s="83">
        <f t="shared" si="3"/>
        <v>0.13822819406296355</v>
      </c>
      <c r="M78" s="443"/>
      <c r="N78" s="443"/>
    </row>
    <row r="79" spans="2:14">
      <c r="B79" s="442"/>
      <c r="C79" s="442"/>
      <c r="D79" s="142"/>
      <c r="E79" s="142"/>
      <c r="F79" s="142">
        <v>76</v>
      </c>
      <c r="G79" s="143">
        <v>7.8025477707006366E-2</v>
      </c>
      <c r="H79" s="83">
        <f t="shared" si="2"/>
        <v>0.13998220160948621</v>
      </c>
      <c r="I79" s="83">
        <f>H79*'Key Data'!$I$8</f>
        <v>6.1592168708173932E-2</v>
      </c>
      <c r="J79" s="83">
        <f>I79*'Key Data'!$F$8</f>
        <v>9.7931548245996564E-2</v>
      </c>
      <c r="K79" s="83">
        <f>J79*'Key Data'!$K$8</f>
        <v>2.4482887061499141E-2</v>
      </c>
      <c r="L79" s="83">
        <f t="shared" si="3"/>
        <v>0.12241443530749571</v>
      </c>
      <c r="M79" s="443"/>
      <c r="N79" s="443"/>
    </row>
    <row r="80" spans="2:14">
      <c r="B80" s="442"/>
      <c r="C80" s="442"/>
      <c r="D80" s="142"/>
      <c r="E80" s="142"/>
      <c r="F80" s="142">
        <v>77</v>
      </c>
      <c r="G80" s="143">
        <v>6.3057324840764331E-2</v>
      </c>
      <c r="H80" s="83">
        <f t="shared" si="2"/>
        <v>0.10895872058879152</v>
      </c>
      <c r="I80" s="83">
        <f>H80*'Key Data'!$I$8</f>
        <v>4.7941837059068272E-2</v>
      </c>
      <c r="J80" s="83">
        <f>I80*'Key Data'!$F$8</f>
        <v>7.622752092391856E-2</v>
      </c>
      <c r="K80" s="83">
        <f>J80*'Key Data'!$K$8</f>
        <v>1.905688023097964E-2</v>
      </c>
      <c r="L80" s="83">
        <f t="shared" si="3"/>
        <v>9.5284401154898196E-2</v>
      </c>
      <c r="M80" s="443"/>
      <c r="N80" s="443"/>
    </row>
    <row r="81" spans="2:14">
      <c r="B81" s="442"/>
      <c r="C81" s="442"/>
      <c r="D81" s="142"/>
      <c r="E81" s="142"/>
      <c r="F81" s="142">
        <v>78</v>
      </c>
      <c r="G81" s="143">
        <v>7.9617834394904455E-2</v>
      </c>
      <c r="H81" s="83">
        <f t="shared" si="2"/>
        <v>0.14351098897968642</v>
      </c>
      <c r="I81" s="83">
        <f>H81*'Key Data'!$I$8</f>
        <v>6.314483515106202E-2</v>
      </c>
      <c r="J81" s="83">
        <f>I81*'Key Data'!$F$8</f>
        <v>0.10040028789018862</v>
      </c>
      <c r="K81" s="83">
        <f>J81*'Key Data'!$K$8</f>
        <v>2.5100071972547155E-2</v>
      </c>
      <c r="L81" s="83">
        <f t="shared" si="3"/>
        <v>0.12550035986273578</v>
      </c>
      <c r="M81" s="443"/>
      <c r="N81" s="443"/>
    </row>
    <row r="82" spans="2:14">
      <c r="B82" s="442"/>
      <c r="C82" s="442"/>
      <c r="D82" s="142"/>
      <c r="E82" s="142"/>
      <c r="F82" s="142">
        <v>79</v>
      </c>
      <c r="G82" s="143">
        <v>7.32484076433121E-2</v>
      </c>
      <c r="H82" s="83">
        <f t="shared" si="2"/>
        <v>0.12965939763217374</v>
      </c>
      <c r="I82" s="83">
        <f>H82*'Key Data'!$I$8</f>
        <v>5.7050134958156445E-2</v>
      </c>
      <c r="J82" s="83">
        <f>I82*'Key Data'!$F$8</f>
        <v>9.0709714583468756E-2</v>
      </c>
      <c r="K82" s="83">
        <f>J82*'Key Data'!$K$8</f>
        <v>2.2677428645867189E-2</v>
      </c>
      <c r="L82" s="83">
        <f t="shared" si="3"/>
        <v>0.11338714322933595</v>
      </c>
      <c r="M82" s="443"/>
      <c r="N82" s="443"/>
    </row>
    <row r="83" spans="2:14">
      <c r="B83" s="442"/>
      <c r="C83" s="442"/>
      <c r="D83" s="142"/>
      <c r="E83" s="142"/>
      <c r="F83" s="142">
        <v>80</v>
      </c>
      <c r="G83" s="143">
        <v>7.9617834394904455E-2</v>
      </c>
      <c r="H83" s="83">
        <f t="shared" si="2"/>
        <v>0.14351098897968642</v>
      </c>
      <c r="I83" s="83">
        <f>H83*'Key Data'!$I$8</f>
        <v>6.314483515106202E-2</v>
      </c>
      <c r="J83" s="83">
        <f>I83*'Key Data'!$F$8</f>
        <v>0.10040028789018862</v>
      </c>
      <c r="K83" s="83">
        <f>J83*'Key Data'!$K$8</f>
        <v>2.5100071972547155E-2</v>
      </c>
      <c r="L83" s="83">
        <f t="shared" si="3"/>
        <v>0.12550035986273578</v>
      </c>
      <c r="M83" s="443"/>
      <c r="N83" s="443"/>
    </row>
    <row r="84" spans="2:14">
      <c r="B84" s="442"/>
      <c r="C84" s="442"/>
      <c r="D84" s="142"/>
      <c r="E84" s="142"/>
      <c r="F84" s="142">
        <v>81</v>
      </c>
      <c r="G84" s="143">
        <v>9.2356687898089165E-2</v>
      </c>
      <c r="H84" s="83">
        <f t="shared" si="2"/>
        <v>0.17332263674101672</v>
      </c>
      <c r="I84" s="83">
        <f>H84*'Key Data'!$I$8</f>
        <v>7.626196016604736E-2</v>
      </c>
      <c r="J84" s="83">
        <f>I84*'Key Data'!$F$8</f>
        <v>0.12125651666401531</v>
      </c>
      <c r="K84" s="83">
        <f>J84*'Key Data'!$K$8</f>
        <v>3.0314129166003827E-2</v>
      </c>
      <c r="L84" s="83">
        <f t="shared" si="3"/>
        <v>0.15157064583001914</v>
      </c>
      <c r="M84" s="443"/>
      <c r="N84" s="443"/>
    </row>
  </sheetData>
  <mergeCells count="4">
    <mergeCell ref="B4:B84"/>
    <mergeCell ref="C4:C84"/>
    <mergeCell ref="M4:M84"/>
    <mergeCell ref="N4:N8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560EF-241F-4BAA-8F6A-FD70450811DC}">
  <dimension ref="B3:N67"/>
  <sheetViews>
    <sheetView workbookViewId="0">
      <selection activeCell="B3" sqref="B3:N3"/>
    </sheetView>
  </sheetViews>
  <sheetFormatPr defaultRowHeight="15"/>
  <sheetData>
    <row r="3" spans="2:14" ht="81.75">
      <c r="B3" s="122" t="s">
        <v>486</v>
      </c>
      <c r="C3" s="122" t="s">
        <v>433</v>
      </c>
      <c r="D3" s="122" t="s">
        <v>434</v>
      </c>
      <c r="E3" s="122" t="s">
        <v>435</v>
      </c>
      <c r="F3" s="122" t="s">
        <v>67</v>
      </c>
      <c r="G3" s="122" t="s">
        <v>487</v>
      </c>
      <c r="H3" s="122" t="s">
        <v>488</v>
      </c>
      <c r="I3" s="122" t="s">
        <v>489</v>
      </c>
      <c r="J3" s="122" t="s">
        <v>490</v>
      </c>
      <c r="K3" s="274" t="s">
        <v>491</v>
      </c>
      <c r="L3" s="274" t="s">
        <v>492</v>
      </c>
      <c r="M3" s="274" t="s">
        <v>442</v>
      </c>
      <c r="N3" s="274" t="s">
        <v>443</v>
      </c>
    </row>
    <row r="4" spans="2:14">
      <c r="B4" s="444">
        <v>1</v>
      </c>
      <c r="C4" s="444" t="s">
        <v>494</v>
      </c>
      <c r="D4" s="145">
        <v>15.298634</v>
      </c>
      <c r="E4" s="145">
        <v>79.429586999999998</v>
      </c>
      <c r="F4" s="145">
        <v>1</v>
      </c>
      <c r="G4" s="146">
        <v>4.7770700636942671E-2</v>
      </c>
      <c r="H4" s="147">
        <f>(0.144504+2.943115*G4)^2</f>
        <v>8.1281249129806096E-2</v>
      </c>
      <c r="I4" s="147">
        <f>H4*'Key Data'!$I$8</f>
        <v>3.5763749617114683E-2</v>
      </c>
      <c r="J4" s="147">
        <f>I4*'Key Data'!$F$8</f>
        <v>5.6864361891212349E-2</v>
      </c>
      <c r="K4" s="147">
        <f>J4*'Key Data'!$K$8</f>
        <v>1.4216090472803087E-2</v>
      </c>
      <c r="L4" s="147">
        <f>K4+J4</f>
        <v>7.1080452364015431E-2</v>
      </c>
      <c r="M4" s="445">
        <f>SUM(L4:L67)</f>
        <v>5.0254696203208793</v>
      </c>
      <c r="N4" s="445">
        <f>M4/625*10000</f>
        <v>80.407513925134083</v>
      </c>
    </row>
    <row r="5" spans="2:14">
      <c r="B5" s="444"/>
      <c r="C5" s="444"/>
      <c r="D5" s="145">
        <v>15.29866</v>
      </c>
      <c r="E5" s="145">
        <v>79.429786000000007</v>
      </c>
      <c r="F5" s="145">
        <v>2</v>
      </c>
      <c r="G5" s="146">
        <v>7.038216560509554E-2</v>
      </c>
      <c r="H5" s="147">
        <f t="shared" ref="H5:H67" si="0">(0.144504+2.943115*G5)^2</f>
        <v>0.12365547710175369</v>
      </c>
      <c r="I5" s="147">
        <f>H5*'Key Data'!$I$8</f>
        <v>5.4408409924771625E-2</v>
      </c>
      <c r="J5" s="147">
        <f>I5*'Key Data'!$F$8</f>
        <v>8.6509371780386882E-2</v>
      </c>
      <c r="K5" s="147">
        <f>J5*'Key Data'!$K$8</f>
        <v>2.162734294509672E-2</v>
      </c>
      <c r="L5" s="147">
        <f t="shared" ref="L5:L67" si="1">K5+J5</f>
        <v>0.1081367147254836</v>
      </c>
      <c r="M5" s="446"/>
      <c r="N5" s="445"/>
    </row>
    <row r="6" spans="2:14">
      <c r="B6" s="444"/>
      <c r="C6" s="444"/>
      <c r="D6" s="145">
        <v>15.298851000000001</v>
      </c>
      <c r="E6" s="145">
        <v>79.429794000000001</v>
      </c>
      <c r="F6" s="145">
        <v>3</v>
      </c>
      <c r="G6" s="146">
        <v>6.6878980891719744E-2</v>
      </c>
      <c r="H6" s="147">
        <f t="shared" si="0"/>
        <v>0.11651062797342936</v>
      </c>
      <c r="I6" s="147">
        <f>H6*'Key Data'!$I$8</f>
        <v>5.1264676308308915E-2</v>
      </c>
      <c r="J6" s="147">
        <f>I6*'Key Data'!$F$8</f>
        <v>8.1510835330211182E-2</v>
      </c>
      <c r="K6" s="147">
        <f>J6*'Key Data'!$K$8</f>
        <v>2.0377708832552795E-2</v>
      </c>
      <c r="L6" s="147">
        <f t="shared" si="1"/>
        <v>0.10188854416276398</v>
      </c>
      <c r="M6" s="446"/>
      <c r="N6" s="445"/>
    </row>
    <row r="7" spans="2:14">
      <c r="B7" s="444"/>
      <c r="C7" s="444"/>
      <c r="D7" s="145">
        <v>15.298863000000001</v>
      </c>
      <c r="E7" s="145">
        <v>79.429592</v>
      </c>
      <c r="F7" s="145">
        <v>4</v>
      </c>
      <c r="G7" s="146">
        <v>6.3694267515923567E-2</v>
      </c>
      <c r="H7" s="147">
        <f t="shared" si="0"/>
        <v>0.1101998012773453</v>
      </c>
      <c r="I7" s="147">
        <f>H7*'Key Data'!$I$8</f>
        <v>4.8487912562031929E-2</v>
      </c>
      <c r="J7" s="147">
        <f>I7*'Key Data'!$F$8</f>
        <v>7.7095780973630776E-2</v>
      </c>
      <c r="K7" s="147">
        <f>J7*'Key Data'!$K$8</f>
        <v>1.9273945243407694E-2</v>
      </c>
      <c r="L7" s="147">
        <f t="shared" si="1"/>
        <v>9.6369726217038473E-2</v>
      </c>
      <c r="M7" s="446"/>
      <c r="N7" s="445"/>
    </row>
    <row r="8" spans="2:14">
      <c r="B8" s="444"/>
      <c r="C8" s="444"/>
      <c r="D8" s="145">
        <v>15.298781</v>
      </c>
      <c r="E8" s="145">
        <v>79.429696000000007</v>
      </c>
      <c r="F8" s="145">
        <v>5</v>
      </c>
      <c r="G8" s="146">
        <v>4.7452229299363054E-2</v>
      </c>
      <c r="H8" s="147">
        <f t="shared" si="0"/>
        <v>8.0747682969514276E-2</v>
      </c>
      <c r="I8" s="147">
        <f>H8*'Key Data'!$I$8</f>
        <v>3.5528980506586282E-2</v>
      </c>
      <c r="J8" s="147">
        <f>I8*'Key Data'!$F$8</f>
        <v>5.6491079005472192E-2</v>
      </c>
      <c r="K8" s="147">
        <f>J8*'Key Data'!$K$8</f>
        <v>1.4122769751368048E-2</v>
      </c>
      <c r="L8" s="147">
        <f t="shared" si="1"/>
        <v>7.0613848756840236E-2</v>
      </c>
      <c r="M8" s="446"/>
      <c r="N8" s="445"/>
    </row>
    <row r="9" spans="2:14">
      <c r="B9" s="444"/>
      <c r="C9" s="444"/>
      <c r="D9" s="145"/>
      <c r="E9" s="145"/>
      <c r="F9" s="145">
        <v>6</v>
      </c>
      <c r="G9" s="146">
        <v>5.0955414012738849E-2</v>
      </c>
      <c r="H9" s="147">
        <f t="shared" si="0"/>
        <v>8.671354871492977E-2</v>
      </c>
      <c r="I9" s="147">
        <f>H9*'Key Data'!$I$8</f>
        <v>3.8153961434569096E-2</v>
      </c>
      <c r="J9" s="147">
        <f>I9*'Key Data'!$F$8</f>
        <v>6.0664798680964867E-2</v>
      </c>
      <c r="K9" s="147">
        <f>J9*'Key Data'!$K$8</f>
        <v>1.5166199670241217E-2</v>
      </c>
      <c r="L9" s="147">
        <f t="shared" si="1"/>
        <v>7.5830998351206089E-2</v>
      </c>
      <c r="M9" s="446"/>
      <c r="N9" s="445"/>
    </row>
    <row r="10" spans="2:14">
      <c r="B10" s="444"/>
      <c r="C10" s="444"/>
      <c r="D10" s="145"/>
      <c r="E10" s="145"/>
      <c r="F10" s="145">
        <v>7</v>
      </c>
      <c r="G10" s="146">
        <v>8.7898089171974531E-2</v>
      </c>
      <c r="H10" s="147">
        <f t="shared" si="0"/>
        <v>0.16256877615616158</v>
      </c>
      <c r="I10" s="147">
        <f>H10*'Key Data'!$I$8</f>
        <v>7.1530261508711099E-2</v>
      </c>
      <c r="J10" s="147">
        <f>I10*'Key Data'!$F$8</f>
        <v>0.11373311579885065</v>
      </c>
      <c r="K10" s="147">
        <f>J10*'Key Data'!$K$8</f>
        <v>2.8433278949712662E-2</v>
      </c>
      <c r="L10" s="147">
        <f t="shared" si="1"/>
        <v>0.1421663947485633</v>
      </c>
      <c r="M10" s="446"/>
      <c r="N10" s="445"/>
    </row>
    <row r="11" spans="2:14">
      <c r="B11" s="444"/>
      <c r="C11" s="444"/>
      <c r="D11" s="145"/>
      <c r="E11" s="145"/>
      <c r="F11" s="145">
        <v>8</v>
      </c>
      <c r="G11" s="146">
        <v>4.7133757961783443E-2</v>
      </c>
      <c r="H11" s="147">
        <f t="shared" si="0"/>
        <v>8.0215873863444392E-2</v>
      </c>
      <c r="I11" s="147">
        <f>H11*'Key Data'!$I$8</f>
        <v>3.5294984499915534E-2</v>
      </c>
      <c r="J11" s="147">
        <f>I11*'Key Data'!$F$8</f>
        <v>5.6119025354865702E-2</v>
      </c>
      <c r="K11" s="147">
        <f>J11*'Key Data'!$K$8</f>
        <v>1.4029756338716426E-2</v>
      </c>
      <c r="L11" s="147">
        <f t="shared" si="1"/>
        <v>7.014878169358213E-2</v>
      </c>
      <c r="M11" s="446"/>
      <c r="N11" s="445"/>
    </row>
    <row r="12" spans="2:14">
      <c r="B12" s="444"/>
      <c r="C12" s="444"/>
      <c r="D12" s="145"/>
      <c r="E12" s="145"/>
      <c r="F12" s="145">
        <v>9</v>
      </c>
      <c r="G12" s="146">
        <v>5.7006369426751587E-2</v>
      </c>
      <c r="H12" s="147">
        <f t="shared" si="0"/>
        <v>9.7518986364803967E-2</v>
      </c>
      <c r="I12" s="147">
        <f>H12*'Key Data'!$I$8</f>
        <v>4.2908354000513745E-2</v>
      </c>
      <c r="J12" s="147">
        <f>I12*'Key Data'!$F$8</f>
        <v>6.8224282860816859E-2</v>
      </c>
      <c r="K12" s="147">
        <f>J12*'Key Data'!$K$8</f>
        <v>1.7056070715204215E-2</v>
      </c>
      <c r="L12" s="147">
        <f t="shared" si="1"/>
        <v>8.5280353576021067E-2</v>
      </c>
      <c r="M12" s="446"/>
      <c r="N12" s="445"/>
    </row>
    <row r="13" spans="2:14">
      <c r="B13" s="444"/>
      <c r="C13" s="444"/>
      <c r="D13" s="145"/>
      <c r="E13" s="145"/>
      <c r="F13" s="145">
        <v>10</v>
      </c>
      <c r="G13" s="146">
        <v>6.0509554140127389E-2</v>
      </c>
      <c r="H13" s="147">
        <f t="shared" si="0"/>
        <v>0.10406468000345331</v>
      </c>
      <c r="I13" s="147">
        <f>H13*'Key Data'!$I$8</f>
        <v>4.5788459201519457E-2</v>
      </c>
      <c r="J13" s="147">
        <f>I13*'Key Data'!$F$8</f>
        <v>7.2803650130415939E-2</v>
      </c>
      <c r="K13" s="147">
        <f>J13*'Key Data'!$K$8</f>
        <v>1.8200912532603985E-2</v>
      </c>
      <c r="L13" s="147">
        <f t="shared" si="1"/>
        <v>9.1004562663019928E-2</v>
      </c>
      <c r="M13" s="446"/>
      <c r="N13" s="445"/>
    </row>
    <row r="14" spans="2:14">
      <c r="B14" s="444"/>
      <c r="C14" s="444"/>
      <c r="D14" s="145"/>
      <c r="E14" s="145"/>
      <c r="F14" s="145">
        <v>11</v>
      </c>
      <c r="G14" s="256" t="s">
        <v>454</v>
      </c>
      <c r="H14" s="147">
        <v>0</v>
      </c>
      <c r="I14" s="147">
        <f>H14*'Key Data'!$I$8</f>
        <v>0</v>
      </c>
      <c r="J14" s="147">
        <f>I14*'Key Data'!$F$8</f>
        <v>0</v>
      </c>
      <c r="K14" s="147">
        <f>J14*'Key Data'!$K$8</f>
        <v>0</v>
      </c>
      <c r="L14" s="147">
        <f t="shared" si="1"/>
        <v>0</v>
      </c>
      <c r="M14" s="446"/>
      <c r="N14" s="445"/>
    </row>
    <row r="15" spans="2:14">
      <c r="B15" s="444"/>
      <c r="C15" s="444"/>
      <c r="D15" s="145"/>
      <c r="E15" s="145"/>
      <c r="F15" s="145">
        <v>12</v>
      </c>
      <c r="G15" s="256" t="s">
        <v>454</v>
      </c>
      <c r="H15" s="147">
        <v>0</v>
      </c>
      <c r="I15" s="147">
        <f>H15*'Key Data'!$I$8</f>
        <v>0</v>
      </c>
      <c r="J15" s="147">
        <f>I15*'Key Data'!$F$8</f>
        <v>0</v>
      </c>
      <c r="K15" s="147">
        <f>J15*'Key Data'!$K$8</f>
        <v>0</v>
      </c>
      <c r="L15" s="147">
        <f t="shared" si="1"/>
        <v>0</v>
      </c>
      <c r="M15" s="446"/>
      <c r="N15" s="445"/>
    </row>
    <row r="16" spans="2:14">
      <c r="B16" s="444"/>
      <c r="C16" s="444"/>
      <c r="D16" s="145"/>
      <c r="E16" s="145"/>
      <c r="F16" s="145">
        <v>13</v>
      </c>
      <c r="G16" s="146">
        <v>6.0828025477707007E-2</v>
      </c>
      <c r="H16" s="147">
        <f t="shared" si="0"/>
        <v>0.10467028538684386</v>
      </c>
      <c r="I16" s="147">
        <f>H16*'Key Data'!$I$8</f>
        <v>4.6054925570211298E-2</v>
      </c>
      <c r="J16" s="147">
        <f>I16*'Key Data'!$F$8</f>
        <v>7.3227331656635974E-2</v>
      </c>
      <c r="K16" s="147">
        <f>J16*'Key Data'!$K$8</f>
        <v>1.8306832914158994E-2</v>
      </c>
      <c r="L16" s="147">
        <f t="shared" si="1"/>
        <v>9.1534164570794968E-2</v>
      </c>
      <c r="M16" s="446"/>
      <c r="N16" s="445"/>
    </row>
    <row r="17" spans="2:14">
      <c r="B17" s="444"/>
      <c r="C17" s="444"/>
      <c r="D17" s="145"/>
      <c r="E17" s="145"/>
      <c r="F17" s="145">
        <v>14</v>
      </c>
      <c r="G17" s="146">
        <v>3.1847133757961783E-2</v>
      </c>
      <c r="H17" s="147">
        <f t="shared" si="0"/>
        <v>5.6755332537068812E-2</v>
      </c>
      <c r="I17" s="147">
        <f>H17*'Key Data'!$I$8</f>
        <v>2.4972346316310276E-2</v>
      </c>
      <c r="J17" s="147">
        <f>I17*'Key Data'!$F$8</f>
        <v>3.9706030642933342E-2</v>
      </c>
      <c r="K17" s="147">
        <f>J17*'Key Data'!$K$8</f>
        <v>9.9265076607333354E-3</v>
      </c>
      <c r="L17" s="147">
        <f t="shared" si="1"/>
        <v>4.9632538303666679E-2</v>
      </c>
      <c r="M17" s="446"/>
      <c r="N17" s="445"/>
    </row>
    <row r="18" spans="2:14">
      <c r="B18" s="444"/>
      <c r="C18" s="444"/>
      <c r="D18" s="145"/>
      <c r="E18" s="145"/>
      <c r="F18" s="145">
        <v>15</v>
      </c>
      <c r="G18" s="146">
        <v>7.738853503184713E-2</v>
      </c>
      <c r="H18" s="147">
        <f t="shared" si="0"/>
        <v>0.13858298604095959</v>
      </c>
      <c r="I18" s="147">
        <f>H18*'Key Data'!$I$8</f>
        <v>6.0976513858022219E-2</v>
      </c>
      <c r="J18" s="147">
        <f>I18*'Key Data'!$F$8</f>
        <v>9.6952657034255332E-2</v>
      </c>
      <c r="K18" s="147">
        <f>J18*'Key Data'!$K$8</f>
        <v>2.4238164258563833E-2</v>
      </c>
      <c r="L18" s="147">
        <f t="shared" si="1"/>
        <v>0.12119082129281916</v>
      </c>
      <c r="M18" s="446"/>
      <c r="N18" s="445"/>
    </row>
    <row r="19" spans="2:14">
      <c r="B19" s="444"/>
      <c r="C19" s="444"/>
      <c r="D19" s="145"/>
      <c r="E19" s="145"/>
      <c r="F19" s="145">
        <v>16</v>
      </c>
      <c r="G19" s="146">
        <v>7.6751592356687895E-2</v>
      </c>
      <c r="H19" s="147">
        <f t="shared" si="0"/>
        <v>0.1371907986893206</v>
      </c>
      <c r="I19" s="147">
        <f>H19*'Key Data'!$I$8</f>
        <v>6.0363951423301067E-2</v>
      </c>
      <c r="J19" s="147">
        <f>I19*'Key Data'!$F$8</f>
        <v>9.5978682763048703E-2</v>
      </c>
      <c r="K19" s="147">
        <f>J19*'Key Data'!$K$8</f>
        <v>2.3994670690762176E-2</v>
      </c>
      <c r="L19" s="147">
        <f t="shared" si="1"/>
        <v>0.11997335345381088</v>
      </c>
      <c r="M19" s="446"/>
      <c r="N19" s="445"/>
    </row>
    <row r="20" spans="2:14">
      <c r="B20" s="444"/>
      <c r="C20" s="444"/>
      <c r="D20" s="145"/>
      <c r="E20" s="145"/>
      <c r="F20" s="145">
        <v>17</v>
      </c>
      <c r="G20" s="256" t="s">
        <v>454</v>
      </c>
      <c r="H20" s="147">
        <v>0</v>
      </c>
      <c r="I20" s="147">
        <f>H20*'Key Data'!$I$8</f>
        <v>0</v>
      </c>
      <c r="J20" s="147">
        <f>I20*'Key Data'!$F$8</f>
        <v>0</v>
      </c>
      <c r="K20" s="147">
        <f>J20*'Key Data'!$K$8</f>
        <v>0</v>
      </c>
      <c r="L20" s="147">
        <f t="shared" si="1"/>
        <v>0</v>
      </c>
      <c r="M20" s="446"/>
      <c r="N20" s="445"/>
    </row>
    <row r="21" spans="2:14">
      <c r="B21" s="444"/>
      <c r="C21" s="444"/>
      <c r="D21" s="145"/>
      <c r="E21" s="145"/>
      <c r="F21" s="145">
        <v>18</v>
      </c>
      <c r="G21" s="146">
        <v>7.9936305732484073E-2</v>
      </c>
      <c r="H21" s="147">
        <f t="shared" si="0"/>
        <v>0.1442220176163922</v>
      </c>
      <c r="I21" s="147">
        <f>H21*'Key Data'!$I$8</f>
        <v>6.3457687751212563E-2</v>
      </c>
      <c r="J21" s="147">
        <f>I21*'Key Data'!$F$8</f>
        <v>0.10089772352442798</v>
      </c>
      <c r="K21" s="147">
        <f>J21*'Key Data'!$K$8</f>
        <v>2.5224430881106995E-2</v>
      </c>
      <c r="L21" s="147">
        <f t="shared" si="1"/>
        <v>0.12612215440553498</v>
      </c>
      <c r="M21" s="446"/>
      <c r="N21" s="445"/>
    </row>
    <row r="22" spans="2:14">
      <c r="B22" s="444"/>
      <c r="C22" s="444"/>
      <c r="D22" s="145"/>
      <c r="E22" s="145"/>
      <c r="F22" s="145">
        <v>19</v>
      </c>
      <c r="G22" s="146">
        <v>5.6369426751592351E-2</v>
      </c>
      <c r="H22" s="147">
        <f t="shared" si="0"/>
        <v>9.6351701953570831E-2</v>
      </c>
      <c r="I22" s="147">
        <f>H22*'Key Data'!$I$8</f>
        <v>4.2394748859571167E-2</v>
      </c>
      <c r="J22" s="147">
        <f>I22*'Key Data'!$F$8</f>
        <v>6.7407650686718154E-2</v>
      </c>
      <c r="K22" s="147">
        <f>J22*'Key Data'!$K$8</f>
        <v>1.6851912671679539E-2</v>
      </c>
      <c r="L22" s="147">
        <f t="shared" si="1"/>
        <v>8.4259563358397696E-2</v>
      </c>
      <c r="M22" s="446"/>
      <c r="N22" s="445"/>
    </row>
    <row r="23" spans="2:14">
      <c r="B23" s="444"/>
      <c r="C23" s="444"/>
      <c r="D23" s="145"/>
      <c r="E23" s="145"/>
      <c r="F23" s="145">
        <v>20</v>
      </c>
      <c r="G23" s="146">
        <v>4.2675159235668787E-2</v>
      </c>
      <c r="H23" s="147">
        <f t="shared" si="0"/>
        <v>7.2955037071767703E-2</v>
      </c>
      <c r="I23" s="147">
        <f>H23*'Key Data'!$I$8</f>
        <v>3.2100216311577792E-2</v>
      </c>
      <c r="J23" s="147">
        <f>I23*'Key Data'!$F$8</f>
        <v>5.1039343935408689E-2</v>
      </c>
      <c r="K23" s="147">
        <f>J23*'Key Data'!$K$8</f>
        <v>1.2759835983852172E-2</v>
      </c>
      <c r="L23" s="147">
        <f t="shared" si="1"/>
        <v>6.3799179919260859E-2</v>
      </c>
      <c r="M23" s="446"/>
      <c r="N23" s="445"/>
    </row>
    <row r="24" spans="2:14">
      <c r="B24" s="444"/>
      <c r="C24" s="444"/>
      <c r="D24" s="145"/>
      <c r="E24" s="145"/>
      <c r="F24" s="145">
        <v>21</v>
      </c>
      <c r="G24" s="146">
        <v>4.936305732484076E-2</v>
      </c>
      <c r="H24" s="147">
        <f t="shared" si="0"/>
        <v>8.3975435744593901E-2</v>
      </c>
      <c r="I24" s="147">
        <f>H24*'Key Data'!$I$8</f>
        <v>3.6949191727621317E-2</v>
      </c>
      <c r="J24" s="147">
        <f>I24*'Key Data'!$F$8</f>
        <v>5.8749214846917898E-2</v>
      </c>
      <c r="K24" s="147">
        <f>J24*'Key Data'!$K$8</f>
        <v>1.4687303711729474E-2</v>
      </c>
      <c r="L24" s="147">
        <f t="shared" si="1"/>
        <v>7.3436518558647371E-2</v>
      </c>
      <c r="M24" s="446"/>
      <c r="N24" s="445"/>
    </row>
    <row r="25" spans="2:14">
      <c r="B25" s="444"/>
      <c r="C25" s="444"/>
      <c r="D25" s="145"/>
      <c r="E25" s="145"/>
      <c r="F25" s="145">
        <v>22</v>
      </c>
      <c r="G25" s="146">
        <v>4.6178343949044583E-2</v>
      </c>
      <c r="H25" s="147">
        <f t="shared" si="0"/>
        <v>7.8630988870566271E-2</v>
      </c>
      <c r="I25" s="147">
        <f>H25*'Key Data'!$I$8</f>
        <v>3.4597635103049161E-2</v>
      </c>
      <c r="J25" s="147">
        <f>I25*'Key Data'!$F$8</f>
        <v>5.5010239813848172E-2</v>
      </c>
      <c r="K25" s="147">
        <f>J25*'Key Data'!$K$8</f>
        <v>1.3752559953462043E-2</v>
      </c>
      <c r="L25" s="147">
        <f t="shared" si="1"/>
        <v>6.8762799767310215E-2</v>
      </c>
      <c r="M25" s="446"/>
      <c r="N25" s="445"/>
    </row>
    <row r="26" spans="2:14">
      <c r="B26" s="444"/>
      <c r="C26" s="444"/>
      <c r="D26" s="145"/>
      <c r="E26" s="145"/>
      <c r="F26" s="145">
        <v>23</v>
      </c>
      <c r="G26" s="146">
        <v>3.3439490445859872E-2</v>
      </c>
      <c r="H26" s="147">
        <f t="shared" si="0"/>
        <v>5.9010255596376439E-2</v>
      </c>
      <c r="I26" s="147">
        <f>H26*'Key Data'!$I$8</f>
        <v>2.5964512462405633E-2</v>
      </c>
      <c r="J26" s="147">
        <f>I26*'Key Data'!$F$8</f>
        <v>4.128357481522496E-2</v>
      </c>
      <c r="K26" s="147">
        <f>J26*'Key Data'!$K$8</f>
        <v>1.032089370380624E-2</v>
      </c>
      <c r="L26" s="147">
        <f t="shared" si="1"/>
        <v>5.1604468519031201E-2</v>
      </c>
      <c r="M26" s="446"/>
      <c r="N26" s="445"/>
    </row>
    <row r="27" spans="2:14">
      <c r="B27" s="444"/>
      <c r="C27" s="444"/>
      <c r="D27" s="145"/>
      <c r="E27" s="145"/>
      <c r="F27" s="145">
        <v>24</v>
      </c>
      <c r="G27" s="146">
        <v>6.8471337579617833E-2</v>
      </c>
      <c r="H27" s="147">
        <f t="shared" si="0"/>
        <v>0.11973193085479343</v>
      </c>
      <c r="I27" s="147">
        <f>H27*'Key Data'!$I$8</f>
        <v>5.2682049576109106E-2</v>
      </c>
      <c r="J27" s="147">
        <f>I27*'Key Data'!$F$8</f>
        <v>8.376445882601348E-2</v>
      </c>
      <c r="K27" s="147">
        <f>J27*'Key Data'!$K$8</f>
        <v>2.094111470650337E-2</v>
      </c>
      <c r="L27" s="147">
        <f t="shared" si="1"/>
        <v>0.10470557353251685</v>
      </c>
      <c r="M27" s="446"/>
      <c r="N27" s="445"/>
    </row>
    <row r="28" spans="2:14">
      <c r="B28" s="444"/>
      <c r="C28" s="444"/>
      <c r="D28" s="145"/>
      <c r="E28" s="145"/>
      <c r="F28" s="145">
        <v>25</v>
      </c>
      <c r="G28" s="146">
        <v>4.2993630573248412E-2</v>
      </c>
      <c r="H28" s="147">
        <f t="shared" si="0"/>
        <v>7.3462247418730711E-2</v>
      </c>
      <c r="I28" s="147">
        <f>H28*'Key Data'!$I$8</f>
        <v>3.2323388864241513E-2</v>
      </c>
      <c r="J28" s="147">
        <f>I28*'Key Data'!$F$8</f>
        <v>5.1394188294144008E-2</v>
      </c>
      <c r="K28" s="147">
        <f>J28*'Key Data'!$K$8</f>
        <v>1.2848547073536002E-2</v>
      </c>
      <c r="L28" s="147">
        <f t="shared" si="1"/>
        <v>6.4242735367680007E-2</v>
      </c>
      <c r="M28" s="446"/>
      <c r="N28" s="445"/>
    </row>
    <row r="29" spans="2:14">
      <c r="B29" s="444"/>
      <c r="C29" s="444"/>
      <c r="D29" s="145"/>
      <c r="E29" s="145"/>
      <c r="F29" s="145">
        <v>26</v>
      </c>
      <c r="G29" s="146">
        <v>1.9108280254777069E-2</v>
      </c>
      <c r="H29" s="147">
        <f t="shared" si="0"/>
        <v>4.0297296862336358E-2</v>
      </c>
      <c r="I29" s="147">
        <f>H29*'Key Data'!$I$8</f>
        <v>1.7730810619427998E-2</v>
      </c>
      <c r="J29" s="147">
        <f>I29*'Key Data'!$F$8</f>
        <v>2.819198888489052E-2</v>
      </c>
      <c r="K29" s="147">
        <f>J29*'Key Data'!$K$8</f>
        <v>7.0479972212226299E-3</v>
      </c>
      <c r="L29" s="147">
        <f t="shared" si="1"/>
        <v>3.5239986106113147E-2</v>
      </c>
      <c r="M29" s="446"/>
      <c r="N29" s="445"/>
    </row>
    <row r="30" spans="2:14">
      <c r="B30" s="444"/>
      <c r="C30" s="444"/>
      <c r="D30" s="145"/>
      <c r="E30" s="145"/>
      <c r="F30" s="145">
        <v>27</v>
      </c>
      <c r="G30" s="146">
        <v>5.8917197452229293E-2</v>
      </c>
      <c r="H30" s="147">
        <f t="shared" si="0"/>
        <v>0.10106300889982935</v>
      </c>
      <c r="I30" s="147">
        <f>H30*'Key Data'!$I$8</f>
        <v>4.4467723915924913E-2</v>
      </c>
      <c r="J30" s="147">
        <f>I30*'Key Data'!$F$8</f>
        <v>7.0703681026320617E-2</v>
      </c>
      <c r="K30" s="147">
        <f>J30*'Key Data'!$K$8</f>
        <v>1.7675920256580154E-2</v>
      </c>
      <c r="L30" s="147">
        <f t="shared" si="1"/>
        <v>8.8379601282900774E-2</v>
      </c>
      <c r="M30" s="446"/>
      <c r="N30" s="445"/>
    </row>
    <row r="31" spans="2:14">
      <c r="B31" s="444"/>
      <c r="C31" s="444"/>
      <c r="D31" s="145"/>
      <c r="E31" s="145"/>
      <c r="F31" s="145">
        <v>28</v>
      </c>
      <c r="G31" s="256" t="s">
        <v>454</v>
      </c>
      <c r="H31" s="147">
        <v>0</v>
      </c>
      <c r="I31" s="147">
        <f>H31*'Key Data'!$I$8</f>
        <v>0</v>
      </c>
      <c r="J31" s="147">
        <f>I31*'Key Data'!$F$8</f>
        <v>0</v>
      </c>
      <c r="K31" s="147">
        <f>J31*'Key Data'!$K$8</f>
        <v>0</v>
      </c>
      <c r="L31" s="147">
        <f t="shared" si="1"/>
        <v>0</v>
      </c>
      <c r="M31" s="446"/>
      <c r="N31" s="445"/>
    </row>
    <row r="32" spans="2:14">
      <c r="B32" s="444"/>
      <c r="C32" s="444"/>
      <c r="D32" s="145"/>
      <c r="E32" s="145"/>
      <c r="F32" s="145">
        <v>29</v>
      </c>
      <c r="G32" s="146">
        <v>3.8216560509554139E-2</v>
      </c>
      <c r="H32" s="147">
        <f t="shared" si="0"/>
        <v>6.6038582907587504E-2</v>
      </c>
      <c r="I32" s="147">
        <f>H32*'Key Data'!$I$8</f>
        <v>2.9056976479338501E-2</v>
      </c>
      <c r="J32" s="147">
        <f>I32*'Key Data'!$F$8</f>
        <v>4.6200592602148219E-2</v>
      </c>
      <c r="K32" s="147">
        <f>J32*'Key Data'!$K$8</f>
        <v>1.1550148150537055E-2</v>
      </c>
      <c r="L32" s="147">
        <f t="shared" si="1"/>
        <v>5.775074075268527E-2</v>
      </c>
      <c r="M32" s="446"/>
      <c r="N32" s="445"/>
    </row>
    <row r="33" spans="2:14">
      <c r="B33" s="444"/>
      <c r="C33" s="444"/>
      <c r="D33" s="145"/>
      <c r="E33" s="145"/>
      <c r="F33" s="145">
        <v>30</v>
      </c>
      <c r="G33" s="146">
        <v>5.0955414012738849E-2</v>
      </c>
      <c r="H33" s="147">
        <f t="shared" si="0"/>
        <v>8.671354871492977E-2</v>
      </c>
      <c r="I33" s="147">
        <f>H33*'Key Data'!$I$8</f>
        <v>3.8153961434569096E-2</v>
      </c>
      <c r="J33" s="147">
        <f>I33*'Key Data'!$F$8</f>
        <v>6.0664798680964867E-2</v>
      </c>
      <c r="K33" s="147">
        <f>J33*'Key Data'!$K$8</f>
        <v>1.5166199670241217E-2</v>
      </c>
      <c r="L33" s="147">
        <f t="shared" si="1"/>
        <v>7.5830998351206089E-2</v>
      </c>
      <c r="M33" s="446"/>
      <c r="N33" s="445"/>
    </row>
    <row r="34" spans="2:14">
      <c r="B34" s="444"/>
      <c r="C34" s="444"/>
      <c r="D34" s="145"/>
      <c r="E34" s="145"/>
      <c r="F34" s="145">
        <v>31</v>
      </c>
      <c r="G34" s="146">
        <v>9.0127388535031855E-2</v>
      </c>
      <c r="H34" s="147">
        <f t="shared" si="0"/>
        <v>0.16790265862015208</v>
      </c>
      <c r="I34" s="147">
        <f>H34*'Key Data'!$I$8</f>
        <v>7.3877169792866917E-2</v>
      </c>
      <c r="J34" s="147">
        <f>I34*'Key Data'!$F$8</f>
        <v>0.11746469997065841</v>
      </c>
      <c r="K34" s="147">
        <f>J34*'Key Data'!$K$8</f>
        <v>2.9366174992664602E-2</v>
      </c>
      <c r="L34" s="147">
        <f t="shared" si="1"/>
        <v>0.146830874963323</v>
      </c>
      <c r="M34" s="446"/>
      <c r="N34" s="445"/>
    </row>
    <row r="35" spans="2:14">
      <c r="B35" s="444"/>
      <c r="C35" s="444"/>
      <c r="D35" s="145"/>
      <c r="E35" s="145"/>
      <c r="F35" s="145">
        <v>32</v>
      </c>
      <c r="G35" s="146">
        <v>8.4076433121019103E-2</v>
      </c>
      <c r="H35" s="147">
        <f t="shared" si="0"/>
        <v>0.15362528182776239</v>
      </c>
      <c r="I35" s="147">
        <f>H35*'Key Data'!$I$8</f>
        <v>6.7595124004215454E-2</v>
      </c>
      <c r="J35" s="147">
        <f>I35*'Key Data'!$F$8</f>
        <v>0.10747624716670258</v>
      </c>
      <c r="K35" s="147">
        <f>J35*'Key Data'!$K$8</f>
        <v>2.6869061791675645E-2</v>
      </c>
      <c r="L35" s="147">
        <f t="shared" si="1"/>
        <v>0.13434530895837823</v>
      </c>
      <c r="M35" s="446"/>
      <c r="N35" s="445"/>
    </row>
    <row r="36" spans="2:14">
      <c r="B36" s="444"/>
      <c r="C36" s="444"/>
      <c r="D36" s="145"/>
      <c r="E36" s="145"/>
      <c r="F36" s="145">
        <v>33</v>
      </c>
      <c r="G36" s="256" t="s">
        <v>454</v>
      </c>
      <c r="H36" s="147">
        <v>0</v>
      </c>
      <c r="I36" s="147">
        <f>H36*'Key Data'!$I$8</f>
        <v>0</v>
      </c>
      <c r="J36" s="147">
        <f>I36*'Key Data'!$F$8</f>
        <v>0</v>
      </c>
      <c r="K36" s="147">
        <f>J36*'Key Data'!$K$8</f>
        <v>0</v>
      </c>
      <c r="L36" s="147">
        <f t="shared" si="1"/>
        <v>0</v>
      </c>
      <c r="M36" s="446"/>
      <c r="N36" s="445"/>
    </row>
    <row r="37" spans="2:14">
      <c r="B37" s="444"/>
      <c r="C37" s="444"/>
      <c r="D37" s="145"/>
      <c r="E37" s="145"/>
      <c r="F37" s="145">
        <v>34</v>
      </c>
      <c r="G37" s="146">
        <v>5.0955414012738849E-2</v>
      </c>
      <c r="H37" s="147">
        <f t="shared" si="0"/>
        <v>8.671354871492977E-2</v>
      </c>
      <c r="I37" s="147">
        <f>H37*'Key Data'!$I$8</f>
        <v>3.8153961434569096E-2</v>
      </c>
      <c r="J37" s="147">
        <f>I37*'Key Data'!$F$8</f>
        <v>6.0664798680964867E-2</v>
      </c>
      <c r="K37" s="147">
        <f>J37*'Key Data'!$K$8</f>
        <v>1.5166199670241217E-2</v>
      </c>
      <c r="L37" s="147">
        <f t="shared" si="1"/>
        <v>7.5830998351206089E-2</v>
      </c>
      <c r="M37" s="446"/>
      <c r="N37" s="445"/>
    </row>
    <row r="38" spans="2:14">
      <c r="B38" s="444"/>
      <c r="C38" s="444"/>
      <c r="D38" s="145"/>
      <c r="E38" s="145"/>
      <c r="F38" s="145">
        <v>35</v>
      </c>
      <c r="G38" s="146">
        <v>4.4585987261146501E-2</v>
      </c>
      <c r="H38" s="147">
        <f t="shared" si="0"/>
        <v>7.6024654966874466E-2</v>
      </c>
      <c r="I38" s="147">
        <f>H38*'Key Data'!$I$8</f>
        <v>3.3450848185424764E-2</v>
      </c>
      <c r="J38" s="147">
        <f>I38*'Key Data'!$F$8</f>
        <v>5.318684861482538E-2</v>
      </c>
      <c r="K38" s="147">
        <f>J38*'Key Data'!$K$8</f>
        <v>1.3296712153706345E-2</v>
      </c>
      <c r="L38" s="147">
        <f t="shared" si="1"/>
        <v>6.6483560768531721E-2</v>
      </c>
      <c r="M38" s="446"/>
      <c r="N38" s="445"/>
    </row>
    <row r="39" spans="2:14">
      <c r="B39" s="444"/>
      <c r="C39" s="444"/>
      <c r="D39" s="145"/>
      <c r="E39" s="145"/>
      <c r="F39" s="145">
        <v>36</v>
      </c>
      <c r="G39" s="146">
        <v>5.8917197452229293E-2</v>
      </c>
      <c r="H39" s="147">
        <f t="shared" si="0"/>
        <v>0.10106300889982935</v>
      </c>
      <c r="I39" s="147">
        <f>H39*'Key Data'!$I$8</f>
        <v>4.4467723915924913E-2</v>
      </c>
      <c r="J39" s="147">
        <f>I39*'Key Data'!$F$8</f>
        <v>7.0703681026320617E-2</v>
      </c>
      <c r="K39" s="147">
        <f>J39*'Key Data'!$K$8</f>
        <v>1.7675920256580154E-2</v>
      </c>
      <c r="L39" s="147">
        <f t="shared" si="1"/>
        <v>8.8379601282900774E-2</v>
      </c>
      <c r="M39" s="446"/>
      <c r="N39" s="445"/>
    </row>
    <row r="40" spans="2:14">
      <c r="B40" s="444"/>
      <c r="C40" s="444"/>
      <c r="D40" s="145"/>
      <c r="E40" s="145"/>
      <c r="F40" s="145">
        <v>37</v>
      </c>
      <c r="G40" s="146">
        <v>9.2356687898089165E-2</v>
      </c>
      <c r="H40" s="147">
        <f t="shared" si="0"/>
        <v>0.17332263674101672</v>
      </c>
      <c r="I40" s="147">
        <f>H40*'Key Data'!$I$8</f>
        <v>7.626196016604736E-2</v>
      </c>
      <c r="J40" s="147">
        <f>I40*'Key Data'!$F$8</f>
        <v>0.12125651666401531</v>
      </c>
      <c r="K40" s="147">
        <f>J40*'Key Data'!$K$8</f>
        <v>3.0314129166003827E-2</v>
      </c>
      <c r="L40" s="147">
        <f t="shared" si="1"/>
        <v>0.15157064583001914</v>
      </c>
      <c r="M40" s="446"/>
      <c r="N40" s="445"/>
    </row>
    <row r="41" spans="2:14">
      <c r="B41" s="444"/>
      <c r="C41" s="444"/>
      <c r="D41" s="145"/>
      <c r="E41" s="145"/>
      <c r="F41" s="145">
        <v>38</v>
      </c>
      <c r="G41" s="146">
        <v>5.5732484076433116E-2</v>
      </c>
      <c r="H41" s="147">
        <f t="shared" si="0"/>
        <v>9.5191445759225446E-2</v>
      </c>
      <c r="I41" s="147">
        <f>H41*'Key Data'!$I$8</f>
        <v>4.18842361340592E-2</v>
      </c>
      <c r="J41" s="147">
        <f>I41*'Key Data'!$F$8</f>
        <v>6.6595935453154134E-2</v>
      </c>
      <c r="K41" s="147">
        <f>J41*'Key Data'!$K$8</f>
        <v>1.6648983863288534E-2</v>
      </c>
      <c r="L41" s="147">
        <f t="shared" si="1"/>
        <v>8.3244919316442664E-2</v>
      </c>
      <c r="M41" s="446"/>
      <c r="N41" s="445"/>
    </row>
    <row r="42" spans="2:14">
      <c r="B42" s="444"/>
      <c r="C42" s="444"/>
      <c r="D42" s="145"/>
      <c r="E42" s="145"/>
      <c r="F42" s="145">
        <v>39</v>
      </c>
      <c r="G42" s="146">
        <v>5.5732484076433116E-2</v>
      </c>
      <c r="H42" s="147">
        <f t="shared" si="0"/>
        <v>9.5191445759225446E-2</v>
      </c>
      <c r="I42" s="147">
        <f>H42*'Key Data'!$I$8</f>
        <v>4.18842361340592E-2</v>
      </c>
      <c r="J42" s="147">
        <f>I42*'Key Data'!$F$8</f>
        <v>6.6595935453154134E-2</v>
      </c>
      <c r="K42" s="147">
        <f>J42*'Key Data'!$K$8</f>
        <v>1.6648983863288534E-2</v>
      </c>
      <c r="L42" s="147">
        <f t="shared" si="1"/>
        <v>8.3244919316442664E-2</v>
      </c>
      <c r="M42" s="446"/>
      <c r="N42" s="445"/>
    </row>
    <row r="43" spans="2:14">
      <c r="B43" s="444"/>
      <c r="C43" s="444"/>
      <c r="D43" s="145"/>
      <c r="E43" s="145"/>
      <c r="F43" s="145">
        <v>40</v>
      </c>
      <c r="G43" s="146">
        <v>5.4140127388535034E-2</v>
      </c>
      <c r="H43" s="147">
        <f t="shared" si="0"/>
        <v>9.2321553722245514E-2</v>
      </c>
      <c r="I43" s="147">
        <f>H43*'Key Data'!$I$8</f>
        <v>4.0621483637788024E-2</v>
      </c>
      <c r="J43" s="147">
        <f>I43*'Key Data'!$F$8</f>
        <v>6.4588158984082961E-2</v>
      </c>
      <c r="K43" s="147">
        <f>J43*'Key Data'!$K$8</f>
        <v>1.614703974602074E-2</v>
      </c>
      <c r="L43" s="147">
        <f t="shared" si="1"/>
        <v>8.0735198730103708E-2</v>
      </c>
      <c r="M43" s="446"/>
      <c r="N43" s="445"/>
    </row>
    <row r="44" spans="2:14">
      <c r="B44" s="444"/>
      <c r="C44" s="444"/>
      <c r="D44" s="145"/>
      <c r="E44" s="145"/>
      <c r="F44" s="145">
        <v>41</v>
      </c>
      <c r="G44" s="146">
        <v>7.3566878980891717E-2</v>
      </c>
      <c r="H44" s="147">
        <f t="shared" si="0"/>
        <v>0.1303352851844411</v>
      </c>
      <c r="I44" s="147">
        <f>H44*'Key Data'!$I$8</f>
        <v>5.7347525481154085E-2</v>
      </c>
      <c r="J44" s="147">
        <f>I44*'Key Data'!$F$8</f>
        <v>9.1182565515034994E-2</v>
      </c>
      <c r="K44" s="147">
        <f>J44*'Key Data'!$K$8</f>
        <v>2.2795641378758748E-2</v>
      </c>
      <c r="L44" s="147">
        <f t="shared" si="1"/>
        <v>0.11397820689379375</v>
      </c>
      <c r="M44" s="446"/>
      <c r="N44" s="445"/>
    </row>
    <row r="45" spans="2:14">
      <c r="B45" s="444"/>
      <c r="C45" s="444"/>
      <c r="D45" s="145"/>
      <c r="E45" s="145"/>
      <c r="F45" s="145">
        <v>42</v>
      </c>
      <c r="G45" s="146">
        <v>5.8917197452229293E-2</v>
      </c>
      <c r="H45" s="147">
        <f t="shared" si="0"/>
        <v>0.10106300889982935</v>
      </c>
      <c r="I45" s="147">
        <f>H45*'Key Data'!$I$8</f>
        <v>4.4467723915924913E-2</v>
      </c>
      <c r="J45" s="147">
        <f>I45*'Key Data'!$F$8</f>
        <v>7.0703681026320617E-2</v>
      </c>
      <c r="K45" s="147">
        <f>J45*'Key Data'!$K$8</f>
        <v>1.7675920256580154E-2</v>
      </c>
      <c r="L45" s="147">
        <f t="shared" si="1"/>
        <v>8.8379601282900774E-2</v>
      </c>
      <c r="M45" s="446"/>
      <c r="N45" s="445"/>
    </row>
    <row r="46" spans="2:14">
      <c r="B46" s="444"/>
      <c r="C46" s="444"/>
      <c r="D46" s="145"/>
      <c r="E46" s="145"/>
      <c r="F46" s="145">
        <v>43</v>
      </c>
      <c r="G46" s="146">
        <v>5.2547770700636945E-2</v>
      </c>
      <c r="H46" s="147">
        <f t="shared" si="0"/>
        <v>8.9495588040813659E-2</v>
      </c>
      <c r="I46" s="147">
        <f>H46*'Key Data'!$I$8</f>
        <v>3.9378058737958008E-2</v>
      </c>
      <c r="J46" s="147">
        <f>I46*'Key Data'!$F$8</f>
        <v>6.2611113393353235E-2</v>
      </c>
      <c r="K46" s="147">
        <f>J46*'Key Data'!$K$8</f>
        <v>1.5652778348338309E-2</v>
      </c>
      <c r="L46" s="147">
        <f t="shared" si="1"/>
        <v>7.8263891741691544E-2</v>
      </c>
      <c r="M46" s="446"/>
      <c r="N46" s="445"/>
    </row>
    <row r="47" spans="2:14">
      <c r="B47" s="444"/>
      <c r="C47" s="444"/>
      <c r="D47" s="145"/>
      <c r="E47" s="145"/>
      <c r="F47" s="145">
        <v>44</v>
      </c>
      <c r="G47" s="146">
        <v>3.9808917197452227E-2</v>
      </c>
      <c r="H47" s="147">
        <f t="shared" si="0"/>
        <v>6.8469211389087195E-2</v>
      </c>
      <c r="I47" s="147">
        <f>H47*'Key Data'!$I$8</f>
        <v>3.0126453011198366E-2</v>
      </c>
      <c r="J47" s="147">
        <f>I47*'Key Data'!$F$8</f>
        <v>4.7901060287805407E-2</v>
      </c>
      <c r="K47" s="147">
        <f>J47*'Key Data'!$K$8</f>
        <v>1.1975265071951352E-2</v>
      </c>
      <c r="L47" s="147">
        <f t="shared" si="1"/>
        <v>5.987632535975676E-2</v>
      </c>
      <c r="M47" s="446"/>
      <c r="N47" s="445"/>
    </row>
    <row r="48" spans="2:14">
      <c r="B48" s="444"/>
      <c r="C48" s="444"/>
      <c r="D48" s="145"/>
      <c r="E48" s="145"/>
      <c r="F48" s="145">
        <v>45</v>
      </c>
      <c r="G48" s="146">
        <v>5.7324840764331204E-2</v>
      </c>
      <c r="H48" s="147">
        <f t="shared" si="0"/>
        <v>9.8105264151753385E-2</v>
      </c>
      <c r="I48" s="147">
        <f>H48*'Key Data'!$I$8</f>
        <v>4.3166316226771487E-2</v>
      </c>
      <c r="J48" s="147">
        <f>I48*'Key Data'!$F$8</f>
        <v>6.8634442800566672E-2</v>
      </c>
      <c r="K48" s="147">
        <f>J48*'Key Data'!$K$8</f>
        <v>1.7158610700141668E-2</v>
      </c>
      <c r="L48" s="147">
        <f t="shared" si="1"/>
        <v>8.5793053500708344E-2</v>
      </c>
      <c r="M48" s="446"/>
      <c r="N48" s="445"/>
    </row>
    <row r="49" spans="2:14">
      <c r="B49" s="444"/>
      <c r="C49" s="444"/>
      <c r="D49" s="145"/>
      <c r="E49" s="145"/>
      <c r="F49" s="145">
        <v>46</v>
      </c>
      <c r="G49" s="146">
        <v>5.2547770700636945E-2</v>
      </c>
      <c r="H49" s="147">
        <f t="shared" si="0"/>
        <v>8.9495588040813659E-2</v>
      </c>
      <c r="I49" s="147">
        <f>H49*'Key Data'!$I$8</f>
        <v>3.9378058737958008E-2</v>
      </c>
      <c r="J49" s="147">
        <f>I49*'Key Data'!$F$8</f>
        <v>6.2611113393353235E-2</v>
      </c>
      <c r="K49" s="147">
        <f>J49*'Key Data'!$K$8</f>
        <v>1.5652778348338309E-2</v>
      </c>
      <c r="L49" s="147">
        <f t="shared" si="1"/>
        <v>7.8263891741691544E-2</v>
      </c>
      <c r="M49" s="446"/>
      <c r="N49" s="445"/>
    </row>
    <row r="50" spans="2:14">
      <c r="B50" s="444"/>
      <c r="C50" s="444"/>
      <c r="D50" s="145"/>
      <c r="E50" s="145"/>
      <c r="F50" s="145">
        <v>47</v>
      </c>
      <c r="G50" s="146">
        <v>4.9044585987261143E-2</v>
      </c>
      <c r="H50" s="147">
        <f t="shared" si="0"/>
        <v>8.3433084313192504E-2</v>
      </c>
      <c r="I50" s="147">
        <f>H50*'Key Data'!$I$8</f>
        <v>3.67105570978047E-2</v>
      </c>
      <c r="J50" s="147">
        <f>I50*'Key Data'!$F$8</f>
        <v>5.8369785785509477E-2</v>
      </c>
      <c r="K50" s="147">
        <f>J50*'Key Data'!$K$8</f>
        <v>1.4592446446377369E-2</v>
      </c>
      <c r="L50" s="147">
        <f t="shared" si="1"/>
        <v>7.2962232231886845E-2</v>
      </c>
      <c r="M50" s="446"/>
      <c r="N50" s="445"/>
    </row>
    <row r="51" spans="2:14">
      <c r="B51" s="444"/>
      <c r="C51" s="444"/>
      <c r="D51" s="145"/>
      <c r="E51" s="145"/>
      <c r="F51" s="145">
        <v>48</v>
      </c>
      <c r="G51" s="146">
        <v>7.038216560509554E-2</v>
      </c>
      <c r="H51" s="147">
        <f t="shared" si="0"/>
        <v>0.12365547710175369</v>
      </c>
      <c r="I51" s="147">
        <f>H51*'Key Data'!$I$8</f>
        <v>5.4408409924771625E-2</v>
      </c>
      <c r="J51" s="147">
        <f>I51*'Key Data'!$F$8</f>
        <v>8.6509371780386882E-2</v>
      </c>
      <c r="K51" s="147">
        <f>J51*'Key Data'!$K$8</f>
        <v>2.162734294509672E-2</v>
      </c>
      <c r="L51" s="147">
        <f t="shared" si="1"/>
        <v>0.1081367147254836</v>
      </c>
      <c r="M51" s="446"/>
      <c r="N51" s="445"/>
    </row>
    <row r="52" spans="2:14">
      <c r="B52" s="444"/>
      <c r="C52" s="444"/>
      <c r="D52" s="145"/>
      <c r="E52" s="145"/>
      <c r="F52" s="145">
        <v>49</v>
      </c>
      <c r="G52" s="146">
        <v>5.5732484076433116E-2</v>
      </c>
      <c r="H52" s="147">
        <f t="shared" si="0"/>
        <v>9.5191445759225446E-2</v>
      </c>
      <c r="I52" s="147">
        <f>H52*'Key Data'!$I$8</f>
        <v>4.18842361340592E-2</v>
      </c>
      <c r="J52" s="147">
        <f>I52*'Key Data'!$F$8</f>
        <v>6.6595935453154134E-2</v>
      </c>
      <c r="K52" s="147">
        <f>J52*'Key Data'!$K$8</f>
        <v>1.6648983863288534E-2</v>
      </c>
      <c r="L52" s="147">
        <f t="shared" si="1"/>
        <v>8.3244919316442664E-2</v>
      </c>
      <c r="M52" s="446"/>
      <c r="N52" s="445"/>
    </row>
    <row r="53" spans="2:14">
      <c r="B53" s="444"/>
      <c r="C53" s="444"/>
      <c r="D53" s="145"/>
      <c r="E53" s="145"/>
      <c r="F53" s="145">
        <v>50</v>
      </c>
      <c r="G53" s="146">
        <v>6.2101910828025478E-2</v>
      </c>
      <c r="H53" s="147">
        <f t="shared" si="0"/>
        <v>0.10711027746262528</v>
      </c>
      <c r="I53" s="147">
        <f>H53*'Key Data'!$I$8</f>
        <v>4.712852208355512E-2</v>
      </c>
      <c r="J53" s="147">
        <f>I53*'Key Data'!$F$8</f>
        <v>7.4934350112852641E-2</v>
      </c>
      <c r="K53" s="147">
        <f>J53*'Key Data'!$K$8</f>
        <v>1.873358752821316E-2</v>
      </c>
      <c r="L53" s="147">
        <f t="shared" si="1"/>
        <v>9.3667937641065804E-2</v>
      </c>
      <c r="M53" s="446"/>
      <c r="N53" s="445"/>
    </row>
    <row r="54" spans="2:14">
      <c r="B54" s="444"/>
      <c r="C54" s="444"/>
      <c r="D54" s="145"/>
      <c r="E54" s="145"/>
      <c r="F54" s="145">
        <v>51</v>
      </c>
      <c r="G54" s="146">
        <v>5.7324840764331204E-2</v>
      </c>
      <c r="H54" s="147">
        <f t="shared" si="0"/>
        <v>9.8105264151753385E-2</v>
      </c>
      <c r="I54" s="147">
        <f>H54*'Key Data'!$I$8</f>
        <v>4.3166316226771487E-2</v>
      </c>
      <c r="J54" s="147">
        <f>I54*'Key Data'!$F$8</f>
        <v>6.8634442800566672E-2</v>
      </c>
      <c r="K54" s="147">
        <f>J54*'Key Data'!$K$8</f>
        <v>1.7158610700141668E-2</v>
      </c>
      <c r="L54" s="147">
        <f t="shared" si="1"/>
        <v>8.5793053500708344E-2</v>
      </c>
      <c r="M54" s="446"/>
      <c r="N54" s="445"/>
    </row>
    <row r="55" spans="2:14">
      <c r="B55" s="444"/>
      <c r="C55" s="444"/>
      <c r="D55" s="145"/>
      <c r="E55" s="145"/>
      <c r="F55" s="145">
        <v>52</v>
      </c>
      <c r="G55" s="146">
        <v>5.2547770700636945E-2</v>
      </c>
      <c r="H55" s="147">
        <f t="shared" si="0"/>
        <v>8.9495588040813659E-2</v>
      </c>
      <c r="I55" s="147">
        <f>H55*'Key Data'!$I$8</f>
        <v>3.9378058737958008E-2</v>
      </c>
      <c r="J55" s="147">
        <f>I55*'Key Data'!$F$8</f>
        <v>6.2611113393353235E-2</v>
      </c>
      <c r="K55" s="147">
        <f>J55*'Key Data'!$K$8</f>
        <v>1.5652778348338309E-2</v>
      </c>
      <c r="L55" s="147">
        <f t="shared" si="1"/>
        <v>7.8263891741691544E-2</v>
      </c>
      <c r="M55" s="446"/>
      <c r="N55" s="445"/>
    </row>
    <row r="56" spans="2:14">
      <c r="B56" s="444"/>
      <c r="C56" s="444"/>
      <c r="D56" s="145"/>
      <c r="E56" s="145"/>
      <c r="F56" s="145">
        <v>53</v>
      </c>
      <c r="G56" s="146">
        <v>4.1401273885350316E-2</v>
      </c>
      <c r="H56" s="147">
        <f t="shared" si="0"/>
        <v>7.0943766226134949E-2</v>
      </c>
      <c r="I56" s="147">
        <f>H56*'Key Data'!$I$8</f>
        <v>3.1215257139499377E-2</v>
      </c>
      <c r="J56" s="147">
        <f>I56*'Key Data'!$F$8</f>
        <v>4.9632258851804015E-2</v>
      </c>
      <c r="K56" s="147">
        <f>J56*'Key Data'!$K$8</f>
        <v>1.2408064712951004E-2</v>
      </c>
      <c r="L56" s="147">
        <f t="shared" si="1"/>
        <v>6.2040323564755015E-2</v>
      </c>
      <c r="M56" s="446"/>
      <c r="N56" s="445"/>
    </row>
    <row r="57" spans="2:14">
      <c r="B57" s="444"/>
      <c r="C57" s="444"/>
      <c r="D57" s="145"/>
      <c r="E57" s="145"/>
      <c r="F57" s="145">
        <v>54</v>
      </c>
      <c r="G57" s="146">
        <v>6.6878980891719744E-2</v>
      </c>
      <c r="H57" s="147">
        <f t="shared" si="0"/>
        <v>0.11651062797342936</v>
      </c>
      <c r="I57" s="147">
        <f>H57*'Key Data'!$I$8</f>
        <v>5.1264676308308915E-2</v>
      </c>
      <c r="J57" s="147">
        <f>I57*'Key Data'!$F$8</f>
        <v>8.1510835330211182E-2</v>
      </c>
      <c r="K57" s="147">
        <f>J57*'Key Data'!$K$8</f>
        <v>2.0377708832552795E-2</v>
      </c>
      <c r="L57" s="147">
        <f t="shared" si="1"/>
        <v>0.10188854416276398</v>
      </c>
      <c r="M57" s="446"/>
      <c r="N57" s="445"/>
    </row>
    <row r="58" spans="2:14">
      <c r="B58" s="444"/>
      <c r="C58" s="444"/>
      <c r="D58" s="145"/>
      <c r="E58" s="145"/>
      <c r="F58" s="145">
        <v>55</v>
      </c>
      <c r="G58" s="146">
        <v>5.2547770700636945E-2</v>
      </c>
      <c r="H58" s="147">
        <f t="shared" si="0"/>
        <v>8.9495588040813659E-2</v>
      </c>
      <c r="I58" s="147">
        <f>H58*'Key Data'!$I$8</f>
        <v>3.9378058737958008E-2</v>
      </c>
      <c r="J58" s="147">
        <f>I58*'Key Data'!$F$8</f>
        <v>6.2611113393353235E-2</v>
      </c>
      <c r="K58" s="147">
        <f>J58*'Key Data'!$K$8</f>
        <v>1.5652778348338309E-2</v>
      </c>
      <c r="L58" s="147">
        <f t="shared" si="1"/>
        <v>7.8263891741691544E-2</v>
      </c>
      <c r="M58" s="446"/>
      <c r="N58" s="445"/>
    </row>
    <row r="59" spans="2:14">
      <c r="B59" s="444"/>
      <c r="C59" s="444"/>
      <c r="D59" s="145"/>
      <c r="E59" s="145"/>
      <c r="F59" s="145">
        <v>56</v>
      </c>
      <c r="G59" s="256" t="s">
        <v>454</v>
      </c>
      <c r="H59" s="147">
        <v>0</v>
      </c>
      <c r="I59" s="147">
        <f>H59*'Key Data'!$I$8</f>
        <v>0</v>
      </c>
      <c r="J59" s="147">
        <f>I59*'Key Data'!$F$8</f>
        <v>0</v>
      </c>
      <c r="K59" s="147">
        <f>J59*'Key Data'!$K$8</f>
        <v>0</v>
      </c>
      <c r="L59" s="147">
        <f t="shared" si="1"/>
        <v>0</v>
      </c>
      <c r="M59" s="446"/>
      <c r="N59" s="445"/>
    </row>
    <row r="60" spans="2:14">
      <c r="B60" s="444"/>
      <c r="C60" s="444"/>
      <c r="D60" s="145"/>
      <c r="E60" s="145"/>
      <c r="F60" s="145">
        <v>57</v>
      </c>
      <c r="G60" s="146">
        <v>2.229299363057325E-2</v>
      </c>
      <c r="H60" s="147">
        <f t="shared" si="0"/>
        <v>4.4148247647731356E-2</v>
      </c>
      <c r="I60" s="147">
        <f>H60*'Key Data'!$I$8</f>
        <v>1.9425228965001796E-2</v>
      </c>
      <c r="J60" s="147">
        <f>I60*'Key Data'!$F$8</f>
        <v>3.0886114054352858E-2</v>
      </c>
      <c r="K60" s="147">
        <f>J60*'Key Data'!$K$8</f>
        <v>7.7215285135882146E-3</v>
      </c>
      <c r="L60" s="147">
        <f t="shared" si="1"/>
        <v>3.8607642567941074E-2</v>
      </c>
      <c r="M60" s="446"/>
      <c r="N60" s="445"/>
    </row>
    <row r="61" spans="2:14">
      <c r="B61" s="444"/>
      <c r="C61" s="444"/>
      <c r="D61" s="145"/>
      <c r="E61" s="145"/>
      <c r="F61" s="145">
        <v>58</v>
      </c>
      <c r="G61" s="146">
        <v>5.796178343949044E-2</v>
      </c>
      <c r="H61" s="147">
        <f t="shared" si="0"/>
        <v>9.9283090888317979E-2</v>
      </c>
      <c r="I61" s="147">
        <f>H61*'Key Data'!$I$8</f>
        <v>4.3684559990859913E-2</v>
      </c>
      <c r="J61" s="147">
        <f>I61*'Key Data'!$F$8</f>
        <v>6.945845038546726E-2</v>
      </c>
      <c r="K61" s="147">
        <f>J61*'Key Data'!$K$8</f>
        <v>1.7364612596366815E-2</v>
      </c>
      <c r="L61" s="147">
        <f t="shared" si="1"/>
        <v>8.6823062981834079E-2</v>
      </c>
      <c r="M61" s="446"/>
      <c r="N61" s="445"/>
    </row>
    <row r="62" spans="2:14">
      <c r="B62" s="444"/>
      <c r="C62" s="444"/>
      <c r="D62" s="145"/>
      <c r="E62" s="145"/>
      <c r="F62" s="145">
        <v>59</v>
      </c>
      <c r="G62" s="146">
        <v>5.2547770700636945E-2</v>
      </c>
      <c r="H62" s="147">
        <f t="shared" si="0"/>
        <v>8.9495588040813659E-2</v>
      </c>
      <c r="I62" s="147">
        <f>H62*'Key Data'!$I$8</f>
        <v>3.9378058737958008E-2</v>
      </c>
      <c r="J62" s="147">
        <f>I62*'Key Data'!$F$8</f>
        <v>6.2611113393353235E-2</v>
      </c>
      <c r="K62" s="147">
        <f>J62*'Key Data'!$K$8</f>
        <v>1.5652778348338309E-2</v>
      </c>
      <c r="L62" s="147">
        <f t="shared" si="1"/>
        <v>7.8263891741691544E-2</v>
      </c>
      <c r="M62" s="446"/>
      <c r="N62" s="445"/>
    </row>
    <row r="63" spans="2:14">
      <c r="B63" s="444"/>
      <c r="C63" s="444"/>
      <c r="D63" s="145"/>
      <c r="E63" s="145"/>
      <c r="F63" s="145">
        <v>60</v>
      </c>
      <c r="G63" s="146">
        <v>7.8025477707006366E-2</v>
      </c>
      <c r="H63" s="147">
        <f t="shared" si="0"/>
        <v>0.13998220160948621</v>
      </c>
      <c r="I63" s="147">
        <f>H63*'Key Data'!$I$8</f>
        <v>6.1592168708173932E-2</v>
      </c>
      <c r="J63" s="147">
        <f>I63*'Key Data'!$F$8</f>
        <v>9.7931548245996564E-2</v>
      </c>
      <c r="K63" s="147">
        <f>J63*'Key Data'!$K$8</f>
        <v>2.4482887061499141E-2</v>
      </c>
      <c r="L63" s="147">
        <f t="shared" si="1"/>
        <v>0.12241443530749571</v>
      </c>
      <c r="M63" s="446"/>
      <c r="N63" s="445"/>
    </row>
    <row r="64" spans="2:14">
      <c r="B64" s="444"/>
      <c r="C64" s="444"/>
      <c r="D64" s="145"/>
      <c r="E64" s="145"/>
      <c r="F64" s="145">
        <v>61</v>
      </c>
      <c r="G64" s="146">
        <v>6.0509554140127389E-2</v>
      </c>
      <c r="H64" s="147">
        <f t="shared" si="0"/>
        <v>0.10406468000345331</v>
      </c>
      <c r="I64" s="147">
        <f>H64*'Key Data'!$I$8</f>
        <v>4.5788459201519457E-2</v>
      </c>
      <c r="J64" s="147">
        <f>I64*'Key Data'!$F$8</f>
        <v>7.2803650130415939E-2</v>
      </c>
      <c r="K64" s="147">
        <f>J64*'Key Data'!$K$8</f>
        <v>1.8200912532603985E-2</v>
      </c>
      <c r="L64" s="147">
        <f t="shared" si="1"/>
        <v>9.1004562663019928E-2</v>
      </c>
      <c r="M64" s="446"/>
      <c r="N64" s="445"/>
    </row>
    <row r="65" spans="2:14">
      <c r="B65" s="444"/>
      <c r="C65" s="444"/>
      <c r="D65" s="145"/>
      <c r="E65" s="145"/>
      <c r="F65" s="145">
        <v>62</v>
      </c>
      <c r="G65" s="146">
        <v>5.0955414012738849E-2</v>
      </c>
      <c r="H65" s="147">
        <f t="shared" si="0"/>
        <v>8.671354871492977E-2</v>
      </c>
      <c r="I65" s="147">
        <f>H65*'Key Data'!$I$8</f>
        <v>3.8153961434569096E-2</v>
      </c>
      <c r="J65" s="147">
        <f>I65*'Key Data'!$F$8</f>
        <v>6.0664798680964867E-2</v>
      </c>
      <c r="K65" s="147">
        <f>J65*'Key Data'!$K$8</f>
        <v>1.5166199670241217E-2</v>
      </c>
      <c r="L65" s="147">
        <f t="shared" si="1"/>
        <v>7.5830998351206089E-2</v>
      </c>
      <c r="M65" s="446"/>
      <c r="N65" s="445"/>
    </row>
    <row r="66" spans="2:14">
      <c r="B66" s="444"/>
      <c r="C66" s="444"/>
      <c r="D66" s="145"/>
      <c r="E66" s="145"/>
      <c r="F66" s="145">
        <v>63</v>
      </c>
      <c r="G66" s="146">
        <v>5.7324840764331204E-2</v>
      </c>
      <c r="H66" s="147">
        <f t="shared" si="0"/>
        <v>9.8105264151753385E-2</v>
      </c>
      <c r="I66" s="147">
        <f>H66*'Key Data'!$I$8</f>
        <v>4.3166316226771487E-2</v>
      </c>
      <c r="J66" s="147">
        <f>I66*'Key Data'!$F$8</f>
        <v>6.8634442800566672E-2</v>
      </c>
      <c r="K66" s="147">
        <f>J66*'Key Data'!$K$8</f>
        <v>1.7158610700141668E-2</v>
      </c>
      <c r="L66" s="147">
        <f t="shared" si="1"/>
        <v>8.5793053500708344E-2</v>
      </c>
      <c r="M66" s="446"/>
      <c r="N66" s="445"/>
    </row>
    <row r="67" spans="2:14">
      <c r="B67" s="444"/>
      <c r="C67" s="444"/>
      <c r="D67" s="145"/>
      <c r="E67" s="145"/>
      <c r="F67" s="145">
        <v>64</v>
      </c>
      <c r="G67" s="146">
        <v>5.2547770700636945E-2</v>
      </c>
      <c r="H67" s="147">
        <f t="shared" si="0"/>
        <v>8.9495588040813659E-2</v>
      </c>
      <c r="I67" s="147">
        <f>H67*'Key Data'!$I$8</f>
        <v>3.9378058737958008E-2</v>
      </c>
      <c r="J67" s="147">
        <f>I67*'Key Data'!$F$8</f>
        <v>6.2611113393353235E-2</v>
      </c>
      <c r="K67" s="147">
        <f>J67*'Key Data'!$K$8</f>
        <v>1.5652778348338309E-2</v>
      </c>
      <c r="L67" s="147">
        <f t="shared" si="1"/>
        <v>7.8263891741691544E-2</v>
      </c>
      <c r="M67" s="446"/>
      <c r="N67" s="445"/>
    </row>
  </sheetData>
  <mergeCells count="4">
    <mergeCell ref="B4:B67"/>
    <mergeCell ref="C4:C67"/>
    <mergeCell ref="M4:M67"/>
    <mergeCell ref="N4:N6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06BE2-D6A3-4E30-91B6-6F0EC5B38F8D}">
  <dimension ref="A4:E52"/>
  <sheetViews>
    <sheetView topLeftCell="A4" workbookViewId="0">
      <selection activeCell="E41" sqref="E41:E44"/>
    </sheetView>
  </sheetViews>
  <sheetFormatPr defaultRowHeight="15"/>
  <cols>
    <col min="1" max="1" width="19.85546875" bestFit="1" customWidth="1"/>
    <col min="3" max="3" width="24.85546875" bestFit="1" customWidth="1"/>
    <col min="4" max="4" width="18.85546875" bestFit="1" customWidth="1"/>
    <col min="5" max="5" width="92.85546875" bestFit="1" customWidth="1"/>
  </cols>
  <sheetData>
    <row r="4" spans="1:5">
      <c r="A4" s="354" t="s">
        <v>71</v>
      </c>
      <c r="B4" s="355" t="s">
        <v>72</v>
      </c>
      <c r="C4" s="355" t="s">
        <v>73</v>
      </c>
      <c r="D4" s="355" t="s">
        <v>74</v>
      </c>
      <c r="E4" s="354" t="s">
        <v>75</v>
      </c>
    </row>
    <row r="5" spans="1:5">
      <c r="A5" s="354"/>
      <c r="B5" s="356"/>
      <c r="C5" s="356"/>
      <c r="D5" s="356"/>
      <c r="E5" s="354"/>
    </row>
    <row r="6" spans="1:5">
      <c r="A6" s="357" t="s">
        <v>76</v>
      </c>
      <c r="B6" s="97">
        <v>1</v>
      </c>
      <c r="C6" s="97">
        <v>1</v>
      </c>
      <c r="D6" s="71">
        <f>'i=1 (2018 Mango)'!M4</f>
        <v>29.217174451088699</v>
      </c>
      <c r="E6" s="358">
        <f>AVERAGEA(D6:D19)</f>
        <v>34.793838466523837</v>
      </c>
    </row>
    <row r="7" spans="1:5">
      <c r="A7" s="357"/>
      <c r="B7" s="97">
        <v>2</v>
      </c>
      <c r="C7" s="97">
        <v>2</v>
      </c>
      <c r="D7" s="71">
        <f>'i=1 (2018 Mango)'!M20</f>
        <v>33.758490885016194</v>
      </c>
      <c r="E7" s="358"/>
    </row>
    <row r="8" spans="1:5">
      <c r="A8" s="357"/>
      <c r="B8" s="97">
        <v>3</v>
      </c>
      <c r="C8" s="97">
        <v>3</v>
      </c>
      <c r="D8" s="71">
        <f>'i=1 (2018 Mango)'!M36</f>
        <v>33.1317628435364</v>
      </c>
      <c r="E8" s="358"/>
    </row>
    <row r="9" spans="1:5">
      <c r="A9" s="357"/>
      <c r="B9" s="97">
        <v>4</v>
      </c>
      <c r="C9" s="97">
        <v>4</v>
      </c>
      <c r="D9" s="71">
        <f>'i=1 (2018 Mango)'!M52</f>
        <v>30.351885694994536</v>
      </c>
      <c r="E9" s="358"/>
    </row>
    <row r="10" spans="1:5">
      <c r="A10" s="357"/>
      <c r="B10" s="97">
        <v>5</v>
      </c>
      <c r="C10" s="97">
        <v>5</v>
      </c>
      <c r="D10" s="71">
        <f>'i=1 (2018 Mango)'!M68</f>
        <v>36.412188161307846</v>
      </c>
      <c r="E10" s="358"/>
    </row>
    <row r="11" spans="1:5">
      <c r="A11" s="357"/>
      <c r="B11" s="97">
        <v>6</v>
      </c>
      <c r="C11" s="97">
        <v>6</v>
      </c>
      <c r="D11" s="71">
        <f>'i=1 (2018 Mango)'!M88</f>
        <v>29.063200365566754</v>
      </c>
      <c r="E11" s="358"/>
    </row>
    <row r="12" spans="1:5">
      <c r="A12" s="357"/>
      <c r="B12" s="97">
        <v>7</v>
      </c>
      <c r="C12" s="97">
        <v>7</v>
      </c>
      <c r="D12" s="71">
        <f>'i=1 (2018 Mango)'!M104</f>
        <v>32.472579883163938</v>
      </c>
      <c r="E12" s="358"/>
    </row>
    <row r="13" spans="1:5">
      <c r="A13" s="357"/>
      <c r="B13" s="97">
        <v>8</v>
      </c>
      <c r="C13" s="97">
        <v>8</v>
      </c>
      <c r="D13" s="71">
        <f>'i=1 (2018 Mango)'!M120</f>
        <v>29.516688298563832</v>
      </c>
      <c r="E13" s="358"/>
    </row>
    <row r="14" spans="1:5">
      <c r="A14" s="357"/>
      <c r="B14" s="97">
        <v>9</v>
      </c>
      <c r="C14" s="97">
        <v>9</v>
      </c>
      <c r="D14" s="71">
        <f>'i=1 (2018 Mango)'!M136</f>
        <v>34.505945280418679</v>
      </c>
      <c r="E14" s="358"/>
    </row>
    <row r="15" spans="1:5">
      <c r="A15" s="357"/>
      <c r="B15" s="97">
        <v>10</v>
      </c>
      <c r="C15" s="97">
        <v>10</v>
      </c>
      <c r="D15" s="71">
        <f>'i=1 (2018 Mango)'!M152</f>
        <v>30.351885694994536</v>
      </c>
      <c r="E15" s="358"/>
    </row>
    <row r="16" spans="1:5">
      <c r="A16" s="357"/>
      <c r="B16" s="97">
        <v>11</v>
      </c>
      <c r="C16" s="97">
        <v>11</v>
      </c>
      <c r="D16" s="71">
        <f>'i=1 (2018 Mango)'!M168</f>
        <v>32.452525261269017</v>
      </c>
      <c r="E16" s="358"/>
    </row>
    <row r="17" spans="1:5">
      <c r="A17" s="357"/>
      <c r="B17" s="97">
        <v>12</v>
      </c>
      <c r="C17" s="97">
        <v>12</v>
      </c>
      <c r="D17" s="71">
        <f>'i=1 (2018 Mango)'!M184</f>
        <v>41.55182982918916</v>
      </c>
      <c r="E17" s="358"/>
    </row>
    <row r="18" spans="1:5">
      <c r="A18" s="357"/>
      <c r="B18" s="97">
        <v>13</v>
      </c>
      <c r="C18" s="97">
        <v>13</v>
      </c>
      <c r="D18" s="71">
        <f>'i=1 (2018 Mango)'!M209</f>
        <v>63.442563009262585</v>
      </c>
      <c r="E18" s="358"/>
    </row>
    <row r="19" spans="1:5">
      <c r="A19" s="357"/>
      <c r="B19" s="97">
        <v>14</v>
      </c>
      <c r="C19" s="97">
        <v>14</v>
      </c>
      <c r="D19" s="71">
        <f>'i=1 (2018 Mango)'!M245</f>
        <v>30.885018872961602</v>
      </c>
      <c r="E19" s="358"/>
    </row>
    <row r="20" spans="1:5">
      <c r="A20" s="360" t="s">
        <v>77</v>
      </c>
      <c r="B20" s="98">
        <v>15</v>
      </c>
      <c r="C20" s="98">
        <v>1</v>
      </c>
      <c r="D20" s="95">
        <f>'i=2 (2019 Mango)'!M4</f>
        <v>23.790168863589262</v>
      </c>
      <c r="E20" s="359">
        <f>AVERAGEA(D20:D26)</f>
        <v>32.853404780951386</v>
      </c>
    </row>
    <row r="21" spans="1:5">
      <c r="A21" s="360"/>
      <c r="B21" s="98">
        <v>16</v>
      </c>
      <c r="C21" s="98">
        <v>2</v>
      </c>
      <c r="D21" s="95">
        <f>'i=2 (2019 Mango)'!M20</f>
        <v>31.243896532894688</v>
      </c>
      <c r="E21" s="359"/>
    </row>
    <row r="22" spans="1:5">
      <c r="A22" s="360"/>
      <c r="B22" s="98">
        <v>17</v>
      </c>
      <c r="C22" s="98">
        <v>3</v>
      </c>
      <c r="D22" s="95">
        <f>'i=2 (2019 Mango)'!M36</f>
        <v>33.230789071884651</v>
      </c>
      <c r="E22" s="359"/>
    </row>
    <row r="23" spans="1:5">
      <c r="A23" s="360"/>
      <c r="B23" s="98">
        <v>18</v>
      </c>
      <c r="C23" s="98">
        <v>4</v>
      </c>
      <c r="D23" s="95">
        <f>'i=2 (2019 Mango)'!M52</f>
        <v>33.942125303572553</v>
      </c>
      <c r="E23" s="359"/>
    </row>
    <row r="24" spans="1:5">
      <c r="A24" s="360"/>
      <c r="B24" s="98">
        <v>19</v>
      </c>
      <c r="C24" s="98">
        <v>5</v>
      </c>
      <c r="D24" s="95">
        <f>'i=2 (2019 Mango)'!M68</f>
        <v>29.509265574042505</v>
      </c>
      <c r="E24" s="359"/>
    </row>
    <row r="25" spans="1:5">
      <c r="A25" s="360"/>
      <c r="B25" s="98">
        <v>20</v>
      </c>
      <c r="C25" s="98">
        <v>6</v>
      </c>
      <c r="D25" s="95">
        <f>'i=2 (2019 Mango)'!M84</f>
        <v>33.279174956904825</v>
      </c>
      <c r="E25" s="359"/>
    </row>
    <row r="26" spans="1:5">
      <c r="A26" s="360"/>
      <c r="B26" s="98">
        <v>21</v>
      </c>
      <c r="C26" s="98">
        <v>7</v>
      </c>
      <c r="D26" s="95">
        <f>'i=2 (2019 Mango)'!M100</f>
        <v>44.978413163771215</v>
      </c>
      <c r="E26" s="359"/>
    </row>
    <row r="27" spans="1:5">
      <c r="A27" s="353" t="s">
        <v>78</v>
      </c>
      <c r="B27" s="110">
        <v>22</v>
      </c>
      <c r="C27" s="110">
        <v>1</v>
      </c>
      <c r="D27" s="75">
        <f>'i=3 (2020 Mango)'!M4</f>
        <v>29.60823378747963</v>
      </c>
      <c r="E27" s="352">
        <f>AVERAGEA(D27:D30)</f>
        <v>30.524731874929152</v>
      </c>
    </row>
    <row r="28" spans="1:5">
      <c r="A28" s="353"/>
      <c r="B28" s="110">
        <v>23</v>
      </c>
      <c r="C28" s="110">
        <v>2</v>
      </c>
      <c r="D28" s="75">
        <f>'i=3 (2020 Mango)'!M20</f>
        <v>31.683366036450987</v>
      </c>
      <c r="E28" s="352"/>
    </row>
    <row r="29" spans="1:5">
      <c r="A29" s="353"/>
      <c r="B29" s="110">
        <v>24</v>
      </c>
      <c r="C29" s="110">
        <v>3</v>
      </c>
      <c r="D29" s="75">
        <f>'i=3 (2020 Mango)'!M36</f>
        <v>30.697129344963141</v>
      </c>
      <c r="E29" s="352"/>
    </row>
    <row r="30" spans="1:5">
      <c r="A30" s="353"/>
      <c r="B30" s="110">
        <v>25</v>
      </c>
      <c r="C30" s="110">
        <v>4</v>
      </c>
      <c r="D30" s="75">
        <f>'i=3 (2020 Mango)'!M56</f>
        <v>30.11019833082285</v>
      </c>
      <c r="E30" s="352"/>
    </row>
    <row r="31" spans="1:5">
      <c r="A31" s="347" t="s">
        <v>79</v>
      </c>
      <c r="B31" s="120">
        <v>26</v>
      </c>
      <c r="C31" s="120">
        <v>1</v>
      </c>
      <c r="D31" s="121">
        <f>'i=4 (2021 Mango)'!M4</f>
        <v>21.773049587886952</v>
      </c>
      <c r="E31" s="346">
        <f>AVERAGEA(D31:D34)</f>
        <v>22.984996448471591</v>
      </c>
    </row>
    <row r="32" spans="1:5">
      <c r="A32" s="347"/>
      <c r="B32" s="120">
        <v>27</v>
      </c>
      <c r="C32" s="120">
        <v>2</v>
      </c>
      <c r="D32" s="121">
        <f>'i=4 (2021 Mango)'!M20</f>
        <v>28.977422162677573</v>
      </c>
      <c r="E32" s="346"/>
    </row>
    <row r="33" spans="1:5">
      <c r="A33" s="347"/>
      <c r="B33" s="120">
        <v>28</v>
      </c>
      <c r="C33" s="120">
        <v>3</v>
      </c>
      <c r="D33" s="121">
        <f>'i=4 (2021 Mango)'!M36</f>
        <v>17.17653498295963</v>
      </c>
      <c r="E33" s="346"/>
    </row>
    <row r="34" spans="1:5">
      <c r="A34" s="347"/>
      <c r="B34" s="120">
        <v>29</v>
      </c>
      <c r="C34" s="120">
        <v>4</v>
      </c>
      <c r="D34" s="121">
        <f>'i=4 (2021 Mango)'!M52</f>
        <v>24.012979060362191</v>
      </c>
      <c r="E34" s="346"/>
    </row>
    <row r="35" spans="1:5">
      <c r="A35" s="349" t="s">
        <v>80</v>
      </c>
      <c r="B35" s="119">
        <v>30</v>
      </c>
      <c r="C35" s="119">
        <v>1</v>
      </c>
      <c r="D35" s="79">
        <f>'i=5 (2022 Mango)'!M4</f>
        <v>3.9038115687787274</v>
      </c>
      <c r="E35" s="348">
        <f>AVERAGEA(D35:D36)</f>
        <v>10.440022800688176</v>
      </c>
    </row>
    <row r="36" spans="1:5">
      <c r="A36" s="350"/>
      <c r="B36" s="119">
        <v>31</v>
      </c>
      <c r="C36" s="119">
        <v>2</v>
      </c>
      <c r="D36" s="79">
        <f>'i=5 (2022 Mango)'!M20</f>
        <v>16.976234032597624</v>
      </c>
      <c r="E36" s="348"/>
    </row>
    <row r="37" spans="1:5">
      <c r="A37" s="351" t="s">
        <v>81</v>
      </c>
      <c r="B37" s="58">
        <v>32</v>
      </c>
      <c r="C37" s="58">
        <v>1</v>
      </c>
      <c r="D37" s="62">
        <f>'i=6 (Mango 2023)'!M4</f>
        <v>8.2199350257336761</v>
      </c>
      <c r="E37" s="344">
        <f>AVERAGEA(D37:D38)</f>
        <v>10.243378622719346</v>
      </c>
    </row>
    <row r="38" spans="1:5">
      <c r="A38" s="351"/>
      <c r="B38" s="58">
        <v>33</v>
      </c>
      <c r="C38" s="58">
        <v>2</v>
      </c>
      <c r="D38" s="62">
        <f>'i=6 (Mango 2023)'!M16</f>
        <v>12.266822219705016</v>
      </c>
      <c r="E38" s="344"/>
    </row>
    <row r="39" spans="1:5">
      <c r="A39" s="339" t="s">
        <v>82</v>
      </c>
      <c r="B39" s="139">
        <v>34</v>
      </c>
      <c r="C39" s="139">
        <v>1</v>
      </c>
      <c r="D39" s="140">
        <f>'i=7 (2019 Red Sander)'!N4</f>
        <v>199.69628318668197</v>
      </c>
      <c r="E39" s="338">
        <f>AVERAGEA(D39:D40)</f>
        <v>143.44250532269044</v>
      </c>
    </row>
    <row r="40" spans="1:5">
      <c r="A40" s="340"/>
      <c r="B40" s="139">
        <v>35</v>
      </c>
      <c r="C40" s="139">
        <v>2</v>
      </c>
      <c r="D40" s="140">
        <f>'i=7 (2019 Red Sander)'!N85</f>
        <v>87.188727458698907</v>
      </c>
      <c r="E40" s="338"/>
    </row>
    <row r="41" spans="1:5">
      <c r="A41" s="158" t="s">
        <v>83</v>
      </c>
      <c r="B41" s="144">
        <v>36</v>
      </c>
      <c r="C41" s="144">
        <v>1</v>
      </c>
      <c r="D41" s="89">
        <f>'i=8 (2020 Red Sander)'!N4</f>
        <v>180.6143464383907</v>
      </c>
      <c r="E41" s="90">
        <f>AVERAGEA(D41)</f>
        <v>180.6143464383907</v>
      </c>
    </row>
    <row r="42" spans="1:5">
      <c r="A42" s="159" t="s">
        <v>84</v>
      </c>
      <c r="B42" s="148">
        <v>37</v>
      </c>
      <c r="C42" s="148">
        <v>1</v>
      </c>
      <c r="D42" s="149">
        <f>'i=9 (2021 Red Sander)'!N4</f>
        <v>80.407513925134083</v>
      </c>
      <c r="E42" s="150">
        <f>AVERAGEA(D42)</f>
        <v>80.407513925134083</v>
      </c>
    </row>
    <row r="43" spans="1:5">
      <c r="A43" s="160" t="s">
        <v>85</v>
      </c>
      <c r="B43" s="151">
        <v>38</v>
      </c>
      <c r="C43" s="151">
        <v>1</v>
      </c>
      <c r="D43" s="152">
        <f>'i=10 (2022 Red Sander)'!N4</f>
        <v>106.44746735974533</v>
      </c>
      <c r="E43" s="153">
        <f>AVERAGEA(D43)</f>
        <v>106.44746735974533</v>
      </c>
    </row>
    <row r="44" spans="1:5">
      <c r="A44" s="161" t="s">
        <v>86</v>
      </c>
      <c r="B44" s="139">
        <v>39</v>
      </c>
      <c r="C44" s="139">
        <v>1</v>
      </c>
      <c r="D44" s="140">
        <f>'i=11 (2018 Guava)'!M4</f>
        <v>7.9114201820964212</v>
      </c>
      <c r="E44" s="141">
        <f>AVERAGEA(D44)</f>
        <v>7.9114201820964212</v>
      </c>
    </row>
    <row r="45" spans="1:5">
      <c r="A45" s="342" t="s">
        <v>87</v>
      </c>
      <c r="B45" s="156">
        <v>40</v>
      </c>
      <c r="C45" s="156">
        <v>1</v>
      </c>
      <c r="D45" s="157">
        <f>'i=12 (2019 Guava)'!M4</f>
        <v>9.0083014741516045</v>
      </c>
      <c r="E45" s="341">
        <f>AVERAGEA(D45:D46)</f>
        <v>6.6828494189494556</v>
      </c>
    </row>
    <row r="46" spans="1:5">
      <c r="A46" s="343"/>
      <c r="B46" s="156">
        <v>41</v>
      </c>
      <c r="C46" s="156">
        <v>2</v>
      </c>
      <c r="D46" s="157">
        <f>'i=12 (2019 Guava)'!M58</f>
        <v>4.3573973637473076</v>
      </c>
      <c r="E46" s="341"/>
    </row>
    <row r="47" spans="1:5">
      <c r="A47" s="345" t="s">
        <v>88</v>
      </c>
      <c r="B47" s="60">
        <v>42</v>
      </c>
      <c r="C47" s="60">
        <v>1</v>
      </c>
      <c r="D47" s="59">
        <f>'i=13 (2020 Guava)'!M4</f>
        <v>3.3067872728088221</v>
      </c>
      <c r="E47" s="344">
        <f>AVERAGEA(D47:D50)</f>
        <v>15.166585115337625</v>
      </c>
    </row>
    <row r="48" spans="1:5">
      <c r="A48" s="345"/>
      <c r="B48" s="60">
        <v>43</v>
      </c>
      <c r="C48" s="60">
        <v>2</v>
      </c>
      <c r="D48" s="59">
        <f>'i=13 (2020 Guava)'!M46</f>
        <v>23.197862680037382</v>
      </c>
      <c r="E48" s="344"/>
    </row>
    <row r="49" spans="1:5">
      <c r="A49" s="345"/>
      <c r="B49" s="60">
        <v>44</v>
      </c>
      <c r="C49" s="60">
        <v>3</v>
      </c>
      <c r="D49" s="59">
        <f>'i=13 (2020 Guava)'!M79</f>
        <v>23.197862680037382</v>
      </c>
      <c r="E49" s="344"/>
    </row>
    <row r="50" spans="1:5">
      <c r="A50" s="345"/>
      <c r="B50" s="60">
        <v>45</v>
      </c>
      <c r="C50" s="60">
        <v>4</v>
      </c>
      <c r="D50" s="59">
        <f>'i=13 (2020 Guava)'!M114</f>
        <v>10.963827828466922</v>
      </c>
      <c r="E50" s="344"/>
    </row>
    <row r="51" spans="1:5">
      <c r="A51" s="173" t="s">
        <v>89</v>
      </c>
      <c r="B51" s="173">
        <v>46</v>
      </c>
      <c r="C51" s="173">
        <v>1</v>
      </c>
      <c r="D51" s="174">
        <f>'i=14 (2021 Guava)'!M4</f>
        <v>8.5319675077547217</v>
      </c>
      <c r="E51" s="174">
        <f>AVERAGEA(D51)</f>
        <v>8.5319675077547217</v>
      </c>
    </row>
    <row r="52" spans="1:5">
      <c r="A52" s="60" t="s">
        <v>90</v>
      </c>
      <c r="B52" s="60">
        <v>47</v>
      </c>
      <c r="C52" s="60">
        <v>1</v>
      </c>
      <c r="D52" s="59">
        <f>'i=15 (2022 Gauva)'!M4</f>
        <v>12.270747607064298</v>
      </c>
      <c r="E52" s="59">
        <f>AVERAGEA(D52)</f>
        <v>12.270747607064298</v>
      </c>
    </row>
  </sheetData>
  <mergeCells count="23">
    <mergeCell ref="E27:E30"/>
    <mergeCell ref="A27:A30"/>
    <mergeCell ref="A4:A5"/>
    <mergeCell ref="B4:B5"/>
    <mergeCell ref="C4:C5"/>
    <mergeCell ref="D4:D5"/>
    <mergeCell ref="E4:E5"/>
    <mergeCell ref="A6:A19"/>
    <mergeCell ref="E6:E19"/>
    <mergeCell ref="E20:E26"/>
    <mergeCell ref="A20:A26"/>
    <mergeCell ref="E31:E34"/>
    <mergeCell ref="A31:A34"/>
    <mergeCell ref="E35:E36"/>
    <mergeCell ref="A35:A36"/>
    <mergeCell ref="A37:A38"/>
    <mergeCell ref="E37:E38"/>
    <mergeCell ref="E39:E40"/>
    <mergeCell ref="A39:A40"/>
    <mergeCell ref="E45:E46"/>
    <mergeCell ref="A45:A46"/>
    <mergeCell ref="E47:E50"/>
    <mergeCell ref="A47:A5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7BB65-17CB-4A2F-BFFE-7FA5E8B036C4}">
  <dimension ref="B3:N84"/>
  <sheetViews>
    <sheetView workbookViewId="0">
      <selection activeCell="P7" sqref="P7"/>
    </sheetView>
  </sheetViews>
  <sheetFormatPr defaultRowHeight="15"/>
  <sheetData>
    <row r="3" spans="2:14" ht="81.75">
      <c r="B3" s="122" t="s">
        <v>486</v>
      </c>
      <c r="C3" s="122" t="s">
        <v>433</v>
      </c>
      <c r="D3" s="122" t="s">
        <v>434</v>
      </c>
      <c r="E3" s="122" t="s">
        <v>435</v>
      </c>
      <c r="F3" s="122" t="s">
        <v>67</v>
      </c>
      <c r="G3" s="122" t="s">
        <v>487</v>
      </c>
      <c r="H3" s="122" t="s">
        <v>488</v>
      </c>
      <c r="I3" s="122" t="s">
        <v>489</v>
      </c>
      <c r="J3" s="122" t="s">
        <v>490</v>
      </c>
      <c r="K3" s="274" t="s">
        <v>491</v>
      </c>
      <c r="L3" s="274" t="s">
        <v>492</v>
      </c>
      <c r="M3" s="274" t="s">
        <v>442</v>
      </c>
      <c r="N3" s="274" t="s">
        <v>443</v>
      </c>
    </row>
    <row r="4" spans="2:14">
      <c r="B4" s="442">
        <v>1</v>
      </c>
      <c r="C4" s="447" t="s">
        <v>495</v>
      </c>
      <c r="D4" s="142">
        <v>15.498798000000001</v>
      </c>
      <c r="E4" s="142">
        <v>79.453675000000004</v>
      </c>
      <c r="F4" s="142">
        <v>1</v>
      </c>
      <c r="G4" s="82">
        <v>6.6560509554140126E-2</v>
      </c>
      <c r="H4" s="83">
        <f>(0.144504+2.943115*G4)^2</f>
        <v>0.11587163855982231</v>
      </c>
      <c r="I4" s="83">
        <f>H4*'Key Data'!$I$8</f>
        <v>5.0983520966321819E-2</v>
      </c>
      <c r="J4" s="83">
        <f>I4*'Key Data'!$F$8</f>
        <v>8.1063798336451692E-2</v>
      </c>
      <c r="K4" s="83">
        <f>J4*'Key Data'!$K$8</f>
        <v>2.0265949584112923E-2</v>
      </c>
      <c r="L4" s="83">
        <f>K4+J4</f>
        <v>0.10132974792056462</v>
      </c>
      <c r="M4" s="398">
        <f>SUM(L4:L84)</f>
        <v>6.6529667099840832</v>
      </c>
      <c r="N4" s="398">
        <f>M4/625*10000</f>
        <v>106.44746735974533</v>
      </c>
    </row>
    <row r="5" spans="2:14">
      <c r="B5" s="442"/>
      <c r="C5" s="447"/>
      <c r="D5" s="142">
        <v>15.498837</v>
      </c>
      <c r="E5" s="142">
        <v>79.453452999999996</v>
      </c>
      <c r="F5" s="142">
        <v>2</v>
      </c>
      <c r="G5" s="82">
        <v>4.4585987261146501E-2</v>
      </c>
      <c r="H5" s="83">
        <f t="shared" ref="H5:H68" si="0">(0.144504+2.943115*G5)^2</f>
        <v>7.6024654966874466E-2</v>
      </c>
      <c r="I5" s="83">
        <f>H5*'Key Data'!$I$8</f>
        <v>3.3450848185424764E-2</v>
      </c>
      <c r="J5" s="83">
        <f>I5*'Key Data'!$F$8</f>
        <v>5.318684861482538E-2</v>
      </c>
      <c r="K5" s="83">
        <f>J5*'Key Data'!$K$8</f>
        <v>1.3296712153706345E-2</v>
      </c>
      <c r="L5" s="83">
        <f t="shared" ref="L5:L68" si="1">K5+J5</f>
        <v>6.6483560768531721E-2</v>
      </c>
      <c r="M5" s="448"/>
      <c r="N5" s="398"/>
    </row>
    <row r="6" spans="2:14">
      <c r="B6" s="442"/>
      <c r="C6" s="447"/>
      <c r="D6" s="142">
        <v>15.498627000000001</v>
      </c>
      <c r="E6" s="142">
        <v>79.453376000000006</v>
      </c>
      <c r="F6" s="142">
        <v>3</v>
      </c>
      <c r="G6" s="82">
        <v>6.4012738853503184E-2</v>
      </c>
      <c r="H6" s="83">
        <f t="shared" si="0"/>
        <v>0.11082297720295504</v>
      </c>
      <c r="I6" s="83">
        <f>H6*'Key Data'!$I$8</f>
        <v>4.8762109969300221E-2</v>
      </c>
      <c r="J6" s="83">
        <f>I6*'Key Data'!$F$8</f>
        <v>7.7531754851187351E-2</v>
      </c>
      <c r="K6" s="83">
        <f>J6*'Key Data'!$K$8</f>
        <v>1.9382938712796838E-2</v>
      </c>
      <c r="L6" s="83">
        <f t="shared" si="1"/>
        <v>9.6914693563984189E-2</v>
      </c>
      <c r="M6" s="448"/>
      <c r="N6" s="398"/>
    </row>
    <row r="7" spans="2:14">
      <c r="B7" s="442"/>
      <c r="C7" s="447"/>
      <c r="D7" s="142">
        <v>15.498557999999999</v>
      </c>
      <c r="E7" s="142">
        <v>79.453595000000007</v>
      </c>
      <c r="F7" s="142">
        <v>4</v>
      </c>
      <c r="G7" s="82">
        <v>8.1210191082802544E-2</v>
      </c>
      <c r="H7" s="83">
        <f t="shared" si="0"/>
        <v>0.14708370270543464</v>
      </c>
      <c r="I7" s="83">
        <f>H7*'Key Data'!$I$8</f>
        <v>6.4716829190391248E-2</v>
      </c>
      <c r="J7" s="83">
        <f>I7*'Key Data'!$F$8</f>
        <v>0.10289975841272209</v>
      </c>
      <c r="K7" s="83">
        <f>J7*'Key Data'!$K$8</f>
        <v>2.5724939603180522E-2</v>
      </c>
      <c r="L7" s="83">
        <f t="shared" si="1"/>
        <v>0.12862469801590259</v>
      </c>
      <c r="M7" s="448"/>
      <c r="N7" s="398"/>
    </row>
    <row r="8" spans="2:14">
      <c r="B8" s="442"/>
      <c r="C8" s="447"/>
      <c r="D8" s="142">
        <v>15.498697999999999</v>
      </c>
      <c r="E8" s="142">
        <v>79.463507000000007</v>
      </c>
      <c r="F8" s="142">
        <v>5</v>
      </c>
      <c r="G8" s="82">
        <v>5.4140127388535034E-2</v>
      </c>
      <c r="H8" s="83">
        <f t="shared" si="0"/>
        <v>9.2321553722245514E-2</v>
      </c>
      <c r="I8" s="83">
        <f>H8*'Key Data'!$I$8</f>
        <v>4.0621483637788024E-2</v>
      </c>
      <c r="J8" s="83">
        <f>I8*'Key Data'!$F$8</f>
        <v>6.4588158984082961E-2</v>
      </c>
      <c r="K8" s="83">
        <f>J8*'Key Data'!$K$8</f>
        <v>1.614703974602074E-2</v>
      </c>
      <c r="L8" s="83">
        <f t="shared" si="1"/>
        <v>8.0735198730103708E-2</v>
      </c>
      <c r="M8" s="448"/>
      <c r="N8" s="398"/>
    </row>
    <row r="9" spans="2:14">
      <c r="B9" s="442"/>
      <c r="C9" s="447"/>
      <c r="D9" s="142"/>
      <c r="E9" s="142"/>
      <c r="F9" s="142">
        <v>6</v>
      </c>
      <c r="G9" s="82">
        <v>2.0700636942675158E-2</v>
      </c>
      <c r="H9" s="83">
        <f t="shared" si="0"/>
        <v>4.2200809077259843E-2</v>
      </c>
      <c r="I9" s="83">
        <f>H9*'Key Data'!$I$8</f>
        <v>1.8568355993994329E-2</v>
      </c>
      <c r="J9" s="83">
        <f>I9*'Key Data'!$F$8</f>
        <v>2.9523686030450986E-2</v>
      </c>
      <c r="K9" s="83">
        <f>J9*'Key Data'!$K$8</f>
        <v>7.3809215076127465E-3</v>
      </c>
      <c r="L9" s="83">
        <f t="shared" si="1"/>
        <v>3.6904607538063731E-2</v>
      </c>
      <c r="M9" s="448"/>
      <c r="N9" s="398"/>
    </row>
    <row r="10" spans="2:14">
      <c r="B10" s="442"/>
      <c r="C10" s="447"/>
      <c r="D10" s="142"/>
      <c r="E10" s="142"/>
      <c r="F10" s="142">
        <v>7</v>
      </c>
      <c r="G10" s="82">
        <v>3.0254777070063694E-2</v>
      </c>
      <c r="H10" s="83">
        <f t="shared" si="0"/>
        <v>5.4544335833309185E-2</v>
      </c>
      <c r="I10" s="83">
        <f>H10*'Key Data'!$I$8</f>
        <v>2.3999507766656041E-2</v>
      </c>
      <c r="J10" s="83">
        <f>I10*'Key Data'!$F$8</f>
        <v>3.8159217348983109E-2</v>
      </c>
      <c r="K10" s="83">
        <f>J10*'Key Data'!$K$8</f>
        <v>9.5398043372457771E-3</v>
      </c>
      <c r="L10" s="83">
        <f t="shared" si="1"/>
        <v>4.7699021686228887E-2</v>
      </c>
      <c r="M10" s="448"/>
      <c r="N10" s="398"/>
    </row>
    <row r="11" spans="2:14">
      <c r="B11" s="442"/>
      <c r="C11" s="447"/>
      <c r="D11" s="142"/>
      <c r="E11" s="142"/>
      <c r="F11" s="142">
        <v>8</v>
      </c>
      <c r="G11" s="82">
        <v>4.6178343949044583E-2</v>
      </c>
      <c r="H11" s="83">
        <f t="shared" si="0"/>
        <v>7.8630988870566271E-2</v>
      </c>
      <c r="I11" s="83">
        <f>H11*'Key Data'!$I$8</f>
        <v>3.4597635103049161E-2</v>
      </c>
      <c r="J11" s="83">
        <f>I11*'Key Data'!$F$8</f>
        <v>5.5010239813848172E-2</v>
      </c>
      <c r="K11" s="83">
        <f>J11*'Key Data'!$K$8</f>
        <v>1.3752559953462043E-2</v>
      </c>
      <c r="L11" s="83">
        <f t="shared" si="1"/>
        <v>6.8762799767310215E-2</v>
      </c>
      <c r="M11" s="448"/>
      <c r="N11" s="398"/>
    </row>
    <row r="12" spans="2:14">
      <c r="B12" s="442"/>
      <c r="C12" s="447"/>
      <c r="D12" s="142"/>
      <c r="E12" s="142"/>
      <c r="F12" s="142">
        <v>9</v>
      </c>
      <c r="G12" s="82">
        <v>6.6560509554140126E-2</v>
      </c>
      <c r="H12" s="83">
        <f t="shared" si="0"/>
        <v>0.11587163855982231</v>
      </c>
      <c r="I12" s="83">
        <f>H12*'Key Data'!$I$8</f>
        <v>5.0983520966321819E-2</v>
      </c>
      <c r="J12" s="83">
        <f>I12*'Key Data'!$F$8</f>
        <v>8.1063798336451692E-2</v>
      </c>
      <c r="K12" s="83">
        <f>J12*'Key Data'!$K$8</f>
        <v>2.0265949584112923E-2</v>
      </c>
      <c r="L12" s="83">
        <f t="shared" si="1"/>
        <v>0.10132974792056462</v>
      </c>
      <c r="M12" s="448"/>
      <c r="N12" s="398"/>
    </row>
    <row r="13" spans="2:14">
      <c r="B13" s="442"/>
      <c r="C13" s="447"/>
      <c r="D13" s="142"/>
      <c r="E13" s="142"/>
      <c r="F13" s="142">
        <v>10</v>
      </c>
      <c r="G13" s="82">
        <v>3.5031847133757961E-2</v>
      </c>
      <c r="H13" s="83">
        <f t="shared" si="0"/>
        <v>6.1309105011232108E-2</v>
      </c>
      <c r="I13" s="83">
        <f>H13*'Key Data'!$I$8</f>
        <v>2.6976006204942126E-2</v>
      </c>
      <c r="J13" s="83">
        <f>I13*'Key Data'!$F$8</f>
        <v>4.2891849865857985E-2</v>
      </c>
      <c r="K13" s="83">
        <f>J13*'Key Data'!$K$8</f>
        <v>1.0722962466464496E-2</v>
      </c>
      <c r="L13" s="83">
        <f t="shared" si="1"/>
        <v>5.361481233232248E-2</v>
      </c>
      <c r="M13" s="448"/>
      <c r="N13" s="398"/>
    </row>
    <row r="14" spans="2:14">
      <c r="B14" s="442"/>
      <c r="C14" s="447"/>
      <c r="D14" s="142"/>
      <c r="E14" s="142"/>
      <c r="F14" s="142">
        <v>11</v>
      </c>
      <c r="G14" s="82">
        <v>6.0509554140127389E-2</v>
      </c>
      <c r="H14" s="83">
        <f t="shared" si="0"/>
        <v>0.10406468000345331</v>
      </c>
      <c r="I14" s="83">
        <f>H14*'Key Data'!$I$8</f>
        <v>4.5788459201519457E-2</v>
      </c>
      <c r="J14" s="83">
        <f>I14*'Key Data'!$F$8</f>
        <v>7.2803650130415939E-2</v>
      </c>
      <c r="K14" s="83">
        <f>J14*'Key Data'!$K$8</f>
        <v>1.8200912532603985E-2</v>
      </c>
      <c r="L14" s="83">
        <f t="shared" si="1"/>
        <v>9.1004562663019928E-2</v>
      </c>
      <c r="M14" s="448"/>
      <c r="N14" s="398"/>
    </row>
    <row r="15" spans="2:14">
      <c r="B15" s="442"/>
      <c r="C15" s="447"/>
      <c r="D15" s="142"/>
      <c r="E15" s="142"/>
      <c r="F15" s="142">
        <v>12</v>
      </c>
      <c r="G15" s="82">
        <v>5.4140127388535034E-2</v>
      </c>
      <c r="H15" s="83">
        <f t="shared" si="0"/>
        <v>9.2321553722245514E-2</v>
      </c>
      <c r="I15" s="83">
        <f>H15*'Key Data'!$I$8</f>
        <v>4.0621483637788024E-2</v>
      </c>
      <c r="J15" s="83">
        <f>I15*'Key Data'!$F$8</f>
        <v>6.4588158984082961E-2</v>
      </c>
      <c r="K15" s="83">
        <f>J15*'Key Data'!$K$8</f>
        <v>1.614703974602074E-2</v>
      </c>
      <c r="L15" s="83">
        <f t="shared" si="1"/>
        <v>8.0735198730103708E-2</v>
      </c>
      <c r="M15" s="448"/>
      <c r="N15" s="398"/>
    </row>
    <row r="16" spans="2:14">
      <c r="B16" s="442"/>
      <c r="C16" s="447"/>
      <c r="D16" s="142"/>
      <c r="E16" s="142"/>
      <c r="F16" s="142">
        <v>13</v>
      </c>
      <c r="G16" s="82">
        <v>4.4904458598726112E-2</v>
      </c>
      <c r="H16" s="83">
        <f t="shared" si="0"/>
        <v>7.6542407639168974E-2</v>
      </c>
      <c r="I16" s="83">
        <f>H16*'Key Data'!$I$8</f>
        <v>3.3678659361234348E-2</v>
      </c>
      <c r="J16" s="83">
        <f>I16*'Key Data'!$F$8</f>
        <v>5.3549068384362616E-2</v>
      </c>
      <c r="K16" s="83">
        <f>J16*'Key Data'!$K$8</f>
        <v>1.3387267096090654E-2</v>
      </c>
      <c r="L16" s="83">
        <f t="shared" si="1"/>
        <v>6.6936335480453274E-2</v>
      </c>
      <c r="M16" s="448"/>
      <c r="N16" s="398"/>
    </row>
    <row r="17" spans="2:14">
      <c r="B17" s="442"/>
      <c r="C17" s="447"/>
      <c r="D17" s="142"/>
      <c r="E17" s="142"/>
      <c r="F17" s="142">
        <v>14</v>
      </c>
      <c r="G17" s="82">
        <v>5.605095541401274E-2</v>
      </c>
      <c r="H17" s="83">
        <f t="shared" si="0"/>
        <v>9.577069532928717E-2</v>
      </c>
      <c r="I17" s="83">
        <f>H17*'Key Data'!$I$8</f>
        <v>4.2139105944886353E-2</v>
      </c>
      <c r="J17" s="83">
        <f>I17*'Key Data'!$F$8</f>
        <v>6.7001178452369303E-2</v>
      </c>
      <c r="K17" s="83">
        <f>J17*'Key Data'!$K$8</f>
        <v>1.6750294613092326E-2</v>
      </c>
      <c r="L17" s="83">
        <f t="shared" si="1"/>
        <v>8.3751473065461629E-2</v>
      </c>
      <c r="M17" s="448"/>
      <c r="N17" s="398"/>
    </row>
    <row r="18" spans="2:14">
      <c r="B18" s="442"/>
      <c r="C18" s="447"/>
      <c r="D18" s="142"/>
      <c r="E18" s="142"/>
      <c r="F18" s="142">
        <v>15</v>
      </c>
      <c r="G18" s="82">
        <v>4.5222929936305729E-2</v>
      </c>
      <c r="H18" s="83">
        <f t="shared" si="0"/>
        <v>7.7061917365685434E-2</v>
      </c>
      <c r="I18" s="83">
        <f>H18*'Key Data'!$I$8</f>
        <v>3.3907243640901592E-2</v>
      </c>
      <c r="J18" s="83">
        <f>I18*'Key Data'!$F$8</f>
        <v>5.3912517389033535E-2</v>
      </c>
      <c r="K18" s="83">
        <f>J18*'Key Data'!$K$8</f>
        <v>1.3478129347258384E-2</v>
      </c>
      <c r="L18" s="83">
        <f t="shared" si="1"/>
        <v>6.7390646736291915E-2</v>
      </c>
      <c r="M18" s="448"/>
      <c r="N18" s="398"/>
    </row>
    <row r="19" spans="2:14">
      <c r="B19" s="442"/>
      <c r="C19" s="447"/>
      <c r="D19" s="142"/>
      <c r="E19" s="142"/>
      <c r="F19" s="142">
        <v>16</v>
      </c>
      <c r="G19" s="82">
        <v>3.5031847133757961E-2</v>
      </c>
      <c r="H19" s="83">
        <f t="shared" si="0"/>
        <v>6.1309105011232108E-2</v>
      </c>
      <c r="I19" s="83">
        <f>H19*'Key Data'!$I$8</f>
        <v>2.6976006204942126E-2</v>
      </c>
      <c r="J19" s="83">
        <f>I19*'Key Data'!$F$8</f>
        <v>4.2891849865857985E-2</v>
      </c>
      <c r="K19" s="83">
        <f>J19*'Key Data'!$K$8</f>
        <v>1.0722962466464496E-2</v>
      </c>
      <c r="L19" s="83">
        <f t="shared" si="1"/>
        <v>5.361481233232248E-2</v>
      </c>
      <c r="M19" s="448"/>
      <c r="N19" s="398"/>
    </row>
    <row r="20" spans="2:14">
      <c r="B20" s="442"/>
      <c r="C20" s="447"/>
      <c r="D20" s="142"/>
      <c r="E20" s="142"/>
      <c r="F20" s="142">
        <v>17</v>
      </c>
      <c r="G20" s="82">
        <v>4.7770700636942671E-2</v>
      </c>
      <c r="H20" s="83">
        <f t="shared" si="0"/>
        <v>8.1281249129806096E-2</v>
      </c>
      <c r="I20" s="83">
        <f>H20*'Key Data'!$I$8</f>
        <v>3.5763749617114683E-2</v>
      </c>
      <c r="J20" s="83">
        <f>I20*'Key Data'!$F$8</f>
        <v>5.6864361891212349E-2</v>
      </c>
      <c r="K20" s="83">
        <f>J20*'Key Data'!$K$8</f>
        <v>1.4216090472803087E-2</v>
      </c>
      <c r="L20" s="83">
        <f t="shared" si="1"/>
        <v>7.1080452364015431E-2</v>
      </c>
      <c r="M20" s="448"/>
      <c r="N20" s="398"/>
    </row>
    <row r="21" spans="2:14">
      <c r="B21" s="442"/>
      <c r="C21" s="447"/>
      <c r="D21" s="142"/>
      <c r="E21" s="142"/>
      <c r="F21" s="142">
        <v>18</v>
      </c>
      <c r="G21" s="82">
        <v>7.1974522292993628E-2</v>
      </c>
      <c r="H21" s="83">
        <f t="shared" si="0"/>
        <v>0.12697341796532341</v>
      </c>
      <c r="I21" s="83">
        <f>H21*'Key Data'!$I$8</f>
        <v>5.5868303904742303E-2</v>
      </c>
      <c r="J21" s="83">
        <f>I21*'Key Data'!$F$8</f>
        <v>8.8830603208540262E-2</v>
      </c>
      <c r="K21" s="83">
        <f>J21*'Key Data'!$K$8</f>
        <v>2.2207650802135066E-2</v>
      </c>
      <c r="L21" s="83">
        <f t="shared" si="1"/>
        <v>0.11103825401067532</v>
      </c>
      <c r="M21" s="448"/>
      <c r="N21" s="398"/>
    </row>
    <row r="22" spans="2:14">
      <c r="B22" s="442"/>
      <c r="C22" s="447"/>
      <c r="D22" s="142"/>
      <c r="E22" s="142"/>
      <c r="F22" s="142">
        <v>19</v>
      </c>
      <c r="G22" s="82">
        <v>5.4140127388535034E-2</v>
      </c>
      <c r="H22" s="83">
        <f t="shared" si="0"/>
        <v>9.2321553722245514E-2</v>
      </c>
      <c r="I22" s="83">
        <f>H22*'Key Data'!$I$8</f>
        <v>4.0621483637788024E-2</v>
      </c>
      <c r="J22" s="83">
        <f>I22*'Key Data'!$F$8</f>
        <v>6.4588158984082961E-2</v>
      </c>
      <c r="K22" s="83">
        <f>J22*'Key Data'!$K$8</f>
        <v>1.614703974602074E-2</v>
      </c>
      <c r="L22" s="83">
        <f t="shared" si="1"/>
        <v>8.0735198730103708E-2</v>
      </c>
      <c r="M22" s="448"/>
      <c r="N22" s="398"/>
    </row>
    <row r="23" spans="2:14">
      <c r="B23" s="442"/>
      <c r="C23" s="447"/>
      <c r="D23" s="142"/>
      <c r="E23" s="142"/>
      <c r="F23" s="142">
        <v>20</v>
      </c>
      <c r="G23" s="82">
        <v>4.6815286624203818E-2</v>
      </c>
      <c r="H23" s="83">
        <f t="shared" si="0"/>
        <v>7.9685821811596419E-2</v>
      </c>
      <c r="I23" s="83">
        <f>H23*'Key Data'!$I$8</f>
        <v>3.5061761597102427E-2</v>
      </c>
      <c r="J23" s="83">
        <f>I23*'Key Data'!$F$8</f>
        <v>5.574820093939286E-2</v>
      </c>
      <c r="K23" s="83">
        <f>J23*'Key Data'!$K$8</f>
        <v>1.3937050234848215E-2</v>
      </c>
      <c r="L23" s="83">
        <f t="shared" si="1"/>
        <v>6.968525117424107E-2</v>
      </c>
      <c r="M23" s="448"/>
      <c r="N23" s="398"/>
    </row>
    <row r="24" spans="2:14">
      <c r="B24" s="442"/>
      <c r="C24" s="447"/>
      <c r="D24" s="142"/>
      <c r="E24" s="142"/>
      <c r="F24" s="142">
        <v>21</v>
      </c>
      <c r="G24" s="82">
        <v>5.796178343949044E-2</v>
      </c>
      <c r="H24" s="83">
        <f t="shared" si="0"/>
        <v>9.9283090888317979E-2</v>
      </c>
      <c r="I24" s="83">
        <f>H24*'Key Data'!$I$8</f>
        <v>4.3684559990859913E-2</v>
      </c>
      <c r="J24" s="83">
        <f>I24*'Key Data'!$F$8</f>
        <v>6.945845038546726E-2</v>
      </c>
      <c r="K24" s="83">
        <f>J24*'Key Data'!$K$8</f>
        <v>1.7364612596366815E-2</v>
      </c>
      <c r="L24" s="83">
        <f t="shared" si="1"/>
        <v>8.6823062981834079E-2</v>
      </c>
      <c r="M24" s="448"/>
      <c r="N24" s="398"/>
    </row>
    <row r="25" spans="2:14">
      <c r="B25" s="442"/>
      <c r="C25" s="447"/>
      <c r="D25" s="142"/>
      <c r="E25" s="142"/>
      <c r="F25" s="142">
        <v>22</v>
      </c>
      <c r="G25" s="82">
        <v>5.3503184713375798E-2</v>
      </c>
      <c r="H25" s="83">
        <f t="shared" si="0"/>
        <v>9.1185896287007018E-2</v>
      </c>
      <c r="I25" s="83">
        <f>H25*'Key Data'!$I$8</f>
        <v>4.0121794366283089E-2</v>
      </c>
      <c r="J25" s="83">
        <f>I25*'Key Data'!$F$8</f>
        <v>6.3793653042390111E-2</v>
      </c>
      <c r="K25" s="83">
        <f>J25*'Key Data'!$K$8</f>
        <v>1.5948413260597528E-2</v>
      </c>
      <c r="L25" s="83">
        <f t="shared" si="1"/>
        <v>7.9742066302987635E-2</v>
      </c>
      <c r="M25" s="448"/>
      <c r="N25" s="398"/>
    </row>
    <row r="26" spans="2:14">
      <c r="B26" s="442"/>
      <c r="C26" s="447"/>
      <c r="D26" s="142"/>
      <c r="E26" s="142"/>
      <c r="F26" s="142">
        <v>23</v>
      </c>
      <c r="G26" s="82">
        <v>3.662420382165605E-2</v>
      </c>
      <c r="H26" s="83">
        <f t="shared" si="0"/>
        <v>6.3651880781635792E-2</v>
      </c>
      <c r="I26" s="83">
        <f>H26*'Key Data'!$I$8</f>
        <v>2.8006827543919748E-2</v>
      </c>
      <c r="J26" s="83">
        <f>I26*'Key Data'!$F$8</f>
        <v>4.4530855794832402E-2</v>
      </c>
      <c r="K26" s="83">
        <f>J26*'Key Data'!$K$8</f>
        <v>1.1132713948708101E-2</v>
      </c>
      <c r="L26" s="83">
        <f t="shared" si="1"/>
        <v>5.5663569743540503E-2</v>
      </c>
      <c r="M26" s="448"/>
      <c r="N26" s="398"/>
    </row>
    <row r="27" spans="2:14">
      <c r="B27" s="442"/>
      <c r="C27" s="447"/>
      <c r="D27" s="142"/>
      <c r="E27" s="142"/>
      <c r="F27" s="142">
        <v>24</v>
      </c>
      <c r="G27" s="82">
        <v>7.4522292993630571E-2</v>
      </c>
      <c r="H27" s="83">
        <f t="shared" si="0"/>
        <v>0.13237349016657479</v>
      </c>
      <c r="I27" s="83">
        <f>H27*'Key Data'!$I$8</f>
        <v>5.8244335673292909E-2</v>
      </c>
      <c r="J27" s="83">
        <f>I27*'Key Data'!$F$8</f>
        <v>9.2608493720535728E-2</v>
      </c>
      <c r="K27" s="83">
        <f>J27*'Key Data'!$K$8</f>
        <v>2.3152123430133932E-2</v>
      </c>
      <c r="L27" s="83">
        <f t="shared" si="1"/>
        <v>0.11576061715066965</v>
      </c>
      <c r="M27" s="448"/>
      <c r="N27" s="398"/>
    </row>
    <row r="28" spans="2:14">
      <c r="B28" s="442"/>
      <c r="C28" s="447"/>
      <c r="D28" s="142"/>
      <c r="E28" s="142"/>
      <c r="F28" s="142">
        <v>25</v>
      </c>
      <c r="G28" s="82">
        <v>4.6178343949044583E-2</v>
      </c>
      <c r="H28" s="83">
        <f t="shared" si="0"/>
        <v>7.8630988870566271E-2</v>
      </c>
      <c r="I28" s="83">
        <f>H28*'Key Data'!$I$8</f>
        <v>3.4597635103049161E-2</v>
      </c>
      <c r="J28" s="83">
        <f>I28*'Key Data'!$F$8</f>
        <v>5.5010239813848172E-2</v>
      </c>
      <c r="K28" s="83">
        <f>J28*'Key Data'!$K$8</f>
        <v>1.3752559953462043E-2</v>
      </c>
      <c r="L28" s="83">
        <f t="shared" si="1"/>
        <v>6.8762799767310215E-2</v>
      </c>
      <c r="M28" s="448"/>
      <c r="N28" s="398"/>
    </row>
    <row r="29" spans="2:14">
      <c r="B29" s="442"/>
      <c r="C29" s="447"/>
      <c r="D29" s="142"/>
      <c r="E29" s="142"/>
      <c r="F29" s="142">
        <v>26</v>
      </c>
      <c r="G29" s="82">
        <v>5.2229299363057313E-2</v>
      </c>
      <c r="H29" s="83">
        <f t="shared" si="0"/>
        <v>8.8935666067193012E-2</v>
      </c>
      <c r="I29" s="83">
        <f>H29*'Key Data'!$I$8</f>
        <v>3.9131693069564925E-2</v>
      </c>
      <c r="J29" s="83">
        <f>I29*'Key Data'!$F$8</f>
        <v>6.2219391980608232E-2</v>
      </c>
      <c r="K29" s="83">
        <f>J29*'Key Data'!$K$8</f>
        <v>1.5554847995152058E-2</v>
      </c>
      <c r="L29" s="83">
        <f t="shared" si="1"/>
        <v>7.7774239975760287E-2</v>
      </c>
      <c r="M29" s="448"/>
      <c r="N29" s="398"/>
    </row>
    <row r="30" spans="2:14">
      <c r="B30" s="442"/>
      <c r="C30" s="447"/>
      <c r="D30" s="142"/>
      <c r="E30" s="142"/>
      <c r="F30" s="142">
        <v>27</v>
      </c>
      <c r="G30" s="82">
        <v>5.2547770700636945E-2</v>
      </c>
      <c r="H30" s="83">
        <f t="shared" si="0"/>
        <v>8.9495588040813659E-2</v>
      </c>
      <c r="I30" s="83">
        <f>H30*'Key Data'!$I$8</f>
        <v>3.9378058737958008E-2</v>
      </c>
      <c r="J30" s="83">
        <f>I30*'Key Data'!$F$8</f>
        <v>6.2611113393353235E-2</v>
      </c>
      <c r="K30" s="83">
        <f>J30*'Key Data'!$K$8</f>
        <v>1.5652778348338309E-2</v>
      </c>
      <c r="L30" s="83">
        <f t="shared" si="1"/>
        <v>7.8263891741691544E-2</v>
      </c>
      <c r="M30" s="448"/>
      <c r="N30" s="398"/>
    </row>
    <row r="31" spans="2:14">
      <c r="B31" s="442"/>
      <c r="C31" s="447"/>
      <c r="D31" s="142"/>
      <c r="E31" s="142"/>
      <c r="F31" s="142">
        <v>28</v>
      </c>
      <c r="G31" s="82">
        <v>6.6560509554140126E-2</v>
      </c>
      <c r="H31" s="83">
        <f t="shared" si="0"/>
        <v>0.11587163855982231</v>
      </c>
      <c r="I31" s="83">
        <f>H31*'Key Data'!$I$8</f>
        <v>5.0983520966321819E-2</v>
      </c>
      <c r="J31" s="83">
        <f>I31*'Key Data'!$F$8</f>
        <v>8.1063798336451692E-2</v>
      </c>
      <c r="K31" s="83">
        <f>J31*'Key Data'!$K$8</f>
        <v>2.0265949584112923E-2</v>
      </c>
      <c r="L31" s="83">
        <f t="shared" si="1"/>
        <v>0.10132974792056462</v>
      </c>
      <c r="M31" s="448"/>
      <c r="N31" s="398"/>
    </row>
    <row r="32" spans="2:14">
      <c r="B32" s="442"/>
      <c r="C32" s="447"/>
      <c r="D32" s="142"/>
      <c r="E32" s="142"/>
      <c r="F32" s="142">
        <v>29</v>
      </c>
      <c r="G32" s="82">
        <v>6.1146496815286625E-2</v>
      </c>
      <c r="H32" s="83">
        <f t="shared" si="0"/>
        <v>0.10527764782445632</v>
      </c>
      <c r="I32" s="83">
        <f>H32*'Key Data'!$I$8</f>
        <v>4.6322165042760786E-2</v>
      </c>
      <c r="J32" s="83">
        <f>I32*'Key Data'!$F$8</f>
        <v>7.365224241798965E-2</v>
      </c>
      <c r="K32" s="83">
        <f>J32*'Key Data'!$K$8</f>
        <v>1.8413060604497412E-2</v>
      </c>
      <c r="L32" s="83">
        <f t="shared" si="1"/>
        <v>9.2065303022487055E-2</v>
      </c>
      <c r="M32" s="448"/>
      <c r="N32" s="398"/>
    </row>
    <row r="33" spans="2:14">
      <c r="B33" s="442"/>
      <c r="C33" s="447"/>
      <c r="D33" s="142"/>
      <c r="E33" s="142"/>
      <c r="F33" s="142">
        <v>30</v>
      </c>
      <c r="G33" s="82">
        <v>6.8152866242038215E-2</v>
      </c>
      <c r="H33" s="83">
        <f t="shared" si="0"/>
        <v>0.11908415617007678</v>
      </c>
      <c r="I33" s="83">
        <f>H33*'Key Data'!$I$8</f>
        <v>5.2397028714833788E-2</v>
      </c>
      <c r="J33" s="83">
        <f>I33*'Key Data'!$F$8</f>
        <v>8.331127565658572E-2</v>
      </c>
      <c r="K33" s="83">
        <f>J33*'Key Data'!$K$8</f>
        <v>2.082781891414643E-2</v>
      </c>
      <c r="L33" s="83">
        <f t="shared" si="1"/>
        <v>0.10413909457073214</v>
      </c>
      <c r="M33" s="448"/>
      <c r="N33" s="398"/>
    </row>
    <row r="34" spans="2:14">
      <c r="B34" s="442"/>
      <c r="C34" s="447"/>
      <c r="D34" s="142"/>
      <c r="E34" s="142"/>
      <c r="F34" s="142">
        <v>31</v>
      </c>
      <c r="G34" s="82">
        <v>8.4394904458598721E-2</v>
      </c>
      <c r="H34" s="83">
        <f t="shared" si="0"/>
        <v>0.15436090922357507</v>
      </c>
      <c r="I34" s="83">
        <f>H34*'Key Data'!$I$8</f>
        <v>6.791880005837303E-2</v>
      </c>
      <c r="J34" s="83">
        <f>I34*'Key Data'!$F$8</f>
        <v>0.10799089209281312</v>
      </c>
      <c r="K34" s="83">
        <f>J34*'Key Data'!$K$8</f>
        <v>2.6997723023203281E-2</v>
      </c>
      <c r="L34" s="83">
        <f t="shared" si="1"/>
        <v>0.1349886151160164</v>
      </c>
      <c r="M34" s="448"/>
      <c r="N34" s="398"/>
    </row>
    <row r="35" spans="2:14">
      <c r="B35" s="442"/>
      <c r="C35" s="447"/>
      <c r="D35" s="142"/>
      <c r="E35" s="142"/>
      <c r="F35" s="142">
        <v>32</v>
      </c>
      <c r="G35" s="82">
        <v>5.8917197452229293E-2</v>
      </c>
      <c r="H35" s="83">
        <f t="shared" si="0"/>
        <v>0.10106300889982935</v>
      </c>
      <c r="I35" s="83">
        <f>H35*'Key Data'!$I$8</f>
        <v>4.4467723915924913E-2</v>
      </c>
      <c r="J35" s="83">
        <f>I35*'Key Data'!$F$8</f>
        <v>7.0703681026320617E-2</v>
      </c>
      <c r="K35" s="83">
        <f>J35*'Key Data'!$K$8</f>
        <v>1.7675920256580154E-2</v>
      </c>
      <c r="L35" s="83">
        <f t="shared" si="1"/>
        <v>8.8379601282900774E-2</v>
      </c>
      <c r="M35" s="448"/>
      <c r="N35" s="398"/>
    </row>
    <row r="36" spans="2:14">
      <c r="B36" s="442"/>
      <c r="C36" s="447"/>
      <c r="D36" s="142"/>
      <c r="E36" s="142"/>
      <c r="F36" s="142">
        <v>33</v>
      </c>
      <c r="G36" s="82">
        <v>2.229299363057325E-2</v>
      </c>
      <c r="H36" s="83">
        <f t="shared" si="0"/>
        <v>4.4148247647731356E-2</v>
      </c>
      <c r="I36" s="83">
        <f>H36*'Key Data'!$I$8</f>
        <v>1.9425228965001796E-2</v>
      </c>
      <c r="J36" s="83">
        <f>I36*'Key Data'!$F$8</f>
        <v>3.0886114054352858E-2</v>
      </c>
      <c r="K36" s="83">
        <f>J36*'Key Data'!$K$8</f>
        <v>7.7215285135882146E-3</v>
      </c>
      <c r="L36" s="83">
        <f t="shared" si="1"/>
        <v>3.8607642567941074E-2</v>
      </c>
      <c r="M36" s="448"/>
      <c r="N36" s="398"/>
    </row>
    <row r="37" spans="2:14">
      <c r="B37" s="442"/>
      <c r="C37" s="447"/>
      <c r="D37" s="142"/>
      <c r="E37" s="142"/>
      <c r="F37" s="142">
        <v>34</v>
      </c>
      <c r="G37" s="82">
        <v>5.0318471337579614E-2</v>
      </c>
      <c r="H37" s="83">
        <f t="shared" si="0"/>
        <v>8.5613032364129663E-2</v>
      </c>
      <c r="I37" s="83">
        <f>H37*'Key Data'!$I$8</f>
        <v>3.7669734240217051E-2</v>
      </c>
      <c r="J37" s="83">
        <f>I37*'Key Data'!$F$8</f>
        <v>5.9894877441945112E-2</v>
      </c>
      <c r="K37" s="83">
        <f>J37*'Key Data'!$K$8</f>
        <v>1.4973719360486278E-2</v>
      </c>
      <c r="L37" s="83">
        <f t="shared" si="1"/>
        <v>7.4868596802431395E-2</v>
      </c>
      <c r="M37" s="448"/>
      <c r="N37" s="398"/>
    </row>
    <row r="38" spans="2:14">
      <c r="B38" s="442"/>
      <c r="C38" s="447"/>
      <c r="D38" s="142"/>
      <c r="E38" s="142"/>
      <c r="F38" s="142">
        <v>35</v>
      </c>
      <c r="G38" s="82">
        <v>3.5031847133757961E-2</v>
      </c>
      <c r="H38" s="83">
        <f t="shared" si="0"/>
        <v>6.1309105011232108E-2</v>
      </c>
      <c r="I38" s="83">
        <f>H38*'Key Data'!$I$8</f>
        <v>2.6976006204942126E-2</v>
      </c>
      <c r="J38" s="83">
        <f>I38*'Key Data'!$F$8</f>
        <v>4.2891849865857985E-2</v>
      </c>
      <c r="K38" s="83">
        <f>J38*'Key Data'!$K$8</f>
        <v>1.0722962466464496E-2</v>
      </c>
      <c r="L38" s="83">
        <f t="shared" si="1"/>
        <v>5.361481233232248E-2</v>
      </c>
      <c r="M38" s="448"/>
      <c r="N38" s="398"/>
    </row>
    <row r="39" spans="2:14">
      <c r="B39" s="442"/>
      <c r="C39" s="447"/>
      <c r="D39" s="142"/>
      <c r="E39" s="142"/>
      <c r="F39" s="142">
        <v>36</v>
      </c>
      <c r="G39" s="82">
        <v>4.7770700636942671E-2</v>
      </c>
      <c r="H39" s="83">
        <f t="shared" si="0"/>
        <v>8.1281249129806096E-2</v>
      </c>
      <c r="I39" s="83">
        <f>H39*'Key Data'!$I$8</f>
        <v>3.5763749617114683E-2</v>
      </c>
      <c r="J39" s="83">
        <f>I39*'Key Data'!$F$8</f>
        <v>5.6864361891212349E-2</v>
      </c>
      <c r="K39" s="83">
        <f>J39*'Key Data'!$K$8</f>
        <v>1.4216090472803087E-2</v>
      </c>
      <c r="L39" s="83">
        <f t="shared" si="1"/>
        <v>7.1080452364015431E-2</v>
      </c>
      <c r="M39" s="448"/>
      <c r="N39" s="398"/>
    </row>
    <row r="40" spans="2:14">
      <c r="B40" s="442"/>
      <c r="C40" s="447"/>
      <c r="D40" s="142"/>
      <c r="E40" s="142"/>
      <c r="F40" s="142">
        <v>37</v>
      </c>
      <c r="G40" s="82">
        <v>7.038216560509554E-2</v>
      </c>
      <c r="H40" s="83">
        <f t="shared" si="0"/>
        <v>0.12365547710175369</v>
      </c>
      <c r="I40" s="83">
        <f>H40*'Key Data'!$I$8</f>
        <v>5.4408409924771625E-2</v>
      </c>
      <c r="J40" s="83">
        <f>I40*'Key Data'!$F$8</f>
        <v>8.6509371780386882E-2</v>
      </c>
      <c r="K40" s="83">
        <f>J40*'Key Data'!$K$8</f>
        <v>2.162734294509672E-2</v>
      </c>
      <c r="L40" s="83">
        <f t="shared" si="1"/>
        <v>0.1081367147254836</v>
      </c>
      <c r="M40" s="448"/>
      <c r="N40" s="398"/>
    </row>
    <row r="41" spans="2:14">
      <c r="B41" s="442"/>
      <c r="C41" s="447"/>
      <c r="D41" s="142"/>
      <c r="E41" s="142"/>
      <c r="F41" s="142">
        <v>38</v>
      </c>
      <c r="G41" s="82">
        <v>5.4777070063694262E-2</v>
      </c>
      <c r="H41" s="83">
        <f t="shared" si="0"/>
        <v>9.3464239374371733E-2</v>
      </c>
      <c r="I41" s="83">
        <f>H41*'Key Data'!$I$8</f>
        <v>4.1124265324723561E-2</v>
      </c>
      <c r="J41" s="83">
        <f>I41*'Key Data'!$F$8</f>
        <v>6.5387581866310468E-2</v>
      </c>
      <c r="K41" s="83">
        <f>J41*'Key Data'!$K$8</f>
        <v>1.6346895466577617E-2</v>
      </c>
      <c r="L41" s="83">
        <f t="shared" si="1"/>
        <v>8.1734477332888078E-2</v>
      </c>
      <c r="M41" s="448"/>
      <c r="N41" s="398"/>
    </row>
    <row r="42" spans="2:14">
      <c r="B42" s="442"/>
      <c r="C42" s="447"/>
      <c r="D42" s="142"/>
      <c r="E42" s="142"/>
      <c r="F42" s="142">
        <v>39</v>
      </c>
      <c r="G42" s="82">
        <v>6.8471337579617833E-2</v>
      </c>
      <c r="H42" s="83">
        <f t="shared" si="0"/>
        <v>0.11973193085479343</v>
      </c>
      <c r="I42" s="83">
        <f>H42*'Key Data'!$I$8</f>
        <v>5.2682049576109106E-2</v>
      </c>
      <c r="J42" s="83">
        <f>I42*'Key Data'!$F$8</f>
        <v>8.376445882601348E-2</v>
      </c>
      <c r="K42" s="83">
        <f>J42*'Key Data'!$K$8</f>
        <v>2.094111470650337E-2</v>
      </c>
      <c r="L42" s="83">
        <f t="shared" si="1"/>
        <v>0.10470557353251685</v>
      </c>
      <c r="M42" s="448"/>
      <c r="N42" s="398"/>
    </row>
    <row r="43" spans="2:14">
      <c r="B43" s="442"/>
      <c r="C43" s="447"/>
      <c r="D43" s="142"/>
      <c r="E43" s="142"/>
      <c r="F43" s="142">
        <v>40</v>
      </c>
      <c r="G43" s="82">
        <v>7.0063694267515922E-2</v>
      </c>
      <c r="H43" s="83">
        <f t="shared" si="0"/>
        <v>0.12299716009170553</v>
      </c>
      <c r="I43" s="83">
        <f>H43*'Key Data'!$I$8</f>
        <v>5.411875044035043E-2</v>
      </c>
      <c r="J43" s="83">
        <f>I43*'Key Data'!$F$8</f>
        <v>8.6048813200157184E-2</v>
      </c>
      <c r="K43" s="83">
        <f>J43*'Key Data'!$K$8</f>
        <v>2.1512203300039296E-2</v>
      </c>
      <c r="L43" s="83">
        <f t="shared" si="1"/>
        <v>0.10756101650019648</v>
      </c>
      <c r="M43" s="448"/>
      <c r="N43" s="398"/>
    </row>
    <row r="44" spans="2:14">
      <c r="B44" s="442"/>
      <c r="C44" s="447"/>
      <c r="D44" s="142"/>
      <c r="E44" s="142"/>
      <c r="F44" s="142">
        <v>41</v>
      </c>
      <c r="G44" s="82">
        <v>4.6178343949044583E-2</v>
      </c>
      <c r="H44" s="83">
        <f t="shared" si="0"/>
        <v>7.8630988870566271E-2</v>
      </c>
      <c r="I44" s="83">
        <f>H44*'Key Data'!$I$8</f>
        <v>3.4597635103049161E-2</v>
      </c>
      <c r="J44" s="83">
        <f>I44*'Key Data'!$F$8</f>
        <v>5.5010239813848172E-2</v>
      </c>
      <c r="K44" s="83">
        <f>J44*'Key Data'!$K$8</f>
        <v>1.3752559953462043E-2</v>
      </c>
      <c r="L44" s="83">
        <f t="shared" si="1"/>
        <v>6.8762799767310215E-2</v>
      </c>
      <c r="M44" s="448"/>
      <c r="N44" s="398"/>
    </row>
    <row r="45" spans="2:14">
      <c r="B45" s="442"/>
      <c r="C45" s="447"/>
      <c r="D45" s="142"/>
      <c r="E45" s="142"/>
      <c r="F45" s="142">
        <v>42</v>
      </c>
      <c r="G45" s="82">
        <v>5.9872611464968153E-2</v>
      </c>
      <c r="H45" s="83">
        <f t="shared" si="0"/>
        <v>0.10285874039933793</v>
      </c>
      <c r="I45" s="83">
        <f>H45*'Key Data'!$I$8</f>
        <v>4.525784577570869E-2</v>
      </c>
      <c r="J45" s="83">
        <f>I45*'Key Data'!$F$8</f>
        <v>7.1959974783376818E-2</v>
      </c>
      <c r="K45" s="83">
        <f>J45*'Key Data'!$K$8</f>
        <v>1.7989993695844204E-2</v>
      </c>
      <c r="L45" s="83">
        <f t="shared" si="1"/>
        <v>8.9949968479221015E-2</v>
      </c>
      <c r="M45" s="448"/>
      <c r="N45" s="398"/>
    </row>
    <row r="46" spans="2:14">
      <c r="B46" s="442"/>
      <c r="C46" s="447"/>
      <c r="D46" s="142"/>
      <c r="E46" s="142"/>
      <c r="F46" s="142">
        <v>43</v>
      </c>
      <c r="G46" s="82">
        <v>8.2165605095541397E-2</v>
      </c>
      <c r="H46" s="83">
        <f t="shared" si="0"/>
        <v>0.14924841559154658</v>
      </c>
      <c r="I46" s="83">
        <f>H46*'Key Data'!$I$8</f>
        <v>6.5669302860280498E-2</v>
      </c>
      <c r="J46" s="83">
        <f>I46*'Key Data'!$F$8</f>
        <v>0.10441419154784599</v>
      </c>
      <c r="K46" s="83">
        <f>J46*'Key Data'!$K$8</f>
        <v>2.6103547886961499E-2</v>
      </c>
      <c r="L46" s="83">
        <f t="shared" si="1"/>
        <v>0.13051773943480749</v>
      </c>
      <c r="M46" s="448"/>
      <c r="N46" s="398"/>
    </row>
    <row r="47" spans="2:14">
      <c r="B47" s="442"/>
      <c r="C47" s="447"/>
      <c r="D47" s="142"/>
      <c r="E47" s="142"/>
      <c r="F47" s="142">
        <v>44</v>
      </c>
      <c r="G47" s="82">
        <v>7.7070063694267513E-2</v>
      </c>
      <c r="H47" s="83">
        <f t="shared" si="0"/>
        <v>0.13788601383802915</v>
      </c>
      <c r="I47" s="83">
        <f>H47*'Key Data'!$I$8</f>
        <v>6.0669846088732826E-2</v>
      </c>
      <c r="J47" s="83">
        <f>I47*'Key Data'!$F$8</f>
        <v>9.6465055281085205E-2</v>
      </c>
      <c r="K47" s="83">
        <f>J47*'Key Data'!$K$8</f>
        <v>2.4116263820271301E-2</v>
      </c>
      <c r="L47" s="83">
        <f t="shared" si="1"/>
        <v>0.1205813191013565</v>
      </c>
      <c r="M47" s="448"/>
      <c r="N47" s="398"/>
    </row>
    <row r="48" spans="2:14">
      <c r="B48" s="442"/>
      <c r="C48" s="447"/>
      <c r="D48" s="142"/>
      <c r="E48" s="142"/>
      <c r="F48" s="142">
        <v>45</v>
      </c>
      <c r="G48" s="82">
        <v>3.9808917197452227E-2</v>
      </c>
      <c r="H48" s="83">
        <f t="shared" si="0"/>
        <v>6.8469211389087195E-2</v>
      </c>
      <c r="I48" s="83">
        <f>H48*'Key Data'!$I$8</f>
        <v>3.0126453011198366E-2</v>
      </c>
      <c r="J48" s="83">
        <f>I48*'Key Data'!$F$8</f>
        <v>4.7901060287805407E-2</v>
      </c>
      <c r="K48" s="83">
        <f>J48*'Key Data'!$K$8</f>
        <v>1.1975265071951352E-2</v>
      </c>
      <c r="L48" s="83">
        <f t="shared" si="1"/>
        <v>5.987632535975676E-2</v>
      </c>
      <c r="M48" s="448"/>
      <c r="N48" s="398"/>
    </row>
    <row r="49" spans="2:14">
      <c r="B49" s="442"/>
      <c r="C49" s="447"/>
      <c r="D49" s="142"/>
      <c r="E49" s="142"/>
      <c r="F49" s="142">
        <v>46</v>
      </c>
      <c r="G49" s="82">
        <v>3.1847133757961783E-2</v>
      </c>
      <c r="H49" s="83">
        <f t="shared" si="0"/>
        <v>5.6755332537068812E-2</v>
      </c>
      <c r="I49" s="83">
        <f>H49*'Key Data'!$I$8</f>
        <v>2.4972346316310276E-2</v>
      </c>
      <c r="J49" s="83">
        <f>I49*'Key Data'!$F$8</f>
        <v>3.9706030642933342E-2</v>
      </c>
      <c r="K49" s="83">
        <f>J49*'Key Data'!$K$8</f>
        <v>9.9265076607333354E-3</v>
      </c>
      <c r="L49" s="83">
        <f t="shared" si="1"/>
        <v>4.9632538303666679E-2</v>
      </c>
      <c r="M49" s="448"/>
      <c r="N49" s="398"/>
    </row>
    <row r="50" spans="2:14">
      <c r="B50" s="442"/>
      <c r="C50" s="447"/>
      <c r="D50" s="142"/>
      <c r="E50" s="142"/>
      <c r="F50" s="142">
        <v>47</v>
      </c>
      <c r="G50" s="82">
        <v>7.1974522292993628E-2</v>
      </c>
      <c r="H50" s="83">
        <f t="shared" si="0"/>
        <v>0.12697341796532341</v>
      </c>
      <c r="I50" s="83">
        <f>H50*'Key Data'!$I$8</f>
        <v>5.5868303904742303E-2</v>
      </c>
      <c r="J50" s="83">
        <f>I50*'Key Data'!$F$8</f>
        <v>8.8830603208540262E-2</v>
      </c>
      <c r="K50" s="83">
        <f>J50*'Key Data'!$K$8</f>
        <v>2.2207650802135066E-2</v>
      </c>
      <c r="L50" s="83">
        <f t="shared" si="1"/>
        <v>0.11103825401067532</v>
      </c>
      <c r="M50" s="448"/>
      <c r="N50" s="398"/>
    </row>
    <row r="51" spans="2:14">
      <c r="B51" s="442"/>
      <c r="C51" s="447"/>
      <c r="D51" s="142"/>
      <c r="E51" s="142"/>
      <c r="F51" s="142">
        <v>48</v>
      </c>
      <c r="G51" s="82">
        <v>2.8662420382165602E-2</v>
      </c>
      <c r="H51" s="83">
        <f t="shared" si="0"/>
        <v>5.2377265485097572E-2</v>
      </c>
      <c r="I51" s="83">
        <f>H51*'Key Data'!$I$8</f>
        <v>2.3045996813442934E-2</v>
      </c>
      <c r="J51" s="83">
        <f>I51*'Key Data'!$F$8</f>
        <v>3.6643134933374268E-2</v>
      </c>
      <c r="K51" s="83">
        <f>J51*'Key Data'!$K$8</f>
        <v>9.1607837333435669E-3</v>
      </c>
      <c r="L51" s="83">
        <f t="shared" si="1"/>
        <v>4.5803918666717833E-2</v>
      </c>
      <c r="M51" s="448"/>
      <c r="N51" s="398"/>
    </row>
    <row r="52" spans="2:14">
      <c r="B52" s="442"/>
      <c r="C52" s="447"/>
      <c r="D52" s="142"/>
      <c r="E52" s="142"/>
      <c r="F52" s="142">
        <v>49</v>
      </c>
      <c r="G52" s="82">
        <v>3.9808917197452227E-2</v>
      </c>
      <c r="H52" s="83">
        <f t="shared" si="0"/>
        <v>6.8469211389087195E-2</v>
      </c>
      <c r="I52" s="83">
        <f>H52*'Key Data'!$I$8</f>
        <v>3.0126453011198366E-2</v>
      </c>
      <c r="J52" s="83">
        <f>I52*'Key Data'!$F$8</f>
        <v>4.7901060287805407E-2</v>
      </c>
      <c r="K52" s="83">
        <f>J52*'Key Data'!$K$8</f>
        <v>1.1975265071951352E-2</v>
      </c>
      <c r="L52" s="83">
        <f t="shared" si="1"/>
        <v>5.987632535975676E-2</v>
      </c>
      <c r="M52" s="448"/>
      <c r="N52" s="398"/>
    </row>
    <row r="53" spans="2:14">
      <c r="B53" s="442"/>
      <c r="C53" s="447"/>
      <c r="D53" s="142"/>
      <c r="E53" s="142"/>
      <c r="F53" s="142">
        <v>50</v>
      </c>
      <c r="G53" s="82">
        <v>6.8471337579617833E-2</v>
      </c>
      <c r="H53" s="83">
        <f t="shared" si="0"/>
        <v>0.11973193085479343</v>
      </c>
      <c r="I53" s="83">
        <f>H53*'Key Data'!$I$8</f>
        <v>5.2682049576109106E-2</v>
      </c>
      <c r="J53" s="83">
        <f>I53*'Key Data'!$F$8</f>
        <v>8.376445882601348E-2</v>
      </c>
      <c r="K53" s="83">
        <f>J53*'Key Data'!$K$8</f>
        <v>2.094111470650337E-2</v>
      </c>
      <c r="L53" s="83">
        <f t="shared" si="1"/>
        <v>0.10470557353251685</v>
      </c>
      <c r="M53" s="448"/>
      <c r="N53" s="398"/>
    </row>
    <row r="54" spans="2:14">
      <c r="B54" s="442"/>
      <c r="C54" s="447"/>
      <c r="D54" s="142"/>
      <c r="E54" s="142"/>
      <c r="F54" s="142">
        <v>51</v>
      </c>
      <c r="G54" s="82">
        <v>5.5095541401273887E-2</v>
      </c>
      <c r="H54" s="83">
        <f t="shared" si="0"/>
        <v>9.4038217781767741E-2</v>
      </c>
      <c r="I54" s="83">
        <f>H54*'Key Data'!$I$8</f>
        <v>4.1376815823977807E-2</v>
      </c>
      <c r="J54" s="83">
        <f>I54*'Key Data'!$F$8</f>
        <v>6.5789137160124717E-2</v>
      </c>
      <c r="K54" s="83">
        <f>J54*'Key Data'!$K$8</f>
        <v>1.6447284290031179E-2</v>
      </c>
      <c r="L54" s="83">
        <f t="shared" si="1"/>
        <v>8.2236421450155889E-2</v>
      </c>
      <c r="M54" s="448"/>
      <c r="N54" s="398"/>
    </row>
    <row r="55" spans="2:14">
      <c r="B55" s="442"/>
      <c r="C55" s="447"/>
      <c r="D55" s="142"/>
      <c r="E55" s="142"/>
      <c r="F55" s="142">
        <v>52</v>
      </c>
      <c r="G55" s="82">
        <v>5.0955414012738849E-2</v>
      </c>
      <c r="H55" s="83">
        <f t="shared" si="0"/>
        <v>8.671354871492977E-2</v>
      </c>
      <c r="I55" s="83">
        <f>H55*'Key Data'!$I$8</f>
        <v>3.8153961434569096E-2</v>
      </c>
      <c r="J55" s="83">
        <f>I55*'Key Data'!$F$8</f>
        <v>6.0664798680964867E-2</v>
      </c>
      <c r="K55" s="83">
        <f>J55*'Key Data'!$K$8</f>
        <v>1.5166199670241217E-2</v>
      </c>
      <c r="L55" s="83">
        <f t="shared" si="1"/>
        <v>7.5830998351206089E-2</v>
      </c>
      <c r="M55" s="448"/>
      <c r="N55" s="398"/>
    </row>
    <row r="56" spans="2:14">
      <c r="B56" s="442"/>
      <c r="C56" s="447"/>
      <c r="D56" s="142"/>
      <c r="E56" s="142"/>
      <c r="F56" s="142">
        <v>53</v>
      </c>
      <c r="G56" s="82">
        <v>4.936305732484076E-2</v>
      </c>
      <c r="H56" s="83">
        <f t="shared" si="0"/>
        <v>8.3975435744593901E-2</v>
      </c>
      <c r="I56" s="83">
        <f>H56*'Key Data'!$I$8</f>
        <v>3.6949191727621317E-2</v>
      </c>
      <c r="J56" s="83">
        <f>I56*'Key Data'!$F$8</f>
        <v>5.8749214846917898E-2</v>
      </c>
      <c r="K56" s="83">
        <f>J56*'Key Data'!$K$8</f>
        <v>1.4687303711729474E-2</v>
      </c>
      <c r="L56" s="83">
        <f t="shared" si="1"/>
        <v>7.3436518558647371E-2</v>
      </c>
      <c r="M56" s="448"/>
      <c r="N56" s="398"/>
    </row>
    <row r="57" spans="2:14">
      <c r="B57" s="442"/>
      <c r="C57" s="447"/>
      <c r="D57" s="142"/>
      <c r="E57" s="142"/>
      <c r="F57" s="142">
        <v>54</v>
      </c>
      <c r="G57" s="82">
        <v>4.1401273885350316E-2</v>
      </c>
      <c r="H57" s="83">
        <f t="shared" si="0"/>
        <v>7.0943766226134949E-2</v>
      </c>
      <c r="I57" s="83">
        <f>H57*'Key Data'!$I$8</f>
        <v>3.1215257139499377E-2</v>
      </c>
      <c r="J57" s="83">
        <f>I57*'Key Data'!$F$8</f>
        <v>4.9632258851804015E-2</v>
      </c>
      <c r="K57" s="83">
        <f>J57*'Key Data'!$K$8</f>
        <v>1.2408064712951004E-2</v>
      </c>
      <c r="L57" s="83">
        <f t="shared" si="1"/>
        <v>6.2040323564755015E-2</v>
      </c>
      <c r="M57" s="448"/>
      <c r="N57" s="398"/>
    </row>
    <row r="58" spans="2:14">
      <c r="B58" s="442"/>
      <c r="C58" s="447"/>
      <c r="D58" s="142"/>
      <c r="E58" s="142"/>
      <c r="F58" s="142">
        <v>55</v>
      </c>
      <c r="G58" s="82">
        <v>4.0764331210191081E-2</v>
      </c>
      <c r="H58" s="83">
        <f t="shared" si="0"/>
        <v>6.994867312865008E-2</v>
      </c>
      <c r="I58" s="83">
        <f>H58*'Key Data'!$I$8</f>
        <v>3.0777416176606034E-2</v>
      </c>
      <c r="J58" s="83">
        <f>I58*'Key Data'!$F$8</f>
        <v>4.8936091720803598E-2</v>
      </c>
      <c r="K58" s="83">
        <f>J58*'Key Data'!$K$8</f>
        <v>1.22340229302009E-2</v>
      </c>
      <c r="L58" s="83">
        <f t="shared" si="1"/>
        <v>6.1170114651004498E-2</v>
      </c>
      <c r="M58" s="448"/>
      <c r="N58" s="398"/>
    </row>
    <row r="59" spans="2:14">
      <c r="B59" s="442"/>
      <c r="C59" s="447"/>
      <c r="D59" s="142"/>
      <c r="E59" s="142"/>
      <c r="F59" s="142">
        <v>56</v>
      </c>
      <c r="G59" s="82">
        <v>6.5286624203821655E-2</v>
      </c>
      <c r="H59" s="83">
        <f t="shared" si="0"/>
        <v>0.1133332514476133</v>
      </c>
      <c r="I59" s="83">
        <f>H59*'Key Data'!$I$8</f>
        <v>4.9866630636949856E-2</v>
      </c>
      <c r="J59" s="83">
        <f>I59*'Key Data'!$F$8</f>
        <v>7.9287942712750276E-2</v>
      </c>
      <c r="K59" s="83">
        <f>J59*'Key Data'!$K$8</f>
        <v>1.9821985678187569E-2</v>
      </c>
      <c r="L59" s="83">
        <f t="shared" si="1"/>
        <v>9.9109928390937851E-2</v>
      </c>
      <c r="M59" s="448"/>
      <c r="N59" s="398"/>
    </row>
    <row r="60" spans="2:14">
      <c r="B60" s="442"/>
      <c r="C60" s="447"/>
      <c r="D60" s="142"/>
      <c r="E60" s="142"/>
      <c r="F60" s="142">
        <v>57</v>
      </c>
      <c r="G60" s="82">
        <v>7.1019108280254775E-2</v>
      </c>
      <c r="H60" s="83">
        <f t="shared" si="0"/>
        <v>0.12497738228451578</v>
      </c>
      <c r="I60" s="83">
        <f>H60*'Key Data'!$I$8</f>
        <v>5.4990048205186944E-2</v>
      </c>
      <c r="J60" s="83">
        <f>I60*'Key Data'!$F$8</f>
        <v>8.7434176646247239E-2</v>
      </c>
      <c r="K60" s="83">
        <f>J60*'Key Data'!$K$8</f>
        <v>2.185854416156181E-2</v>
      </c>
      <c r="L60" s="83">
        <f t="shared" si="1"/>
        <v>0.10929272080780905</v>
      </c>
      <c r="M60" s="448"/>
      <c r="N60" s="398"/>
    </row>
    <row r="61" spans="2:14">
      <c r="B61" s="442"/>
      <c r="C61" s="447"/>
      <c r="D61" s="142"/>
      <c r="E61" s="142"/>
      <c r="F61" s="142">
        <v>58</v>
      </c>
      <c r="G61" s="82">
        <v>3.6942675159235668E-2</v>
      </c>
      <c r="H61" s="83">
        <f t="shared" si="0"/>
        <v>6.4125707098382279E-2</v>
      </c>
      <c r="I61" s="83">
        <f>H61*'Key Data'!$I$8</f>
        <v>2.8215311123288202E-2</v>
      </c>
      <c r="J61" s="83">
        <f>I61*'Key Data'!$F$8</f>
        <v>4.4862344686028247E-2</v>
      </c>
      <c r="K61" s="83">
        <f>J61*'Key Data'!$K$8</f>
        <v>1.1215586171507062E-2</v>
      </c>
      <c r="L61" s="83">
        <f t="shared" si="1"/>
        <v>5.6077930857535305E-2</v>
      </c>
      <c r="M61" s="448"/>
      <c r="N61" s="398"/>
    </row>
    <row r="62" spans="2:14">
      <c r="B62" s="442"/>
      <c r="C62" s="447"/>
      <c r="D62" s="142"/>
      <c r="E62" s="142"/>
      <c r="F62" s="142">
        <v>59</v>
      </c>
      <c r="G62" s="82">
        <v>4.2993630573248412E-2</v>
      </c>
      <c r="H62" s="83">
        <f t="shared" si="0"/>
        <v>7.3462247418730711E-2</v>
      </c>
      <c r="I62" s="83">
        <f>H62*'Key Data'!$I$8</f>
        <v>3.2323388864241513E-2</v>
      </c>
      <c r="J62" s="83">
        <f>I62*'Key Data'!$F$8</f>
        <v>5.1394188294144008E-2</v>
      </c>
      <c r="K62" s="83">
        <f>J62*'Key Data'!$K$8</f>
        <v>1.2848547073536002E-2</v>
      </c>
      <c r="L62" s="83">
        <f t="shared" si="1"/>
        <v>6.4242735367680007E-2</v>
      </c>
      <c r="M62" s="448"/>
      <c r="N62" s="398"/>
    </row>
    <row r="63" spans="2:14">
      <c r="B63" s="442"/>
      <c r="C63" s="447"/>
      <c r="D63" s="142"/>
      <c r="E63" s="142"/>
      <c r="F63" s="142">
        <v>60</v>
      </c>
      <c r="G63" s="82">
        <v>6.3057324840764331E-2</v>
      </c>
      <c r="H63" s="83">
        <f t="shared" si="0"/>
        <v>0.10895872058879152</v>
      </c>
      <c r="I63" s="83">
        <f>H63*'Key Data'!$I$8</f>
        <v>4.7941837059068272E-2</v>
      </c>
      <c r="J63" s="83">
        <f>I63*'Key Data'!$F$8</f>
        <v>7.622752092391856E-2</v>
      </c>
      <c r="K63" s="83">
        <f>J63*'Key Data'!$K$8</f>
        <v>1.905688023097964E-2</v>
      </c>
      <c r="L63" s="83">
        <f t="shared" si="1"/>
        <v>9.5284401154898196E-2</v>
      </c>
      <c r="M63" s="448"/>
      <c r="N63" s="398"/>
    </row>
    <row r="64" spans="2:14">
      <c r="B64" s="442"/>
      <c r="C64" s="447"/>
      <c r="D64" s="142"/>
      <c r="E64" s="142"/>
      <c r="F64" s="142">
        <v>61</v>
      </c>
      <c r="G64" s="82">
        <v>5.5732484076433116E-2</v>
      </c>
      <c r="H64" s="83">
        <f t="shared" si="0"/>
        <v>9.5191445759225446E-2</v>
      </c>
      <c r="I64" s="83">
        <f>H64*'Key Data'!$I$8</f>
        <v>4.18842361340592E-2</v>
      </c>
      <c r="J64" s="83">
        <f>I64*'Key Data'!$F$8</f>
        <v>6.6595935453154134E-2</v>
      </c>
      <c r="K64" s="83">
        <f>J64*'Key Data'!$K$8</f>
        <v>1.6648983863288534E-2</v>
      </c>
      <c r="L64" s="83">
        <f t="shared" si="1"/>
        <v>8.3244919316442664E-2</v>
      </c>
      <c r="M64" s="448"/>
      <c r="N64" s="398"/>
    </row>
    <row r="65" spans="2:14">
      <c r="B65" s="442"/>
      <c r="C65" s="447"/>
      <c r="D65" s="142"/>
      <c r="E65" s="142"/>
      <c r="F65" s="142">
        <v>62</v>
      </c>
      <c r="G65" s="82">
        <v>7.2929936305732482E-2</v>
      </c>
      <c r="H65" s="83">
        <f t="shared" si="0"/>
        <v>0.12898526713412825</v>
      </c>
      <c r="I65" s="83">
        <f>H65*'Key Data'!$I$8</f>
        <v>5.6753517539016432E-2</v>
      </c>
      <c r="J65" s="83">
        <f>I65*'Key Data'!$F$8</f>
        <v>9.0238092887036131E-2</v>
      </c>
      <c r="K65" s="83">
        <f>J65*'Key Data'!$K$8</f>
        <v>2.2559523221759033E-2</v>
      </c>
      <c r="L65" s="83">
        <f t="shared" si="1"/>
        <v>0.11279761610879516</v>
      </c>
      <c r="M65" s="448"/>
      <c r="N65" s="398"/>
    </row>
    <row r="66" spans="2:14">
      <c r="B66" s="442"/>
      <c r="C66" s="447"/>
      <c r="D66" s="142"/>
      <c r="E66" s="142"/>
      <c r="F66" s="142">
        <v>63</v>
      </c>
      <c r="G66" s="82">
        <v>8.0891719745222926E-2</v>
      </c>
      <c r="H66" s="83">
        <f t="shared" si="0"/>
        <v>0.14636564585184114</v>
      </c>
      <c r="I66" s="83">
        <f>H66*'Key Data'!$I$8</f>
        <v>6.4400884174810102E-2</v>
      </c>
      <c r="J66" s="83">
        <f>I66*'Key Data'!$F$8</f>
        <v>0.10239740583794807</v>
      </c>
      <c r="K66" s="83">
        <f>J66*'Key Data'!$K$8</f>
        <v>2.5599351459487017E-2</v>
      </c>
      <c r="L66" s="83">
        <f t="shared" si="1"/>
        <v>0.12799675729743509</v>
      </c>
      <c r="M66" s="448"/>
      <c r="N66" s="398"/>
    </row>
    <row r="67" spans="2:14">
      <c r="B67" s="442"/>
      <c r="C67" s="447"/>
      <c r="D67" s="142"/>
      <c r="E67" s="142"/>
      <c r="F67" s="142">
        <v>64</v>
      </c>
      <c r="G67" s="82">
        <v>4.8089171974522289E-2</v>
      </c>
      <c r="H67" s="83">
        <f t="shared" si="0"/>
        <v>8.1816572344319813E-2</v>
      </c>
      <c r="I67" s="83">
        <f>H67*'Key Data'!$I$8</f>
        <v>3.5999291831500718E-2</v>
      </c>
      <c r="J67" s="83">
        <f>I67*'Key Data'!$F$8</f>
        <v>5.7238874012086147E-2</v>
      </c>
      <c r="K67" s="83">
        <f>J67*'Key Data'!$K$8</f>
        <v>1.4309718503021537E-2</v>
      </c>
      <c r="L67" s="83">
        <f t="shared" si="1"/>
        <v>7.1548592515107687E-2</v>
      </c>
      <c r="M67" s="448"/>
      <c r="N67" s="398"/>
    </row>
    <row r="68" spans="2:14">
      <c r="B68" s="442"/>
      <c r="C68" s="447"/>
      <c r="D68" s="142"/>
      <c r="E68" s="142"/>
      <c r="F68" s="142">
        <v>65</v>
      </c>
      <c r="G68" s="82">
        <v>5.4140127388535034E-2</v>
      </c>
      <c r="H68" s="83">
        <f t="shared" si="0"/>
        <v>9.2321553722245514E-2</v>
      </c>
      <c r="I68" s="83">
        <f>H68*'Key Data'!$I$8</f>
        <v>4.0621483637788024E-2</v>
      </c>
      <c r="J68" s="83">
        <f>I68*'Key Data'!$F$8</f>
        <v>6.4588158984082961E-2</v>
      </c>
      <c r="K68" s="83">
        <f>J68*'Key Data'!$K$8</f>
        <v>1.614703974602074E-2</v>
      </c>
      <c r="L68" s="83">
        <f t="shared" si="1"/>
        <v>8.0735198730103708E-2</v>
      </c>
      <c r="M68" s="448"/>
      <c r="N68" s="398"/>
    </row>
    <row r="69" spans="2:14">
      <c r="B69" s="442"/>
      <c r="C69" s="447"/>
      <c r="D69" s="142"/>
      <c r="E69" s="142"/>
      <c r="F69" s="142">
        <v>66</v>
      </c>
      <c r="G69" s="82">
        <v>5.2547770700636945E-2</v>
      </c>
      <c r="H69" s="83">
        <f t="shared" ref="H69:H84" si="2">(0.144504+2.943115*G69)^2</f>
        <v>8.9495588040813659E-2</v>
      </c>
      <c r="I69" s="83">
        <f>H69*'Key Data'!$I$8</f>
        <v>3.9378058737958008E-2</v>
      </c>
      <c r="J69" s="83">
        <f>I69*'Key Data'!$F$8</f>
        <v>6.2611113393353235E-2</v>
      </c>
      <c r="K69" s="83">
        <f>J69*'Key Data'!$K$8</f>
        <v>1.5652778348338309E-2</v>
      </c>
      <c r="L69" s="83">
        <f t="shared" ref="L69:L84" si="3">K69+J69</f>
        <v>7.8263891741691544E-2</v>
      </c>
      <c r="M69" s="448"/>
      <c r="N69" s="398"/>
    </row>
    <row r="70" spans="2:14">
      <c r="B70" s="442"/>
      <c r="C70" s="447"/>
      <c r="D70" s="142"/>
      <c r="E70" s="142"/>
      <c r="F70" s="142">
        <v>67</v>
      </c>
      <c r="G70" s="82">
        <v>5.2866242038216563E-2</v>
      </c>
      <c r="H70" s="83">
        <f t="shared" si="2"/>
        <v>9.0057267068656216E-2</v>
      </c>
      <c r="I70" s="83">
        <f>H70*'Key Data'!$I$8</f>
        <v>3.9625197510208737E-2</v>
      </c>
      <c r="J70" s="83">
        <f>I70*'Key Data'!$F$8</f>
        <v>6.3004064041231891E-2</v>
      </c>
      <c r="K70" s="83">
        <f>J70*'Key Data'!$K$8</f>
        <v>1.5751016010307973E-2</v>
      </c>
      <c r="L70" s="83">
        <f t="shared" si="3"/>
        <v>7.8755080051539861E-2</v>
      </c>
      <c r="M70" s="448"/>
      <c r="N70" s="398"/>
    </row>
    <row r="71" spans="2:14">
      <c r="B71" s="442"/>
      <c r="C71" s="447"/>
      <c r="D71" s="142"/>
      <c r="E71" s="142"/>
      <c r="F71" s="142">
        <v>68</v>
      </c>
      <c r="G71" s="82">
        <v>7.1656050955414011E-2</v>
      </c>
      <c r="H71" s="83">
        <f t="shared" si="2"/>
        <v>0.12630631568416559</v>
      </c>
      <c r="I71" s="83">
        <f>H71*'Key Data'!$I$8</f>
        <v>5.5574778901032858E-2</v>
      </c>
      <c r="J71" s="83">
        <f>I71*'Key Data'!$F$8</f>
        <v>8.8363898452642253E-2</v>
      </c>
      <c r="K71" s="83">
        <f>J71*'Key Data'!$K$8</f>
        <v>2.2090974613160563E-2</v>
      </c>
      <c r="L71" s="83">
        <f t="shared" si="3"/>
        <v>0.11045487306580282</v>
      </c>
      <c r="M71" s="448"/>
      <c r="N71" s="398"/>
    </row>
    <row r="72" spans="2:14">
      <c r="B72" s="442"/>
      <c r="C72" s="447"/>
      <c r="D72" s="142"/>
      <c r="E72" s="142"/>
      <c r="F72" s="142">
        <v>69</v>
      </c>
      <c r="G72" s="82">
        <v>4.9681528662420378E-2</v>
      </c>
      <c r="H72" s="83">
        <f t="shared" si="2"/>
        <v>8.4519544230217264E-2</v>
      </c>
      <c r="I72" s="83">
        <f>H72*'Key Data'!$I$8</f>
        <v>3.7188599461295595E-2</v>
      </c>
      <c r="J72" s="83">
        <f>I72*'Key Data'!$F$8</f>
        <v>5.912987314346E-2</v>
      </c>
      <c r="K72" s="83">
        <f>J72*'Key Data'!$K$8</f>
        <v>1.4782468285865E-2</v>
      </c>
      <c r="L72" s="83">
        <f t="shared" si="3"/>
        <v>7.3912341429324999E-2</v>
      </c>
      <c r="M72" s="448"/>
      <c r="N72" s="398"/>
    </row>
    <row r="73" spans="2:14">
      <c r="B73" s="442"/>
      <c r="C73" s="447"/>
      <c r="D73" s="142"/>
      <c r="E73" s="142"/>
      <c r="F73" s="142">
        <v>70</v>
      </c>
      <c r="G73" s="82">
        <v>5.1592356687898092E-2</v>
      </c>
      <c r="H73" s="83">
        <f t="shared" si="2"/>
        <v>8.7821093282617571E-2</v>
      </c>
      <c r="I73" s="83">
        <f>H73*'Key Data'!$I$8</f>
        <v>3.864128104435173E-2</v>
      </c>
      <c r="J73" s="83">
        <f>I73*'Key Data'!$F$8</f>
        <v>6.1439636860519252E-2</v>
      </c>
      <c r="K73" s="83">
        <f>J73*'Key Data'!$K$8</f>
        <v>1.5359909215129813E-2</v>
      </c>
      <c r="L73" s="83">
        <f t="shared" si="3"/>
        <v>7.6799546075649067E-2</v>
      </c>
      <c r="M73" s="448"/>
      <c r="N73" s="398"/>
    </row>
    <row r="74" spans="2:14">
      <c r="B74" s="442"/>
      <c r="C74" s="447"/>
      <c r="D74" s="142"/>
      <c r="E74" s="142"/>
      <c r="F74" s="142">
        <v>71</v>
      </c>
      <c r="G74" s="82">
        <v>3.8216560509554139E-2</v>
      </c>
      <c r="H74" s="83">
        <f t="shared" si="2"/>
        <v>6.6038582907587504E-2</v>
      </c>
      <c r="I74" s="83">
        <f>H74*'Key Data'!$I$8</f>
        <v>2.9056976479338501E-2</v>
      </c>
      <c r="J74" s="83">
        <f>I74*'Key Data'!$F$8</f>
        <v>4.6200592602148219E-2</v>
      </c>
      <c r="K74" s="83">
        <f>J74*'Key Data'!$K$8</f>
        <v>1.1550148150537055E-2</v>
      </c>
      <c r="L74" s="83">
        <f t="shared" si="3"/>
        <v>5.775074075268527E-2</v>
      </c>
      <c r="M74" s="448"/>
      <c r="N74" s="398"/>
    </row>
    <row r="75" spans="2:14">
      <c r="B75" s="442"/>
      <c r="C75" s="447"/>
      <c r="D75" s="142"/>
      <c r="E75" s="142"/>
      <c r="F75" s="142">
        <v>72</v>
      </c>
      <c r="G75" s="82">
        <v>3.9299363057324836E-2</v>
      </c>
      <c r="H75" s="83">
        <f t="shared" si="2"/>
        <v>6.7686631087523652E-2</v>
      </c>
      <c r="I75" s="83">
        <f>H75*'Key Data'!$I$8</f>
        <v>2.9782117678510408E-2</v>
      </c>
      <c r="J75" s="83">
        <f>I75*'Key Data'!$F$8</f>
        <v>4.7353567108831554E-2</v>
      </c>
      <c r="K75" s="83">
        <f>J75*'Key Data'!$K$8</f>
        <v>1.1838391777207889E-2</v>
      </c>
      <c r="L75" s="83">
        <f t="shared" si="3"/>
        <v>5.9191958886039439E-2</v>
      </c>
      <c r="M75" s="448"/>
      <c r="N75" s="398"/>
    </row>
    <row r="76" spans="2:14">
      <c r="B76" s="442"/>
      <c r="C76" s="447"/>
      <c r="D76" s="142"/>
      <c r="E76" s="142"/>
      <c r="F76" s="142">
        <v>73</v>
      </c>
      <c r="G76" s="82">
        <v>4.4585987261146501E-2</v>
      </c>
      <c r="H76" s="83">
        <f t="shared" si="2"/>
        <v>7.6024654966874466E-2</v>
      </c>
      <c r="I76" s="83">
        <f>H76*'Key Data'!$I$8</f>
        <v>3.3450848185424764E-2</v>
      </c>
      <c r="J76" s="83">
        <f>I76*'Key Data'!$F$8</f>
        <v>5.318684861482538E-2</v>
      </c>
      <c r="K76" s="83">
        <f>J76*'Key Data'!$K$8</f>
        <v>1.3296712153706345E-2</v>
      </c>
      <c r="L76" s="83">
        <f t="shared" si="3"/>
        <v>6.6483560768531721E-2</v>
      </c>
      <c r="M76" s="448"/>
      <c r="N76" s="398"/>
    </row>
    <row r="77" spans="2:14">
      <c r="B77" s="442"/>
      <c r="C77" s="447"/>
      <c r="D77" s="142"/>
      <c r="E77" s="142"/>
      <c r="F77" s="142">
        <v>74</v>
      </c>
      <c r="G77" s="82">
        <v>5.7324840764331204E-2</v>
      </c>
      <c r="H77" s="83">
        <f t="shared" si="2"/>
        <v>9.8105264151753385E-2</v>
      </c>
      <c r="I77" s="83">
        <f>H77*'Key Data'!$I$8</f>
        <v>4.3166316226771487E-2</v>
      </c>
      <c r="J77" s="83">
        <f>I77*'Key Data'!$F$8</f>
        <v>6.8634442800566672E-2</v>
      </c>
      <c r="K77" s="83">
        <f>J77*'Key Data'!$K$8</f>
        <v>1.7158610700141668E-2</v>
      </c>
      <c r="L77" s="83">
        <f t="shared" si="3"/>
        <v>8.5793053500708344E-2</v>
      </c>
      <c r="M77" s="448"/>
      <c r="N77" s="398"/>
    </row>
    <row r="78" spans="2:14">
      <c r="B78" s="442"/>
      <c r="C78" s="447"/>
      <c r="D78" s="142"/>
      <c r="E78" s="142"/>
      <c r="F78" s="142">
        <v>75</v>
      </c>
      <c r="G78" s="82">
        <v>3.662420382165605E-2</v>
      </c>
      <c r="H78" s="83">
        <f t="shared" si="2"/>
        <v>6.3651880781635792E-2</v>
      </c>
      <c r="I78" s="83">
        <f>H78*'Key Data'!$I$8</f>
        <v>2.8006827543919748E-2</v>
      </c>
      <c r="J78" s="83">
        <f>I78*'Key Data'!$F$8</f>
        <v>4.4530855794832402E-2</v>
      </c>
      <c r="K78" s="83">
        <f>J78*'Key Data'!$K$8</f>
        <v>1.1132713948708101E-2</v>
      </c>
      <c r="L78" s="83">
        <f t="shared" si="3"/>
        <v>5.5663569743540503E-2</v>
      </c>
      <c r="M78" s="448"/>
      <c r="N78" s="398"/>
    </row>
    <row r="79" spans="2:14">
      <c r="B79" s="442"/>
      <c r="C79" s="447"/>
      <c r="D79" s="142"/>
      <c r="E79" s="142"/>
      <c r="F79" s="142">
        <v>76</v>
      </c>
      <c r="G79" s="82">
        <v>6.464968152866242E-2</v>
      </c>
      <c r="H79" s="83">
        <f t="shared" si="2"/>
        <v>0.11207460021684035</v>
      </c>
      <c r="I79" s="83">
        <f>H79*'Key Data'!$I$8</f>
        <v>4.9312824095409755E-2</v>
      </c>
      <c r="J79" s="83">
        <f>I79*'Key Data'!$F$8</f>
        <v>7.8407390311701519E-2</v>
      </c>
      <c r="K79" s="83">
        <f>J79*'Key Data'!$K$8</f>
        <v>1.960184757792538E-2</v>
      </c>
      <c r="L79" s="83">
        <f t="shared" si="3"/>
        <v>9.8009237889626899E-2</v>
      </c>
      <c r="M79" s="448"/>
      <c r="N79" s="398"/>
    </row>
    <row r="80" spans="2:14">
      <c r="B80" s="442"/>
      <c r="C80" s="447"/>
      <c r="D80" s="142"/>
      <c r="E80" s="142"/>
      <c r="F80" s="142">
        <v>77</v>
      </c>
      <c r="G80" s="82">
        <v>4.2993630573248412E-2</v>
      </c>
      <c r="H80" s="83">
        <f t="shared" si="2"/>
        <v>7.3462247418730711E-2</v>
      </c>
      <c r="I80" s="83">
        <f>H80*'Key Data'!$I$8</f>
        <v>3.2323388864241513E-2</v>
      </c>
      <c r="J80" s="83">
        <f>I80*'Key Data'!$F$8</f>
        <v>5.1394188294144008E-2</v>
      </c>
      <c r="K80" s="83">
        <f>J80*'Key Data'!$K$8</f>
        <v>1.2848547073536002E-2</v>
      </c>
      <c r="L80" s="83">
        <f t="shared" si="3"/>
        <v>6.4242735367680007E-2</v>
      </c>
      <c r="M80" s="448"/>
      <c r="N80" s="398"/>
    </row>
    <row r="81" spans="2:14">
      <c r="B81" s="442"/>
      <c r="C81" s="447"/>
      <c r="D81" s="142"/>
      <c r="E81" s="142"/>
      <c r="F81" s="142">
        <v>78</v>
      </c>
      <c r="G81" s="82">
        <v>8.2802547770700632E-2</v>
      </c>
      <c r="H81" s="83">
        <f t="shared" si="2"/>
        <v>0.15070034278673086</v>
      </c>
      <c r="I81" s="83">
        <f>H81*'Key Data'!$I$8</f>
        <v>6.630815082616158E-2</v>
      </c>
      <c r="J81" s="83">
        <f>I81*'Key Data'!$F$8</f>
        <v>0.10542995981359692</v>
      </c>
      <c r="K81" s="83">
        <f>J81*'Key Data'!$K$8</f>
        <v>2.6357489953399229E-2</v>
      </c>
      <c r="L81" s="83">
        <f t="shared" si="3"/>
        <v>0.13178744976699613</v>
      </c>
      <c r="M81" s="448"/>
      <c r="N81" s="398"/>
    </row>
    <row r="82" spans="2:14">
      <c r="B82" s="442"/>
      <c r="C82" s="447"/>
      <c r="D82" s="142"/>
      <c r="E82" s="142"/>
      <c r="F82" s="142">
        <v>79</v>
      </c>
      <c r="G82" s="82">
        <v>4.331210191082803E-2</v>
      </c>
      <c r="H82" s="83">
        <f t="shared" si="2"/>
        <v>7.3971214819915615E-2</v>
      </c>
      <c r="I82" s="83">
        <f>H82*'Key Data'!$I$8</f>
        <v>3.2547334520762868E-2</v>
      </c>
      <c r="J82" s="83">
        <f>I82*'Key Data'!$F$8</f>
        <v>5.1750261888012961E-2</v>
      </c>
      <c r="K82" s="83">
        <f>J82*'Key Data'!$K$8</f>
        <v>1.293756547200324E-2</v>
      </c>
      <c r="L82" s="83">
        <f t="shared" si="3"/>
        <v>6.4687827360016201E-2</v>
      </c>
      <c r="M82" s="448"/>
      <c r="N82" s="398"/>
    </row>
    <row r="83" spans="2:14">
      <c r="B83" s="442"/>
      <c r="C83" s="447"/>
      <c r="D83" s="142"/>
      <c r="E83" s="142"/>
      <c r="F83" s="142">
        <v>80</v>
      </c>
      <c r="G83" s="82">
        <v>6.2738853503184699E-2</v>
      </c>
      <c r="H83" s="83">
        <f t="shared" si="2"/>
        <v>0.10834081582584749</v>
      </c>
      <c r="I83" s="83">
        <f>H83*'Key Data'!$I$8</f>
        <v>4.7669958963372901E-2</v>
      </c>
      <c r="J83" s="83">
        <f>I83*'Key Data'!$F$8</f>
        <v>7.5795234751762919E-2</v>
      </c>
      <c r="K83" s="83">
        <f>J83*'Key Data'!$K$8</f>
        <v>1.894880868794073E-2</v>
      </c>
      <c r="L83" s="83">
        <f t="shared" si="3"/>
        <v>9.4744043439703649E-2</v>
      </c>
      <c r="M83" s="448"/>
      <c r="N83" s="398"/>
    </row>
    <row r="84" spans="2:14">
      <c r="B84" s="442"/>
      <c r="C84" s="447"/>
      <c r="D84" s="142"/>
      <c r="E84" s="142"/>
      <c r="F84" s="142">
        <v>81</v>
      </c>
      <c r="G84" s="82">
        <v>5.2547770700636945E-2</v>
      </c>
      <c r="H84" s="83">
        <f t="shared" si="2"/>
        <v>8.9495588040813659E-2</v>
      </c>
      <c r="I84" s="83">
        <f>H84*'Key Data'!$I$8</f>
        <v>3.9378058737958008E-2</v>
      </c>
      <c r="J84" s="83">
        <f>I84*'Key Data'!$F$8</f>
        <v>6.2611113393353235E-2</v>
      </c>
      <c r="K84" s="83">
        <f>J84*'Key Data'!$K$8</f>
        <v>1.5652778348338309E-2</v>
      </c>
      <c r="L84" s="83">
        <f t="shared" si="3"/>
        <v>7.8263891741691544E-2</v>
      </c>
      <c r="M84" s="448"/>
      <c r="N84" s="398"/>
    </row>
  </sheetData>
  <mergeCells count="4">
    <mergeCell ref="B4:B84"/>
    <mergeCell ref="C4:C84"/>
    <mergeCell ref="M4:M84"/>
    <mergeCell ref="N4:N8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0864C-F326-4CF7-AEF5-C7B8BA5603C4}">
  <dimension ref="B3:M48"/>
  <sheetViews>
    <sheetView workbookViewId="0">
      <selection activeCell="B3" sqref="B3:M3"/>
    </sheetView>
  </sheetViews>
  <sheetFormatPr defaultRowHeight="15"/>
  <cols>
    <col min="9" max="9" width="10.7109375" customWidth="1"/>
    <col min="10" max="10" width="11.28515625" customWidth="1"/>
    <col min="11" max="11" width="12.5703125" customWidth="1"/>
    <col min="12" max="12" width="13.42578125" customWidth="1"/>
  </cols>
  <sheetData>
    <row r="3" spans="2:13" ht="50.25">
      <c r="B3" s="275" t="s">
        <v>486</v>
      </c>
      <c r="C3" s="275" t="s">
        <v>433</v>
      </c>
      <c r="D3" s="275" t="s">
        <v>434</v>
      </c>
      <c r="E3" s="275" t="s">
        <v>435</v>
      </c>
      <c r="F3" s="274" t="s">
        <v>436</v>
      </c>
      <c r="G3" s="275" t="s">
        <v>437</v>
      </c>
      <c r="H3" s="276" t="s">
        <v>438</v>
      </c>
      <c r="I3" s="274" t="s">
        <v>439</v>
      </c>
      <c r="J3" s="274" t="s">
        <v>440</v>
      </c>
      <c r="K3" s="274" t="s">
        <v>496</v>
      </c>
      <c r="L3" s="274" t="s">
        <v>442</v>
      </c>
      <c r="M3" s="274" t="s">
        <v>443</v>
      </c>
    </row>
    <row r="4" spans="2:13">
      <c r="B4" s="449">
        <v>1</v>
      </c>
      <c r="C4" s="345" t="s">
        <v>497</v>
      </c>
      <c r="D4" s="345" t="s">
        <v>498</v>
      </c>
      <c r="E4" s="345">
        <v>74.150405000000006</v>
      </c>
      <c r="F4" s="58">
        <v>1</v>
      </c>
      <c r="G4" s="58">
        <v>15.2</v>
      </c>
      <c r="H4" s="62">
        <f>(G4-1)/3.14</f>
        <v>4.5222929936305727</v>
      </c>
      <c r="I4" s="62">
        <f>0.069 * H4^2.456</f>
        <v>2.8080837018951548</v>
      </c>
      <c r="J4" s="62">
        <f>I4*'Key Data'!$F$3</f>
        <v>0.70202092547378869</v>
      </c>
      <c r="K4" s="62">
        <f>J4+I4</f>
        <v>3.5101046273689436</v>
      </c>
      <c r="L4" s="344">
        <f>SUM(K4:K48)/1000</f>
        <v>0.17800695409716949</v>
      </c>
      <c r="M4" s="344">
        <f>L4/225*10000</f>
        <v>7.9114201820964212</v>
      </c>
    </row>
    <row r="5" spans="2:13">
      <c r="B5" s="449"/>
      <c r="C5" s="345"/>
      <c r="D5" s="345"/>
      <c r="E5" s="345"/>
      <c r="F5" s="58">
        <v>2</v>
      </c>
      <c r="G5" s="58">
        <v>14.6</v>
      </c>
      <c r="H5" s="62">
        <f t="shared" ref="H5:H48" si="0">(G5-1)/3.14</f>
        <v>4.3312101910828025</v>
      </c>
      <c r="I5" s="62">
        <f t="shared" ref="I5:I48" si="1">0.069 * H5^2.456</f>
        <v>2.5255817695877463</v>
      </c>
      <c r="J5" s="62">
        <f>I5*'Key Data'!$F$3</f>
        <v>0.63139544239693657</v>
      </c>
      <c r="K5" s="62">
        <f t="shared" ref="K5:K48" si="2">J5+I5</f>
        <v>3.1569772119846826</v>
      </c>
      <c r="L5" s="344"/>
      <c r="M5" s="344"/>
    </row>
    <row r="6" spans="2:13">
      <c r="B6" s="449"/>
      <c r="C6" s="345"/>
      <c r="D6" s="345"/>
      <c r="E6" s="345"/>
      <c r="F6" s="58">
        <v>3</v>
      </c>
      <c r="G6" s="58">
        <v>16.600000000000001</v>
      </c>
      <c r="H6" s="62">
        <f t="shared" si="0"/>
        <v>4.9681528662420389</v>
      </c>
      <c r="I6" s="62">
        <f t="shared" si="1"/>
        <v>3.5375606030352822</v>
      </c>
      <c r="J6" s="62">
        <f>I6*'Key Data'!$F$3</f>
        <v>0.88439015075882055</v>
      </c>
      <c r="K6" s="62">
        <f t="shared" si="2"/>
        <v>4.4219507537941025</v>
      </c>
      <c r="L6" s="344"/>
      <c r="M6" s="344"/>
    </row>
    <row r="7" spans="2:13">
      <c r="B7" s="449"/>
      <c r="C7" s="345"/>
      <c r="D7" s="345"/>
      <c r="E7" s="345"/>
      <c r="F7" s="58">
        <v>4</v>
      </c>
      <c r="G7" s="58">
        <v>16</v>
      </c>
      <c r="H7" s="62">
        <f t="shared" si="0"/>
        <v>4.7770700636942669</v>
      </c>
      <c r="I7" s="62">
        <f t="shared" si="1"/>
        <v>3.2126987721879932</v>
      </c>
      <c r="J7" s="62">
        <f>I7*'Key Data'!$F$3</f>
        <v>0.80317469304699829</v>
      </c>
      <c r="K7" s="62">
        <f t="shared" si="2"/>
        <v>4.015873465234991</v>
      </c>
      <c r="L7" s="344"/>
      <c r="M7" s="344"/>
    </row>
    <row r="8" spans="2:13">
      <c r="B8" s="449"/>
      <c r="C8" s="345"/>
      <c r="D8" s="345"/>
      <c r="E8" s="345"/>
      <c r="F8" s="58">
        <v>5</v>
      </c>
      <c r="G8" s="58">
        <v>14.4</v>
      </c>
      <c r="H8" s="62">
        <f t="shared" si="0"/>
        <v>4.2675159235668794</v>
      </c>
      <c r="I8" s="62">
        <f t="shared" si="1"/>
        <v>2.4353380812450407</v>
      </c>
      <c r="J8" s="62">
        <f>I8*'Key Data'!$F$3</f>
        <v>0.60883452031126017</v>
      </c>
      <c r="K8" s="62">
        <f t="shared" si="2"/>
        <v>3.0441726015563009</v>
      </c>
      <c r="L8" s="344"/>
      <c r="M8" s="344"/>
    </row>
    <row r="9" spans="2:13">
      <c r="B9" s="449"/>
      <c r="C9" s="345"/>
      <c r="D9" s="345"/>
      <c r="E9" s="345"/>
      <c r="F9" s="58">
        <v>6</v>
      </c>
      <c r="G9" s="58">
        <v>14.6</v>
      </c>
      <c r="H9" s="62">
        <f t="shared" si="0"/>
        <v>4.3312101910828025</v>
      </c>
      <c r="I9" s="62">
        <f t="shared" si="1"/>
        <v>2.5255817695877463</v>
      </c>
      <c r="J9" s="62">
        <f>I9*'Key Data'!$F$3</f>
        <v>0.63139544239693657</v>
      </c>
      <c r="K9" s="62">
        <f t="shared" si="2"/>
        <v>3.1569772119846826</v>
      </c>
      <c r="L9" s="344"/>
      <c r="M9" s="344"/>
    </row>
    <row r="10" spans="2:13">
      <c r="B10" s="449"/>
      <c r="C10" s="345"/>
      <c r="D10" s="345"/>
      <c r="E10" s="345"/>
      <c r="F10" s="58">
        <v>7</v>
      </c>
      <c r="G10" s="58">
        <v>14.9</v>
      </c>
      <c r="H10" s="62">
        <f t="shared" si="0"/>
        <v>4.4267515923566876</v>
      </c>
      <c r="I10" s="62">
        <f t="shared" si="1"/>
        <v>2.6646135038082295</v>
      </c>
      <c r="J10" s="62">
        <f>I10*'Key Data'!$F$3</f>
        <v>0.66615337595205737</v>
      </c>
      <c r="K10" s="62">
        <f t="shared" si="2"/>
        <v>3.330766879760287</v>
      </c>
      <c r="L10" s="344"/>
      <c r="M10" s="344"/>
    </row>
    <row r="11" spans="2:13">
      <c r="B11" s="449"/>
      <c r="C11" s="345"/>
      <c r="D11" s="345"/>
      <c r="E11" s="345"/>
      <c r="F11" s="58">
        <v>8</v>
      </c>
      <c r="G11" s="58">
        <v>16.899999999999999</v>
      </c>
      <c r="H11" s="62">
        <f t="shared" si="0"/>
        <v>5.0636942675159231</v>
      </c>
      <c r="I11" s="62">
        <f t="shared" si="1"/>
        <v>3.706988275156105</v>
      </c>
      <c r="J11" s="62">
        <f>I11*'Key Data'!$F$3</f>
        <v>0.92674706878902624</v>
      </c>
      <c r="K11" s="62">
        <f t="shared" si="2"/>
        <v>4.6337353439451316</v>
      </c>
      <c r="L11" s="344"/>
      <c r="M11" s="344"/>
    </row>
    <row r="12" spans="2:13">
      <c r="B12" s="449"/>
      <c r="C12" s="345"/>
      <c r="D12" s="345"/>
      <c r="E12" s="345"/>
      <c r="F12" s="58">
        <v>9</v>
      </c>
      <c r="G12" s="58">
        <v>14</v>
      </c>
      <c r="H12" s="62">
        <f t="shared" si="0"/>
        <v>4.1401273885350314</v>
      </c>
      <c r="I12" s="62">
        <f t="shared" si="1"/>
        <v>2.260657388686806</v>
      </c>
      <c r="J12" s="62">
        <f>I12*'Key Data'!$F$3</f>
        <v>0.5651643471717015</v>
      </c>
      <c r="K12" s="62">
        <f t="shared" si="2"/>
        <v>2.8258217358585074</v>
      </c>
      <c r="L12" s="344"/>
      <c r="M12" s="344"/>
    </row>
    <row r="13" spans="2:13">
      <c r="B13" s="449"/>
      <c r="C13" s="345"/>
      <c r="D13" s="345"/>
      <c r="E13" s="345"/>
      <c r="F13" s="58">
        <v>10</v>
      </c>
      <c r="G13" s="58">
        <v>18.5</v>
      </c>
      <c r="H13" s="62">
        <f t="shared" si="0"/>
        <v>5.5732484076433115</v>
      </c>
      <c r="I13" s="62">
        <f t="shared" si="1"/>
        <v>4.691279653986399</v>
      </c>
      <c r="J13" s="62">
        <f>I13*'Key Data'!$F$3</f>
        <v>1.1728199134965998</v>
      </c>
      <c r="K13" s="62">
        <f t="shared" si="2"/>
        <v>5.8640995674829988</v>
      </c>
      <c r="L13" s="344"/>
      <c r="M13" s="344"/>
    </row>
    <row r="14" spans="2:13">
      <c r="B14" s="449"/>
      <c r="C14" s="345"/>
      <c r="D14" s="345"/>
      <c r="E14" s="345"/>
      <c r="F14" s="58">
        <v>11</v>
      </c>
      <c r="G14" s="58">
        <v>16.2</v>
      </c>
      <c r="H14" s="62">
        <f t="shared" si="0"/>
        <v>4.8407643312101909</v>
      </c>
      <c r="I14" s="62">
        <f t="shared" si="1"/>
        <v>3.3189272054316623</v>
      </c>
      <c r="J14" s="62">
        <f>I14*'Key Data'!$F$3</f>
        <v>0.82973180135791558</v>
      </c>
      <c r="K14" s="62">
        <f t="shared" si="2"/>
        <v>4.1486590067895781</v>
      </c>
      <c r="L14" s="344"/>
      <c r="M14" s="344"/>
    </row>
    <row r="15" spans="2:13">
      <c r="B15" s="449"/>
      <c r="C15" s="345"/>
      <c r="D15" s="345"/>
      <c r="E15" s="345"/>
      <c r="F15" s="58">
        <v>12</v>
      </c>
      <c r="G15" s="58">
        <v>18</v>
      </c>
      <c r="H15" s="62">
        <f t="shared" si="0"/>
        <v>5.4140127388535033</v>
      </c>
      <c r="I15" s="62">
        <f t="shared" si="1"/>
        <v>4.3689032366516765</v>
      </c>
      <c r="J15" s="62">
        <f>I15*'Key Data'!$F$3</f>
        <v>1.0922258091629191</v>
      </c>
      <c r="K15" s="62">
        <f t="shared" si="2"/>
        <v>5.4611290458145954</v>
      </c>
      <c r="L15" s="344"/>
      <c r="M15" s="344"/>
    </row>
    <row r="16" spans="2:13">
      <c r="B16" s="449"/>
      <c r="C16" s="345"/>
      <c r="D16" s="345"/>
      <c r="E16" s="345"/>
      <c r="F16" s="58">
        <v>13</v>
      </c>
      <c r="G16" s="58">
        <v>16.3</v>
      </c>
      <c r="H16" s="62">
        <f t="shared" si="0"/>
        <v>4.8726114649681529</v>
      </c>
      <c r="I16" s="62">
        <f t="shared" si="1"/>
        <v>3.3728111829848428</v>
      </c>
      <c r="J16" s="62">
        <f>I16*'Key Data'!$F$3</f>
        <v>0.84320279574621071</v>
      </c>
      <c r="K16" s="62">
        <f t="shared" si="2"/>
        <v>4.2160139787310538</v>
      </c>
      <c r="L16" s="344"/>
      <c r="M16" s="344"/>
    </row>
    <row r="17" spans="2:13">
      <c r="B17" s="449"/>
      <c r="C17" s="345"/>
      <c r="D17" s="345"/>
      <c r="E17" s="345"/>
      <c r="F17" s="58">
        <v>14</v>
      </c>
      <c r="G17" s="58">
        <v>17.7</v>
      </c>
      <c r="H17" s="62">
        <f t="shared" si="0"/>
        <v>5.3184713375796173</v>
      </c>
      <c r="I17" s="62">
        <f t="shared" si="1"/>
        <v>4.1819759239061138</v>
      </c>
      <c r="J17" s="62">
        <f>I17*'Key Data'!$F$3</f>
        <v>1.0454939809765285</v>
      </c>
      <c r="K17" s="62">
        <f t="shared" si="2"/>
        <v>5.2274699048826427</v>
      </c>
      <c r="L17" s="344"/>
      <c r="M17" s="344"/>
    </row>
    <row r="18" spans="2:13">
      <c r="B18" s="449"/>
      <c r="C18" s="345"/>
      <c r="D18" s="345"/>
      <c r="E18" s="345"/>
      <c r="F18" s="58">
        <v>15</v>
      </c>
      <c r="G18" s="58">
        <v>16</v>
      </c>
      <c r="H18" s="62">
        <f t="shared" si="0"/>
        <v>4.7770700636942669</v>
      </c>
      <c r="I18" s="62">
        <f t="shared" si="1"/>
        <v>3.2126987721879932</v>
      </c>
      <c r="J18" s="62">
        <f>I18*'Key Data'!$F$3</f>
        <v>0.80317469304699829</v>
      </c>
      <c r="K18" s="62">
        <f t="shared" si="2"/>
        <v>4.015873465234991</v>
      </c>
      <c r="L18" s="344"/>
      <c r="M18" s="344"/>
    </row>
    <row r="19" spans="2:13">
      <c r="B19" s="449"/>
      <c r="C19" s="345"/>
      <c r="D19" s="345"/>
      <c r="E19" s="345"/>
      <c r="F19" s="58">
        <v>16</v>
      </c>
      <c r="G19" s="58">
        <v>18.2</v>
      </c>
      <c r="H19" s="62">
        <f t="shared" si="0"/>
        <v>5.4777070063694264</v>
      </c>
      <c r="I19" s="62">
        <f t="shared" si="1"/>
        <v>4.4962219418867573</v>
      </c>
      <c r="J19" s="62">
        <f>I19*'Key Data'!$F$3</f>
        <v>1.1240554854716893</v>
      </c>
      <c r="K19" s="62">
        <f t="shared" si="2"/>
        <v>5.620277427358447</v>
      </c>
      <c r="L19" s="344"/>
      <c r="M19" s="344"/>
    </row>
    <row r="20" spans="2:13">
      <c r="B20" s="449"/>
      <c r="C20" s="345"/>
      <c r="D20" s="345"/>
      <c r="E20" s="345"/>
      <c r="F20" s="58">
        <v>17</v>
      </c>
      <c r="G20" s="58">
        <v>16.8</v>
      </c>
      <c r="H20" s="62">
        <f t="shared" si="0"/>
        <v>5.031847133757962</v>
      </c>
      <c r="I20" s="62">
        <f t="shared" si="1"/>
        <v>3.6499900506160148</v>
      </c>
      <c r="J20" s="62">
        <f>I20*'Key Data'!$F$3</f>
        <v>0.9124975126540037</v>
      </c>
      <c r="K20" s="62">
        <f t="shared" si="2"/>
        <v>4.5624875632700181</v>
      </c>
      <c r="L20" s="344"/>
      <c r="M20" s="344"/>
    </row>
    <row r="21" spans="2:13">
      <c r="B21" s="449"/>
      <c r="C21" s="345"/>
      <c r="D21" s="345"/>
      <c r="E21" s="345"/>
      <c r="F21" s="58">
        <v>18</v>
      </c>
      <c r="G21" s="58">
        <v>16.5</v>
      </c>
      <c r="H21" s="62">
        <f t="shared" si="0"/>
        <v>4.936305732484076</v>
      </c>
      <c r="I21" s="62">
        <f t="shared" si="1"/>
        <v>3.4821263516260039</v>
      </c>
      <c r="J21" s="62">
        <f>I21*'Key Data'!$F$3</f>
        <v>0.87053158790650098</v>
      </c>
      <c r="K21" s="62">
        <f t="shared" si="2"/>
        <v>4.3526579395325049</v>
      </c>
      <c r="L21" s="344"/>
      <c r="M21" s="344"/>
    </row>
    <row r="22" spans="2:13">
      <c r="B22" s="449"/>
      <c r="C22" s="345"/>
      <c r="D22" s="345"/>
      <c r="E22" s="345"/>
      <c r="F22" s="58">
        <v>19</v>
      </c>
      <c r="G22" s="58">
        <v>17.5</v>
      </c>
      <c r="H22" s="62">
        <f t="shared" si="0"/>
        <v>5.2547770700636942</v>
      </c>
      <c r="I22" s="62">
        <f t="shared" si="1"/>
        <v>4.0600412128794678</v>
      </c>
      <c r="J22" s="62">
        <f>I22*'Key Data'!$F$3</f>
        <v>1.015010303219867</v>
      </c>
      <c r="K22" s="62">
        <f t="shared" si="2"/>
        <v>5.075051516099335</v>
      </c>
      <c r="L22" s="344"/>
      <c r="M22" s="344"/>
    </row>
    <row r="23" spans="2:13">
      <c r="B23" s="449"/>
      <c r="C23" s="345"/>
      <c r="D23" s="345"/>
      <c r="E23" s="345"/>
      <c r="F23" s="58">
        <v>20</v>
      </c>
      <c r="G23" s="58">
        <v>16</v>
      </c>
      <c r="H23" s="62">
        <f t="shared" si="0"/>
        <v>4.7770700636942669</v>
      </c>
      <c r="I23" s="62">
        <f t="shared" si="1"/>
        <v>3.2126987721879932</v>
      </c>
      <c r="J23" s="62">
        <f>I23*'Key Data'!$F$3</f>
        <v>0.80317469304699829</v>
      </c>
      <c r="K23" s="62">
        <f t="shared" si="2"/>
        <v>4.015873465234991</v>
      </c>
      <c r="L23" s="344"/>
      <c r="M23" s="344"/>
    </row>
    <row r="24" spans="2:13">
      <c r="B24" s="449"/>
      <c r="C24" s="345"/>
      <c r="D24" s="345"/>
      <c r="E24" s="345"/>
      <c r="F24" s="58">
        <v>21</v>
      </c>
      <c r="G24" s="58">
        <v>17.600000000000001</v>
      </c>
      <c r="H24" s="62">
        <f t="shared" si="0"/>
        <v>5.2866242038216562</v>
      </c>
      <c r="I24" s="62">
        <f t="shared" si="1"/>
        <v>4.1207411947585451</v>
      </c>
      <c r="J24" s="62">
        <f>I24*'Key Data'!$F$3</f>
        <v>1.0301852986896363</v>
      </c>
      <c r="K24" s="62">
        <f t="shared" si="2"/>
        <v>5.1509264934481811</v>
      </c>
      <c r="L24" s="344"/>
      <c r="M24" s="344"/>
    </row>
    <row r="25" spans="2:13">
      <c r="B25" s="449"/>
      <c r="C25" s="345"/>
      <c r="D25" s="345"/>
      <c r="E25" s="345"/>
      <c r="F25" s="58">
        <v>22</v>
      </c>
      <c r="G25" s="58">
        <v>19</v>
      </c>
      <c r="H25" s="62">
        <f t="shared" si="0"/>
        <v>5.7324840764331206</v>
      </c>
      <c r="I25" s="62">
        <f t="shared" si="1"/>
        <v>5.0273503020791406</v>
      </c>
      <c r="J25" s="62">
        <f>I25*'Key Data'!$F$3</f>
        <v>1.2568375755197851</v>
      </c>
      <c r="K25" s="62">
        <f t="shared" si="2"/>
        <v>6.2841878775989262</v>
      </c>
      <c r="L25" s="344"/>
      <c r="M25" s="344"/>
    </row>
    <row r="26" spans="2:13">
      <c r="B26" s="449"/>
      <c r="C26" s="345"/>
      <c r="D26" s="345"/>
      <c r="E26" s="345"/>
      <c r="F26" s="58">
        <v>23</v>
      </c>
      <c r="G26" s="58">
        <v>16.600000000000001</v>
      </c>
      <c r="H26" s="62">
        <f t="shared" si="0"/>
        <v>4.9681528662420389</v>
      </c>
      <c r="I26" s="62">
        <f t="shared" si="1"/>
        <v>3.5375606030352822</v>
      </c>
      <c r="J26" s="62">
        <f>I26*'Key Data'!$F$3</f>
        <v>0.88439015075882055</v>
      </c>
      <c r="K26" s="62">
        <f t="shared" si="2"/>
        <v>4.4219507537941025</v>
      </c>
      <c r="L26" s="344"/>
      <c r="M26" s="344"/>
    </row>
    <row r="27" spans="2:13">
      <c r="B27" s="449"/>
      <c r="C27" s="345"/>
      <c r="D27" s="345"/>
      <c r="E27" s="345"/>
      <c r="F27" s="58">
        <v>24</v>
      </c>
      <c r="G27" s="58">
        <v>15.600000000000001</v>
      </c>
      <c r="H27" s="62">
        <f t="shared" si="0"/>
        <v>4.6496815286624207</v>
      </c>
      <c r="I27" s="62">
        <f t="shared" si="1"/>
        <v>3.0063565694276995</v>
      </c>
      <c r="J27" s="62">
        <f>I27*'Key Data'!$F$3</f>
        <v>0.75158914235692487</v>
      </c>
      <c r="K27" s="62">
        <f t="shared" si="2"/>
        <v>3.7579457117846244</v>
      </c>
      <c r="L27" s="344"/>
      <c r="M27" s="344"/>
    </row>
    <row r="28" spans="2:13">
      <c r="B28" s="449"/>
      <c r="C28" s="345"/>
      <c r="D28" s="345"/>
      <c r="E28" s="345"/>
      <c r="F28" s="58">
        <v>25</v>
      </c>
      <c r="G28" s="58">
        <v>18.100000000000001</v>
      </c>
      <c r="H28" s="62">
        <f t="shared" si="0"/>
        <v>5.4458598726114653</v>
      </c>
      <c r="I28" s="62">
        <f t="shared" si="1"/>
        <v>4.4322915728916463</v>
      </c>
      <c r="J28" s="62">
        <f>I28*'Key Data'!$F$3</f>
        <v>1.1080728932229116</v>
      </c>
      <c r="K28" s="62">
        <f t="shared" si="2"/>
        <v>5.5403644661145579</v>
      </c>
      <c r="L28" s="344"/>
      <c r="M28" s="344"/>
    </row>
    <row r="29" spans="2:13">
      <c r="B29" s="449"/>
      <c r="C29" s="345"/>
      <c r="D29" s="345"/>
      <c r="E29" s="345"/>
      <c r="F29" s="58">
        <v>26</v>
      </c>
      <c r="G29" s="58">
        <v>16.2</v>
      </c>
      <c r="H29" s="62">
        <f t="shared" si="0"/>
        <v>4.8407643312101909</v>
      </c>
      <c r="I29" s="62">
        <f t="shared" si="1"/>
        <v>3.3189272054316623</v>
      </c>
      <c r="J29" s="62">
        <f>I29*'Key Data'!$F$3</f>
        <v>0.82973180135791558</v>
      </c>
      <c r="K29" s="62">
        <f t="shared" si="2"/>
        <v>4.1486590067895781</v>
      </c>
      <c r="L29" s="344"/>
      <c r="M29" s="344"/>
    </row>
    <row r="30" spans="2:13">
      <c r="B30" s="449"/>
      <c r="C30" s="345"/>
      <c r="D30" s="345"/>
      <c r="E30" s="345"/>
      <c r="F30" s="58">
        <v>27</v>
      </c>
      <c r="G30" s="58">
        <v>18.399999999999999</v>
      </c>
      <c r="H30" s="62">
        <f t="shared" si="0"/>
        <v>5.5414012738853495</v>
      </c>
      <c r="I30" s="62">
        <f t="shared" si="1"/>
        <v>4.6257145461167299</v>
      </c>
      <c r="J30" s="62">
        <f>I30*'Key Data'!$F$3</f>
        <v>1.1564286365291825</v>
      </c>
      <c r="K30" s="62">
        <f t="shared" si="2"/>
        <v>5.7821431826459122</v>
      </c>
      <c r="L30" s="344"/>
      <c r="M30" s="344"/>
    </row>
    <row r="31" spans="2:13">
      <c r="B31" s="449"/>
      <c r="C31" s="345"/>
      <c r="D31" s="345"/>
      <c r="E31" s="345"/>
      <c r="F31" s="58">
        <v>28</v>
      </c>
      <c r="G31" s="58">
        <v>15</v>
      </c>
      <c r="H31" s="62">
        <f t="shared" si="0"/>
        <v>4.4585987261146496</v>
      </c>
      <c r="I31" s="62">
        <f t="shared" si="1"/>
        <v>2.7119415854186837</v>
      </c>
      <c r="J31" s="62">
        <f>I31*'Key Data'!$F$3</f>
        <v>0.67798539635467092</v>
      </c>
      <c r="K31" s="62">
        <f t="shared" si="2"/>
        <v>3.3899269817733546</v>
      </c>
      <c r="L31" s="344"/>
      <c r="M31" s="344"/>
    </row>
    <row r="32" spans="2:13">
      <c r="B32" s="449"/>
      <c r="C32" s="345"/>
      <c r="D32" s="345"/>
      <c r="E32" s="345"/>
      <c r="F32" s="58">
        <v>29</v>
      </c>
      <c r="G32" s="58">
        <v>13.9</v>
      </c>
      <c r="H32" s="62">
        <f t="shared" si="0"/>
        <v>4.1082802547770703</v>
      </c>
      <c r="I32" s="62">
        <f t="shared" si="1"/>
        <v>2.2181872443698327</v>
      </c>
      <c r="J32" s="62">
        <f>I32*'Key Data'!$F$3</f>
        <v>0.55454681109245818</v>
      </c>
      <c r="K32" s="62">
        <f t="shared" si="2"/>
        <v>2.772734055462291</v>
      </c>
      <c r="L32" s="344"/>
      <c r="M32" s="344"/>
    </row>
    <row r="33" spans="2:13">
      <c r="B33" s="449"/>
      <c r="C33" s="345"/>
      <c r="D33" s="345"/>
      <c r="E33" s="345"/>
      <c r="F33" s="58">
        <v>30</v>
      </c>
      <c r="G33" s="58">
        <v>13.8</v>
      </c>
      <c r="H33" s="62">
        <f t="shared" si="0"/>
        <v>4.0764331210191083</v>
      </c>
      <c r="I33" s="62">
        <f t="shared" si="1"/>
        <v>2.1761937592541241</v>
      </c>
      <c r="J33" s="62">
        <f>I33*'Key Data'!$F$3</f>
        <v>0.54404843981353102</v>
      </c>
      <c r="K33" s="62">
        <f t="shared" si="2"/>
        <v>2.7202421990676551</v>
      </c>
      <c r="L33" s="344"/>
      <c r="M33" s="344"/>
    </row>
    <row r="34" spans="2:13">
      <c r="B34" s="449"/>
      <c r="C34" s="345"/>
      <c r="D34" s="345"/>
      <c r="E34" s="345"/>
      <c r="F34" s="58">
        <v>31</v>
      </c>
      <c r="G34" s="58">
        <v>14.2</v>
      </c>
      <c r="H34" s="62">
        <f t="shared" si="0"/>
        <v>4.2038216560509554</v>
      </c>
      <c r="I34" s="62">
        <f t="shared" si="1"/>
        <v>2.3470343735243584</v>
      </c>
      <c r="J34" s="62">
        <f>I34*'Key Data'!$F$3</f>
        <v>0.5867585933810896</v>
      </c>
      <c r="K34" s="62">
        <f t="shared" si="2"/>
        <v>2.9337929669054481</v>
      </c>
      <c r="L34" s="344"/>
      <c r="M34" s="344"/>
    </row>
    <row r="35" spans="2:13">
      <c r="B35" s="449"/>
      <c r="C35" s="345"/>
      <c r="D35" s="345"/>
      <c r="E35" s="345"/>
      <c r="F35" s="58">
        <v>32</v>
      </c>
      <c r="G35" s="58">
        <v>12.5</v>
      </c>
      <c r="H35" s="62">
        <f t="shared" si="0"/>
        <v>3.6624203821656049</v>
      </c>
      <c r="I35" s="62">
        <f t="shared" si="1"/>
        <v>1.6728760785757455</v>
      </c>
      <c r="J35" s="62">
        <f>I35*'Key Data'!$F$3</f>
        <v>0.41821901964393637</v>
      </c>
      <c r="K35" s="62">
        <f t="shared" si="2"/>
        <v>2.0910950982196819</v>
      </c>
      <c r="L35" s="344"/>
      <c r="M35" s="344"/>
    </row>
    <row r="36" spans="2:13">
      <c r="B36" s="449"/>
      <c r="C36" s="345"/>
      <c r="D36" s="345"/>
      <c r="E36" s="345"/>
      <c r="F36" s="58">
        <v>33</v>
      </c>
      <c r="G36" s="58">
        <v>15</v>
      </c>
      <c r="H36" s="62">
        <f t="shared" si="0"/>
        <v>4.4585987261146496</v>
      </c>
      <c r="I36" s="62">
        <f t="shared" si="1"/>
        <v>2.7119415854186837</v>
      </c>
      <c r="J36" s="62">
        <f>I36*'Key Data'!$F$3</f>
        <v>0.67798539635467092</v>
      </c>
      <c r="K36" s="62">
        <f t="shared" si="2"/>
        <v>3.3899269817733546</v>
      </c>
      <c r="L36" s="344"/>
      <c r="M36" s="344"/>
    </row>
    <row r="37" spans="2:13">
      <c r="B37" s="449"/>
      <c r="C37" s="345"/>
      <c r="D37" s="345"/>
      <c r="E37" s="345"/>
      <c r="F37" s="58">
        <v>34</v>
      </c>
      <c r="G37" s="58">
        <v>12.5</v>
      </c>
      <c r="H37" s="62">
        <f t="shared" si="0"/>
        <v>3.6624203821656049</v>
      </c>
      <c r="I37" s="62">
        <f t="shared" si="1"/>
        <v>1.6728760785757455</v>
      </c>
      <c r="J37" s="62">
        <f>I37*'Key Data'!$F$3</f>
        <v>0.41821901964393637</v>
      </c>
      <c r="K37" s="62">
        <f t="shared" si="2"/>
        <v>2.0910950982196819</v>
      </c>
      <c r="L37" s="344"/>
      <c r="M37" s="344"/>
    </row>
    <row r="38" spans="2:13">
      <c r="B38" s="449"/>
      <c r="C38" s="345"/>
      <c r="D38" s="345"/>
      <c r="E38" s="345"/>
      <c r="F38" s="58">
        <v>35</v>
      </c>
      <c r="G38" s="58">
        <v>14.8</v>
      </c>
      <c r="H38" s="62">
        <f t="shared" si="0"/>
        <v>4.3949044585987265</v>
      </c>
      <c r="I38" s="62">
        <f t="shared" si="1"/>
        <v>2.6177785890711021</v>
      </c>
      <c r="J38" s="62">
        <f>I38*'Key Data'!$F$3</f>
        <v>0.65444464726777551</v>
      </c>
      <c r="K38" s="62">
        <f t="shared" si="2"/>
        <v>3.2722232363388777</v>
      </c>
      <c r="L38" s="344"/>
      <c r="M38" s="344"/>
    </row>
    <row r="39" spans="2:13">
      <c r="B39" s="449"/>
      <c r="C39" s="345"/>
      <c r="D39" s="345"/>
      <c r="E39" s="345"/>
      <c r="F39" s="58">
        <v>36</v>
      </c>
      <c r="G39" s="58">
        <v>13.3</v>
      </c>
      <c r="H39" s="62">
        <f t="shared" si="0"/>
        <v>3.9171974522292996</v>
      </c>
      <c r="I39" s="62">
        <f t="shared" si="1"/>
        <v>1.9733168702464456</v>
      </c>
      <c r="J39" s="62">
        <f>I39*'Key Data'!$F$3</f>
        <v>0.49332921756161141</v>
      </c>
      <c r="K39" s="62">
        <f t="shared" si="2"/>
        <v>2.4666460878080572</v>
      </c>
      <c r="L39" s="344"/>
      <c r="M39" s="344"/>
    </row>
    <row r="40" spans="2:13">
      <c r="B40" s="449"/>
      <c r="C40" s="345"/>
      <c r="D40" s="345"/>
      <c r="E40" s="345"/>
      <c r="F40" s="58">
        <v>37</v>
      </c>
      <c r="G40" s="58">
        <v>15.600000000000001</v>
      </c>
      <c r="H40" s="62">
        <f t="shared" si="0"/>
        <v>4.6496815286624207</v>
      </c>
      <c r="I40" s="62">
        <f t="shared" si="1"/>
        <v>3.0063565694276995</v>
      </c>
      <c r="J40" s="62">
        <f>I40*'Key Data'!$F$3</f>
        <v>0.75158914235692487</v>
      </c>
      <c r="K40" s="62">
        <f t="shared" si="2"/>
        <v>3.7579457117846244</v>
      </c>
      <c r="L40" s="344"/>
      <c r="M40" s="344"/>
    </row>
    <row r="41" spans="2:13">
      <c r="B41" s="449"/>
      <c r="C41" s="345"/>
      <c r="D41" s="345"/>
      <c r="E41" s="345"/>
      <c r="F41" s="58">
        <v>38</v>
      </c>
      <c r="G41" s="58">
        <v>18.5</v>
      </c>
      <c r="H41" s="62">
        <f t="shared" si="0"/>
        <v>5.5732484076433115</v>
      </c>
      <c r="I41" s="62">
        <f t="shared" si="1"/>
        <v>4.691279653986399</v>
      </c>
      <c r="J41" s="62">
        <f>I41*'Key Data'!$F$3</f>
        <v>1.1728199134965998</v>
      </c>
      <c r="K41" s="62">
        <f t="shared" si="2"/>
        <v>5.8640995674829988</v>
      </c>
      <c r="L41" s="344"/>
      <c r="M41" s="344"/>
    </row>
    <row r="42" spans="2:13">
      <c r="B42" s="449"/>
      <c r="C42" s="345"/>
      <c r="D42" s="345"/>
      <c r="E42" s="345"/>
      <c r="F42" s="58">
        <v>39</v>
      </c>
      <c r="G42" s="58">
        <v>15.399999999999999</v>
      </c>
      <c r="H42" s="62">
        <f t="shared" si="0"/>
        <v>4.5859872611464958</v>
      </c>
      <c r="I42" s="62">
        <f t="shared" si="1"/>
        <v>2.9062177815578014</v>
      </c>
      <c r="J42" s="62">
        <f>I42*'Key Data'!$F$3</f>
        <v>0.72655444538945035</v>
      </c>
      <c r="K42" s="62">
        <f t="shared" si="2"/>
        <v>3.6327722269472518</v>
      </c>
      <c r="L42" s="344"/>
      <c r="M42" s="344"/>
    </row>
    <row r="43" spans="2:13">
      <c r="B43" s="449"/>
      <c r="C43" s="345"/>
      <c r="D43" s="345"/>
      <c r="E43" s="345"/>
      <c r="F43" s="58">
        <v>40</v>
      </c>
      <c r="G43" s="58">
        <v>15.8</v>
      </c>
      <c r="H43" s="62">
        <f t="shared" si="0"/>
        <v>4.7133757961783438</v>
      </c>
      <c r="I43" s="62">
        <f t="shared" si="1"/>
        <v>3.1085127145844154</v>
      </c>
      <c r="J43" s="62">
        <f>I43*'Key Data'!$F$3</f>
        <v>0.77712817864610384</v>
      </c>
      <c r="K43" s="62">
        <f t="shared" si="2"/>
        <v>3.8856408932305193</v>
      </c>
      <c r="L43" s="344"/>
      <c r="M43" s="344"/>
    </row>
    <row r="44" spans="2:13">
      <c r="B44" s="449"/>
      <c r="C44" s="345"/>
      <c r="D44" s="345"/>
      <c r="E44" s="345"/>
      <c r="F44" s="58">
        <v>41</v>
      </c>
      <c r="G44" s="58">
        <v>15.2</v>
      </c>
      <c r="H44" s="62">
        <f t="shared" si="0"/>
        <v>4.5222929936305727</v>
      </c>
      <c r="I44" s="62">
        <f t="shared" si="1"/>
        <v>2.8080837018951548</v>
      </c>
      <c r="J44" s="62">
        <f>I44*'Key Data'!$F$3</f>
        <v>0.70202092547378869</v>
      </c>
      <c r="K44" s="62">
        <f t="shared" si="2"/>
        <v>3.5101046273689436</v>
      </c>
      <c r="L44" s="344"/>
      <c r="M44" s="344"/>
    </row>
    <row r="45" spans="2:13">
      <c r="B45" s="449"/>
      <c r="C45" s="345"/>
      <c r="D45" s="345"/>
      <c r="E45" s="345"/>
      <c r="F45" s="58">
        <v>42</v>
      </c>
      <c r="G45" s="58">
        <v>13.9</v>
      </c>
      <c r="H45" s="62">
        <f t="shared" si="0"/>
        <v>4.1082802547770703</v>
      </c>
      <c r="I45" s="62">
        <f t="shared" si="1"/>
        <v>2.2181872443698327</v>
      </c>
      <c r="J45" s="62">
        <f>I45*'Key Data'!$F$3</f>
        <v>0.55454681109245818</v>
      </c>
      <c r="K45" s="62">
        <f t="shared" si="2"/>
        <v>2.772734055462291</v>
      </c>
      <c r="L45" s="344"/>
      <c r="M45" s="344"/>
    </row>
    <row r="46" spans="2:13">
      <c r="B46" s="449"/>
      <c r="C46" s="345"/>
      <c r="D46" s="345"/>
      <c r="E46" s="345"/>
      <c r="F46" s="58">
        <v>43</v>
      </c>
      <c r="G46" s="58">
        <v>16</v>
      </c>
      <c r="H46" s="62">
        <f t="shared" si="0"/>
        <v>4.7770700636942669</v>
      </c>
      <c r="I46" s="62">
        <f t="shared" si="1"/>
        <v>3.2126987721879932</v>
      </c>
      <c r="J46" s="62">
        <f>I46*'Key Data'!$F$3</f>
        <v>0.80317469304699829</v>
      </c>
      <c r="K46" s="62">
        <f t="shared" si="2"/>
        <v>4.015873465234991</v>
      </c>
      <c r="L46" s="344"/>
      <c r="M46" s="344"/>
    </row>
    <row r="47" spans="2:13">
      <c r="B47" s="449"/>
      <c r="C47" s="345"/>
      <c r="D47" s="345"/>
      <c r="E47" s="345"/>
      <c r="F47" s="58">
        <v>44</v>
      </c>
      <c r="G47" s="58">
        <v>15.5</v>
      </c>
      <c r="H47" s="62">
        <f t="shared" si="0"/>
        <v>4.6178343949044587</v>
      </c>
      <c r="I47" s="62">
        <f t="shared" si="1"/>
        <v>2.9560357941747868</v>
      </c>
      <c r="J47" s="62">
        <f>I47*'Key Data'!$F$3</f>
        <v>0.7390089485436967</v>
      </c>
      <c r="K47" s="62">
        <f t="shared" si="2"/>
        <v>3.6950447427184834</v>
      </c>
      <c r="L47" s="344"/>
      <c r="M47" s="344"/>
    </row>
    <row r="48" spans="2:13" ht="15.75" thickBot="1">
      <c r="B48" s="450"/>
      <c r="C48" s="451"/>
      <c r="D48" s="451"/>
      <c r="E48" s="451"/>
      <c r="F48" s="154">
        <v>45</v>
      </c>
      <c r="G48" s="154">
        <v>12.3</v>
      </c>
      <c r="H48" s="62">
        <f t="shared" si="0"/>
        <v>3.5987261146496814</v>
      </c>
      <c r="I48" s="62">
        <f t="shared" si="1"/>
        <v>1.6023247178210662</v>
      </c>
      <c r="J48" s="62">
        <f>I48*'Key Data'!$F$3</f>
        <v>0.40058117945526656</v>
      </c>
      <c r="K48" s="62">
        <f t="shared" si="2"/>
        <v>2.0029058972763329</v>
      </c>
      <c r="L48" s="344"/>
      <c r="M48" s="344"/>
    </row>
  </sheetData>
  <mergeCells count="6">
    <mergeCell ref="M4:M48"/>
    <mergeCell ref="B4:B48"/>
    <mergeCell ref="C4:C48"/>
    <mergeCell ref="D4:D48"/>
    <mergeCell ref="E4:E48"/>
    <mergeCell ref="L4:L4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1EE2F-0B3C-4B0E-AEAF-BEC8546C0796}">
  <dimension ref="B3:M97"/>
  <sheetViews>
    <sheetView workbookViewId="0">
      <selection activeCell="B3" sqref="B3:M3"/>
    </sheetView>
  </sheetViews>
  <sheetFormatPr defaultRowHeight="15"/>
  <cols>
    <col min="8" max="12" width="12.5703125" bestFit="1" customWidth="1"/>
    <col min="13" max="13" width="13.7109375" bestFit="1" customWidth="1"/>
  </cols>
  <sheetData>
    <row r="3" spans="2:13" ht="50.25">
      <c r="B3" s="275" t="s">
        <v>486</v>
      </c>
      <c r="C3" s="275" t="s">
        <v>433</v>
      </c>
      <c r="D3" s="275" t="s">
        <v>434</v>
      </c>
      <c r="E3" s="275" t="s">
        <v>435</v>
      </c>
      <c r="F3" s="274" t="s">
        <v>436</v>
      </c>
      <c r="G3" s="275" t="s">
        <v>437</v>
      </c>
      <c r="H3" s="276" t="s">
        <v>438</v>
      </c>
      <c r="I3" s="274" t="s">
        <v>439</v>
      </c>
      <c r="J3" s="274" t="s">
        <v>440</v>
      </c>
      <c r="K3" s="274" t="s">
        <v>496</v>
      </c>
      <c r="L3" s="274" t="s">
        <v>442</v>
      </c>
      <c r="M3" s="274" t="s">
        <v>443</v>
      </c>
    </row>
    <row r="4" spans="2:13">
      <c r="B4" s="345">
        <v>1</v>
      </c>
      <c r="C4" s="345" t="s">
        <v>499</v>
      </c>
      <c r="D4" s="345">
        <v>23.018370000000001</v>
      </c>
      <c r="E4" s="345">
        <v>75.065528</v>
      </c>
      <c r="F4" s="58">
        <v>1</v>
      </c>
      <c r="G4" s="123">
        <v>11.5</v>
      </c>
      <c r="H4" s="57">
        <f>G4/3.14</f>
        <v>3.6624203821656049</v>
      </c>
      <c r="I4" s="62">
        <f>0.069 * H4^2.456</f>
        <v>1.6728760785757455</v>
      </c>
      <c r="J4" s="62">
        <f>I4*'Key Data'!$F$3</f>
        <v>0.41821901964393637</v>
      </c>
      <c r="K4" s="62">
        <f>J4+I4</f>
        <v>2.0910950982196819</v>
      </c>
      <c r="L4" s="344">
        <f>SUM(K4:K57)/1000</f>
        <v>0.20268678316841113</v>
      </c>
      <c r="M4" s="344">
        <f>L4/225*10000</f>
        <v>9.0083014741516045</v>
      </c>
    </row>
    <row r="5" spans="2:13">
      <c r="B5" s="345"/>
      <c r="C5" s="345"/>
      <c r="D5" s="345"/>
      <c r="E5" s="345"/>
      <c r="F5" s="58">
        <v>2</v>
      </c>
      <c r="G5" s="123">
        <v>15.5</v>
      </c>
      <c r="H5" s="57">
        <f t="shared" ref="H5:H68" si="0">G5/3.14</f>
        <v>4.936305732484076</v>
      </c>
      <c r="I5" s="62">
        <f t="shared" ref="I5:I68" si="1">0.069 * H5^2.456</f>
        <v>3.4821263516260039</v>
      </c>
      <c r="J5" s="62">
        <f>I5*'Key Data'!$F$3</f>
        <v>0.87053158790650098</v>
      </c>
      <c r="K5" s="62">
        <f t="shared" ref="K5:K68" si="2">J5+I5</f>
        <v>4.3526579395325049</v>
      </c>
      <c r="L5" s="344"/>
      <c r="M5" s="344"/>
    </row>
    <row r="6" spans="2:13">
      <c r="B6" s="345"/>
      <c r="C6" s="345"/>
      <c r="D6" s="345"/>
      <c r="E6" s="345"/>
      <c r="F6" s="58">
        <v>3</v>
      </c>
      <c r="G6" s="123">
        <v>16.100000000000001</v>
      </c>
      <c r="H6" s="57">
        <f t="shared" si="0"/>
        <v>5.1273885350318471</v>
      </c>
      <c r="I6" s="62">
        <f t="shared" si="1"/>
        <v>3.8225592576134186</v>
      </c>
      <c r="J6" s="62">
        <f>I6*'Key Data'!$F$3</f>
        <v>0.95563981440335466</v>
      </c>
      <c r="K6" s="62">
        <f t="shared" si="2"/>
        <v>4.7781990720167737</v>
      </c>
      <c r="L6" s="344"/>
      <c r="M6" s="344"/>
    </row>
    <row r="7" spans="2:13">
      <c r="B7" s="345"/>
      <c r="C7" s="345"/>
      <c r="D7" s="345"/>
      <c r="E7" s="345"/>
      <c r="F7" s="58">
        <v>4</v>
      </c>
      <c r="G7" s="123">
        <v>16.2</v>
      </c>
      <c r="H7" s="57">
        <f t="shared" si="0"/>
        <v>5.1592356687898082</v>
      </c>
      <c r="I7" s="62">
        <f t="shared" si="1"/>
        <v>3.8811350128756921</v>
      </c>
      <c r="J7" s="62">
        <f>I7*'Key Data'!$F$3</f>
        <v>0.97028375321892302</v>
      </c>
      <c r="K7" s="62">
        <f t="shared" si="2"/>
        <v>4.8514187660946151</v>
      </c>
      <c r="L7" s="344"/>
      <c r="M7" s="344"/>
    </row>
    <row r="8" spans="2:13">
      <c r="B8" s="345"/>
      <c r="C8" s="345"/>
      <c r="D8" s="345"/>
      <c r="E8" s="345"/>
      <c r="F8" s="58">
        <v>5</v>
      </c>
      <c r="G8" s="123">
        <v>15.8</v>
      </c>
      <c r="H8" s="57">
        <f t="shared" si="0"/>
        <v>5.031847133757962</v>
      </c>
      <c r="I8" s="62">
        <f t="shared" si="1"/>
        <v>3.6499900506160148</v>
      </c>
      <c r="J8" s="62">
        <f>I8*'Key Data'!$F$3</f>
        <v>0.9124975126540037</v>
      </c>
      <c r="K8" s="62">
        <f t="shared" si="2"/>
        <v>4.5624875632700181</v>
      </c>
      <c r="L8" s="344"/>
      <c r="M8" s="344"/>
    </row>
    <row r="9" spans="2:13">
      <c r="B9" s="345"/>
      <c r="C9" s="345"/>
      <c r="D9" s="345"/>
      <c r="E9" s="345"/>
      <c r="F9" s="58">
        <v>6</v>
      </c>
      <c r="G9" s="123">
        <v>14.1</v>
      </c>
      <c r="H9" s="57">
        <f t="shared" si="0"/>
        <v>4.4904458598726116</v>
      </c>
      <c r="I9" s="62">
        <f t="shared" si="1"/>
        <v>2.7597644486269433</v>
      </c>
      <c r="J9" s="62">
        <f>I9*'Key Data'!$F$3</f>
        <v>0.68994111215673581</v>
      </c>
      <c r="K9" s="62">
        <f t="shared" si="2"/>
        <v>3.4497055607836788</v>
      </c>
      <c r="L9" s="344"/>
      <c r="M9" s="344"/>
    </row>
    <row r="10" spans="2:13">
      <c r="B10" s="345"/>
      <c r="C10" s="345"/>
      <c r="D10" s="345"/>
      <c r="E10" s="345"/>
      <c r="F10" s="58">
        <v>7</v>
      </c>
      <c r="G10" s="123">
        <v>14.5</v>
      </c>
      <c r="H10" s="57">
        <f t="shared" si="0"/>
        <v>4.6178343949044587</v>
      </c>
      <c r="I10" s="62">
        <f t="shared" si="1"/>
        <v>2.9560357941747868</v>
      </c>
      <c r="J10" s="62">
        <f>I10*'Key Data'!$F$3</f>
        <v>0.7390089485436967</v>
      </c>
      <c r="K10" s="62">
        <f t="shared" si="2"/>
        <v>3.6950447427184834</v>
      </c>
      <c r="L10" s="344"/>
      <c r="M10" s="344"/>
    </row>
    <row r="11" spans="2:13">
      <c r="B11" s="345"/>
      <c r="C11" s="345"/>
      <c r="D11" s="345"/>
      <c r="E11" s="345"/>
      <c r="F11" s="58">
        <v>8</v>
      </c>
      <c r="G11" s="123">
        <v>13.4</v>
      </c>
      <c r="H11" s="57">
        <f t="shared" si="0"/>
        <v>4.2675159235668794</v>
      </c>
      <c r="I11" s="62">
        <f t="shared" si="1"/>
        <v>2.4353380812450407</v>
      </c>
      <c r="J11" s="62">
        <f>I11*'Key Data'!$F$3</f>
        <v>0.60883452031126017</v>
      </c>
      <c r="K11" s="62">
        <f t="shared" si="2"/>
        <v>3.0441726015563009</v>
      </c>
      <c r="L11" s="344"/>
      <c r="M11" s="344"/>
    </row>
    <row r="12" spans="2:13">
      <c r="B12" s="345"/>
      <c r="C12" s="345"/>
      <c r="D12" s="345"/>
      <c r="E12" s="345"/>
      <c r="F12" s="58">
        <v>9</v>
      </c>
      <c r="G12" s="123">
        <v>19.074610830598935</v>
      </c>
      <c r="H12" s="57">
        <f t="shared" si="0"/>
        <v>6.0747168250315076</v>
      </c>
      <c r="I12" s="62">
        <f t="shared" si="1"/>
        <v>5.7968096539934928</v>
      </c>
      <c r="J12" s="62">
        <f>I12*'Key Data'!$F$3</f>
        <v>1.4492024134983732</v>
      </c>
      <c r="K12" s="62">
        <f t="shared" si="2"/>
        <v>7.2460120674918658</v>
      </c>
      <c r="L12" s="344"/>
      <c r="M12" s="344"/>
    </row>
    <row r="13" spans="2:13">
      <c r="B13" s="345"/>
      <c r="C13" s="345"/>
      <c r="D13" s="345"/>
      <c r="E13" s="345"/>
      <c r="F13" s="58">
        <v>10</v>
      </c>
      <c r="G13" s="123">
        <v>16.5</v>
      </c>
      <c r="H13" s="57">
        <f t="shared" si="0"/>
        <v>5.2547770700636942</v>
      </c>
      <c r="I13" s="62">
        <f t="shared" si="1"/>
        <v>4.0600412128794678</v>
      </c>
      <c r="J13" s="62">
        <f>I13*'Key Data'!$F$3</f>
        <v>1.015010303219867</v>
      </c>
      <c r="K13" s="62">
        <f t="shared" si="2"/>
        <v>5.075051516099335</v>
      </c>
      <c r="L13" s="344"/>
      <c r="M13" s="344"/>
    </row>
    <row r="14" spans="2:13">
      <c r="B14" s="345"/>
      <c r="C14" s="345"/>
      <c r="D14" s="345"/>
      <c r="E14" s="345"/>
      <c r="F14" s="58">
        <v>11</v>
      </c>
      <c r="G14" s="123">
        <v>12.5</v>
      </c>
      <c r="H14" s="57">
        <f t="shared" si="0"/>
        <v>3.9808917197452227</v>
      </c>
      <c r="I14" s="62">
        <f t="shared" si="1"/>
        <v>2.0530563379579201</v>
      </c>
      <c r="J14" s="62">
        <f>I14*'Key Data'!$F$3</f>
        <v>0.51326408448948002</v>
      </c>
      <c r="K14" s="62">
        <f t="shared" si="2"/>
        <v>2.5663204224473999</v>
      </c>
      <c r="L14" s="344"/>
      <c r="M14" s="344"/>
    </row>
    <row r="15" spans="2:13">
      <c r="B15" s="345"/>
      <c r="C15" s="345"/>
      <c r="D15" s="345"/>
      <c r="E15" s="345"/>
      <c r="F15" s="58">
        <v>12</v>
      </c>
      <c r="G15" s="123">
        <v>15.8</v>
      </c>
      <c r="H15" s="57">
        <f t="shared" si="0"/>
        <v>5.031847133757962</v>
      </c>
      <c r="I15" s="62">
        <f t="shared" si="1"/>
        <v>3.6499900506160148</v>
      </c>
      <c r="J15" s="62">
        <f>I15*'Key Data'!$F$3</f>
        <v>0.9124975126540037</v>
      </c>
      <c r="K15" s="62">
        <f t="shared" si="2"/>
        <v>4.5624875632700181</v>
      </c>
      <c r="L15" s="344"/>
      <c r="M15" s="344"/>
    </row>
    <row r="16" spans="2:13">
      <c r="B16" s="345"/>
      <c r="C16" s="345"/>
      <c r="D16" s="345"/>
      <c r="E16" s="345"/>
      <c r="F16" s="58">
        <v>13</v>
      </c>
      <c r="G16" s="123">
        <v>15.8</v>
      </c>
      <c r="H16" s="57">
        <f t="shared" si="0"/>
        <v>5.031847133757962</v>
      </c>
      <c r="I16" s="62">
        <f t="shared" si="1"/>
        <v>3.6499900506160148</v>
      </c>
      <c r="J16" s="62">
        <f>I16*'Key Data'!$F$3</f>
        <v>0.9124975126540037</v>
      </c>
      <c r="K16" s="62">
        <f t="shared" si="2"/>
        <v>4.5624875632700181</v>
      </c>
      <c r="L16" s="344"/>
      <c r="M16" s="344"/>
    </row>
    <row r="17" spans="2:13">
      <c r="B17" s="345"/>
      <c r="C17" s="345"/>
      <c r="D17" s="345"/>
      <c r="E17" s="345"/>
      <c r="F17" s="58">
        <v>14</v>
      </c>
      <c r="G17" s="123">
        <v>15.600000000000001</v>
      </c>
      <c r="H17" s="57">
        <f t="shared" si="0"/>
        <v>4.9681528662420389</v>
      </c>
      <c r="I17" s="62">
        <f t="shared" si="1"/>
        <v>3.5375606030352822</v>
      </c>
      <c r="J17" s="62">
        <f>I17*'Key Data'!$F$3</f>
        <v>0.88439015075882055</v>
      </c>
      <c r="K17" s="62">
        <f t="shared" si="2"/>
        <v>4.4219507537941025</v>
      </c>
      <c r="L17" s="344"/>
      <c r="M17" s="344"/>
    </row>
    <row r="18" spans="2:13">
      <c r="B18" s="345"/>
      <c r="C18" s="345"/>
      <c r="D18" s="345"/>
      <c r="E18" s="345"/>
      <c r="F18" s="58">
        <v>15</v>
      </c>
      <c r="G18" s="123">
        <v>14.4</v>
      </c>
      <c r="H18" s="57">
        <f t="shared" si="0"/>
        <v>4.5859872611464967</v>
      </c>
      <c r="I18" s="62">
        <f t="shared" si="1"/>
        <v>2.9062177815578027</v>
      </c>
      <c r="J18" s="62">
        <f>I18*'Key Data'!$F$3</f>
        <v>0.72655444538945069</v>
      </c>
      <c r="K18" s="62">
        <f t="shared" si="2"/>
        <v>3.6327722269472535</v>
      </c>
      <c r="L18" s="344"/>
      <c r="M18" s="344"/>
    </row>
    <row r="19" spans="2:13">
      <c r="B19" s="345"/>
      <c r="C19" s="345"/>
      <c r="D19" s="345"/>
      <c r="E19" s="345"/>
      <c r="F19" s="58">
        <v>16</v>
      </c>
      <c r="G19" s="123">
        <v>13.4</v>
      </c>
      <c r="H19" s="57">
        <f t="shared" si="0"/>
        <v>4.2675159235668794</v>
      </c>
      <c r="I19" s="62">
        <f t="shared" si="1"/>
        <v>2.4353380812450407</v>
      </c>
      <c r="J19" s="62">
        <f>I19*'Key Data'!$F$3</f>
        <v>0.60883452031126017</v>
      </c>
      <c r="K19" s="62">
        <f t="shared" si="2"/>
        <v>3.0441726015563009</v>
      </c>
      <c r="L19" s="344"/>
      <c r="M19" s="344"/>
    </row>
    <row r="20" spans="2:13">
      <c r="B20" s="345"/>
      <c r="C20" s="345"/>
      <c r="D20" s="345"/>
      <c r="E20" s="345"/>
      <c r="F20" s="58">
        <v>17</v>
      </c>
      <c r="G20" s="123">
        <v>12.5</v>
      </c>
      <c r="H20" s="57">
        <f t="shared" si="0"/>
        <v>3.9808917197452227</v>
      </c>
      <c r="I20" s="62">
        <f t="shared" si="1"/>
        <v>2.0530563379579201</v>
      </c>
      <c r="J20" s="62">
        <f>I20*'Key Data'!$F$3</f>
        <v>0.51326408448948002</v>
      </c>
      <c r="K20" s="62">
        <f t="shared" si="2"/>
        <v>2.5663204224473999</v>
      </c>
      <c r="L20" s="344"/>
      <c r="M20" s="344"/>
    </row>
    <row r="21" spans="2:13">
      <c r="B21" s="345"/>
      <c r="C21" s="345"/>
      <c r="D21" s="345"/>
      <c r="E21" s="345"/>
      <c r="F21" s="58">
        <v>18</v>
      </c>
      <c r="G21" s="123">
        <v>15.899999999999999</v>
      </c>
      <c r="H21" s="57">
        <f t="shared" si="0"/>
        <v>5.0636942675159231</v>
      </c>
      <c r="I21" s="62">
        <f t="shared" si="1"/>
        <v>3.706988275156105</v>
      </c>
      <c r="J21" s="62">
        <f>I21*'Key Data'!$F$3</f>
        <v>0.92674706878902624</v>
      </c>
      <c r="K21" s="62">
        <f t="shared" si="2"/>
        <v>4.6337353439451316</v>
      </c>
      <c r="L21" s="344"/>
      <c r="M21" s="344"/>
    </row>
    <row r="22" spans="2:13">
      <c r="B22" s="345"/>
      <c r="C22" s="345"/>
      <c r="D22" s="345"/>
      <c r="E22" s="345"/>
      <c r="F22" s="58">
        <v>19</v>
      </c>
      <c r="G22" s="123">
        <v>12.5</v>
      </c>
      <c r="H22" s="57">
        <f t="shared" si="0"/>
        <v>3.9808917197452227</v>
      </c>
      <c r="I22" s="62">
        <f t="shared" si="1"/>
        <v>2.0530563379579201</v>
      </c>
      <c r="J22" s="62">
        <f>I22*'Key Data'!$F$3</f>
        <v>0.51326408448948002</v>
      </c>
      <c r="K22" s="62">
        <f t="shared" si="2"/>
        <v>2.5663204224473999</v>
      </c>
      <c r="L22" s="344"/>
      <c r="M22" s="344"/>
    </row>
    <row r="23" spans="2:13">
      <c r="B23" s="345"/>
      <c r="C23" s="345"/>
      <c r="D23" s="345"/>
      <c r="E23" s="345"/>
      <c r="F23" s="58">
        <v>20</v>
      </c>
      <c r="G23" s="123">
        <v>13.1</v>
      </c>
      <c r="H23" s="57">
        <f t="shared" si="0"/>
        <v>4.1719745222929934</v>
      </c>
      <c r="I23" s="62">
        <f t="shared" si="1"/>
        <v>2.3036058736103806</v>
      </c>
      <c r="J23" s="62">
        <f>I23*'Key Data'!$F$3</f>
        <v>0.57590146840259515</v>
      </c>
      <c r="K23" s="62">
        <f t="shared" si="2"/>
        <v>2.8795073420129755</v>
      </c>
      <c r="L23" s="344"/>
      <c r="M23" s="344"/>
    </row>
    <row r="24" spans="2:13">
      <c r="B24" s="345"/>
      <c r="C24" s="345"/>
      <c r="D24" s="345"/>
      <c r="E24" s="345"/>
      <c r="F24" s="58">
        <v>21</v>
      </c>
      <c r="G24" s="123">
        <v>13.6</v>
      </c>
      <c r="H24" s="57">
        <f t="shared" si="0"/>
        <v>4.3312101910828025</v>
      </c>
      <c r="I24" s="62">
        <f t="shared" si="1"/>
        <v>2.5255817695877463</v>
      </c>
      <c r="J24" s="62">
        <f>I24*'Key Data'!$F$3</f>
        <v>0.63139544239693657</v>
      </c>
      <c r="K24" s="62">
        <f t="shared" si="2"/>
        <v>3.1569772119846826</v>
      </c>
      <c r="L24" s="344"/>
      <c r="M24" s="344"/>
    </row>
    <row r="25" spans="2:13">
      <c r="B25" s="345"/>
      <c r="C25" s="345"/>
      <c r="D25" s="345"/>
      <c r="E25" s="345"/>
      <c r="F25" s="58">
        <v>22</v>
      </c>
      <c r="G25" s="123">
        <v>15.7</v>
      </c>
      <c r="H25" s="57">
        <f t="shared" si="0"/>
        <v>5</v>
      </c>
      <c r="I25" s="62">
        <f t="shared" si="1"/>
        <v>3.5935146637627282</v>
      </c>
      <c r="J25" s="62">
        <f>I25*'Key Data'!$F$3</f>
        <v>0.89837866594068205</v>
      </c>
      <c r="K25" s="62">
        <f t="shared" si="2"/>
        <v>4.4918933297034105</v>
      </c>
      <c r="L25" s="344"/>
      <c r="M25" s="344"/>
    </row>
    <row r="26" spans="2:13">
      <c r="B26" s="345"/>
      <c r="C26" s="345"/>
      <c r="D26" s="345"/>
      <c r="E26" s="345"/>
      <c r="F26" s="58">
        <v>23</v>
      </c>
      <c r="G26" s="123">
        <v>14.2</v>
      </c>
      <c r="H26" s="57">
        <f t="shared" si="0"/>
        <v>4.5222929936305727</v>
      </c>
      <c r="I26" s="62">
        <f t="shared" si="1"/>
        <v>2.8080837018951548</v>
      </c>
      <c r="J26" s="62">
        <f>I26*'Key Data'!$F$3</f>
        <v>0.70202092547378869</v>
      </c>
      <c r="K26" s="62">
        <f t="shared" si="2"/>
        <v>3.5101046273689436</v>
      </c>
      <c r="L26" s="344"/>
      <c r="M26" s="344"/>
    </row>
    <row r="27" spans="2:13">
      <c r="B27" s="345"/>
      <c r="C27" s="345"/>
      <c r="D27" s="345"/>
      <c r="E27" s="345"/>
      <c r="F27" s="58">
        <v>24</v>
      </c>
      <c r="G27" s="123">
        <v>14</v>
      </c>
      <c r="H27" s="57">
        <f t="shared" si="0"/>
        <v>4.4585987261146496</v>
      </c>
      <c r="I27" s="62">
        <f t="shared" si="1"/>
        <v>2.7119415854186837</v>
      </c>
      <c r="J27" s="62">
        <f>I27*'Key Data'!$F$3</f>
        <v>0.67798539635467092</v>
      </c>
      <c r="K27" s="62">
        <f t="shared" si="2"/>
        <v>3.3899269817733546</v>
      </c>
      <c r="L27" s="344"/>
      <c r="M27" s="344"/>
    </row>
    <row r="28" spans="2:13">
      <c r="B28" s="345"/>
      <c r="C28" s="345"/>
      <c r="D28" s="345"/>
      <c r="E28" s="345"/>
      <c r="F28" s="58">
        <v>25</v>
      </c>
      <c r="G28" s="123">
        <v>13</v>
      </c>
      <c r="H28" s="57">
        <f t="shared" si="0"/>
        <v>4.1401273885350314</v>
      </c>
      <c r="I28" s="62">
        <f t="shared" si="1"/>
        <v>2.260657388686806</v>
      </c>
      <c r="J28" s="62">
        <f>I28*'Key Data'!$F$3</f>
        <v>0.5651643471717015</v>
      </c>
      <c r="K28" s="62">
        <f t="shared" si="2"/>
        <v>2.8258217358585074</v>
      </c>
      <c r="L28" s="344"/>
      <c r="M28" s="344"/>
    </row>
    <row r="29" spans="2:13">
      <c r="B29" s="345"/>
      <c r="C29" s="345"/>
      <c r="D29" s="345"/>
      <c r="E29" s="345"/>
      <c r="F29" s="58">
        <v>26</v>
      </c>
      <c r="G29" s="123">
        <v>16.3</v>
      </c>
      <c r="H29" s="57">
        <f t="shared" si="0"/>
        <v>5.1910828025477711</v>
      </c>
      <c r="I29" s="62">
        <f t="shared" si="1"/>
        <v>3.9402396006132552</v>
      </c>
      <c r="J29" s="62">
        <f>I29*'Key Data'!$F$3</f>
        <v>0.98505990015331379</v>
      </c>
      <c r="K29" s="62">
        <f t="shared" si="2"/>
        <v>4.9252995007665685</v>
      </c>
      <c r="L29" s="344"/>
      <c r="M29" s="344"/>
    </row>
    <row r="30" spans="2:13">
      <c r="B30" s="345"/>
      <c r="C30" s="345"/>
      <c r="D30" s="345"/>
      <c r="E30" s="345"/>
      <c r="F30" s="58">
        <v>27</v>
      </c>
      <c r="G30" s="123">
        <v>14.3</v>
      </c>
      <c r="H30" s="57">
        <f t="shared" si="0"/>
        <v>4.5541401273885347</v>
      </c>
      <c r="I30" s="62">
        <f t="shared" si="1"/>
        <v>2.8569009474915776</v>
      </c>
      <c r="J30" s="62">
        <f>I30*'Key Data'!$F$3</f>
        <v>0.71422523687289441</v>
      </c>
      <c r="K30" s="62">
        <f t="shared" si="2"/>
        <v>3.5711261843644722</v>
      </c>
      <c r="L30" s="344"/>
      <c r="M30" s="344"/>
    </row>
    <row r="31" spans="2:13">
      <c r="B31" s="345"/>
      <c r="C31" s="345"/>
      <c r="D31" s="345"/>
      <c r="E31" s="345"/>
      <c r="F31" s="58">
        <v>28</v>
      </c>
      <c r="G31" s="123">
        <v>12.4</v>
      </c>
      <c r="H31" s="57">
        <f t="shared" si="0"/>
        <v>3.9490445859872612</v>
      </c>
      <c r="I31" s="62">
        <f t="shared" si="1"/>
        <v>2.0129525321800785</v>
      </c>
      <c r="J31" s="62">
        <f>I31*'Key Data'!$F$3</f>
        <v>0.50323813304501963</v>
      </c>
      <c r="K31" s="62">
        <f t="shared" si="2"/>
        <v>2.516190665225098</v>
      </c>
      <c r="L31" s="344"/>
      <c r="M31" s="344"/>
    </row>
    <row r="32" spans="2:13">
      <c r="B32" s="345"/>
      <c r="C32" s="345"/>
      <c r="D32" s="345"/>
      <c r="E32" s="345"/>
      <c r="F32" s="58">
        <v>29</v>
      </c>
      <c r="G32" s="123">
        <v>13.8</v>
      </c>
      <c r="H32" s="57">
        <f t="shared" si="0"/>
        <v>4.3949044585987265</v>
      </c>
      <c r="I32" s="62">
        <f t="shared" si="1"/>
        <v>2.6177785890711021</v>
      </c>
      <c r="J32" s="62">
        <f>I32*'Key Data'!$F$3</f>
        <v>0.65444464726777551</v>
      </c>
      <c r="K32" s="62">
        <f t="shared" si="2"/>
        <v>3.2722232363388777</v>
      </c>
      <c r="L32" s="344"/>
      <c r="M32" s="344"/>
    </row>
    <row r="33" spans="2:13">
      <c r="B33" s="345"/>
      <c r="C33" s="345"/>
      <c r="D33" s="345"/>
      <c r="E33" s="345"/>
      <c r="F33" s="58">
        <v>30</v>
      </c>
      <c r="G33" s="123">
        <v>14.2</v>
      </c>
      <c r="H33" s="57">
        <f t="shared" si="0"/>
        <v>4.5222929936305727</v>
      </c>
      <c r="I33" s="62">
        <f t="shared" si="1"/>
        <v>2.8080837018951548</v>
      </c>
      <c r="J33" s="62">
        <f>I33*'Key Data'!$F$3</f>
        <v>0.70202092547378869</v>
      </c>
      <c r="K33" s="62">
        <f t="shared" si="2"/>
        <v>3.5101046273689436</v>
      </c>
      <c r="L33" s="344"/>
      <c r="M33" s="344"/>
    </row>
    <row r="34" spans="2:13">
      <c r="B34" s="345"/>
      <c r="C34" s="345"/>
      <c r="D34" s="345"/>
      <c r="E34" s="345"/>
      <c r="F34" s="58">
        <v>31</v>
      </c>
      <c r="G34" s="123">
        <v>11.4</v>
      </c>
      <c r="H34" s="57">
        <f t="shared" si="0"/>
        <v>3.6305732484076434</v>
      </c>
      <c r="I34" s="62">
        <f t="shared" si="1"/>
        <v>1.6373751312176552</v>
      </c>
      <c r="J34" s="62">
        <f>I34*'Key Data'!$F$3</f>
        <v>0.4093437828044138</v>
      </c>
      <c r="K34" s="62">
        <f t="shared" si="2"/>
        <v>2.046718914022069</v>
      </c>
      <c r="L34" s="344"/>
      <c r="M34" s="344"/>
    </row>
    <row r="35" spans="2:13">
      <c r="B35" s="345"/>
      <c r="C35" s="345"/>
      <c r="D35" s="345"/>
      <c r="E35" s="345"/>
      <c r="F35" s="58">
        <v>32</v>
      </c>
      <c r="G35" s="123">
        <v>17.399999999999999</v>
      </c>
      <c r="H35" s="57">
        <f t="shared" si="0"/>
        <v>5.5414012738853495</v>
      </c>
      <c r="I35" s="62">
        <f t="shared" si="1"/>
        <v>4.6257145461167299</v>
      </c>
      <c r="J35" s="62">
        <f>I35*'Key Data'!$F$3</f>
        <v>1.1564286365291825</v>
      </c>
      <c r="K35" s="62">
        <f t="shared" si="2"/>
        <v>5.7821431826459122</v>
      </c>
      <c r="L35" s="344"/>
      <c r="M35" s="344"/>
    </row>
    <row r="36" spans="2:13">
      <c r="B36" s="345"/>
      <c r="C36" s="345"/>
      <c r="D36" s="345"/>
      <c r="E36" s="345"/>
      <c r="F36" s="58">
        <v>33</v>
      </c>
      <c r="G36" s="123">
        <v>12.8</v>
      </c>
      <c r="H36" s="57">
        <f t="shared" si="0"/>
        <v>4.0764331210191083</v>
      </c>
      <c r="I36" s="62">
        <f t="shared" si="1"/>
        <v>2.1761937592541241</v>
      </c>
      <c r="J36" s="62">
        <f>I36*'Key Data'!$F$3</f>
        <v>0.54404843981353102</v>
      </c>
      <c r="K36" s="62">
        <f t="shared" si="2"/>
        <v>2.7202421990676551</v>
      </c>
      <c r="L36" s="344"/>
      <c r="M36" s="344"/>
    </row>
    <row r="37" spans="2:13">
      <c r="B37" s="345"/>
      <c r="C37" s="345"/>
      <c r="D37" s="345"/>
      <c r="E37" s="345"/>
      <c r="F37" s="58">
        <v>34</v>
      </c>
      <c r="G37" s="123">
        <v>13.3</v>
      </c>
      <c r="H37" s="57">
        <f t="shared" si="0"/>
        <v>4.2356687898089174</v>
      </c>
      <c r="I37" s="62">
        <f t="shared" si="1"/>
        <v>2.3909445558736024</v>
      </c>
      <c r="J37" s="62">
        <f>I37*'Key Data'!$F$3</f>
        <v>0.59773613896840061</v>
      </c>
      <c r="K37" s="62">
        <f t="shared" si="2"/>
        <v>2.988680694842003</v>
      </c>
      <c r="L37" s="344"/>
      <c r="M37" s="344"/>
    </row>
    <row r="38" spans="2:13">
      <c r="B38" s="345"/>
      <c r="C38" s="345"/>
      <c r="D38" s="345"/>
      <c r="E38" s="345"/>
      <c r="F38" s="58">
        <v>35</v>
      </c>
      <c r="G38" s="123">
        <v>15.3</v>
      </c>
      <c r="H38" s="57">
        <f t="shared" si="0"/>
        <v>4.8726114649681529</v>
      </c>
      <c r="I38" s="62">
        <f t="shared" si="1"/>
        <v>3.3728111829848428</v>
      </c>
      <c r="J38" s="62">
        <f>I38*'Key Data'!$F$3</f>
        <v>0.84320279574621071</v>
      </c>
      <c r="K38" s="62">
        <f t="shared" si="2"/>
        <v>4.2160139787310538</v>
      </c>
      <c r="L38" s="344"/>
      <c r="M38" s="344"/>
    </row>
    <row r="39" spans="2:13">
      <c r="B39" s="345"/>
      <c r="C39" s="345"/>
      <c r="D39" s="345"/>
      <c r="E39" s="345"/>
      <c r="F39" s="58">
        <v>36</v>
      </c>
      <c r="G39" s="123">
        <v>11.4</v>
      </c>
      <c r="H39" s="57">
        <f t="shared" si="0"/>
        <v>3.6305732484076434</v>
      </c>
      <c r="I39" s="62">
        <f t="shared" si="1"/>
        <v>1.6373751312176552</v>
      </c>
      <c r="J39" s="62">
        <f>I39*'Key Data'!$F$3</f>
        <v>0.4093437828044138</v>
      </c>
      <c r="K39" s="62">
        <f t="shared" si="2"/>
        <v>2.046718914022069</v>
      </c>
      <c r="L39" s="344"/>
      <c r="M39" s="344"/>
    </row>
    <row r="40" spans="2:13">
      <c r="B40" s="345"/>
      <c r="C40" s="345"/>
      <c r="D40" s="345"/>
      <c r="E40" s="345"/>
      <c r="F40" s="58">
        <v>37</v>
      </c>
      <c r="G40" s="123">
        <v>14</v>
      </c>
      <c r="H40" s="57">
        <f t="shared" si="0"/>
        <v>4.4585987261146496</v>
      </c>
      <c r="I40" s="62">
        <f t="shared" si="1"/>
        <v>2.7119415854186837</v>
      </c>
      <c r="J40" s="62">
        <f>I40*'Key Data'!$F$3</f>
        <v>0.67798539635467092</v>
      </c>
      <c r="K40" s="62">
        <f t="shared" si="2"/>
        <v>3.3899269817733546</v>
      </c>
      <c r="L40" s="344"/>
      <c r="M40" s="344"/>
    </row>
    <row r="41" spans="2:13">
      <c r="B41" s="345"/>
      <c r="C41" s="345"/>
      <c r="D41" s="345"/>
      <c r="E41" s="345"/>
      <c r="F41" s="58">
        <v>38</v>
      </c>
      <c r="G41" s="123">
        <v>18.5</v>
      </c>
      <c r="H41" s="57">
        <f t="shared" si="0"/>
        <v>5.8917197452229297</v>
      </c>
      <c r="I41" s="62">
        <f t="shared" si="1"/>
        <v>5.3772922434966537</v>
      </c>
      <c r="J41" s="62">
        <f>I41*'Key Data'!$F$3</f>
        <v>1.3443230608741634</v>
      </c>
      <c r="K41" s="62">
        <f t="shared" si="2"/>
        <v>6.7216153043708173</v>
      </c>
      <c r="L41" s="344"/>
      <c r="M41" s="344"/>
    </row>
    <row r="42" spans="2:13">
      <c r="B42" s="345"/>
      <c r="C42" s="345"/>
      <c r="D42" s="345"/>
      <c r="E42" s="345"/>
      <c r="F42" s="58">
        <v>39</v>
      </c>
      <c r="G42" s="123">
        <v>15.600000000000001</v>
      </c>
      <c r="H42" s="57">
        <f t="shared" si="0"/>
        <v>4.9681528662420389</v>
      </c>
      <c r="I42" s="62">
        <f t="shared" si="1"/>
        <v>3.5375606030352822</v>
      </c>
      <c r="J42" s="62">
        <f>I42*'Key Data'!$F$3</f>
        <v>0.88439015075882055</v>
      </c>
      <c r="K42" s="62">
        <f t="shared" si="2"/>
        <v>4.4219507537941025</v>
      </c>
      <c r="L42" s="344"/>
      <c r="M42" s="344"/>
    </row>
    <row r="43" spans="2:13">
      <c r="B43" s="345"/>
      <c r="C43" s="345"/>
      <c r="D43" s="345"/>
      <c r="E43" s="345"/>
      <c r="F43" s="58">
        <v>40</v>
      </c>
      <c r="G43" s="123">
        <v>18</v>
      </c>
      <c r="H43" s="57">
        <f t="shared" si="0"/>
        <v>5.7324840764331206</v>
      </c>
      <c r="I43" s="62">
        <f t="shared" si="1"/>
        <v>5.0273503020791406</v>
      </c>
      <c r="J43" s="62">
        <f>I43*'Key Data'!$F$3</f>
        <v>1.2568375755197851</v>
      </c>
      <c r="K43" s="62">
        <f t="shared" si="2"/>
        <v>6.2841878775989262</v>
      </c>
      <c r="L43" s="344"/>
      <c r="M43" s="344"/>
    </row>
    <row r="44" spans="2:13">
      <c r="B44" s="345"/>
      <c r="C44" s="345"/>
      <c r="D44" s="345"/>
      <c r="E44" s="345"/>
      <c r="F44" s="58">
        <v>41</v>
      </c>
      <c r="G44" s="123">
        <v>14.6</v>
      </c>
      <c r="H44" s="57">
        <f t="shared" si="0"/>
        <v>4.6496815286624198</v>
      </c>
      <c r="I44" s="62">
        <f t="shared" si="1"/>
        <v>3.0063565694276995</v>
      </c>
      <c r="J44" s="62">
        <f>I44*'Key Data'!$F$3</f>
        <v>0.75158914235692487</v>
      </c>
      <c r="K44" s="62">
        <f t="shared" si="2"/>
        <v>3.7579457117846244</v>
      </c>
      <c r="L44" s="344"/>
      <c r="M44" s="344"/>
    </row>
    <row r="45" spans="2:13">
      <c r="B45" s="345"/>
      <c r="C45" s="345"/>
      <c r="D45" s="345"/>
      <c r="E45" s="345"/>
      <c r="F45" s="58">
        <v>42</v>
      </c>
      <c r="G45" s="123">
        <v>13.8</v>
      </c>
      <c r="H45" s="57">
        <f t="shared" si="0"/>
        <v>4.3949044585987265</v>
      </c>
      <c r="I45" s="62">
        <f t="shared" si="1"/>
        <v>2.6177785890711021</v>
      </c>
      <c r="J45" s="62">
        <f>I45*'Key Data'!$F$3</f>
        <v>0.65444464726777551</v>
      </c>
      <c r="K45" s="62">
        <f t="shared" si="2"/>
        <v>3.2722232363388777</v>
      </c>
      <c r="L45" s="344"/>
      <c r="M45" s="344"/>
    </row>
    <row r="46" spans="2:13">
      <c r="B46" s="345"/>
      <c r="C46" s="345"/>
      <c r="D46" s="345"/>
      <c r="E46" s="345"/>
      <c r="F46" s="58">
        <v>43</v>
      </c>
      <c r="G46" s="123">
        <v>13.6</v>
      </c>
      <c r="H46" s="57">
        <f t="shared" si="0"/>
        <v>4.3312101910828025</v>
      </c>
      <c r="I46" s="62">
        <f t="shared" si="1"/>
        <v>2.5255817695877463</v>
      </c>
      <c r="J46" s="62">
        <f>I46*'Key Data'!$F$3</f>
        <v>0.63139544239693657</v>
      </c>
      <c r="K46" s="62">
        <f t="shared" si="2"/>
        <v>3.1569772119846826</v>
      </c>
      <c r="L46" s="344"/>
      <c r="M46" s="344"/>
    </row>
    <row r="47" spans="2:13">
      <c r="B47" s="345"/>
      <c r="C47" s="345"/>
      <c r="D47" s="345"/>
      <c r="E47" s="345"/>
      <c r="F47" s="58">
        <v>44</v>
      </c>
      <c r="G47" s="123">
        <v>14.4</v>
      </c>
      <c r="H47" s="57">
        <f t="shared" si="0"/>
        <v>4.5859872611464967</v>
      </c>
      <c r="I47" s="62">
        <f t="shared" si="1"/>
        <v>2.9062177815578027</v>
      </c>
      <c r="J47" s="62">
        <f>I47*'Key Data'!$F$3</f>
        <v>0.72655444538945069</v>
      </c>
      <c r="K47" s="62">
        <f t="shared" si="2"/>
        <v>3.6327722269472535</v>
      </c>
      <c r="L47" s="344"/>
      <c r="M47" s="344"/>
    </row>
    <row r="48" spans="2:13">
      <c r="B48" s="345"/>
      <c r="C48" s="345"/>
      <c r="D48" s="345"/>
      <c r="E48" s="345"/>
      <c r="F48" s="58">
        <v>45</v>
      </c>
      <c r="G48" s="123">
        <v>13</v>
      </c>
      <c r="H48" s="57">
        <f t="shared" si="0"/>
        <v>4.1401273885350314</v>
      </c>
      <c r="I48" s="62">
        <f t="shared" si="1"/>
        <v>2.260657388686806</v>
      </c>
      <c r="J48" s="62">
        <f>I48*'Key Data'!$F$3</f>
        <v>0.5651643471717015</v>
      </c>
      <c r="K48" s="62">
        <f t="shared" si="2"/>
        <v>2.8258217358585074</v>
      </c>
      <c r="L48" s="344"/>
      <c r="M48" s="344"/>
    </row>
    <row r="49" spans="2:13">
      <c r="B49" s="345"/>
      <c r="C49" s="345"/>
      <c r="D49" s="345"/>
      <c r="E49" s="345"/>
      <c r="F49" s="58">
        <v>46</v>
      </c>
      <c r="G49" s="123">
        <v>12.6</v>
      </c>
      <c r="H49" s="57">
        <f t="shared" si="0"/>
        <v>4.0127388535031843</v>
      </c>
      <c r="I49" s="62">
        <f t="shared" si="1"/>
        <v>2.0936300053905357</v>
      </c>
      <c r="J49" s="62">
        <f>I49*'Key Data'!$F$3</f>
        <v>0.52340750134763392</v>
      </c>
      <c r="K49" s="62">
        <f t="shared" si="2"/>
        <v>2.6170375067381695</v>
      </c>
      <c r="L49" s="344"/>
      <c r="M49" s="344"/>
    </row>
    <row r="50" spans="2:13">
      <c r="B50" s="345"/>
      <c r="C50" s="345"/>
      <c r="D50" s="345"/>
      <c r="E50" s="345"/>
      <c r="F50" s="58">
        <v>47</v>
      </c>
      <c r="G50" s="123">
        <v>15.2</v>
      </c>
      <c r="H50" s="57">
        <f t="shared" si="0"/>
        <v>4.8407643312101909</v>
      </c>
      <c r="I50" s="62">
        <f t="shared" si="1"/>
        <v>3.3189272054316623</v>
      </c>
      <c r="J50" s="62">
        <f>I50*'Key Data'!$F$3</f>
        <v>0.82973180135791558</v>
      </c>
      <c r="K50" s="62">
        <f t="shared" si="2"/>
        <v>4.1486590067895781</v>
      </c>
      <c r="L50" s="344"/>
      <c r="M50" s="344"/>
    </row>
    <row r="51" spans="2:13">
      <c r="B51" s="345"/>
      <c r="C51" s="345"/>
      <c r="D51" s="345"/>
      <c r="E51" s="345"/>
      <c r="F51" s="58">
        <v>48</v>
      </c>
      <c r="G51" s="123">
        <v>14.6</v>
      </c>
      <c r="H51" s="57">
        <f t="shared" si="0"/>
        <v>4.6496815286624198</v>
      </c>
      <c r="I51" s="62">
        <f t="shared" si="1"/>
        <v>3.0063565694276995</v>
      </c>
      <c r="J51" s="62">
        <f>I51*'Key Data'!$F$3</f>
        <v>0.75158914235692487</v>
      </c>
      <c r="K51" s="62">
        <f t="shared" si="2"/>
        <v>3.7579457117846244</v>
      </c>
      <c r="L51" s="344"/>
      <c r="M51" s="344"/>
    </row>
    <row r="52" spans="2:13">
      <c r="B52" s="345"/>
      <c r="C52" s="345"/>
      <c r="D52" s="345"/>
      <c r="E52" s="345"/>
      <c r="F52" s="58">
        <v>49</v>
      </c>
      <c r="G52" s="123">
        <v>10.4</v>
      </c>
      <c r="H52" s="57">
        <f t="shared" si="0"/>
        <v>3.3121019108280256</v>
      </c>
      <c r="I52" s="62">
        <f t="shared" si="1"/>
        <v>1.3068440244346042</v>
      </c>
      <c r="J52" s="62">
        <f>I52*'Key Data'!$F$3</f>
        <v>0.32671100610865106</v>
      </c>
      <c r="K52" s="62">
        <f t="shared" si="2"/>
        <v>1.6335550305432553</v>
      </c>
      <c r="L52" s="344"/>
      <c r="M52" s="344"/>
    </row>
    <row r="53" spans="2:13">
      <c r="B53" s="345"/>
      <c r="C53" s="345"/>
      <c r="D53" s="345"/>
      <c r="E53" s="345"/>
      <c r="F53" s="58">
        <v>50</v>
      </c>
      <c r="G53" s="123">
        <v>17.5</v>
      </c>
      <c r="H53" s="57">
        <f t="shared" si="0"/>
        <v>5.5732484076433115</v>
      </c>
      <c r="I53" s="62">
        <f t="shared" si="1"/>
        <v>4.691279653986399</v>
      </c>
      <c r="J53" s="62">
        <f>I53*'Key Data'!$F$3</f>
        <v>1.1728199134965998</v>
      </c>
      <c r="K53" s="62">
        <f t="shared" si="2"/>
        <v>5.8640995674829988</v>
      </c>
      <c r="L53" s="344"/>
      <c r="M53" s="344"/>
    </row>
    <row r="54" spans="2:13">
      <c r="B54" s="345"/>
      <c r="C54" s="345"/>
      <c r="D54" s="345"/>
      <c r="E54" s="345"/>
      <c r="F54" s="58">
        <v>51</v>
      </c>
      <c r="G54" s="123">
        <v>13.4</v>
      </c>
      <c r="H54" s="57">
        <f t="shared" si="0"/>
        <v>4.2675159235668794</v>
      </c>
      <c r="I54" s="62">
        <f t="shared" si="1"/>
        <v>2.4353380812450407</v>
      </c>
      <c r="J54" s="62">
        <f>I54*'Key Data'!$F$3</f>
        <v>0.60883452031126017</v>
      </c>
      <c r="K54" s="62">
        <f t="shared" si="2"/>
        <v>3.0441726015563009</v>
      </c>
      <c r="L54" s="344"/>
      <c r="M54" s="344"/>
    </row>
    <row r="55" spans="2:13">
      <c r="B55" s="345"/>
      <c r="C55" s="345"/>
      <c r="D55" s="345"/>
      <c r="E55" s="345"/>
      <c r="F55" s="58">
        <v>52</v>
      </c>
      <c r="G55" s="123">
        <v>13.3</v>
      </c>
      <c r="H55" s="57">
        <f t="shared" si="0"/>
        <v>4.2356687898089174</v>
      </c>
      <c r="I55" s="62">
        <f t="shared" si="1"/>
        <v>2.3909445558736024</v>
      </c>
      <c r="J55" s="62">
        <f>I55*'Key Data'!$F$3</f>
        <v>0.59773613896840061</v>
      </c>
      <c r="K55" s="62">
        <f t="shared" si="2"/>
        <v>2.988680694842003</v>
      </c>
      <c r="L55" s="344"/>
      <c r="M55" s="344"/>
    </row>
    <row r="56" spans="2:13">
      <c r="B56" s="345"/>
      <c r="C56" s="345"/>
      <c r="D56" s="345"/>
      <c r="E56" s="345"/>
      <c r="F56" s="58">
        <v>53</v>
      </c>
      <c r="G56" s="123">
        <v>18.600000000000001</v>
      </c>
      <c r="H56" s="57">
        <f t="shared" si="0"/>
        <v>5.9235668789808917</v>
      </c>
      <c r="I56" s="62">
        <f t="shared" si="1"/>
        <v>5.4489605802047985</v>
      </c>
      <c r="J56" s="62">
        <f>I56*'Key Data'!$F$3</f>
        <v>1.3622401450511996</v>
      </c>
      <c r="K56" s="62">
        <f t="shared" si="2"/>
        <v>6.8112007252559978</v>
      </c>
      <c r="L56" s="344"/>
      <c r="M56" s="344"/>
    </row>
    <row r="57" spans="2:13">
      <c r="B57" s="345"/>
      <c r="C57" s="345"/>
      <c r="D57" s="345"/>
      <c r="E57" s="345"/>
      <c r="F57" s="58">
        <v>54</v>
      </c>
      <c r="G57" s="123">
        <v>7.8000000000000007</v>
      </c>
      <c r="H57" s="57">
        <f t="shared" si="0"/>
        <v>2.4840764331210194</v>
      </c>
      <c r="I57" s="62">
        <f t="shared" si="1"/>
        <v>0.6447245671696844</v>
      </c>
      <c r="J57" s="62">
        <f>I57*'Key Data'!$F$3</f>
        <v>0.1611811417924211</v>
      </c>
      <c r="K57" s="62">
        <f t="shared" si="2"/>
        <v>0.80590570896210556</v>
      </c>
      <c r="L57" s="344"/>
      <c r="M57" s="344"/>
    </row>
    <row r="58" spans="2:13">
      <c r="B58" s="345">
        <v>2</v>
      </c>
      <c r="C58" s="345" t="s">
        <v>500</v>
      </c>
      <c r="D58" s="345">
        <v>23.018032999999999</v>
      </c>
      <c r="E58" s="345">
        <v>75.064755000000005</v>
      </c>
      <c r="F58" s="58">
        <v>1</v>
      </c>
      <c r="G58" s="123">
        <v>12</v>
      </c>
      <c r="H58" s="57">
        <f t="shared" si="0"/>
        <v>3.8216560509554141</v>
      </c>
      <c r="I58" s="62">
        <f t="shared" si="1"/>
        <v>1.8572014555381764</v>
      </c>
      <c r="J58" s="62">
        <f>I58*'Key Data'!$F$3</f>
        <v>0.4643003638845441</v>
      </c>
      <c r="K58" s="62">
        <f t="shared" si="2"/>
        <v>2.3215018194227204</v>
      </c>
      <c r="L58" s="344">
        <f>SUM(K58:K97)/1000</f>
        <v>9.8041440684314418E-2</v>
      </c>
      <c r="M58" s="344">
        <f>L58/225*10000</f>
        <v>4.3573973637473076</v>
      </c>
    </row>
    <row r="59" spans="2:13">
      <c r="B59" s="345"/>
      <c r="C59" s="345"/>
      <c r="D59" s="345"/>
      <c r="E59" s="345"/>
      <c r="F59" s="58">
        <v>2</v>
      </c>
      <c r="G59" s="123">
        <v>8.5</v>
      </c>
      <c r="H59" s="57">
        <f t="shared" si="0"/>
        <v>2.7070063694267517</v>
      </c>
      <c r="I59" s="62">
        <f t="shared" si="1"/>
        <v>0.79623773677253118</v>
      </c>
      <c r="J59" s="62">
        <f>I59*'Key Data'!$F$3</f>
        <v>0.19905943419313279</v>
      </c>
      <c r="K59" s="62">
        <f t="shared" si="2"/>
        <v>0.99529717096566395</v>
      </c>
      <c r="L59" s="344"/>
      <c r="M59" s="344"/>
    </row>
    <row r="60" spans="2:13">
      <c r="B60" s="345"/>
      <c r="C60" s="345"/>
      <c r="D60" s="345"/>
      <c r="E60" s="345"/>
      <c r="F60" s="58">
        <v>3</v>
      </c>
      <c r="G60" s="123">
        <v>12.2</v>
      </c>
      <c r="H60" s="57">
        <f t="shared" si="0"/>
        <v>3.8853503184713372</v>
      </c>
      <c r="I60" s="62">
        <f t="shared" si="1"/>
        <v>1.9341476267934656</v>
      </c>
      <c r="J60" s="62">
        <f>I60*'Key Data'!$F$3</f>
        <v>0.48353690669836641</v>
      </c>
      <c r="K60" s="62">
        <f t="shared" si="2"/>
        <v>2.417684533491832</v>
      </c>
      <c r="L60" s="344"/>
      <c r="M60" s="344"/>
    </row>
    <row r="61" spans="2:13">
      <c r="B61" s="345"/>
      <c r="C61" s="345"/>
      <c r="D61" s="345"/>
      <c r="E61" s="345"/>
      <c r="F61" s="58">
        <v>4</v>
      </c>
      <c r="G61" s="123">
        <v>11.1</v>
      </c>
      <c r="H61" s="57">
        <f t="shared" si="0"/>
        <v>3.5350318471337578</v>
      </c>
      <c r="I61" s="62">
        <f t="shared" si="1"/>
        <v>1.5335682583229246</v>
      </c>
      <c r="J61" s="62">
        <f>I61*'Key Data'!$F$3</f>
        <v>0.38339206458073116</v>
      </c>
      <c r="K61" s="62">
        <f t="shared" si="2"/>
        <v>1.9169603229036558</v>
      </c>
      <c r="L61" s="344"/>
      <c r="M61" s="344"/>
    </row>
    <row r="62" spans="2:13">
      <c r="B62" s="345"/>
      <c r="C62" s="345"/>
      <c r="D62" s="345"/>
      <c r="E62" s="345"/>
      <c r="F62" s="58">
        <v>5</v>
      </c>
      <c r="G62" s="123">
        <v>13</v>
      </c>
      <c r="H62" s="57">
        <f t="shared" si="0"/>
        <v>4.1401273885350314</v>
      </c>
      <c r="I62" s="62">
        <f t="shared" si="1"/>
        <v>2.260657388686806</v>
      </c>
      <c r="J62" s="62">
        <f>I62*'Key Data'!$F$3</f>
        <v>0.5651643471717015</v>
      </c>
      <c r="K62" s="62">
        <f t="shared" si="2"/>
        <v>2.8258217358585074</v>
      </c>
      <c r="L62" s="344"/>
      <c r="M62" s="344"/>
    </row>
    <row r="63" spans="2:13">
      <c r="B63" s="345"/>
      <c r="C63" s="345"/>
      <c r="D63" s="345"/>
      <c r="E63" s="345"/>
      <c r="F63" s="58">
        <v>6</v>
      </c>
      <c r="G63" s="123">
        <v>13.3</v>
      </c>
      <c r="H63" s="57">
        <f t="shared" si="0"/>
        <v>4.2356687898089174</v>
      </c>
      <c r="I63" s="62">
        <f t="shared" si="1"/>
        <v>2.3909445558736024</v>
      </c>
      <c r="J63" s="62">
        <f>I63*'Key Data'!$F$3</f>
        <v>0.59773613896840061</v>
      </c>
      <c r="K63" s="62">
        <f t="shared" si="2"/>
        <v>2.988680694842003</v>
      </c>
      <c r="L63" s="344"/>
      <c r="M63" s="344"/>
    </row>
    <row r="64" spans="2:13">
      <c r="B64" s="345"/>
      <c r="C64" s="345"/>
      <c r="D64" s="345"/>
      <c r="E64" s="345"/>
      <c r="F64" s="58">
        <v>7</v>
      </c>
      <c r="G64" s="123">
        <v>14.6</v>
      </c>
      <c r="H64" s="57">
        <f t="shared" si="0"/>
        <v>4.6496815286624198</v>
      </c>
      <c r="I64" s="62">
        <f t="shared" si="1"/>
        <v>3.0063565694276995</v>
      </c>
      <c r="J64" s="62">
        <f>I64*'Key Data'!$F$3</f>
        <v>0.75158914235692487</v>
      </c>
      <c r="K64" s="62">
        <f t="shared" si="2"/>
        <v>3.7579457117846244</v>
      </c>
      <c r="L64" s="344"/>
      <c r="M64" s="344"/>
    </row>
    <row r="65" spans="2:13">
      <c r="B65" s="345"/>
      <c r="C65" s="345"/>
      <c r="D65" s="345"/>
      <c r="E65" s="345"/>
      <c r="F65" s="58">
        <v>8</v>
      </c>
      <c r="G65" s="123">
        <v>10.5</v>
      </c>
      <c r="H65" s="57">
        <f t="shared" si="0"/>
        <v>3.3439490445859872</v>
      </c>
      <c r="I65" s="62">
        <f t="shared" si="1"/>
        <v>1.3379219954003179</v>
      </c>
      <c r="J65" s="62">
        <f>I65*'Key Data'!$F$3</f>
        <v>0.33448049885007947</v>
      </c>
      <c r="K65" s="62">
        <f t="shared" si="2"/>
        <v>1.6724024942503974</v>
      </c>
      <c r="L65" s="344"/>
      <c r="M65" s="344"/>
    </row>
    <row r="66" spans="2:13">
      <c r="B66" s="345"/>
      <c r="C66" s="345"/>
      <c r="D66" s="345"/>
      <c r="E66" s="345"/>
      <c r="F66" s="58">
        <v>9</v>
      </c>
      <c r="G66" s="123">
        <v>13.3</v>
      </c>
      <c r="H66" s="57">
        <f t="shared" si="0"/>
        <v>4.2356687898089174</v>
      </c>
      <c r="I66" s="62">
        <f t="shared" si="1"/>
        <v>2.3909445558736024</v>
      </c>
      <c r="J66" s="62">
        <f>I66*'Key Data'!$F$3</f>
        <v>0.59773613896840061</v>
      </c>
      <c r="K66" s="62">
        <f t="shared" si="2"/>
        <v>2.988680694842003</v>
      </c>
      <c r="L66" s="344"/>
      <c r="M66" s="344"/>
    </row>
    <row r="67" spans="2:13">
      <c r="B67" s="345"/>
      <c r="C67" s="345"/>
      <c r="D67" s="345"/>
      <c r="E67" s="345"/>
      <c r="F67" s="58">
        <v>10</v>
      </c>
      <c r="G67" s="123">
        <v>15</v>
      </c>
      <c r="H67" s="57">
        <f t="shared" si="0"/>
        <v>4.7770700636942669</v>
      </c>
      <c r="I67" s="62">
        <f t="shared" si="1"/>
        <v>3.2126987721879932</v>
      </c>
      <c r="J67" s="62">
        <f>I67*'Key Data'!$F$3</f>
        <v>0.80317469304699829</v>
      </c>
      <c r="K67" s="62">
        <f t="shared" si="2"/>
        <v>4.015873465234991</v>
      </c>
      <c r="L67" s="344"/>
      <c r="M67" s="344"/>
    </row>
    <row r="68" spans="2:13">
      <c r="B68" s="345"/>
      <c r="C68" s="345"/>
      <c r="D68" s="345"/>
      <c r="E68" s="345"/>
      <c r="F68" s="58">
        <v>11</v>
      </c>
      <c r="G68" s="123">
        <v>11.2</v>
      </c>
      <c r="H68" s="57">
        <f t="shared" si="0"/>
        <v>3.5668789808917194</v>
      </c>
      <c r="I68" s="62">
        <f t="shared" si="1"/>
        <v>1.5677230319180893</v>
      </c>
      <c r="J68" s="62">
        <f>I68*'Key Data'!$F$3</f>
        <v>0.39193075797952232</v>
      </c>
      <c r="K68" s="62">
        <f t="shared" si="2"/>
        <v>1.9596537898976116</v>
      </c>
      <c r="L68" s="344"/>
      <c r="M68" s="344"/>
    </row>
    <row r="69" spans="2:13">
      <c r="B69" s="345"/>
      <c r="C69" s="345"/>
      <c r="D69" s="345"/>
      <c r="E69" s="345"/>
      <c r="F69" s="58">
        <v>12</v>
      </c>
      <c r="G69" s="123">
        <v>7.1</v>
      </c>
      <c r="H69" s="57">
        <f t="shared" ref="H69:H97" si="3">G69/3.14</f>
        <v>2.2611464968152863</v>
      </c>
      <c r="I69" s="62">
        <f t="shared" ref="I69:I97" si="4">0.069 * H69^2.456</f>
        <v>0.51177654673313921</v>
      </c>
      <c r="J69" s="62">
        <f>I69*'Key Data'!$F$3</f>
        <v>0.1279441366832848</v>
      </c>
      <c r="K69" s="62">
        <f t="shared" ref="K69:K97" si="5">J69+I69</f>
        <v>0.63972068341642396</v>
      </c>
      <c r="L69" s="344"/>
      <c r="M69" s="344"/>
    </row>
    <row r="70" spans="2:13">
      <c r="B70" s="345"/>
      <c r="C70" s="345"/>
      <c r="D70" s="345"/>
      <c r="E70" s="345"/>
      <c r="F70" s="58">
        <v>13</v>
      </c>
      <c r="G70" s="123">
        <v>6.9</v>
      </c>
      <c r="H70" s="57">
        <f t="shared" si="3"/>
        <v>2.1974522292993632</v>
      </c>
      <c r="I70" s="62">
        <f t="shared" si="4"/>
        <v>0.4770932168163623</v>
      </c>
      <c r="J70" s="62">
        <f>I70*'Key Data'!$F$3</f>
        <v>0.11927330420409057</v>
      </c>
      <c r="K70" s="62">
        <f t="shared" si="5"/>
        <v>0.59636652102045284</v>
      </c>
      <c r="L70" s="344"/>
      <c r="M70" s="344"/>
    </row>
    <row r="71" spans="2:13">
      <c r="B71" s="345"/>
      <c r="C71" s="345"/>
      <c r="D71" s="345"/>
      <c r="E71" s="345"/>
      <c r="F71" s="58">
        <v>14</v>
      </c>
      <c r="G71" s="123">
        <v>10.8</v>
      </c>
      <c r="H71" s="57">
        <f t="shared" si="3"/>
        <v>3.4394904458598727</v>
      </c>
      <c r="I71" s="62">
        <f t="shared" si="4"/>
        <v>1.4337671262079965</v>
      </c>
      <c r="J71" s="62">
        <f>I71*'Key Data'!$F$3</f>
        <v>0.35844178155199913</v>
      </c>
      <c r="K71" s="62">
        <f t="shared" si="5"/>
        <v>1.7922089077599956</v>
      </c>
      <c r="L71" s="344"/>
      <c r="M71" s="344"/>
    </row>
    <row r="72" spans="2:13">
      <c r="B72" s="345"/>
      <c r="C72" s="345"/>
      <c r="D72" s="345"/>
      <c r="E72" s="345"/>
      <c r="F72" s="58">
        <v>15</v>
      </c>
      <c r="G72" s="123">
        <v>12.6</v>
      </c>
      <c r="H72" s="57">
        <f t="shared" si="3"/>
        <v>4.0127388535031843</v>
      </c>
      <c r="I72" s="62">
        <f t="shared" si="4"/>
        <v>2.0936300053905357</v>
      </c>
      <c r="J72" s="62">
        <f>I72*'Key Data'!$F$3</f>
        <v>0.52340750134763392</v>
      </c>
      <c r="K72" s="62">
        <f t="shared" si="5"/>
        <v>2.6170375067381695</v>
      </c>
      <c r="L72" s="344"/>
      <c r="M72" s="344"/>
    </row>
    <row r="73" spans="2:13">
      <c r="B73" s="345"/>
      <c r="C73" s="345"/>
      <c r="D73" s="345"/>
      <c r="E73" s="345"/>
      <c r="F73" s="58">
        <v>16</v>
      </c>
      <c r="G73" s="123">
        <v>10.4</v>
      </c>
      <c r="H73" s="57">
        <f t="shared" si="3"/>
        <v>3.3121019108280256</v>
      </c>
      <c r="I73" s="62">
        <f t="shared" si="4"/>
        <v>1.3068440244346042</v>
      </c>
      <c r="J73" s="62">
        <f>I73*'Key Data'!$F$3</f>
        <v>0.32671100610865106</v>
      </c>
      <c r="K73" s="62">
        <f t="shared" si="5"/>
        <v>1.6335550305432553</v>
      </c>
      <c r="L73" s="344"/>
      <c r="M73" s="344"/>
    </row>
    <row r="74" spans="2:13">
      <c r="B74" s="345"/>
      <c r="C74" s="345"/>
      <c r="D74" s="345"/>
      <c r="E74" s="345"/>
      <c r="F74" s="58">
        <v>17</v>
      </c>
      <c r="G74" s="123">
        <v>11.1</v>
      </c>
      <c r="H74" s="57">
        <f t="shared" si="3"/>
        <v>3.5350318471337578</v>
      </c>
      <c r="I74" s="62">
        <f t="shared" si="4"/>
        <v>1.5335682583229246</v>
      </c>
      <c r="J74" s="62">
        <f>I74*'Key Data'!$F$3</f>
        <v>0.38339206458073116</v>
      </c>
      <c r="K74" s="62">
        <f t="shared" si="5"/>
        <v>1.9169603229036558</v>
      </c>
      <c r="L74" s="344"/>
      <c r="M74" s="344"/>
    </row>
    <row r="75" spans="2:13">
      <c r="B75" s="345"/>
      <c r="C75" s="345"/>
      <c r="D75" s="345"/>
      <c r="E75" s="345"/>
      <c r="F75" s="58">
        <v>18</v>
      </c>
      <c r="G75" s="123">
        <v>9.9</v>
      </c>
      <c r="H75" s="57">
        <f t="shared" si="3"/>
        <v>3.1528662420382165</v>
      </c>
      <c r="I75" s="62">
        <f t="shared" si="4"/>
        <v>1.157896958099137</v>
      </c>
      <c r="J75" s="62">
        <f>I75*'Key Data'!$F$3</f>
        <v>0.28947423952478424</v>
      </c>
      <c r="K75" s="62">
        <f t="shared" si="5"/>
        <v>1.4473711976239212</v>
      </c>
      <c r="L75" s="344"/>
      <c r="M75" s="344"/>
    </row>
    <row r="76" spans="2:13">
      <c r="B76" s="345"/>
      <c r="C76" s="345"/>
      <c r="D76" s="345"/>
      <c r="E76" s="345"/>
      <c r="F76" s="58">
        <v>19</v>
      </c>
      <c r="G76" s="123">
        <v>12.3</v>
      </c>
      <c r="H76" s="57">
        <f t="shared" si="3"/>
        <v>3.9171974522292996</v>
      </c>
      <c r="I76" s="62">
        <f t="shared" si="4"/>
        <v>1.9733168702464456</v>
      </c>
      <c r="J76" s="62">
        <f>I76*'Key Data'!$F$3</f>
        <v>0.49332921756161141</v>
      </c>
      <c r="K76" s="62">
        <f t="shared" si="5"/>
        <v>2.4666460878080572</v>
      </c>
      <c r="L76" s="344"/>
      <c r="M76" s="344"/>
    </row>
    <row r="77" spans="2:13">
      <c r="B77" s="345"/>
      <c r="C77" s="345"/>
      <c r="D77" s="345"/>
      <c r="E77" s="345"/>
      <c r="F77" s="58">
        <v>20</v>
      </c>
      <c r="G77" s="123">
        <v>11.4</v>
      </c>
      <c r="H77" s="57">
        <f t="shared" si="3"/>
        <v>3.6305732484076434</v>
      </c>
      <c r="I77" s="62">
        <f t="shared" si="4"/>
        <v>1.6373751312176552</v>
      </c>
      <c r="J77" s="62">
        <f>I77*'Key Data'!$F$3</f>
        <v>0.4093437828044138</v>
      </c>
      <c r="K77" s="62">
        <f t="shared" si="5"/>
        <v>2.046718914022069</v>
      </c>
      <c r="L77" s="344"/>
      <c r="M77" s="344"/>
    </row>
    <row r="78" spans="2:13">
      <c r="B78" s="345"/>
      <c r="C78" s="345"/>
      <c r="D78" s="345"/>
      <c r="E78" s="345"/>
      <c r="F78" s="58">
        <v>21</v>
      </c>
      <c r="G78" s="123">
        <v>14.6</v>
      </c>
      <c r="H78" s="57">
        <f t="shared" si="3"/>
        <v>4.6496815286624198</v>
      </c>
      <c r="I78" s="62">
        <f t="shared" si="4"/>
        <v>3.0063565694276995</v>
      </c>
      <c r="J78" s="62">
        <f>I78*'Key Data'!$F$3</f>
        <v>0.75158914235692487</v>
      </c>
      <c r="K78" s="62">
        <f t="shared" si="5"/>
        <v>3.7579457117846244</v>
      </c>
      <c r="L78" s="344"/>
      <c r="M78" s="344"/>
    </row>
    <row r="79" spans="2:13">
      <c r="B79" s="345"/>
      <c r="C79" s="345"/>
      <c r="D79" s="345"/>
      <c r="E79" s="345"/>
      <c r="F79" s="58">
        <v>22</v>
      </c>
      <c r="G79" s="123">
        <v>15.2</v>
      </c>
      <c r="H79" s="57">
        <f t="shared" si="3"/>
        <v>4.8407643312101909</v>
      </c>
      <c r="I79" s="62">
        <f t="shared" si="4"/>
        <v>3.3189272054316623</v>
      </c>
      <c r="J79" s="62">
        <f>I79*'Key Data'!$F$3</f>
        <v>0.82973180135791558</v>
      </c>
      <c r="K79" s="62">
        <f t="shared" si="5"/>
        <v>4.1486590067895781</v>
      </c>
      <c r="L79" s="344"/>
      <c r="M79" s="344"/>
    </row>
    <row r="80" spans="2:13">
      <c r="B80" s="345"/>
      <c r="C80" s="345"/>
      <c r="D80" s="345"/>
      <c r="E80" s="345"/>
      <c r="F80" s="58">
        <v>23</v>
      </c>
      <c r="G80" s="123">
        <v>13</v>
      </c>
      <c r="H80" s="57">
        <f t="shared" si="3"/>
        <v>4.1401273885350314</v>
      </c>
      <c r="I80" s="62">
        <f t="shared" si="4"/>
        <v>2.260657388686806</v>
      </c>
      <c r="J80" s="62">
        <f>I80*'Key Data'!$F$3</f>
        <v>0.5651643471717015</v>
      </c>
      <c r="K80" s="62">
        <f t="shared" si="5"/>
        <v>2.8258217358585074</v>
      </c>
      <c r="L80" s="344"/>
      <c r="M80" s="344"/>
    </row>
    <row r="81" spans="2:13">
      <c r="B81" s="345"/>
      <c r="C81" s="345"/>
      <c r="D81" s="345"/>
      <c r="E81" s="345"/>
      <c r="F81" s="58">
        <v>24</v>
      </c>
      <c r="G81" s="123">
        <v>10.5</v>
      </c>
      <c r="H81" s="57">
        <f t="shared" si="3"/>
        <v>3.3439490445859872</v>
      </c>
      <c r="I81" s="62">
        <f t="shared" si="4"/>
        <v>1.3379219954003179</v>
      </c>
      <c r="J81" s="62">
        <f>I81*'Key Data'!$F$3</f>
        <v>0.33448049885007947</v>
      </c>
      <c r="K81" s="62">
        <f t="shared" si="5"/>
        <v>1.6724024942503974</v>
      </c>
      <c r="L81" s="344"/>
      <c r="M81" s="344"/>
    </row>
    <row r="82" spans="2:13">
      <c r="B82" s="345"/>
      <c r="C82" s="345"/>
      <c r="D82" s="345"/>
      <c r="E82" s="345"/>
      <c r="F82" s="58">
        <v>25</v>
      </c>
      <c r="G82" s="123">
        <v>12.2</v>
      </c>
      <c r="H82" s="57">
        <f t="shared" si="3"/>
        <v>3.8853503184713372</v>
      </c>
      <c r="I82" s="62">
        <f t="shared" si="4"/>
        <v>1.9341476267934656</v>
      </c>
      <c r="J82" s="62">
        <f>I82*'Key Data'!$F$3</f>
        <v>0.48353690669836641</v>
      </c>
      <c r="K82" s="62">
        <f t="shared" si="5"/>
        <v>2.417684533491832</v>
      </c>
      <c r="L82" s="344"/>
      <c r="M82" s="344"/>
    </row>
    <row r="83" spans="2:13">
      <c r="B83" s="345"/>
      <c r="C83" s="345"/>
      <c r="D83" s="345"/>
      <c r="E83" s="345"/>
      <c r="F83" s="58">
        <v>26</v>
      </c>
      <c r="G83" s="123">
        <v>13.1</v>
      </c>
      <c r="H83" s="57">
        <f t="shared" si="3"/>
        <v>4.1719745222929934</v>
      </c>
      <c r="I83" s="62">
        <f t="shared" si="4"/>
        <v>2.3036058736103806</v>
      </c>
      <c r="J83" s="62">
        <f>I83*'Key Data'!$F$3</f>
        <v>0.57590146840259515</v>
      </c>
      <c r="K83" s="62">
        <f t="shared" si="5"/>
        <v>2.8795073420129755</v>
      </c>
      <c r="L83" s="344"/>
      <c r="M83" s="344"/>
    </row>
    <row r="84" spans="2:13">
      <c r="B84" s="345"/>
      <c r="C84" s="345"/>
      <c r="D84" s="345"/>
      <c r="E84" s="345"/>
      <c r="F84" s="58">
        <v>27</v>
      </c>
      <c r="G84" s="123">
        <v>13</v>
      </c>
      <c r="H84" s="57">
        <f t="shared" si="3"/>
        <v>4.1401273885350314</v>
      </c>
      <c r="I84" s="62">
        <f t="shared" si="4"/>
        <v>2.260657388686806</v>
      </c>
      <c r="J84" s="62">
        <f>I84*'Key Data'!$F$3</f>
        <v>0.5651643471717015</v>
      </c>
      <c r="K84" s="62">
        <f t="shared" si="5"/>
        <v>2.8258217358585074</v>
      </c>
      <c r="L84" s="344"/>
      <c r="M84" s="344"/>
    </row>
    <row r="85" spans="2:13">
      <c r="B85" s="345"/>
      <c r="C85" s="345"/>
      <c r="D85" s="345"/>
      <c r="E85" s="345"/>
      <c r="F85" s="58">
        <v>28</v>
      </c>
      <c r="G85" s="123">
        <v>12.8</v>
      </c>
      <c r="H85" s="57">
        <f t="shared" si="3"/>
        <v>4.0764331210191083</v>
      </c>
      <c r="I85" s="62">
        <f t="shared" si="4"/>
        <v>2.1761937592541241</v>
      </c>
      <c r="J85" s="62">
        <f>I85*'Key Data'!$F$3</f>
        <v>0.54404843981353102</v>
      </c>
      <c r="K85" s="62">
        <f t="shared" si="5"/>
        <v>2.7202421990676551</v>
      </c>
      <c r="L85" s="344"/>
      <c r="M85" s="344"/>
    </row>
    <row r="86" spans="2:13">
      <c r="B86" s="345"/>
      <c r="C86" s="345"/>
      <c r="D86" s="345"/>
      <c r="E86" s="345"/>
      <c r="F86" s="58">
        <v>29</v>
      </c>
      <c r="G86" s="123">
        <v>17.600000000000001</v>
      </c>
      <c r="H86" s="57">
        <f t="shared" si="3"/>
        <v>5.6050955414012744</v>
      </c>
      <c r="I86" s="62">
        <f t="shared" si="4"/>
        <v>4.7573925399614394</v>
      </c>
      <c r="J86" s="62">
        <f>I86*'Key Data'!$F$3</f>
        <v>1.1893481349903599</v>
      </c>
      <c r="K86" s="62">
        <f t="shared" si="5"/>
        <v>5.9467406749517995</v>
      </c>
      <c r="L86" s="344"/>
      <c r="M86" s="344"/>
    </row>
    <row r="87" spans="2:13">
      <c r="B87" s="345"/>
      <c r="C87" s="345"/>
      <c r="D87" s="345"/>
      <c r="E87" s="345"/>
      <c r="F87" s="58">
        <v>30</v>
      </c>
      <c r="G87" s="123">
        <v>12.2</v>
      </c>
      <c r="H87" s="57">
        <f t="shared" si="3"/>
        <v>3.8853503184713372</v>
      </c>
      <c r="I87" s="62">
        <f t="shared" si="4"/>
        <v>1.9341476267934656</v>
      </c>
      <c r="J87" s="62">
        <f>I87*'Key Data'!$F$3</f>
        <v>0.48353690669836641</v>
      </c>
      <c r="K87" s="62">
        <f t="shared" si="5"/>
        <v>2.417684533491832</v>
      </c>
      <c r="L87" s="344"/>
      <c r="M87" s="344"/>
    </row>
    <row r="88" spans="2:13">
      <c r="B88" s="345"/>
      <c r="C88" s="345"/>
      <c r="D88" s="345"/>
      <c r="E88" s="345"/>
      <c r="F88" s="58">
        <v>31</v>
      </c>
      <c r="G88" s="123">
        <v>12</v>
      </c>
      <c r="H88" s="57">
        <f t="shared" si="3"/>
        <v>3.8216560509554141</v>
      </c>
      <c r="I88" s="62">
        <f t="shared" si="4"/>
        <v>1.8572014555381764</v>
      </c>
      <c r="J88" s="62">
        <f>I88*'Key Data'!$F$3</f>
        <v>0.4643003638845441</v>
      </c>
      <c r="K88" s="62">
        <f t="shared" si="5"/>
        <v>2.3215018194227204</v>
      </c>
      <c r="L88" s="344"/>
      <c r="M88" s="344"/>
    </row>
    <row r="89" spans="2:13">
      <c r="B89" s="345"/>
      <c r="C89" s="345"/>
      <c r="D89" s="345"/>
      <c r="E89" s="345"/>
      <c r="F89" s="58">
        <v>32</v>
      </c>
      <c r="G89" s="123">
        <v>12.6</v>
      </c>
      <c r="H89" s="57">
        <f t="shared" si="3"/>
        <v>4.0127388535031843</v>
      </c>
      <c r="I89" s="62">
        <f t="shared" si="4"/>
        <v>2.0936300053905357</v>
      </c>
      <c r="J89" s="62">
        <f>I89*'Key Data'!$F$3</f>
        <v>0.52340750134763392</v>
      </c>
      <c r="K89" s="62">
        <f t="shared" si="5"/>
        <v>2.6170375067381695</v>
      </c>
      <c r="L89" s="344"/>
      <c r="M89" s="344"/>
    </row>
    <row r="90" spans="2:13">
      <c r="B90" s="345"/>
      <c r="C90" s="345"/>
      <c r="D90" s="345"/>
      <c r="E90" s="345"/>
      <c r="F90" s="58">
        <v>33</v>
      </c>
      <c r="G90" s="123">
        <v>9.6</v>
      </c>
      <c r="H90" s="57">
        <f t="shared" si="3"/>
        <v>3.057324840764331</v>
      </c>
      <c r="I90" s="62">
        <f t="shared" si="4"/>
        <v>1.0736136472900808</v>
      </c>
      <c r="J90" s="62">
        <f>I90*'Key Data'!$F$3</f>
        <v>0.2684034118225202</v>
      </c>
      <c r="K90" s="62">
        <f t="shared" si="5"/>
        <v>1.3420170591126011</v>
      </c>
      <c r="L90" s="344"/>
      <c r="M90" s="344"/>
    </row>
    <row r="91" spans="2:13">
      <c r="B91" s="345"/>
      <c r="C91" s="345"/>
      <c r="D91" s="345"/>
      <c r="E91" s="345"/>
      <c r="F91" s="58">
        <v>34</v>
      </c>
      <c r="G91" s="123">
        <v>11.2</v>
      </c>
      <c r="H91" s="57">
        <f t="shared" si="3"/>
        <v>3.5668789808917194</v>
      </c>
      <c r="I91" s="62">
        <f t="shared" si="4"/>
        <v>1.5677230319180893</v>
      </c>
      <c r="J91" s="62">
        <f>I91*'Key Data'!$F$3</f>
        <v>0.39193075797952232</v>
      </c>
      <c r="K91" s="62">
        <f t="shared" si="5"/>
        <v>1.9596537898976116</v>
      </c>
      <c r="L91" s="344"/>
      <c r="M91" s="344"/>
    </row>
    <row r="92" spans="2:13">
      <c r="B92" s="345"/>
      <c r="C92" s="345"/>
      <c r="D92" s="345"/>
      <c r="E92" s="345"/>
      <c r="F92" s="58">
        <v>35</v>
      </c>
      <c r="G92" s="123">
        <v>13.3</v>
      </c>
      <c r="H92" s="57">
        <f t="shared" si="3"/>
        <v>4.2356687898089174</v>
      </c>
      <c r="I92" s="62">
        <f t="shared" si="4"/>
        <v>2.3909445558736024</v>
      </c>
      <c r="J92" s="62">
        <f>I92*'Key Data'!$F$3</f>
        <v>0.59773613896840061</v>
      </c>
      <c r="K92" s="62">
        <f t="shared" si="5"/>
        <v>2.988680694842003</v>
      </c>
      <c r="L92" s="344"/>
      <c r="M92" s="344"/>
    </row>
    <row r="93" spans="2:13">
      <c r="B93" s="345"/>
      <c r="C93" s="345"/>
      <c r="D93" s="345"/>
      <c r="E93" s="345"/>
      <c r="F93" s="58">
        <v>36</v>
      </c>
      <c r="G93" s="123">
        <v>9.5</v>
      </c>
      <c r="H93" s="57">
        <f t="shared" si="3"/>
        <v>3.0254777070063694</v>
      </c>
      <c r="I93" s="62">
        <f t="shared" si="4"/>
        <v>1.0463549897246256</v>
      </c>
      <c r="J93" s="62">
        <f>I93*'Key Data'!$F$3</f>
        <v>0.2615887474311564</v>
      </c>
      <c r="K93" s="62">
        <f t="shared" si="5"/>
        <v>1.307943737155782</v>
      </c>
      <c r="L93" s="344"/>
      <c r="M93" s="344"/>
    </row>
    <row r="94" spans="2:13">
      <c r="B94" s="345"/>
      <c r="C94" s="345"/>
      <c r="D94" s="345"/>
      <c r="E94" s="345"/>
      <c r="F94" s="58">
        <v>37</v>
      </c>
      <c r="G94" s="123">
        <v>11.7</v>
      </c>
      <c r="H94" s="57">
        <f t="shared" si="3"/>
        <v>3.7261146496815285</v>
      </c>
      <c r="I94" s="62">
        <f t="shared" si="4"/>
        <v>1.7452367581626262</v>
      </c>
      <c r="J94" s="62">
        <f>I94*'Key Data'!$F$3</f>
        <v>0.43630918954065656</v>
      </c>
      <c r="K94" s="62">
        <f t="shared" si="5"/>
        <v>2.1815459477032828</v>
      </c>
      <c r="L94" s="344"/>
      <c r="M94" s="344"/>
    </row>
    <row r="95" spans="2:13">
      <c r="B95" s="345"/>
      <c r="C95" s="345"/>
      <c r="D95" s="345"/>
      <c r="E95" s="345"/>
      <c r="F95" s="58">
        <v>38</v>
      </c>
      <c r="G95" s="123">
        <v>12.5</v>
      </c>
      <c r="H95" s="57">
        <f t="shared" si="3"/>
        <v>3.9808917197452227</v>
      </c>
      <c r="I95" s="62">
        <f t="shared" si="4"/>
        <v>2.0530563379579201</v>
      </c>
      <c r="J95" s="62">
        <f>I95*'Key Data'!$F$3</f>
        <v>0.51326408448948002</v>
      </c>
      <c r="K95" s="62">
        <f t="shared" si="5"/>
        <v>2.5663204224473999</v>
      </c>
      <c r="L95" s="344"/>
      <c r="M95" s="344"/>
    </row>
    <row r="96" spans="2:13">
      <c r="B96" s="345"/>
      <c r="C96" s="345"/>
      <c r="D96" s="345"/>
      <c r="E96" s="345"/>
      <c r="F96" s="58">
        <v>39</v>
      </c>
      <c r="G96" s="123">
        <v>14.2</v>
      </c>
      <c r="H96" s="57">
        <f t="shared" si="3"/>
        <v>4.5222929936305727</v>
      </c>
      <c r="I96" s="62">
        <f t="shared" si="4"/>
        <v>2.8080837018951548</v>
      </c>
      <c r="J96" s="62">
        <f>I96*'Key Data'!$F$3</f>
        <v>0.70202092547378869</v>
      </c>
      <c r="K96" s="62">
        <f t="shared" si="5"/>
        <v>3.5101046273689436</v>
      </c>
      <c r="L96" s="344"/>
      <c r="M96" s="344"/>
    </row>
    <row r="97" spans="2:13">
      <c r="B97" s="345"/>
      <c r="C97" s="345"/>
      <c r="D97" s="345"/>
      <c r="E97" s="345"/>
      <c r="F97" s="58">
        <v>40</v>
      </c>
      <c r="G97" s="123">
        <v>12.6</v>
      </c>
      <c r="H97" s="57">
        <f t="shared" si="3"/>
        <v>4.0127388535031843</v>
      </c>
      <c r="I97" s="62">
        <f t="shared" si="4"/>
        <v>2.0936300053905357</v>
      </c>
      <c r="J97" s="62">
        <f>I97*'Key Data'!$F$3</f>
        <v>0.52340750134763392</v>
      </c>
      <c r="K97" s="62">
        <f t="shared" si="5"/>
        <v>2.6170375067381695</v>
      </c>
      <c r="L97" s="344"/>
      <c r="M97" s="344"/>
    </row>
  </sheetData>
  <autoFilter ref="H2:H97" xr:uid="{F711EE2F-0B3C-4B0E-AEAF-BEC8546C0796}"/>
  <mergeCells count="12">
    <mergeCell ref="L4:L57"/>
    <mergeCell ref="L58:L97"/>
    <mergeCell ref="M4:M57"/>
    <mergeCell ref="M58:M97"/>
    <mergeCell ref="B4:B57"/>
    <mergeCell ref="C4:C57"/>
    <mergeCell ref="D4:D57"/>
    <mergeCell ref="E4:E57"/>
    <mergeCell ref="B58:B97"/>
    <mergeCell ref="C58:C97"/>
    <mergeCell ref="D58:D97"/>
    <mergeCell ref="E58:E97"/>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F31C8-7F2A-4EA8-9FAE-D8ED68C44A0C}">
  <dimension ref="B3:M176"/>
  <sheetViews>
    <sheetView workbookViewId="0">
      <selection activeCell="I6" sqref="I6"/>
    </sheetView>
  </sheetViews>
  <sheetFormatPr defaultRowHeight="15"/>
  <sheetData>
    <row r="3" spans="2:13" ht="81.75">
      <c r="B3" s="275" t="s">
        <v>486</v>
      </c>
      <c r="C3" s="275" t="s">
        <v>433</v>
      </c>
      <c r="D3" s="275" t="s">
        <v>434</v>
      </c>
      <c r="E3" s="275" t="s">
        <v>435</v>
      </c>
      <c r="F3" s="274" t="s">
        <v>436</v>
      </c>
      <c r="G3" s="275" t="s">
        <v>437</v>
      </c>
      <c r="H3" s="276" t="s">
        <v>438</v>
      </c>
      <c r="I3" s="274" t="s">
        <v>439</v>
      </c>
      <c r="J3" s="274" t="s">
        <v>440</v>
      </c>
      <c r="K3" s="274" t="s">
        <v>496</v>
      </c>
      <c r="L3" s="274" t="s">
        <v>442</v>
      </c>
      <c r="M3" s="274" t="s">
        <v>443</v>
      </c>
    </row>
    <row r="4" spans="2:13">
      <c r="B4" s="455">
        <v>1</v>
      </c>
      <c r="C4" s="456" t="s">
        <v>501</v>
      </c>
      <c r="D4" s="456">
        <v>23.029752999999999</v>
      </c>
      <c r="E4" s="456">
        <v>75.072272999999996</v>
      </c>
      <c r="F4" s="164">
        <v>1</v>
      </c>
      <c r="G4" s="165">
        <v>10.7</v>
      </c>
      <c r="H4" s="157">
        <f>G4/3.14</f>
        <v>3.4076433121019103</v>
      </c>
      <c r="I4" s="128">
        <f>0.069 * H4^2.456</f>
        <v>1.4013816713521647</v>
      </c>
      <c r="J4" s="128">
        <f>I4*'Key Data'!$F$3</f>
        <v>0.35034541783804118</v>
      </c>
      <c r="K4" s="128">
        <f>J4+I4</f>
        <v>1.7517270891902059</v>
      </c>
      <c r="L4" s="341">
        <f>SUM(K4:K45)/1000</f>
        <v>7.4402713638198503E-2</v>
      </c>
      <c r="M4" s="341">
        <f>L4/225*10000</f>
        <v>3.3067872728088221</v>
      </c>
    </row>
    <row r="5" spans="2:13">
      <c r="B5" s="455"/>
      <c r="C5" s="456"/>
      <c r="D5" s="456"/>
      <c r="E5" s="456"/>
      <c r="F5" s="164">
        <v>2</v>
      </c>
      <c r="G5" s="165">
        <v>7.8000000000000007</v>
      </c>
      <c r="H5" s="157">
        <f t="shared" ref="H5:H68" si="0">G5/3.14</f>
        <v>2.4840764331210194</v>
      </c>
      <c r="I5" s="128">
        <f>0.069 * H5^2.456</f>
        <v>0.6447245671696844</v>
      </c>
      <c r="J5" s="128">
        <f>I5*'Key Data'!$F$3</f>
        <v>0.1611811417924211</v>
      </c>
      <c r="K5" s="128">
        <f t="shared" ref="K5:K68" si="1">J5+I5</f>
        <v>0.80590570896210556</v>
      </c>
      <c r="L5" s="341"/>
      <c r="M5" s="341"/>
    </row>
    <row r="6" spans="2:13">
      <c r="B6" s="455"/>
      <c r="C6" s="456"/>
      <c r="D6" s="456"/>
      <c r="E6" s="456"/>
      <c r="F6" s="164">
        <v>3</v>
      </c>
      <c r="G6" s="165">
        <v>8.8000000000000007</v>
      </c>
      <c r="H6" s="157">
        <f t="shared" si="0"/>
        <v>2.8025477707006372</v>
      </c>
      <c r="I6" s="128">
        <f t="shared" ref="I6:I68" si="2">0.069 * H6^2.456</f>
        <v>0.86704036774697546</v>
      </c>
      <c r="J6" s="128">
        <f>I6*'Key Data'!$F$3</f>
        <v>0.21676009193674386</v>
      </c>
      <c r="K6" s="128">
        <f t="shared" si="1"/>
        <v>1.0838004596837194</v>
      </c>
      <c r="L6" s="341"/>
      <c r="M6" s="341"/>
    </row>
    <row r="7" spans="2:13">
      <c r="B7" s="455"/>
      <c r="C7" s="456"/>
      <c r="D7" s="456"/>
      <c r="E7" s="456"/>
      <c r="F7" s="164">
        <v>4</v>
      </c>
      <c r="G7" s="165">
        <v>8.6</v>
      </c>
      <c r="H7" s="157">
        <f t="shared" si="0"/>
        <v>2.7388535031847132</v>
      </c>
      <c r="I7" s="128">
        <f t="shared" si="2"/>
        <v>0.81944172006397253</v>
      </c>
      <c r="J7" s="128">
        <f>I7*'Key Data'!$F$3</f>
        <v>0.20486043001599313</v>
      </c>
      <c r="K7" s="128">
        <f t="shared" si="1"/>
        <v>1.0243021500799656</v>
      </c>
      <c r="L7" s="341"/>
      <c r="M7" s="341"/>
    </row>
    <row r="8" spans="2:13">
      <c r="B8" s="455"/>
      <c r="C8" s="456"/>
      <c r="D8" s="456"/>
      <c r="E8" s="456"/>
      <c r="F8" s="164">
        <v>5</v>
      </c>
      <c r="G8" s="165">
        <v>9.4</v>
      </c>
      <c r="H8" s="157">
        <f t="shared" si="0"/>
        <v>2.9936305732484074</v>
      </c>
      <c r="I8" s="128">
        <f t="shared" si="2"/>
        <v>1.0195109238385001</v>
      </c>
      <c r="J8" s="128">
        <f>I8*'Key Data'!$F$3</f>
        <v>0.25487773095962502</v>
      </c>
      <c r="K8" s="128">
        <f t="shared" si="1"/>
        <v>1.2743886547981251</v>
      </c>
      <c r="L8" s="341"/>
      <c r="M8" s="341"/>
    </row>
    <row r="9" spans="2:13">
      <c r="B9" s="455"/>
      <c r="C9" s="456"/>
      <c r="D9" s="456"/>
      <c r="E9" s="456"/>
      <c r="F9" s="164">
        <v>6</v>
      </c>
      <c r="G9" s="165">
        <v>7.1</v>
      </c>
      <c r="H9" s="157">
        <f t="shared" si="0"/>
        <v>2.2611464968152863</v>
      </c>
      <c r="I9" s="128">
        <f t="shared" si="2"/>
        <v>0.51177654673313921</v>
      </c>
      <c r="J9" s="128">
        <f>I9*'Key Data'!$F$3</f>
        <v>0.1279441366832848</v>
      </c>
      <c r="K9" s="128">
        <f t="shared" si="1"/>
        <v>0.63972068341642396</v>
      </c>
      <c r="L9" s="341"/>
      <c r="M9" s="341"/>
    </row>
    <row r="10" spans="2:13">
      <c r="B10" s="455"/>
      <c r="C10" s="456"/>
      <c r="D10" s="456"/>
      <c r="E10" s="456"/>
      <c r="F10" s="164">
        <v>7</v>
      </c>
      <c r="G10" s="165">
        <v>10.8</v>
      </c>
      <c r="H10" s="157">
        <f t="shared" si="0"/>
        <v>3.4394904458598727</v>
      </c>
      <c r="I10" s="128">
        <f t="shared" si="2"/>
        <v>1.4337671262079965</v>
      </c>
      <c r="J10" s="128">
        <f>I10*'Key Data'!$F$3</f>
        <v>0.35844178155199913</v>
      </c>
      <c r="K10" s="128">
        <f t="shared" si="1"/>
        <v>1.7922089077599956</v>
      </c>
      <c r="L10" s="341"/>
      <c r="M10" s="341"/>
    </row>
    <row r="11" spans="2:13">
      <c r="B11" s="455"/>
      <c r="C11" s="456"/>
      <c r="D11" s="456"/>
      <c r="E11" s="456"/>
      <c r="F11" s="164">
        <v>8</v>
      </c>
      <c r="G11" s="165">
        <v>11.5</v>
      </c>
      <c r="H11" s="157">
        <f t="shared" si="0"/>
        <v>3.6624203821656049</v>
      </c>
      <c r="I11" s="128">
        <f t="shared" si="2"/>
        <v>1.6728760785757455</v>
      </c>
      <c r="J11" s="128">
        <f>I11*'Key Data'!$F$3</f>
        <v>0.41821901964393637</v>
      </c>
      <c r="K11" s="128">
        <f t="shared" si="1"/>
        <v>2.0910950982196819</v>
      </c>
      <c r="L11" s="341"/>
      <c r="M11" s="341"/>
    </row>
    <row r="12" spans="2:13">
      <c r="B12" s="455"/>
      <c r="C12" s="456"/>
      <c r="D12" s="456"/>
      <c r="E12" s="456"/>
      <c r="F12" s="164">
        <v>9</v>
      </c>
      <c r="G12" s="165">
        <v>12.5</v>
      </c>
      <c r="H12" s="157">
        <f t="shared" si="0"/>
        <v>3.9808917197452227</v>
      </c>
      <c r="I12" s="128">
        <f t="shared" si="2"/>
        <v>2.0530563379579201</v>
      </c>
      <c r="J12" s="128">
        <f>I12*'Key Data'!$F$3</f>
        <v>0.51326408448948002</v>
      </c>
      <c r="K12" s="128">
        <f t="shared" si="1"/>
        <v>2.5663204224473999</v>
      </c>
      <c r="L12" s="341"/>
      <c r="M12" s="341"/>
    </row>
    <row r="13" spans="2:13">
      <c r="B13" s="455"/>
      <c r="C13" s="456"/>
      <c r="D13" s="456"/>
      <c r="E13" s="456"/>
      <c r="F13" s="164">
        <v>10</v>
      </c>
      <c r="G13" s="165">
        <v>11.6</v>
      </c>
      <c r="H13" s="157">
        <f t="shared" si="0"/>
        <v>3.6942675159235665</v>
      </c>
      <c r="I13" s="128">
        <f t="shared" si="2"/>
        <v>1.7088293577631144</v>
      </c>
      <c r="J13" s="128">
        <f>I13*'Key Data'!$F$3</f>
        <v>0.4272073394407786</v>
      </c>
      <c r="K13" s="128">
        <f t="shared" si="1"/>
        <v>2.1360366972038931</v>
      </c>
      <c r="L13" s="341"/>
      <c r="M13" s="341"/>
    </row>
    <row r="14" spans="2:13">
      <c r="B14" s="455"/>
      <c r="C14" s="456"/>
      <c r="D14" s="456"/>
      <c r="E14" s="456"/>
      <c r="F14" s="164">
        <v>11</v>
      </c>
      <c r="G14" s="165">
        <v>13.1</v>
      </c>
      <c r="H14" s="157">
        <f t="shared" si="0"/>
        <v>4.1719745222929934</v>
      </c>
      <c r="I14" s="128">
        <f t="shared" si="2"/>
        <v>2.3036058736103806</v>
      </c>
      <c r="J14" s="128">
        <f>I14*'Key Data'!$F$3</f>
        <v>0.57590146840259515</v>
      </c>
      <c r="K14" s="128">
        <f t="shared" si="1"/>
        <v>2.8795073420129755</v>
      </c>
      <c r="L14" s="341"/>
      <c r="M14" s="341"/>
    </row>
    <row r="15" spans="2:13">
      <c r="B15" s="455"/>
      <c r="C15" s="456"/>
      <c r="D15" s="456"/>
      <c r="E15" s="456"/>
      <c r="F15" s="164">
        <v>12</v>
      </c>
      <c r="G15" s="165">
        <v>12.6</v>
      </c>
      <c r="H15" s="157">
        <f t="shared" si="0"/>
        <v>4.0127388535031843</v>
      </c>
      <c r="I15" s="128">
        <f t="shared" si="2"/>
        <v>2.0936300053905357</v>
      </c>
      <c r="J15" s="128">
        <f>I15*'Key Data'!$F$3</f>
        <v>0.52340750134763392</v>
      </c>
      <c r="K15" s="128">
        <f t="shared" si="1"/>
        <v>2.6170375067381695</v>
      </c>
      <c r="L15" s="341"/>
      <c r="M15" s="341"/>
    </row>
    <row r="16" spans="2:13">
      <c r="B16" s="455"/>
      <c r="C16" s="456"/>
      <c r="D16" s="456"/>
      <c r="E16" s="456"/>
      <c r="F16" s="164">
        <v>13</v>
      </c>
      <c r="G16" s="165">
        <v>13</v>
      </c>
      <c r="H16" s="157">
        <f t="shared" si="0"/>
        <v>4.1401273885350314</v>
      </c>
      <c r="I16" s="128">
        <f t="shared" si="2"/>
        <v>2.260657388686806</v>
      </c>
      <c r="J16" s="128">
        <f>I16*'Key Data'!$F$3</f>
        <v>0.5651643471717015</v>
      </c>
      <c r="K16" s="128">
        <f t="shared" si="1"/>
        <v>2.8258217358585074</v>
      </c>
      <c r="L16" s="341"/>
      <c r="M16" s="341"/>
    </row>
    <row r="17" spans="2:13">
      <c r="B17" s="455"/>
      <c r="C17" s="456"/>
      <c r="D17" s="456"/>
      <c r="E17" s="456"/>
      <c r="F17" s="164">
        <v>14</v>
      </c>
      <c r="G17" s="165">
        <v>12.8</v>
      </c>
      <c r="H17" s="157">
        <f t="shared" si="0"/>
        <v>4.0764331210191083</v>
      </c>
      <c r="I17" s="128">
        <f t="shared" si="2"/>
        <v>2.1761937592541241</v>
      </c>
      <c r="J17" s="128">
        <f>I17*'Key Data'!$F$3</f>
        <v>0.54404843981353102</v>
      </c>
      <c r="K17" s="128">
        <f t="shared" si="1"/>
        <v>2.7202421990676551</v>
      </c>
      <c r="L17" s="341"/>
      <c r="M17" s="341"/>
    </row>
    <row r="18" spans="2:13">
      <c r="B18" s="455"/>
      <c r="C18" s="456"/>
      <c r="D18" s="456"/>
      <c r="E18" s="456"/>
      <c r="F18" s="164">
        <v>15</v>
      </c>
      <c r="G18" s="165">
        <v>9.1999999999999993</v>
      </c>
      <c r="H18" s="157">
        <f t="shared" si="0"/>
        <v>2.9299363057324839</v>
      </c>
      <c r="I18" s="128">
        <f t="shared" si="2"/>
        <v>0.96705857236343129</v>
      </c>
      <c r="J18" s="128">
        <f>I18*'Key Data'!$F$3</f>
        <v>0.24176464309085782</v>
      </c>
      <c r="K18" s="128">
        <f t="shared" si="1"/>
        <v>1.2088232154542891</v>
      </c>
      <c r="L18" s="341"/>
      <c r="M18" s="341"/>
    </row>
    <row r="19" spans="2:13">
      <c r="B19" s="455"/>
      <c r="C19" s="456"/>
      <c r="D19" s="456"/>
      <c r="E19" s="456"/>
      <c r="F19" s="164">
        <v>16</v>
      </c>
      <c r="G19" s="165">
        <v>12.8</v>
      </c>
      <c r="H19" s="157">
        <f t="shared" si="0"/>
        <v>4.0764331210191083</v>
      </c>
      <c r="I19" s="128">
        <f t="shared" si="2"/>
        <v>2.1761937592541241</v>
      </c>
      <c r="J19" s="128">
        <f>I19*'Key Data'!$F$3</f>
        <v>0.54404843981353102</v>
      </c>
      <c r="K19" s="128">
        <f t="shared" si="1"/>
        <v>2.7202421990676551</v>
      </c>
      <c r="L19" s="341"/>
      <c r="M19" s="341"/>
    </row>
    <row r="20" spans="2:13">
      <c r="B20" s="455"/>
      <c r="C20" s="456"/>
      <c r="D20" s="456"/>
      <c r="E20" s="456"/>
      <c r="F20" s="164">
        <v>17</v>
      </c>
      <c r="G20" s="165">
        <v>8.4</v>
      </c>
      <c r="H20" s="157">
        <f t="shared" si="0"/>
        <v>2.6751592356687897</v>
      </c>
      <c r="I20" s="128">
        <f t="shared" si="2"/>
        <v>0.77342784165281531</v>
      </c>
      <c r="J20" s="128">
        <f>I20*'Key Data'!$F$3</f>
        <v>0.19335696041320383</v>
      </c>
      <c r="K20" s="128">
        <f t="shared" si="1"/>
        <v>0.96678480206601913</v>
      </c>
      <c r="L20" s="341"/>
      <c r="M20" s="341"/>
    </row>
    <row r="21" spans="2:13">
      <c r="B21" s="455"/>
      <c r="C21" s="456"/>
      <c r="D21" s="456"/>
      <c r="E21" s="456"/>
      <c r="F21" s="164">
        <v>18</v>
      </c>
      <c r="G21" s="165">
        <v>12.1</v>
      </c>
      <c r="H21" s="157">
        <f t="shared" si="0"/>
        <v>3.8535031847133756</v>
      </c>
      <c r="I21" s="128">
        <f t="shared" si="2"/>
        <v>1.8954430688095738</v>
      </c>
      <c r="J21" s="128">
        <f>I21*'Key Data'!$F$3</f>
        <v>0.47386076720239345</v>
      </c>
      <c r="K21" s="128">
        <f t="shared" si="1"/>
        <v>2.3693038360119671</v>
      </c>
      <c r="L21" s="341"/>
      <c r="M21" s="341"/>
    </row>
    <row r="22" spans="2:13">
      <c r="B22" s="455"/>
      <c r="C22" s="456"/>
      <c r="D22" s="456"/>
      <c r="E22" s="456"/>
      <c r="F22" s="164">
        <v>19</v>
      </c>
      <c r="G22" s="165">
        <v>11.2</v>
      </c>
      <c r="H22" s="157">
        <f t="shared" si="0"/>
        <v>3.5668789808917194</v>
      </c>
      <c r="I22" s="128">
        <f t="shared" si="2"/>
        <v>1.5677230319180893</v>
      </c>
      <c r="J22" s="128">
        <f>I22*'Key Data'!$F$3</f>
        <v>0.39193075797952232</v>
      </c>
      <c r="K22" s="128">
        <f t="shared" si="1"/>
        <v>1.9596537898976116</v>
      </c>
      <c r="L22" s="341"/>
      <c r="M22" s="341"/>
    </row>
    <row r="23" spans="2:13">
      <c r="B23" s="455"/>
      <c r="C23" s="456"/>
      <c r="D23" s="456"/>
      <c r="E23" s="456"/>
      <c r="F23" s="164">
        <v>20</v>
      </c>
      <c r="G23" s="165">
        <v>11.3</v>
      </c>
      <c r="H23" s="157">
        <f t="shared" si="0"/>
        <v>3.5987261146496814</v>
      </c>
      <c r="I23" s="128">
        <f t="shared" si="2"/>
        <v>1.6023247178210662</v>
      </c>
      <c r="J23" s="128">
        <f>I23*'Key Data'!$F$3</f>
        <v>0.40058117945526656</v>
      </c>
      <c r="K23" s="128">
        <f t="shared" si="1"/>
        <v>2.0029058972763329</v>
      </c>
      <c r="L23" s="341"/>
      <c r="M23" s="341"/>
    </row>
    <row r="24" spans="2:13">
      <c r="B24" s="455"/>
      <c r="C24" s="456"/>
      <c r="D24" s="456"/>
      <c r="E24" s="456"/>
      <c r="F24" s="164">
        <v>21</v>
      </c>
      <c r="G24" s="165">
        <v>10.3</v>
      </c>
      <c r="H24" s="157">
        <f t="shared" si="0"/>
        <v>3.2802547770700636</v>
      </c>
      <c r="I24" s="128">
        <f t="shared" si="2"/>
        <v>1.2761981153828736</v>
      </c>
      <c r="J24" s="128">
        <f>I24*'Key Data'!$F$3</f>
        <v>0.31904952884571841</v>
      </c>
      <c r="K24" s="128">
        <f t="shared" si="1"/>
        <v>1.5952476442285921</v>
      </c>
      <c r="L24" s="341"/>
      <c r="M24" s="341"/>
    </row>
    <row r="25" spans="2:13">
      <c r="B25" s="455"/>
      <c r="C25" s="456"/>
      <c r="D25" s="456"/>
      <c r="E25" s="456"/>
      <c r="F25" s="164">
        <v>22</v>
      </c>
      <c r="G25" s="165">
        <v>12.1</v>
      </c>
      <c r="H25" s="157">
        <f t="shared" si="0"/>
        <v>3.8535031847133756</v>
      </c>
      <c r="I25" s="128">
        <f t="shared" si="2"/>
        <v>1.8954430688095738</v>
      </c>
      <c r="J25" s="128">
        <f>I25*'Key Data'!$F$3</f>
        <v>0.47386076720239345</v>
      </c>
      <c r="K25" s="128">
        <f t="shared" si="1"/>
        <v>2.3693038360119671</v>
      </c>
      <c r="L25" s="341"/>
      <c r="M25" s="341"/>
    </row>
    <row r="26" spans="2:13">
      <c r="B26" s="455"/>
      <c r="C26" s="456"/>
      <c r="D26" s="456"/>
      <c r="E26" s="456"/>
      <c r="F26" s="164">
        <v>23</v>
      </c>
      <c r="G26" s="165">
        <v>11.8</v>
      </c>
      <c r="H26" s="157">
        <f t="shared" si="0"/>
        <v>3.7579617834394905</v>
      </c>
      <c r="I26" s="128">
        <f t="shared" si="2"/>
        <v>1.7821000607849087</v>
      </c>
      <c r="J26" s="128">
        <f>I26*'Key Data'!$F$3</f>
        <v>0.44552501519622717</v>
      </c>
      <c r="K26" s="128">
        <f t="shared" si="1"/>
        <v>2.2276250759811358</v>
      </c>
      <c r="L26" s="341"/>
      <c r="M26" s="341"/>
    </row>
    <row r="27" spans="2:13">
      <c r="B27" s="455"/>
      <c r="C27" s="456"/>
      <c r="D27" s="456"/>
      <c r="E27" s="456"/>
      <c r="F27" s="164">
        <v>24</v>
      </c>
      <c r="G27" s="165">
        <v>11.8</v>
      </c>
      <c r="H27" s="157">
        <f t="shared" si="0"/>
        <v>3.7579617834394905</v>
      </c>
      <c r="I27" s="128">
        <f t="shared" si="2"/>
        <v>1.7821000607849087</v>
      </c>
      <c r="J27" s="128">
        <f>I27*'Key Data'!$F$3</f>
        <v>0.44552501519622717</v>
      </c>
      <c r="K27" s="128">
        <f t="shared" si="1"/>
        <v>2.2276250759811358</v>
      </c>
      <c r="L27" s="341"/>
      <c r="M27" s="341"/>
    </row>
    <row r="28" spans="2:13">
      <c r="B28" s="455"/>
      <c r="C28" s="456"/>
      <c r="D28" s="456"/>
      <c r="E28" s="456"/>
      <c r="F28" s="164">
        <v>25</v>
      </c>
      <c r="G28" s="165">
        <v>12.2</v>
      </c>
      <c r="H28" s="157">
        <f t="shared" si="0"/>
        <v>3.8853503184713372</v>
      </c>
      <c r="I28" s="128">
        <f t="shared" si="2"/>
        <v>1.9341476267934656</v>
      </c>
      <c r="J28" s="128">
        <f>I28*'Key Data'!$F$3</f>
        <v>0.48353690669836641</v>
      </c>
      <c r="K28" s="128">
        <f t="shared" si="1"/>
        <v>2.417684533491832</v>
      </c>
      <c r="L28" s="341"/>
      <c r="M28" s="341"/>
    </row>
    <row r="29" spans="2:13">
      <c r="B29" s="455"/>
      <c r="C29" s="456"/>
      <c r="D29" s="456"/>
      <c r="E29" s="456"/>
      <c r="F29" s="164">
        <v>26</v>
      </c>
      <c r="G29" s="165">
        <v>9.6</v>
      </c>
      <c r="H29" s="157">
        <f t="shared" si="0"/>
        <v>3.057324840764331</v>
      </c>
      <c r="I29" s="128">
        <f t="shared" si="2"/>
        <v>1.0736136472900808</v>
      </c>
      <c r="J29" s="128">
        <f>I29*'Key Data'!$F$3</f>
        <v>0.2684034118225202</v>
      </c>
      <c r="K29" s="128">
        <f t="shared" si="1"/>
        <v>1.3420170591126011</v>
      </c>
      <c r="L29" s="341"/>
      <c r="M29" s="341"/>
    </row>
    <row r="30" spans="2:13">
      <c r="B30" s="455"/>
      <c r="C30" s="456"/>
      <c r="D30" s="456"/>
      <c r="E30" s="456"/>
      <c r="F30" s="164">
        <v>27</v>
      </c>
      <c r="G30" s="165">
        <v>11.7</v>
      </c>
      <c r="H30" s="157">
        <f t="shared" si="0"/>
        <v>3.7261146496815285</v>
      </c>
      <c r="I30" s="128">
        <f t="shared" si="2"/>
        <v>1.7452367581626262</v>
      </c>
      <c r="J30" s="128">
        <f>I30*'Key Data'!$F$3</f>
        <v>0.43630918954065656</v>
      </c>
      <c r="K30" s="128">
        <f t="shared" si="1"/>
        <v>2.1815459477032828</v>
      </c>
      <c r="L30" s="341"/>
      <c r="M30" s="341"/>
    </row>
    <row r="31" spans="2:13">
      <c r="B31" s="455"/>
      <c r="C31" s="456"/>
      <c r="D31" s="456"/>
      <c r="E31" s="456"/>
      <c r="F31" s="164">
        <v>28</v>
      </c>
      <c r="G31" s="165">
        <v>13.1</v>
      </c>
      <c r="H31" s="157">
        <f t="shared" si="0"/>
        <v>4.1719745222929934</v>
      </c>
      <c r="I31" s="128">
        <f t="shared" si="2"/>
        <v>2.3036058736103806</v>
      </c>
      <c r="J31" s="128">
        <f>I31*'Key Data'!$F$3</f>
        <v>0.57590146840259515</v>
      </c>
      <c r="K31" s="128">
        <f t="shared" si="1"/>
        <v>2.8795073420129755</v>
      </c>
      <c r="L31" s="341"/>
      <c r="M31" s="341"/>
    </row>
    <row r="32" spans="2:13">
      <c r="B32" s="455"/>
      <c r="C32" s="456"/>
      <c r="D32" s="456"/>
      <c r="E32" s="456"/>
      <c r="F32" s="164">
        <v>29</v>
      </c>
      <c r="G32" s="165">
        <v>7.1999999999999993</v>
      </c>
      <c r="H32" s="157">
        <f t="shared" si="0"/>
        <v>2.2929936305732479</v>
      </c>
      <c r="I32" s="128">
        <f t="shared" si="2"/>
        <v>0.52966159779934863</v>
      </c>
      <c r="J32" s="128">
        <f>I32*'Key Data'!$F$3</f>
        <v>0.13241539944983716</v>
      </c>
      <c r="K32" s="128">
        <f t="shared" si="1"/>
        <v>0.66207699724918578</v>
      </c>
      <c r="L32" s="341"/>
      <c r="M32" s="341"/>
    </row>
    <row r="33" spans="2:13">
      <c r="B33" s="455"/>
      <c r="C33" s="456"/>
      <c r="D33" s="456"/>
      <c r="E33" s="456"/>
      <c r="F33" s="164">
        <v>30</v>
      </c>
      <c r="G33" s="165">
        <v>8.1999999999999993</v>
      </c>
      <c r="H33" s="157">
        <f t="shared" si="0"/>
        <v>2.6114649681528661</v>
      </c>
      <c r="I33" s="128">
        <f t="shared" si="2"/>
        <v>0.7289818181446549</v>
      </c>
      <c r="J33" s="128">
        <f>I33*'Key Data'!$F$3</f>
        <v>0.18224545453616373</v>
      </c>
      <c r="K33" s="128">
        <f t="shared" si="1"/>
        <v>0.9112272726808186</v>
      </c>
      <c r="L33" s="341"/>
      <c r="M33" s="341"/>
    </row>
    <row r="34" spans="2:13">
      <c r="B34" s="455"/>
      <c r="C34" s="456"/>
      <c r="D34" s="456"/>
      <c r="E34" s="456"/>
      <c r="F34" s="164">
        <v>31</v>
      </c>
      <c r="G34" s="165">
        <v>10.5</v>
      </c>
      <c r="H34" s="157">
        <f t="shared" si="0"/>
        <v>3.3439490445859872</v>
      </c>
      <c r="I34" s="128">
        <f t="shared" si="2"/>
        <v>1.3379219954003179</v>
      </c>
      <c r="J34" s="128">
        <f>I34*'Key Data'!$F$3</f>
        <v>0.33448049885007947</v>
      </c>
      <c r="K34" s="128">
        <f t="shared" si="1"/>
        <v>1.6724024942503974</v>
      </c>
      <c r="L34" s="341"/>
      <c r="M34" s="341"/>
    </row>
    <row r="35" spans="2:13">
      <c r="B35" s="455"/>
      <c r="C35" s="456"/>
      <c r="D35" s="456"/>
      <c r="E35" s="456"/>
      <c r="F35" s="164">
        <v>32</v>
      </c>
      <c r="G35" s="165">
        <v>9.3000000000000007</v>
      </c>
      <c r="H35" s="157">
        <f t="shared" si="0"/>
        <v>2.9617834394904459</v>
      </c>
      <c r="I35" s="128">
        <f t="shared" si="2"/>
        <v>0.99307945384255292</v>
      </c>
      <c r="J35" s="128">
        <f>I35*'Key Data'!$F$3</f>
        <v>0.24826986346063823</v>
      </c>
      <c r="K35" s="128">
        <f t="shared" si="1"/>
        <v>1.2413493173031911</v>
      </c>
      <c r="L35" s="341"/>
      <c r="M35" s="341"/>
    </row>
    <row r="36" spans="2:13">
      <c r="B36" s="455"/>
      <c r="C36" s="456"/>
      <c r="D36" s="456"/>
      <c r="E36" s="456"/>
      <c r="F36" s="164">
        <v>33</v>
      </c>
      <c r="G36" s="165">
        <v>11</v>
      </c>
      <c r="H36" s="157">
        <f t="shared" si="0"/>
        <v>3.5031847133757958</v>
      </c>
      <c r="I36" s="128">
        <f t="shared" si="2"/>
        <v>1.499858573011374</v>
      </c>
      <c r="J36" s="128">
        <f>I36*'Key Data'!$F$3</f>
        <v>0.37496464325284351</v>
      </c>
      <c r="K36" s="128">
        <f t="shared" si="1"/>
        <v>1.8748232162642176</v>
      </c>
      <c r="L36" s="341"/>
      <c r="M36" s="341"/>
    </row>
    <row r="37" spans="2:13">
      <c r="B37" s="455"/>
      <c r="C37" s="456"/>
      <c r="D37" s="456"/>
      <c r="E37" s="456"/>
      <c r="F37" s="164">
        <v>34</v>
      </c>
      <c r="G37" s="165">
        <v>9.6</v>
      </c>
      <c r="H37" s="157">
        <f t="shared" si="0"/>
        <v>3.057324840764331</v>
      </c>
      <c r="I37" s="128">
        <f t="shared" si="2"/>
        <v>1.0736136472900808</v>
      </c>
      <c r="J37" s="128">
        <f>I37*'Key Data'!$F$3</f>
        <v>0.2684034118225202</v>
      </c>
      <c r="K37" s="128">
        <f t="shared" si="1"/>
        <v>1.3420170591126011</v>
      </c>
      <c r="L37" s="341"/>
      <c r="M37" s="341"/>
    </row>
    <row r="38" spans="2:13">
      <c r="B38" s="455"/>
      <c r="C38" s="456"/>
      <c r="D38" s="456"/>
      <c r="E38" s="456"/>
      <c r="F38" s="164">
        <v>35</v>
      </c>
      <c r="G38" s="165">
        <v>10</v>
      </c>
      <c r="H38" s="157">
        <f t="shared" si="0"/>
        <v>3.1847133757961781</v>
      </c>
      <c r="I38" s="128">
        <f t="shared" si="2"/>
        <v>1.1868337150577419</v>
      </c>
      <c r="J38" s="128">
        <f>I38*'Key Data'!$F$3</f>
        <v>0.29670842876443548</v>
      </c>
      <c r="K38" s="128">
        <f t="shared" si="1"/>
        <v>1.4835421438221774</v>
      </c>
      <c r="L38" s="341"/>
      <c r="M38" s="341"/>
    </row>
    <row r="39" spans="2:13">
      <c r="B39" s="455"/>
      <c r="C39" s="456"/>
      <c r="D39" s="456"/>
      <c r="E39" s="456"/>
      <c r="F39" s="164">
        <v>36</v>
      </c>
      <c r="G39" s="165">
        <v>7.8000000000000007</v>
      </c>
      <c r="H39" s="157">
        <f t="shared" si="0"/>
        <v>2.4840764331210194</v>
      </c>
      <c r="I39" s="128">
        <f t="shared" si="2"/>
        <v>0.6447245671696844</v>
      </c>
      <c r="J39" s="128">
        <f>I39*'Key Data'!$F$3</f>
        <v>0.1611811417924211</v>
      </c>
      <c r="K39" s="128">
        <f t="shared" si="1"/>
        <v>0.80590570896210556</v>
      </c>
      <c r="L39" s="341"/>
      <c r="M39" s="341"/>
    </row>
    <row r="40" spans="2:13">
      <c r="B40" s="455"/>
      <c r="C40" s="456"/>
      <c r="D40" s="456"/>
      <c r="E40" s="456"/>
      <c r="F40" s="164">
        <v>37</v>
      </c>
      <c r="G40" s="165">
        <v>12.4</v>
      </c>
      <c r="H40" s="157">
        <f t="shared" si="0"/>
        <v>3.9490445859872612</v>
      </c>
      <c r="I40" s="128">
        <f t="shared" si="2"/>
        <v>2.0129525321800785</v>
      </c>
      <c r="J40" s="128">
        <f>I40*'Key Data'!$F$3</f>
        <v>0.50323813304501963</v>
      </c>
      <c r="K40" s="128">
        <f t="shared" si="1"/>
        <v>2.516190665225098</v>
      </c>
      <c r="L40" s="341"/>
      <c r="M40" s="341"/>
    </row>
    <row r="41" spans="2:13">
      <c r="B41" s="455"/>
      <c r="C41" s="456"/>
      <c r="D41" s="456"/>
      <c r="E41" s="456"/>
      <c r="F41" s="164">
        <v>38</v>
      </c>
      <c r="G41" s="165">
        <v>8.9</v>
      </c>
      <c r="H41" s="157">
        <f t="shared" si="0"/>
        <v>2.8343949044585988</v>
      </c>
      <c r="I41" s="128">
        <f t="shared" si="2"/>
        <v>0.89143920744182104</v>
      </c>
      <c r="J41" s="128">
        <f>I41*'Key Data'!$F$3</f>
        <v>0.22285980186045526</v>
      </c>
      <c r="K41" s="128">
        <f t="shared" si="1"/>
        <v>1.1142990093022762</v>
      </c>
      <c r="L41" s="341"/>
      <c r="M41" s="341"/>
    </row>
    <row r="42" spans="2:13">
      <c r="B42" s="455"/>
      <c r="C42" s="456"/>
      <c r="D42" s="456"/>
      <c r="E42" s="456"/>
      <c r="F42" s="164">
        <v>39</v>
      </c>
      <c r="G42" s="165">
        <v>10.4</v>
      </c>
      <c r="H42" s="157">
        <f t="shared" si="0"/>
        <v>3.3121019108280256</v>
      </c>
      <c r="I42" s="128">
        <f t="shared" si="2"/>
        <v>1.3068440244346042</v>
      </c>
      <c r="J42" s="128">
        <f>I42*'Key Data'!$F$3</f>
        <v>0.32671100610865106</v>
      </c>
      <c r="K42" s="128">
        <f t="shared" si="1"/>
        <v>1.6335550305432553</v>
      </c>
      <c r="L42" s="341"/>
      <c r="M42" s="341"/>
    </row>
    <row r="43" spans="2:13">
      <c r="B43" s="455"/>
      <c r="C43" s="456"/>
      <c r="D43" s="456"/>
      <c r="E43" s="456"/>
      <c r="F43" s="164">
        <v>40</v>
      </c>
      <c r="G43" s="165">
        <v>6.2</v>
      </c>
      <c r="H43" s="157">
        <f t="shared" si="0"/>
        <v>1.9745222929936306</v>
      </c>
      <c r="I43" s="128">
        <f t="shared" si="2"/>
        <v>0.36686295887889198</v>
      </c>
      <c r="J43" s="128">
        <f>I43*'Key Data'!$F$3</f>
        <v>9.1715739719722994E-2</v>
      </c>
      <c r="K43" s="128">
        <f t="shared" si="1"/>
        <v>0.458578698598615</v>
      </c>
      <c r="L43" s="341"/>
      <c r="M43" s="341"/>
    </row>
    <row r="44" spans="2:13">
      <c r="B44" s="455"/>
      <c r="C44" s="456"/>
      <c r="D44" s="456"/>
      <c r="E44" s="456"/>
      <c r="F44" s="164">
        <v>41</v>
      </c>
      <c r="G44" s="165">
        <v>9.6</v>
      </c>
      <c r="H44" s="157">
        <f t="shared" si="0"/>
        <v>3.057324840764331</v>
      </c>
      <c r="I44" s="128">
        <f t="shared" si="2"/>
        <v>1.0736136472900808</v>
      </c>
      <c r="J44" s="128">
        <f>I44*'Key Data'!$F$3</f>
        <v>0.2684034118225202</v>
      </c>
      <c r="K44" s="128">
        <f t="shared" si="1"/>
        <v>1.3420170591126011</v>
      </c>
      <c r="L44" s="341"/>
      <c r="M44" s="341"/>
    </row>
    <row r="45" spans="2:13">
      <c r="B45" s="455"/>
      <c r="C45" s="456"/>
      <c r="D45" s="456"/>
      <c r="E45" s="456"/>
      <c r="F45" s="164">
        <v>42</v>
      </c>
      <c r="G45" s="165">
        <v>12.7</v>
      </c>
      <c r="H45" s="157">
        <f t="shared" si="0"/>
        <v>4.0445859872611463</v>
      </c>
      <c r="I45" s="128">
        <f t="shared" si="2"/>
        <v>2.1346752448286024</v>
      </c>
      <c r="J45" s="128">
        <f>I45*'Key Data'!$F$3</f>
        <v>0.5336688112071506</v>
      </c>
      <c r="K45" s="128">
        <f t="shared" si="1"/>
        <v>2.6683440560357532</v>
      </c>
      <c r="L45" s="341"/>
      <c r="M45" s="341"/>
    </row>
    <row r="46" spans="2:13">
      <c r="B46" s="449">
        <v>2</v>
      </c>
      <c r="C46" s="345" t="s">
        <v>502</v>
      </c>
      <c r="D46" s="345">
        <v>23.020347000000001</v>
      </c>
      <c r="E46" s="345">
        <v>75.063492999999994</v>
      </c>
      <c r="F46" s="58">
        <v>1</v>
      </c>
      <c r="G46" s="123">
        <v>13.1</v>
      </c>
      <c r="H46" s="59">
        <f t="shared" si="0"/>
        <v>4.1719745222929934</v>
      </c>
      <c r="I46" s="62">
        <f t="shared" si="2"/>
        <v>2.3036058736103806</v>
      </c>
      <c r="J46" s="62">
        <f>I46*'Key Data'!$F$3</f>
        <v>0.57590146840259515</v>
      </c>
      <c r="K46" s="62">
        <f t="shared" si="1"/>
        <v>2.8795073420129755</v>
      </c>
      <c r="L46" s="344">
        <f>SUM(K79:K113)/1000</f>
        <v>0.52195191030084109</v>
      </c>
      <c r="M46" s="344">
        <f>L46/225*10000</f>
        <v>23.197862680037382</v>
      </c>
    </row>
    <row r="47" spans="2:13">
      <c r="B47" s="449"/>
      <c r="C47" s="345"/>
      <c r="D47" s="345"/>
      <c r="E47" s="345"/>
      <c r="F47" s="58">
        <v>2</v>
      </c>
      <c r="G47" s="123">
        <v>16.5</v>
      </c>
      <c r="H47" s="59">
        <f t="shared" si="0"/>
        <v>5.2547770700636942</v>
      </c>
      <c r="I47" s="62">
        <f t="shared" si="2"/>
        <v>4.0600412128794678</v>
      </c>
      <c r="J47" s="62">
        <f>I47*'Key Data'!$F$3</f>
        <v>1.015010303219867</v>
      </c>
      <c r="K47" s="62">
        <f t="shared" si="1"/>
        <v>5.075051516099335</v>
      </c>
      <c r="L47" s="344"/>
      <c r="M47" s="344"/>
    </row>
    <row r="48" spans="2:13">
      <c r="B48" s="449"/>
      <c r="C48" s="345"/>
      <c r="D48" s="345"/>
      <c r="E48" s="345"/>
      <c r="F48" s="58">
        <v>3</v>
      </c>
      <c r="G48" s="123">
        <v>16.600000000000001</v>
      </c>
      <c r="H48" s="59">
        <f t="shared" si="0"/>
        <v>5.2866242038216562</v>
      </c>
      <c r="I48" s="62">
        <f t="shared" si="2"/>
        <v>4.1207411947585451</v>
      </c>
      <c r="J48" s="62">
        <f>I48*'Key Data'!$F$3</f>
        <v>1.0301852986896363</v>
      </c>
      <c r="K48" s="62">
        <f t="shared" si="1"/>
        <v>5.1509264934481811</v>
      </c>
      <c r="L48" s="344"/>
      <c r="M48" s="344"/>
    </row>
    <row r="49" spans="2:13">
      <c r="B49" s="449"/>
      <c r="C49" s="345"/>
      <c r="D49" s="345"/>
      <c r="E49" s="345"/>
      <c r="F49" s="58">
        <v>4</v>
      </c>
      <c r="G49" s="123">
        <v>11.660568707605515</v>
      </c>
      <c r="H49" s="59">
        <f t="shared" si="0"/>
        <v>3.713556913250164</v>
      </c>
      <c r="I49" s="62">
        <f t="shared" si="2"/>
        <v>1.7308265067008468</v>
      </c>
      <c r="J49" s="62">
        <f>I49*'Key Data'!$F$3</f>
        <v>0.4327066266752117</v>
      </c>
      <c r="K49" s="62">
        <f t="shared" si="1"/>
        <v>2.1635331333760583</v>
      </c>
      <c r="L49" s="344"/>
      <c r="M49" s="344"/>
    </row>
    <row r="50" spans="2:13">
      <c r="B50" s="449"/>
      <c r="C50" s="345"/>
      <c r="D50" s="345"/>
      <c r="E50" s="345"/>
      <c r="F50" s="58">
        <v>5</v>
      </c>
      <c r="G50" s="123">
        <v>17.2</v>
      </c>
      <c r="H50" s="59">
        <f t="shared" si="0"/>
        <v>5.4777070063694264</v>
      </c>
      <c r="I50" s="62">
        <f t="shared" si="2"/>
        <v>4.4962219418867573</v>
      </c>
      <c r="J50" s="62">
        <f>I50*'Key Data'!$F$3</f>
        <v>1.1240554854716893</v>
      </c>
      <c r="K50" s="62">
        <f t="shared" si="1"/>
        <v>5.620277427358447</v>
      </c>
      <c r="L50" s="344"/>
      <c r="M50" s="344"/>
    </row>
    <row r="51" spans="2:13">
      <c r="B51" s="449"/>
      <c r="C51" s="345"/>
      <c r="D51" s="345"/>
      <c r="E51" s="345"/>
      <c r="F51" s="58">
        <v>6</v>
      </c>
      <c r="G51" s="123">
        <v>18.100000000000001</v>
      </c>
      <c r="H51" s="59">
        <f t="shared" si="0"/>
        <v>5.7643312101910826</v>
      </c>
      <c r="I51" s="62">
        <f t="shared" si="2"/>
        <v>5.0962233683685136</v>
      </c>
      <c r="J51" s="62">
        <f>I51*'Key Data'!$F$3</f>
        <v>1.2740558420921284</v>
      </c>
      <c r="K51" s="62">
        <f t="shared" si="1"/>
        <v>6.3702792104606418</v>
      </c>
      <c r="L51" s="344"/>
      <c r="M51" s="344"/>
    </row>
    <row r="52" spans="2:13">
      <c r="B52" s="449"/>
      <c r="C52" s="345"/>
      <c r="D52" s="345"/>
      <c r="E52" s="345"/>
      <c r="F52" s="58">
        <v>7</v>
      </c>
      <c r="G52" s="123">
        <v>12.9</v>
      </c>
      <c r="H52" s="59">
        <f t="shared" si="0"/>
        <v>4.1082802547770703</v>
      </c>
      <c r="I52" s="62">
        <f t="shared" si="2"/>
        <v>2.2181872443698327</v>
      </c>
      <c r="J52" s="62">
        <f>I52*'Key Data'!$F$3</f>
        <v>0.55454681109245818</v>
      </c>
      <c r="K52" s="62">
        <f t="shared" si="1"/>
        <v>2.772734055462291</v>
      </c>
      <c r="L52" s="344"/>
      <c r="M52" s="344"/>
    </row>
    <row r="53" spans="2:13">
      <c r="B53" s="449"/>
      <c r="C53" s="345"/>
      <c r="D53" s="345"/>
      <c r="E53" s="345"/>
      <c r="F53" s="58">
        <v>8</v>
      </c>
      <c r="G53" s="123">
        <v>13.524462124292246</v>
      </c>
      <c r="H53" s="59">
        <f t="shared" si="0"/>
        <v>4.3071535427682308</v>
      </c>
      <c r="I53" s="62">
        <f t="shared" si="2"/>
        <v>2.4912688623375421</v>
      </c>
      <c r="J53" s="62">
        <f>I53*'Key Data'!$F$3</f>
        <v>0.62281721558438552</v>
      </c>
      <c r="K53" s="62">
        <f t="shared" si="1"/>
        <v>3.1140860779219275</v>
      </c>
      <c r="L53" s="344"/>
      <c r="M53" s="344"/>
    </row>
    <row r="54" spans="2:13">
      <c r="B54" s="449"/>
      <c r="C54" s="345"/>
      <c r="D54" s="345"/>
      <c r="E54" s="345"/>
      <c r="F54" s="58">
        <v>9</v>
      </c>
      <c r="G54" s="123">
        <v>14.926079241294763</v>
      </c>
      <c r="H54" s="59">
        <f t="shared" si="0"/>
        <v>4.7535284207945105</v>
      </c>
      <c r="I54" s="62">
        <f t="shared" si="2"/>
        <v>3.1739539374309347</v>
      </c>
      <c r="J54" s="62">
        <f>I54*'Key Data'!$F$3</f>
        <v>0.79348848435773367</v>
      </c>
      <c r="K54" s="62">
        <f t="shared" si="1"/>
        <v>3.9674424217886681</v>
      </c>
      <c r="L54" s="344"/>
      <c r="M54" s="344"/>
    </row>
    <row r="55" spans="2:13">
      <c r="B55" s="449"/>
      <c r="C55" s="345"/>
      <c r="D55" s="345"/>
      <c r="E55" s="345"/>
      <c r="F55" s="58">
        <v>10</v>
      </c>
      <c r="G55" s="123">
        <v>11.6</v>
      </c>
      <c r="H55" s="59">
        <f t="shared" si="0"/>
        <v>3.6942675159235665</v>
      </c>
      <c r="I55" s="62">
        <f t="shared" si="2"/>
        <v>1.7088293577631144</v>
      </c>
      <c r="J55" s="62">
        <f>I55*'Key Data'!$F$3</f>
        <v>0.4272073394407786</v>
      </c>
      <c r="K55" s="62">
        <f t="shared" si="1"/>
        <v>2.1360366972038931</v>
      </c>
      <c r="L55" s="344"/>
      <c r="M55" s="344"/>
    </row>
    <row r="56" spans="2:13">
      <c r="B56" s="449"/>
      <c r="C56" s="345"/>
      <c r="D56" s="345"/>
      <c r="E56" s="345"/>
      <c r="F56" s="58">
        <v>11</v>
      </c>
      <c r="G56" s="123">
        <v>14.4</v>
      </c>
      <c r="H56" s="59">
        <f t="shared" si="0"/>
        <v>4.5859872611464967</v>
      </c>
      <c r="I56" s="62">
        <f t="shared" si="2"/>
        <v>2.9062177815578027</v>
      </c>
      <c r="J56" s="62">
        <f>I56*'Key Data'!$F$3</f>
        <v>0.72655444538945069</v>
      </c>
      <c r="K56" s="62">
        <f t="shared" si="1"/>
        <v>3.6327722269472535</v>
      </c>
      <c r="L56" s="344"/>
      <c r="M56" s="344"/>
    </row>
    <row r="57" spans="2:13">
      <c r="B57" s="449"/>
      <c r="C57" s="345"/>
      <c r="D57" s="345"/>
      <c r="E57" s="345"/>
      <c r="F57" s="58">
        <v>12</v>
      </c>
      <c r="G57" s="123">
        <v>13.6</v>
      </c>
      <c r="H57" s="59">
        <f t="shared" si="0"/>
        <v>4.3312101910828025</v>
      </c>
      <c r="I57" s="62">
        <f t="shared" si="2"/>
        <v>2.5255817695877463</v>
      </c>
      <c r="J57" s="62">
        <f>I57*'Key Data'!$F$3</f>
        <v>0.63139544239693657</v>
      </c>
      <c r="K57" s="62">
        <f t="shared" si="1"/>
        <v>3.1569772119846826</v>
      </c>
      <c r="L57" s="344"/>
      <c r="M57" s="344"/>
    </row>
    <row r="58" spans="2:13">
      <c r="B58" s="449"/>
      <c r="C58" s="345"/>
      <c r="D58" s="345"/>
      <c r="E58" s="345"/>
      <c r="F58" s="58">
        <v>13</v>
      </c>
      <c r="G58" s="123">
        <v>15.561400906928132</v>
      </c>
      <c r="H58" s="59">
        <f t="shared" si="0"/>
        <v>4.9558601614420796</v>
      </c>
      <c r="I58" s="62">
        <f t="shared" si="2"/>
        <v>3.5161019700470373</v>
      </c>
      <c r="J58" s="62">
        <f>I58*'Key Data'!$F$3</f>
        <v>0.87902549251175932</v>
      </c>
      <c r="K58" s="62">
        <f t="shared" si="1"/>
        <v>4.395127462558797</v>
      </c>
      <c r="L58" s="344"/>
      <c r="M58" s="344"/>
    </row>
    <row r="59" spans="2:13">
      <c r="B59" s="449"/>
      <c r="C59" s="345"/>
      <c r="D59" s="345"/>
      <c r="E59" s="345"/>
      <c r="F59" s="58">
        <v>14</v>
      </c>
      <c r="G59" s="123">
        <v>16.356554957709783</v>
      </c>
      <c r="H59" s="59">
        <f t="shared" si="0"/>
        <v>5.2090939355763641</v>
      </c>
      <c r="I59" s="62">
        <f t="shared" si="2"/>
        <v>3.9739008510814799</v>
      </c>
      <c r="J59" s="62">
        <f>I59*'Key Data'!$F$3</f>
        <v>0.99347521277036999</v>
      </c>
      <c r="K59" s="62">
        <f t="shared" si="1"/>
        <v>4.9673760638518498</v>
      </c>
      <c r="L59" s="344"/>
      <c r="M59" s="344"/>
    </row>
    <row r="60" spans="2:13">
      <c r="B60" s="449"/>
      <c r="C60" s="345"/>
      <c r="D60" s="345"/>
      <c r="E60" s="345"/>
      <c r="F60" s="58">
        <v>15</v>
      </c>
      <c r="G60" s="123">
        <v>11.8</v>
      </c>
      <c r="H60" s="59">
        <f t="shared" si="0"/>
        <v>3.7579617834394905</v>
      </c>
      <c r="I60" s="62">
        <f t="shared" si="2"/>
        <v>1.7821000607849087</v>
      </c>
      <c r="J60" s="62">
        <f>I60*'Key Data'!$F$3</f>
        <v>0.44552501519622717</v>
      </c>
      <c r="K60" s="62">
        <f t="shared" si="1"/>
        <v>2.2276250759811358</v>
      </c>
      <c r="L60" s="344"/>
      <c r="M60" s="344"/>
    </row>
    <row r="61" spans="2:13">
      <c r="B61" s="449"/>
      <c r="C61" s="345"/>
      <c r="D61" s="345"/>
      <c r="E61" s="345"/>
      <c r="F61" s="58">
        <v>16</v>
      </c>
      <c r="G61" s="123">
        <v>13.486200329969208</v>
      </c>
      <c r="H61" s="59">
        <f t="shared" si="0"/>
        <v>4.294968257951977</v>
      </c>
      <c r="I61" s="62">
        <f t="shared" si="2"/>
        <v>2.4739946085329181</v>
      </c>
      <c r="J61" s="62">
        <f>I61*'Key Data'!$F$3</f>
        <v>0.61849865213322952</v>
      </c>
      <c r="K61" s="62">
        <f t="shared" si="1"/>
        <v>3.0924932606661475</v>
      </c>
      <c r="L61" s="344"/>
      <c r="M61" s="344"/>
    </row>
    <row r="62" spans="2:13">
      <c r="B62" s="449"/>
      <c r="C62" s="345"/>
      <c r="D62" s="345"/>
      <c r="E62" s="345"/>
      <c r="F62" s="58">
        <v>17</v>
      </c>
      <c r="G62" s="123">
        <v>17.5</v>
      </c>
      <c r="H62" s="59">
        <f t="shared" si="0"/>
        <v>5.5732484076433115</v>
      </c>
      <c r="I62" s="62">
        <f t="shared" si="2"/>
        <v>4.691279653986399</v>
      </c>
      <c r="J62" s="62">
        <f>I62*'Key Data'!$F$3</f>
        <v>1.1728199134965998</v>
      </c>
      <c r="K62" s="62">
        <f t="shared" si="1"/>
        <v>5.8640995674829988</v>
      </c>
      <c r="L62" s="344"/>
      <c r="M62" s="344"/>
    </row>
    <row r="63" spans="2:13">
      <c r="B63" s="449"/>
      <c r="C63" s="345"/>
      <c r="D63" s="345"/>
      <c r="E63" s="345"/>
      <c r="F63" s="58">
        <v>18</v>
      </c>
      <c r="G63" s="123">
        <v>22.082460874005612</v>
      </c>
      <c r="H63" s="59">
        <f t="shared" si="0"/>
        <v>7.0326308515941438</v>
      </c>
      <c r="I63" s="62">
        <f t="shared" si="2"/>
        <v>8.3055894610308112</v>
      </c>
      <c r="J63" s="62">
        <f>I63*'Key Data'!$F$3</f>
        <v>2.0763973652577028</v>
      </c>
      <c r="K63" s="62">
        <f t="shared" si="1"/>
        <v>10.381986826288514</v>
      </c>
      <c r="L63" s="344"/>
      <c r="M63" s="344"/>
    </row>
    <row r="64" spans="2:13">
      <c r="B64" s="449"/>
      <c r="C64" s="345"/>
      <c r="D64" s="345"/>
      <c r="E64" s="345"/>
      <c r="F64" s="58">
        <v>19</v>
      </c>
      <c r="G64" s="123">
        <v>16.2</v>
      </c>
      <c r="H64" s="59">
        <f t="shared" si="0"/>
        <v>5.1592356687898082</v>
      </c>
      <c r="I64" s="62">
        <f t="shared" si="2"/>
        <v>3.8811350128756921</v>
      </c>
      <c r="J64" s="62">
        <f>I64*'Key Data'!$F$3</f>
        <v>0.97028375321892302</v>
      </c>
      <c r="K64" s="62">
        <f t="shared" si="1"/>
        <v>4.8514187660946151</v>
      </c>
      <c r="L64" s="344"/>
      <c r="M64" s="344"/>
    </row>
    <row r="65" spans="2:13">
      <c r="B65" s="449"/>
      <c r="C65" s="345"/>
      <c r="D65" s="345"/>
      <c r="E65" s="345"/>
      <c r="F65" s="58">
        <v>20</v>
      </c>
      <c r="G65" s="123">
        <v>15.100000000000001</v>
      </c>
      <c r="H65" s="59">
        <f t="shared" si="0"/>
        <v>4.8089171974522298</v>
      </c>
      <c r="I65" s="62">
        <f t="shared" si="2"/>
        <v>3.2655569164456675</v>
      </c>
      <c r="J65" s="62">
        <f>I65*'Key Data'!$F$3</f>
        <v>0.81638922911141687</v>
      </c>
      <c r="K65" s="62">
        <f t="shared" si="1"/>
        <v>4.081946145557084</v>
      </c>
      <c r="L65" s="344"/>
      <c r="M65" s="344"/>
    </row>
    <row r="66" spans="2:13">
      <c r="B66" s="449"/>
      <c r="C66" s="345"/>
      <c r="D66" s="345"/>
      <c r="E66" s="345"/>
      <c r="F66" s="58">
        <v>21</v>
      </c>
      <c r="G66" s="123">
        <v>13.84082207965583</v>
      </c>
      <c r="H66" s="59">
        <f t="shared" si="0"/>
        <v>4.4079051209094997</v>
      </c>
      <c r="I66" s="62">
        <f t="shared" si="2"/>
        <v>2.636838110237949</v>
      </c>
      <c r="J66" s="62">
        <f>I66*'Key Data'!$F$3</f>
        <v>0.65920952755948725</v>
      </c>
      <c r="K66" s="62">
        <f t="shared" si="1"/>
        <v>3.2960476377974364</v>
      </c>
      <c r="L66" s="344"/>
      <c r="M66" s="344"/>
    </row>
    <row r="67" spans="2:13">
      <c r="B67" s="449"/>
      <c r="C67" s="345"/>
      <c r="D67" s="345"/>
      <c r="E67" s="345"/>
      <c r="F67" s="58">
        <v>22</v>
      </c>
      <c r="G67" s="123">
        <v>13.877163708180401</v>
      </c>
      <c r="H67" s="59">
        <f t="shared" si="0"/>
        <v>4.4194788879555418</v>
      </c>
      <c r="I67" s="62">
        <f t="shared" si="2"/>
        <v>2.653874753104323</v>
      </c>
      <c r="J67" s="62">
        <f>I67*'Key Data'!$F$3</f>
        <v>0.66346868827608074</v>
      </c>
      <c r="K67" s="62">
        <f t="shared" si="1"/>
        <v>3.3173434413804035</v>
      </c>
      <c r="L67" s="344"/>
      <c r="M67" s="344"/>
    </row>
    <row r="68" spans="2:13">
      <c r="B68" s="449"/>
      <c r="C68" s="345"/>
      <c r="D68" s="345"/>
      <c r="E68" s="345"/>
      <c r="F68" s="58">
        <v>23</v>
      </c>
      <c r="G68" s="123">
        <v>15.399999999999999</v>
      </c>
      <c r="H68" s="59">
        <f t="shared" si="0"/>
        <v>4.904458598726114</v>
      </c>
      <c r="I68" s="62">
        <f t="shared" si="2"/>
        <v>3.4272103874285151</v>
      </c>
      <c r="J68" s="62">
        <f>I68*'Key Data'!$F$3</f>
        <v>0.85680259685712878</v>
      </c>
      <c r="K68" s="62">
        <f t="shared" si="1"/>
        <v>4.2840129842856438</v>
      </c>
      <c r="L68" s="344"/>
      <c r="M68" s="344"/>
    </row>
    <row r="69" spans="2:13">
      <c r="B69" s="449"/>
      <c r="C69" s="345"/>
      <c r="D69" s="345"/>
      <c r="E69" s="345"/>
      <c r="F69" s="58">
        <v>24</v>
      </c>
      <c r="G69" s="123">
        <v>16.340126873814967</v>
      </c>
      <c r="H69" s="59">
        <f t="shared" ref="H69:H132" si="3">G69/3.14</f>
        <v>5.2038620617245117</v>
      </c>
      <c r="I69" s="62">
        <f t="shared" ref="I69:I132" si="4">0.069 * H69^2.456</f>
        <v>3.9641054359114078</v>
      </c>
      <c r="J69" s="62">
        <f>I69*'Key Data'!$F$3</f>
        <v>0.99102635897785196</v>
      </c>
      <c r="K69" s="62">
        <f t="shared" ref="K69:K132" si="5">J69+I69</f>
        <v>4.9551317948892599</v>
      </c>
      <c r="L69" s="344"/>
      <c r="M69" s="344"/>
    </row>
    <row r="70" spans="2:13">
      <c r="B70" s="449"/>
      <c r="C70" s="345"/>
      <c r="D70" s="345"/>
      <c r="E70" s="345"/>
      <c r="F70" s="58">
        <v>25</v>
      </c>
      <c r="G70" s="123">
        <v>13.8</v>
      </c>
      <c r="H70" s="59">
        <f t="shared" si="3"/>
        <v>4.3949044585987265</v>
      </c>
      <c r="I70" s="62">
        <f t="shared" si="4"/>
        <v>2.6177785890711021</v>
      </c>
      <c r="J70" s="62">
        <f>I70*'Key Data'!$F$3</f>
        <v>0.65444464726777551</v>
      </c>
      <c r="K70" s="62">
        <f t="shared" si="5"/>
        <v>3.2722232363388777</v>
      </c>
      <c r="L70" s="344"/>
      <c r="M70" s="344"/>
    </row>
    <row r="71" spans="2:13">
      <c r="B71" s="449"/>
      <c r="C71" s="345"/>
      <c r="D71" s="345"/>
      <c r="E71" s="345"/>
      <c r="F71" s="58">
        <v>26</v>
      </c>
      <c r="G71" s="123">
        <v>15.2</v>
      </c>
      <c r="H71" s="59">
        <f t="shared" si="3"/>
        <v>4.8407643312101909</v>
      </c>
      <c r="I71" s="62">
        <f t="shared" si="4"/>
        <v>3.3189272054316623</v>
      </c>
      <c r="J71" s="62">
        <f>I71*'Key Data'!$F$3</f>
        <v>0.82973180135791558</v>
      </c>
      <c r="K71" s="62">
        <f t="shared" si="5"/>
        <v>4.1486590067895781</v>
      </c>
      <c r="L71" s="344"/>
      <c r="M71" s="344"/>
    </row>
    <row r="72" spans="2:13">
      <c r="B72" s="449"/>
      <c r="C72" s="345"/>
      <c r="D72" s="345"/>
      <c r="E72" s="345"/>
      <c r="F72" s="58">
        <v>27</v>
      </c>
      <c r="G72" s="123">
        <v>14.5</v>
      </c>
      <c r="H72" s="59">
        <f t="shared" si="3"/>
        <v>4.6178343949044587</v>
      </c>
      <c r="I72" s="62">
        <f t="shared" si="4"/>
        <v>2.9560357941747868</v>
      </c>
      <c r="J72" s="62">
        <f>I72*'Key Data'!$F$3</f>
        <v>0.7390089485436967</v>
      </c>
      <c r="K72" s="62">
        <f t="shared" si="5"/>
        <v>3.6950447427184834</v>
      </c>
      <c r="L72" s="344"/>
      <c r="M72" s="344"/>
    </row>
    <row r="73" spans="2:13">
      <c r="B73" s="449"/>
      <c r="C73" s="345"/>
      <c r="D73" s="345"/>
      <c r="E73" s="345"/>
      <c r="F73" s="58">
        <v>28</v>
      </c>
      <c r="G73" s="123">
        <v>17.2</v>
      </c>
      <c r="H73" s="59">
        <f t="shared" si="3"/>
        <v>5.4777070063694264</v>
      </c>
      <c r="I73" s="62">
        <f t="shared" si="4"/>
        <v>4.4962219418867573</v>
      </c>
      <c r="J73" s="62">
        <f>I73*'Key Data'!$F$3</f>
        <v>1.1240554854716893</v>
      </c>
      <c r="K73" s="62">
        <f t="shared" si="5"/>
        <v>5.620277427358447</v>
      </c>
      <c r="L73" s="344"/>
      <c r="M73" s="344"/>
    </row>
    <row r="74" spans="2:13">
      <c r="B74" s="449"/>
      <c r="C74" s="345"/>
      <c r="D74" s="345"/>
      <c r="E74" s="345"/>
      <c r="F74" s="58">
        <v>29</v>
      </c>
      <c r="G74" s="123">
        <v>17</v>
      </c>
      <c r="H74" s="59">
        <f t="shared" si="3"/>
        <v>5.4140127388535033</v>
      </c>
      <c r="I74" s="62">
        <f t="shared" si="4"/>
        <v>4.3689032366516765</v>
      </c>
      <c r="J74" s="62">
        <f>I74*'Key Data'!$F$3</f>
        <v>1.0922258091629191</v>
      </c>
      <c r="K74" s="62">
        <f t="shared" si="5"/>
        <v>5.4611290458145954</v>
      </c>
      <c r="L74" s="344"/>
      <c r="M74" s="344"/>
    </row>
    <row r="75" spans="2:13">
      <c r="B75" s="449"/>
      <c r="C75" s="345"/>
      <c r="D75" s="345"/>
      <c r="E75" s="345"/>
      <c r="F75" s="58">
        <v>30</v>
      </c>
      <c r="G75" s="123">
        <v>16.2</v>
      </c>
      <c r="H75" s="59">
        <f t="shared" si="3"/>
        <v>5.1592356687898082</v>
      </c>
      <c r="I75" s="62">
        <f t="shared" si="4"/>
        <v>3.8811350128756921</v>
      </c>
      <c r="J75" s="62">
        <f>I75*'Key Data'!$F$3</f>
        <v>0.97028375321892302</v>
      </c>
      <c r="K75" s="62">
        <f t="shared" si="5"/>
        <v>4.8514187660946151</v>
      </c>
      <c r="L75" s="344"/>
      <c r="M75" s="344"/>
    </row>
    <row r="76" spans="2:13">
      <c r="B76" s="449"/>
      <c r="C76" s="345"/>
      <c r="D76" s="345"/>
      <c r="E76" s="345"/>
      <c r="F76" s="58">
        <v>31</v>
      </c>
      <c r="G76" s="123">
        <v>12.5</v>
      </c>
      <c r="H76" s="59">
        <f t="shared" si="3"/>
        <v>3.9808917197452227</v>
      </c>
      <c r="I76" s="62">
        <f t="shared" si="4"/>
        <v>2.0530563379579201</v>
      </c>
      <c r="J76" s="62">
        <f>I76*'Key Data'!$F$3</f>
        <v>0.51326408448948002</v>
      </c>
      <c r="K76" s="62">
        <f t="shared" si="5"/>
        <v>2.5663204224473999</v>
      </c>
      <c r="L76" s="344"/>
      <c r="M76" s="344"/>
    </row>
    <row r="77" spans="2:13">
      <c r="B77" s="449"/>
      <c r="C77" s="345"/>
      <c r="D77" s="345"/>
      <c r="E77" s="345"/>
      <c r="F77" s="58">
        <v>32</v>
      </c>
      <c r="G77" s="123">
        <v>17.417654573804992</v>
      </c>
      <c r="H77" s="59">
        <f t="shared" si="3"/>
        <v>5.5470237496194237</v>
      </c>
      <c r="I77" s="62">
        <f t="shared" si="4"/>
        <v>4.6372500323169863</v>
      </c>
      <c r="J77" s="62">
        <f>I77*'Key Data'!$F$3</f>
        <v>1.1593125080792466</v>
      </c>
      <c r="K77" s="62">
        <f t="shared" si="5"/>
        <v>5.7965625403962324</v>
      </c>
      <c r="L77" s="344"/>
      <c r="M77" s="344"/>
    </row>
    <row r="78" spans="2:13">
      <c r="B78" s="449"/>
      <c r="C78" s="345"/>
      <c r="D78" s="345"/>
      <c r="E78" s="345"/>
      <c r="F78" s="58">
        <v>33</v>
      </c>
      <c r="G78" s="123">
        <v>16.5</v>
      </c>
      <c r="H78" s="59">
        <f t="shared" si="3"/>
        <v>5.2547770700636942</v>
      </c>
      <c r="I78" s="62">
        <f t="shared" si="4"/>
        <v>4.0600412128794678</v>
      </c>
      <c r="J78" s="62">
        <f>I78*'Key Data'!$F$3</f>
        <v>1.015010303219867</v>
      </c>
      <c r="K78" s="62">
        <f t="shared" si="5"/>
        <v>5.075051516099335</v>
      </c>
      <c r="L78" s="344"/>
      <c r="M78" s="344"/>
    </row>
    <row r="79" spans="2:13">
      <c r="B79" s="453">
        <v>3</v>
      </c>
      <c r="C79" s="454"/>
      <c r="D79" s="454">
        <v>23.10153</v>
      </c>
      <c r="E79" s="454">
        <v>75.113079999999997</v>
      </c>
      <c r="F79" s="162">
        <v>1</v>
      </c>
      <c r="G79" s="163">
        <v>24.5</v>
      </c>
      <c r="H79" s="166">
        <f t="shared" si="3"/>
        <v>7.8025477707006363</v>
      </c>
      <c r="I79" s="167">
        <f t="shared" si="4"/>
        <v>10.719678941590653</v>
      </c>
      <c r="J79" s="167">
        <f>I79*'Key Data'!$F$3</f>
        <v>2.6799197353976631</v>
      </c>
      <c r="K79" s="167">
        <f t="shared" si="5"/>
        <v>13.399598676988315</v>
      </c>
      <c r="L79" s="452">
        <f>SUM(K79:K113)/1000</f>
        <v>0.52195191030084109</v>
      </c>
      <c r="M79" s="452">
        <f>L79/225*10000</f>
        <v>23.197862680037382</v>
      </c>
    </row>
    <row r="80" spans="2:13">
      <c r="B80" s="453"/>
      <c r="C80" s="454"/>
      <c r="D80" s="454"/>
      <c r="E80" s="454"/>
      <c r="F80" s="162">
        <v>2</v>
      </c>
      <c r="G80" s="163">
        <v>23.5</v>
      </c>
      <c r="H80" s="166">
        <f t="shared" si="3"/>
        <v>7.484076433121019</v>
      </c>
      <c r="I80" s="167">
        <f t="shared" si="4"/>
        <v>9.6768173721254644</v>
      </c>
      <c r="J80" s="167">
        <f>I80*'Key Data'!$F$3</f>
        <v>2.4192043430313661</v>
      </c>
      <c r="K80" s="167">
        <f t="shared" si="5"/>
        <v>12.09602171515683</v>
      </c>
      <c r="L80" s="452"/>
      <c r="M80" s="452"/>
    </row>
    <row r="81" spans="2:13">
      <c r="B81" s="453"/>
      <c r="C81" s="454"/>
      <c r="D81" s="454"/>
      <c r="E81" s="454"/>
      <c r="F81" s="162">
        <v>3</v>
      </c>
      <c r="G81" s="163">
        <v>23.5</v>
      </c>
      <c r="H81" s="166">
        <f t="shared" si="3"/>
        <v>7.484076433121019</v>
      </c>
      <c r="I81" s="167">
        <f t="shared" si="4"/>
        <v>9.6768173721254644</v>
      </c>
      <c r="J81" s="167">
        <f>I81*'Key Data'!$F$3</f>
        <v>2.4192043430313661</v>
      </c>
      <c r="K81" s="167">
        <f t="shared" si="5"/>
        <v>12.09602171515683</v>
      </c>
      <c r="L81" s="452"/>
      <c r="M81" s="452"/>
    </row>
    <row r="82" spans="2:13">
      <c r="B82" s="453"/>
      <c r="C82" s="454"/>
      <c r="D82" s="454"/>
      <c r="E82" s="454"/>
      <c r="F82" s="162">
        <v>4</v>
      </c>
      <c r="G82" s="163">
        <v>23.5</v>
      </c>
      <c r="H82" s="166">
        <f t="shared" si="3"/>
        <v>7.484076433121019</v>
      </c>
      <c r="I82" s="167">
        <f t="shared" si="4"/>
        <v>9.6768173721254644</v>
      </c>
      <c r="J82" s="167">
        <f>I82*'Key Data'!$F$3</f>
        <v>2.4192043430313661</v>
      </c>
      <c r="K82" s="167">
        <f t="shared" si="5"/>
        <v>12.09602171515683</v>
      </c>
      <c r="L82" s="452"/>
      <c r="M82" s="452"/>
    </row>
    <row r="83" spans="2:13">
      <c r="B83" s="453"/>
      <c r="C83" s="454"/>
      <c r="D83" s="454"/>
      <c r="E83" s="454"/>
      <c r="F83" s="162">
        <v>5</v>
      </c>
      <c r="G83" s="163">
        <v>25</v>
      </c>
      <c r="H83" s="166">
        <f t="shared" si="3"/>
        <v>7.9617834394904454</v>
      </c>
      <c r="I83" s="167">
        <f t="shared" si="4"/>
        <v>11.264982888515149</v>
      </c>
      <c r="J83" s="167">
        <f>I83*'Key Data'!$F$3</f>
        <v>2.8162457221287873</v>
      </c>
      <c r="K83" s="167">
        <f t="shared" si="5"/>
        <v>14.081228610643937</v>
      </c>
      <c r="L83" s="452"/>
      <c r="M83" s="452"/>
    </row>
    <row r="84" spans="2:13">
      <c r="B84" s="453"/>
      <c r="C84" s="454"/>
      <c r="D84" s="454"/>
      <c r="E84" s="454"/>
      <c r="F84" s="162">
        <v>6</v>
      </c>
      <c r="G84" s="163">
        <v>30</v>
      </c>
      <c r="H84" s="166">
        <f t="shared" si="3"/>
        <v>9.5541401273885338</v>
      </c>
      <c r="I84" s="167">
        <f t="shared" si="4"/>
        <v>17.627863408097646</v>
      </c>
      <c r="J84" s="167">
        <f>I84*'Key Data'!$F$3</f>
        <v>4.4069658520244115</v>
      </c>
      <c r="K84" s="167">
        <f t="shared" si="5"/>
        <v>22.034829260122059</v>
      </c>
      <c r="L84" s="452"/>
      <c r="M84" s="452"/>
    </row>
    <row r="85" spans="2:13">
      <c r="B85" s="453"/>
      <c r="C85" s="454"/>
      <c r="D85" s="454"/>
      <c r="E85" s="454"/>
      <c r="F85" s="162">
        <v>7</v>
      </c>
      <c r="G85" s="163">
        <v>31</v>
      </c>
      <c r="H85" s="166">
        <f t="shared" si="3"/>
        <v>9.872611464968152</v>
      </c>
      <c r="I85" s="167">
        <f t="shared" si="4"/>
        <v>19.106194526415663</v>
      </c>
      <c r="J85" s="167">
        <f>I85*'Key Data'!$F$3</f>
        <v>4.7765486316039159</v>
      </c>
      <c r="K85" s="167">
        <f t="shared" si="5"/>
        <v>23.882743158019579</v>
      </c>
      <c r="L85" s="452"/>
      <c r="M85" s="452"/>
    </row>
    <row r="86" spans="2:13">
      <c r="B86" s="453"/>
      <c r="C86" s="454"/>
      <c r="D86" s="454"/>
      <c r="E86" s="454"/>
      <c r="F86" s="162">
        <v>8</v>
      </c>
      <c r="G86" s="163">
        <v>25</v>
      </c>
      <c r="H86" s="166">
        <f t="shared" si="3"/>
        <v>7.9617834394904454</v>
      </c>
      <c r="I86" s="167">
        <f t="shared" si="4"/>
        <v>11.264982888515149</v>
      </c>
      <c r="J86" s="167">
        <f>I86*'Key Data'!$F$3</f>
        <v>2.8162457221287873</v>
      </c>
      <c r="K86" s="167">
        <f t="shared" si="5"/>
        <v>14.081228610643937</v>
      </c>
      <c r="L86" s="452"/>
      <c r="M86" s="452"/>
    </row>
    <row r="87" spans="2:13">
      <c r="B87" s="453"/>
      <c r="C87" s="454"/>
      <c r="D87" s="454"/>
      <c r="E87" s="454"/>
      <c r="F87" s="162">
        <v>9</v>
      </c>
      <c r="G87" s="163">
        <v>25</v>
      </c>
      <c r="H87" s="166">
        <f t="shared" si="3"/>
        <v>7.9617834394904454</v>
      </c>
      <c r="I87" s="167">
        <f t="shared" si="4"/>
        <v>11.264982888515149</v>
      </c>
      <c r="J87" s="167">
        <f>I87*'Key Data'!$F$3</f>
        <v>2.8162457221287873</v>
      </c>
      <c r="K87" s="167">
        <f t="shared" si="5"/>
        <v>14.081228610643937</v>
      </c>
      <c r="L87" s="452"/>
      <c r="M87" s="452"/>
    </row>
    <row r="88" spans="2:13">
      <c r="B88" s="453"/>
      <c r="C88" s="454"/>
      <c r="D88" s="454"/>
      <c r="E88" s="454"/>
      <c r="F88" s="162">
        <v>10</v>
      </c>
      <c r="G88" s="163">
        <v>27.5</v>
      </c>
      <c r="H88" s="166">
        <f t="shared" si="3"/>
        <v>8.7579617834394909</v>
      </c>
      <c r="I88" s="167">
        <f t="shared" si="4"/>
        <v>14.236098069849525</v>
      </c>
      <c r="J88" s="167">
        <f>I88*'Key Data'!$F$3</f>
        <v>3.5590245174623814</v>
      </c>
      <c r="K88" s="167">
        <f t="shared" si="5"/>
        <v>17.795122587311909</v>
      </c>
      <c r="L88" s="452"/>
      <c r="M88" s="452"/>
    </row>
    <row r="89" spans="2:13">
      <c r="B89" s="453"/>
      <c r="C89" s="454"/>
      <c r="D89" s="454"/>
      <c r="E89" s="454"/>
      <c r="F89" s="162">
        <v>11</v>
      </c>
      <c r="G89" s="163">
        <v>24</v>
      </c>
      <c r="H89" s="166">
        <f t="shared" si="3"/>
        <v>7.6433121019108281</v>
      </c>
      <c r="I89" s="167">
        <f t="shared" si="4"/>
        <v>10.190340240722499</v>
      </c>
      <c r="J89" s="167">
        <f>I89*'Key Data'!$F$3</f>
        <v>2.5475850601806247</v>
      </c>
      <c r="K89" s="167">
        <f t="shared" si="5"/>
        <v>12.737925300903123</v>
      </c>
      <c r="L89" s="452"/>
      <c r="M89" s="452"/>
    </row>
    <row r="90" spans="2:13">
      <c r="B90" s="453"/>
      <c r="C90" s="454"/>
      <c r="D90" s="454"/>
      <c r="E90" s="454"/>
      <c r="F90" s="162">
        <v>12</v>
      </c>
      <c r="G90" s="163">
        <v>30</v>
      </c>
      <c r="H90" s="166">
        <f t="shared" si="3"/>
        <v>9.5541401273885338</v>
      </c>
      <c r="I90" s="167">
        <f t="shared" si="4"/>
        <v>17.627863408097646</v>
      </c>
      <c r="J90" s="167">
        <f>I90*'Key Data'!$F$3</f>
        <v>4.4069658520244115</v>
      </c>
      <c r="K90" s="167">
        <f t="shared" si="5"/>
        <v>22.034829260122059</v>
      </c>
      <c r="L90" s="452"/>
      <c r="M90" s="452"/>
    </row>
    <row r="91" spans="2:13">
      <c r="B91" s="453"/>
      <c r="C91" s="454"/>
      <c r="D91" s="454"/>
      <c r="E91" s="454"/>
      <c r="F91" s="162">
        <v>13</v>
      </c>
      <c r="G91" s="163">
        <v>24</v>
      </c>
      <c r="H91" s="166">
        <f t="shared" si="3"/>
        <v>7.6433121019108281</v>
      </c>
      <c r="I91" s="167">
        <f t="shared" si="4"/>
        <v>10.190340240722499</v>
      </c>
      <c r="J91" s="167">
        <f>I91*'Key Data'!$F$3</f>
        <v>2.5475850601806247</v>
      </c>
      <c r="K91" s="167">
        <f t="shared" si="5"/>
        <v>12.737925300903123</v>
      </c>
      <c r="L91" s="452"/>
      <c r="M91" s="452"/>
    </row>
    <row r="92" spans="2:13">
      <c r="B92" s="453"/>
      <c r="C92" s="454"/>
      <c r="D92" s="454"/>
      <c r="E92" s="454"/>
      <c r="F92" s="162">
        <v>14</v>
      </c>
      <c r="G92" s="163">
        <v>25</v>
      </c>
      <c r="H92" s="166">
        <f t="shared" si="3"/>
        <v>7.9617834394904454</v>
      </c>
      <c r="I92" s="167">
        <f t="shared" si="4"/>
        <v>11.264982888515149</v>
      </c>
      <c r="J92" s="167">
        <f>I92*'Key Data'!$F$3</f>
        <v>2.8162457221287873</v>
      </c>
      <c r="K92" s="167">
        <f t="shared" si="5"/>
        <v>14.081228610643937</v>
      </c>
      <c r="L92" s="452"/>
      <c r="M92" s="452"/>
    </row>
    <row r="93" spans="2:13">
      <c r="B93" s="453"/>
      <c r="C93" s="454"/>
      <c r="D93" s="454"/>
      <c r="E93" s="454"/>
      <c r="F93" s="162">
        <v>15</v>
      </c>
      <c r="G93" s="163">
        <v>23.5</v>
      </c>
      <c r="H93" s="166">
        <f t="shared" si="3"/>
        <v>7.484076433121019</v>
      </c>
      <c r="I93" s="167">
        <f t="shared" si="4"/>
        <v>9.6768173721254644</v>
      </c>
      <c r="J93" s="167">
        <f>I93*'Key Data'!$F$3</f>
        <v>2.4192043430313661</v>
      </c>
      <c r="K93" s="167">
        <f t="shared" si="5"/>
        <v>12.09602171515683</v>
      </c>
      <c r="L93" s="452"/>
      <c r="M93" s="452"/>
    </row>
    <row r="94" spans="2:13">
      <c r="B94" s="453"/>
      <c r="C94" s="454"/>
      <c r="D94" s="454"/>
      <c r="E94" s="454"/>
      <c r="F94" s="162">
        <v>16</v>
      </c>
      <c r="G94" s="163">
        <v>27.5</v>
      </c>
      <c r="H94" s="166">
        <f t="shared" si="3"/>
        <v>8.7579617834394909</v>
      </c>
      <c r="I94" s="167">
        <f t="shared" si="4"/>
        <v>14.236098069849525</v>
      </c>
      <c r="J94" s="167">
        <f>I94*'Key Data'!$F$3</f>
        <v>3.5590245174623814</v>
      </c>
      <c r="K94" s="167">
        <f t="shared" si="5"/>
        <v>17.795122587311909</v>
      </c>
      <c r="L94" s="452"/>
      <c r="M94" s="452"/>
    </row>
    <row r="95" spans="2:13">
      <c r="B95" s="453"/>
      <c r="C95" s="454"/>
      <c r="D95" s="454"/>
      <c r="E95" s="454"/>
      <c r="F95" s="162">
        <v>17</v>
      </c>
      <c r="G95" s="163">
        <v>25.5</v>
      </c>
      <c r="H95" s="166">
        <f t="shared" si="3"/>
        <v>8.1210191082802545</v>
      </c>
      <c r="I95" s="167">
        <f t="shared" si="4"/>
        <v>11.826399845336468</v>
      </c>
      <c r="J95" s="167">
        <f>I95*'Key Data'!$F$3</f>
        <v>2.956599961334117</v>
      </c>
      <c r="K95" s="167">
        <f t="shared" si="5"/>
        <v>14.782999806670585</v>
      </c>
      <c r="L95" s="452"/>
      <c r="M95" s="452"/>
    </row>
    <row r="96" spans="2:13">
      <c r="B96" s="453"/>
      <c r="C96" s="454"/>
      <c r="D96" s="454"/>
      <c r="E96" s="454"/>
      <c r="F96" s="162">
        <v>18</v>
      </c>
      <c r="G96" s="163">
        <v>28.5</v>
      </c>
      <c r="H96" s="166">
        <f t="shared" si="3"/>
        <v>9.0764331210191074</v>
      </c>
      <c r="I96" s="167">
        <f t="shared" si="4"/>
        <v>15.541353941356242</v>
      </c>
      <c r="J96" s="167">
        <f>I96*'Key Data'!$F$3</f>
        <v>3.8853384853390605</v>
      </c>
      <c r="K96" s="167">
        <f t="shared" si="5"/>
        <v>19.426692426695304</v>
      </c>
      <c r="L96" s="452"/>
      <c r="M96" s="452"/>
    </row>
    <row r="97" spans="2:13">
      <c r="B97" s="453"/>
      <c r="C97" s="454"/>
      <c r="D97" s="454"/>
      <c r="E97" s="454"/>
      <c r="F97" s="162">
        <v>19</v>
      </c>
      <c r="G97" s="163">
        <v>25</v>
      </c>
      <c r="H97" s="166">
        <f t="shared" si="3"/>
        <v>7.9617834394904454</v>
      </c>
      <c r="I97" s="167">
        <f t="shared" si="4"/>
        <v>11.264982888515149</v>
      </c>
      <c r="J97" s="167">
        <f>I97*'Key Data'!$F$3</f>
        <v>2.8162457221287873</v>
      </c>
      <c r="K97" s="167">
        <f t="shared" si="5"/>
        <v>14.081228610643937</v>
      </c>
      <c r="L97" s="452"/>
      <c r="M97" s="452"/>
    </row>
    <row r="98" spans="2:13">
      <c r="B98" s="453"/>
      <c r="C98" s="454"/>
      <c r="D98" s="454"/>
      <c r="E98" s="454"/>
      <c r="F98" s="162">
        <v>20</v>
      </c>
      <c r="G98" s="163">
        <v>25.5</v>
      </c>
      <c r="H98" s="166">
        <f t="shared" si="3"/>
        <v>8.1210191082802545</v>
      </c>
      <c r="I98" s="167">
        <f t="shared" si="4"/>
        <v>11.826399845336468</v>
      </c>
      <c r="J98" s="167">
        <f>I98*'Key Data'!$F$3</f>
        <v>2.956599961334117</v>
      </c>
      <c r="K98" s="167">
        <f t="shared" si="5"/>
        <v>14.782999806670585</v>
      </c>
      <c r="L98" s="452"/>
      <c r="M98" s="452"/>
    </row>
    <row r="99" spans="2:13">
      <c r="B99" s="453"/>
      <c r="C99" s="454"/>
      <c r="D99" s="454"/>
      <c r="E99" s="454"/>
      <c r="F99" s="162">
        <v>21</v>
      </c>
      <c r="G99" s="163">
        <v>28.4</v>
      </c>
      <c r="H99" s="166">
        <f t="shared" si="3"/>
        <v>9.0445859872611454</v>
      </c>
      <c r="I99" s="167">
        <f t="shared" si="4"/>
        <v>15.407767564153193</v>
      </c>
      <c r="J99" s="167">
        <f>I99*'Key Data'!$F$3</f>
        <v>3.8519418910382983</v>
      </c>
      <c r="K99" s="167">
        <f t="shared" si="5"/>
        <v>19.259709455191491</v>
      </c>
      <c r="L99" s="452"/>
      <c r="M99" s="452"/>
    </row>
    <row r="100" spans="2:13">
      <c r="B100" s="453"/>
      <c r="C100" s="454"/>
      <c r="D100" s="454"/>
      <c r="E100" s="454"/>
      <c r="F100" s="162">
        <v>22</v>
      </c>
      <c r="G100" s="163">
        <v>24.6</v>
      </c>
      <c r="H100" s="166">
        <f t="shared" si="3"/>
        <v>7.8343949044585992</v>
      </c>
      <c r="I100" s="167">
        <f t="shared" si="4"/>
        <v>10.82745775941785</v>
      </c>
      <c r="J100" s="167">
        <f>I100*'Key Data'!$F$3</f>
        <v>2.7068644398544626</v>
      </c>
      <c r="K100" s="167">
        <f t="shared" si="5"/>
        <v>13.534322199272314</v>
      </c>
      <c r="L100" s="452"/>
      <c r="M100" s="452"/>
    </row>
    <row r="101" spans="2:13">
      <c r="B101" s="453"/>
      <c r="C101" s="454"/>
      <c r="D101" s="454"/>
      <c r="E101" s="454"/>
      <c r="F101" s="162">
        <v>23</v>
      </c>
      <c r="G101" s="163">
        <v>26</v>
      </c>
      <c r="H101" s="166">
        <f t="shared" si="3"/>
        <v>8.2802547770700627</v>
      </c>
      <c r="I101" s="167">
        <f t="shared" si="4"/>
        <v>12.404075976639938</v>
      </c>
      <c r="J101" s="167">
        <f>I101*'Key Data'!$F$3</f>
        <v>3.1010189941599844</v>
      </c>
      <c r="K101" s="167">
        <f t="shared" si="5"/>
        <v>15.505094970799922</v>
      </c>
      <c r="L101" s="452"/>
      <c r="M101" s="452"/>
    </row>
    <row r="102" spans="2:13">
      <c r="B102" s="453"/>
      <c r="C102" s="454"/>
      <c r="D102" s="454"/>
      <c r="E102" s="454"/>
      <c r="F102" s="162">
        <v>24</v>
      </c>
      <c r="G102" s="163">
        <v>23.8</v>
      </c>
      <c r="H102" s="166">
        <f t="shared" si="3"/>
        <v>7.5796178343949041</v>
      </c>
      <c r="I102" s="167">
        <f t="shared" si="4"/>
        <v>9.9830416172239538</v>
      </c>
      <c r="J102" s="167">
        <f>I102*'Key Data'!$F$3</f>
        <v>2.4957604043059884</v>
      </c>
      <c r="K102" s="167">
        <f t="shared" si="5"/>
        <v>12.478802021529942</v>
      </c>
      <c r="L102" s="452"/>
      <c r="M102" s="452"/>
    </row>
    <row r="103" spans="2:13">
      <c r="B103" s="453"/>
      <c r="C103" s="454"/>
      <c r="D103" s="454"/>
      <c r="E103" s="454"/>
      <c r="F103" s="162">
        <v>25</v>
      </c>
      <c r="G103" s="163">
        <v>23.5</v>
      </c>
      <c r="H103" s="166">
        <f t="shared" si="3"/>
        <v>7.484076433121019</v>
      </c>
      <c r="I103" s="167">
        <f t="shared" si="4"/>
        <v>9.6768173721254644</v>
      </c>
      <c r="J103" s="167">
        <f>I103*'Key Data'!$F$3</f>
        <v>2.4192043430313661</v>
      </c>
      <c r="K103" s="167">
        <f t="shared" si="5"/>
        <v>12.09602171515683</v>
      </c>
      <c r="L103" s="452"/>
      <c r="M103" s="452"/>
    </row>
    <row r="104" spans="2:13">
      <c r="B104" s="453"/>
      <c r="C104" s="454"/>
      <c r="D104" s="454"/>
      <c r="E104" s="454"/>
      <c r="F104" s="162">
        <v>26</v>
      </c>
      <c r="G104" s="163">
        <v>27</v>
      </c>
      <c r="H104" s="166">
        <f t="shared" si="3"/>
        <v>8.598726114649681</v>
      </c>
      <c r="I104" s="167">
        <f t="shared" si="4"/>
        <v>13.608782711454067</v>
      </c>
      <c r="J104" s="167">
        <f>I104*'Key Data'!$F$3</f>
        <v>3.4021956778635167</v>
      </c>
      <c r="K104" s="167">
        <f t="shared" si="5"/>
        <v>17.010978389317582</v>
      </c>
      <c r="L104" s="452"/>
      <c r="M104" s="452"/>
    </row>
    <row r="105" spans="2:13">
      <c r="B105" s="453"/>
      <c r="C105" s="454"/>
      <c r="D105" s="454"/>
      <c r="E105" s="454"/>
      <c r="F105" s="162">
        <v>27</v>
      </c>
      <c r="G105" s="163">
        <v>24.6</v>
      </c>
      <c r="H105" s="166">
        <f t="shared" si="3"/>
        <v>7.8343949044585992</v>
      </c>
      <c r="I105" s="167">
        <f t="shared" si="4"/>
        <v>10.82745775941785</v>
      </c>
      <c r="J105" s="167">
        <f>I105*'Key Data'!$F$3</f>
        <v>2.7068644398544626</v>
      </c>
      <c r="K105" s="167">
        <f t="shared" si="5"/>
        <v>13.534322199272314</v>
      </c>
      <c r="L105" s="452"/>
      <c r="M105" s="452"/>
    </row>
    <row r="106" spans="2:13">
      <c r="B106" s="453"/>
      <c r="C106" s="454"/>
      <c r="D106" s="454"/>
      <c r="E106" s="454"/>
      <c r="F106" s="162">
        <v>28</v>
      </c>
      <c r="G106" s="163">
        <v>21.8</v>
      </c>
      <c r="H106" s="166">
        <f t="shared" si="3"/>
        <v>6.9426751592356686</v>
      </c>
      <c r="I106" s="167">
        <f t="shared" si="4"/>
        <v>8.0470930533408964</v>
      </c>
      <c r="J106" s="167">
        <f>I106*'Key Data'!$F$3</f>
        <v>2.0117732633352241</v>
      </c>
      <c r="K106" s="167">
        <f t="shared" si="5"/>
        <v>10.05886631667612</v>
      </c>
      <c r="L106" s="452"/>
      <c r="M106" s="452"/>
    </row>
    <row r="107" spans="2:13">
      <c r="B107" s="453"/>
      <c r="C107" s="454"/>
      <c r="D107" s="454"/>
      <c r="E107" s="454"/>
      <c r="F107" s="162">
        <v>29</v>
      </c>
      <c r="G107" s="163">
        <v>21.7</v>
      </c>
      <c r="H107" s="166">
        <f t="shared" si="3"/>
        <v>6.9108280254777066</v>
      </c>
      <c r="I107" s="167">
        <f t="shared" si="4"/>
        <v>7.956736599951884</v>
      </c>
      <c r="J107" s="167">
        <f>I107*'Key Data'!$F$3</f>
        <v>1.989184149987971</v>
      </c>
      <c r="K107" s="167">
        <f t="shared" si="5"/>
        <v>9.9459207499398552</v>
      </c>
      <c r="L107" s="452"/>
      <c r="M107" s="452"/>
    </row>
    <row r="108" spans="2:13">
      <c r="B108" s="453"/>
      <c r="C108" s="454"/>
      <c r="D108" s="454"/>
      <c r="E108" s="454"/>
      <c r="F108" s="162">
        <v>30</v>
      </c>
      <c r="G108" s="163">
        <v>25</v>
      </c>
      <c r="H108" s="166">
        <f t="shared" si="3"/>
        <v>7.9617834394904454</v>
      </c>
      <c r="I108" s="167">
        <f t="shared" si="4"/>
        <v>11.264982888515149</v>
      </c>
      <c r="J108" s="167">
        <f>I108*'Key Data'!$F$3</f>
        <v>2.8162457221287873</v>
      </c>
      <c r="K108" s="167">
        <f t="shared" si="5"/>
        <v>14.081228610643937</v>
      </c>
      <c r="L108" s="452"/>
      <c r="M108" s="452"/>
    </row>
    <row r="109" spans="2:13">
      <c r="B109" s="453"/>
      <c r="C109" s="454"/>
      <c r="D109" s="454"/>
      <c r="E109" s="454"/>
      <c r="F109" s="162">
        <v>31</v>
      </c>
      <c r="G109" s="163">
        <v>27</v>
      </c>
      <c r="H109" s="166">
        <f t="shared" si="3"/>
        <v>8.598726114649681</v>
      </c>
      <c r="I109" s="167">
        <f t="shared" si="4"/>
        <v>13.608782711454067</v>
      </c>
      <c r="J109" s="167">
        <f>I109*'Key Data'!$F$3</f>
        <v>3.4021956778635167</v>
      </c>
      <c r="K109" s="167">
        <f t="shared" si="5"/>
        <v>17.010978389317582</v>
      </c>
      <c r="L109" s="452"/>
      <c r="M109" s="452"/>
    </row>
    <row r="110" spans="2:13">
      <c r="B110" s="453"/>
      <c r="C110" s="454"/>
      <c r="D110" s="454"/>
      <c r="E110" s="454"/>
      <c r="F110" s="162">
        <v>32</v>
      </c>
      <c r="G110" s="163">
        <v>25.5</v>
      </c>
      <c r="H110" s="166">
        <f t="shared" si="3"/>
        <v>8.1210191082802545</v>
      </c>
      <c r="I110" s="167">
        <f t="shared" si="4"/>
        <v>11.826399845336468</v>
      </c>
      <c r="J110" s="167">
        <f>I110*'Key Data'!$F$3</f>
        <v>2.956599961334117</v>
      </c>
      <c r="K110" s="167">
        <f t="shared" si="5"/>
        <v>14.782999806670585</v>
      </c>
      <c r="L110" s="452"/>
      <c r="M110" s="452"/>
    </row>
    <row r="111" spans="2:13">
      <c r="B111" s="453"/>
      <c r="C111" s="454"/>
      <c r="D111" s="454"/>
      <c r="E111" s="454"/>
      <c r="F111" s="162">
        <v>33</v>
      </c>
      <c r="G111" s="163">
        <v>22</v>
      </c>
      <c r="H111" s="166">
        <f t="shared" si="3"/>
        <v>7.0063694267515917</v>
      </c>
      <c r="I111" s="167">
        <f t="shared" si="4"/>
        <v>8.2296237311107667</v>
      </c>
      <c r="J111" s="167">
        <f>I111*'Key Data'!$F$3</f>
        <v>2.0574059327776917</v>
      </c>
      <c r="K111" s="167">
        <f t="shared" si="5"/>
        <v>10.287029663888458</v>
      </c>
      <c r="L111" s="452"/>
      <c r="M111" s="452"/>
    </row>
    <row r="112" spans="2:13">
      <c r="B112" s="453"/>
      <c r="C112" s="454"/>
      <c r="D112" s="454"/>
      <c r="E112" s="454"/>
      <c r="F112" s="162">
        <v>34</v>
      </c>
      <c r="G112" s="163">
        <v>28.5</v>
      </c>
      <c r="H112" s="166">
        <f t="shared" si="3"/>
        <v>9.0764331210191074</v>
      </c>
      <c r="I112" s="167">
        <f t="shared" si="4"/>
        <v>15.541353941356242</v>
      </c>
      <c r="J112" s="167">
        <f>I112*'Key Data'!$F$3</f>
        <v>3.8853384853390605</v>
      </c>
      <c r="K112" s="167">
        <f t="shared" si="5"/>
        <v>19.426692426695304</v>
      </c>
      <c r="L112" s="452"/>
      <c r="M112" s="452"/>
    </row>
    <row r="113" spans="2:13">
      <c r="B113" s="453"/>
      <c r="C113" s="454"/>
      <c r="D113" s="454"/>
      <c r="E113" s="454"/>
      <c r="F113" s="162">
        <v>35</v>
      </c>
      <c r="G113" s="163">
        <v>24</v>
      </c>
      <c r="H113" s="166">
        <f t="shared" si="3"/>
        <v>7.6433121019108281</v>
      </c>
      <c r="I113" s="167">
        <f t="shared" si="4"/>
        <v>10.190340240722499</v>
      </c>
      <c r="J113" s="167">
        <f>I113*'Key Data'!$F$3</f>
        <v>2.5475850601806247</v>
      </c>
      <c r="K113" s="167">
        <f t="shared" si="5"/>
        <v>12.737925300903123</v>
      </c>
      <c r="L113" s="452"/>
      <c r="M113" s="452"/>
    </row>
    <row r="114" spans="2:13">
      <c r="B114" s="449">
        <v>4</v>
      </c>
      <c r="C114" s="345" t="s">
        <v>503</v>
      </c>
      <c r="D114" s="345">
        <v>23.138300000000001</v>
      </c>
      <c r="E114" s="345">
        <v>75.11336</v>
      </c>
      <c r="F114" s="58">
        <v>1</v>
      </c>
      <c r="G114" s="168">
        <v>12</v>
      </c>
      <c r="H114" s="59">
        <f t="shared" si="3"/>
        <v>3.8216560509554141</v>
      </c>
      <c r="I114" s="62">
        <f t="shared" si="4"/>
        <v>1.8572014555381764</v>
      </c>
      <c r="J114" s="62">
        <f>I114*'Key Data'!$F$3</f>
        <v>0.4643003638845441</v>
      </c>
      <c r="K114" s="62">
        <f t="shared" si="5"/>
        <v>2.3215018194227204</v>
      </c>
      <c r="L114" s="344">
        <f>SUM(K114:K176)/1000</f>
        <v>0.24668612614050572</v>
      </c>
      <c r="M114" s="344">
        <f>L114/225*10000</f>
        <v>10.963827828466922</v>
      </c>
    </row>
    <row r="115" spans="2:13">
      <c r="B115" s="449"/>
      <c r="C115" s="345"/>
      <c r="D115" s="345"/>
      <c r="E115" s="345"/>
      <c r="F115" s="58">
        <v>2</v>
      </c>
      <c r="G115" s="168">
        <v>12.647344063956181</v>
      </c>
      <c r="H115" s="59">
        <f t="shared" si="3"/>
        <v>4.0278165808777642</v>
      </c>
      <c r="I115" s="62">
        <f t="shared" si="4"/>
        <v>2.1130036051958352</v>
      </c>
      <c r="J115" s="62">
        <f>I115*'Key Data'!$F$3</f>
        <v>0.5282509012989588</v>
      </c>
      <c r="K115" s="62">
        <f t="shared" si="5"/>
        <v>2.6412545064947941</v>
      </c>
      <c r="L115" s="344"/>
      <c r="M115" s="344"/>
    </row>
    <row r="116" spans="2:13">
      <c r="B116" s="449"/>
      <c r="C116" s="345"/>
      <c r="D116" s="345"/>
      <c r="E116" s="345"/>
      <c r="F116" s="58">
        <v>3</v>
      </c>
      <c r="G116" s="168">
        <v>10.5</v>
      </c>
      <c r="H116" s="59">
        <f t="shared" si="3"/>
        <v>3.3439490445859872</v>
      </c>
      <c r="I116" s="62">
        <f t="shared" si="4"/>
        <v>1.3379219954003179</v>
      </c>
      <c r="J116" s="62">
        <f>I116*'Key Data'!$F$3</f>
        <v>0.33448049885007947</v>
      </c>
      <c r="K116" s="62">
        <f t="shared" si="5"/>
        <v>1.6724024942503974</v>
      </c>
      <c r="L116" s="344"/>
      <c r="M116" s="344"/>
    </row>
    <row r="117" spans="2:13">
      <c r="B117" s="449"/>
      <c r="C117" s="345"/>
      <c r="D117" s="345"/>
      <c r="E117" s="345"/>
      <c r="F117" s="58">
        <v>4</v>
      </c>
      <c r="G117" s="168">
        <v>14</v>
      </c>
      <c r="H117" s="59">
        <f t="shared" si="3"/>
        <v>4.4585987261146496</v>
      </c>
      <c r="I117" s="62">
        <f t="shared" si="4"/>
        <v>2.7119415854186837</v>
      </c>
      <c r="J117" s="62">
        <f>I117*'Key Data'!$F$3</f>
        <v>0.67798539635467092</v>
      </c>
      <c r="K117" s="62">
        <f t="shared" si="5"/>
        <v>3.3899269817733546</v>
      </c>
      <c r="L117" s="344"/>
      <c r="M117" s="344"/>
    </row>
    <row r="118" spans="2:13">
      <c r="B118" s="449"/>
      <c r="C118" s="345"/>
      <c r="D118" s="345"/>
      <c r="E118" s="345"/>
      <c r="F118" s="58">
        <v>5</v>
      </c>
      <c r="G118" s="168">
        <v>14.5</v>
      </c>
      <c r="H118" s="59">
        <f t="shared" si="3"/>
        <v>4.6178343949044587</v>
      </c>
      <c r="I118" s="62">
        <f t="shared" si="4"/>
        <v>2.9560357941747868</v>
      </c>
      <c r="J118" s="62">
        <f>I118*'Key Data'!$F$3</f>
        <v>0.7390089485436967</v>
      </c>
      <c r="K118" s="62">
        <f t="shared" si="5"/>
        <v>3.6950447427184834</v>
      </c>
      <c r="L118" s="344"/>
      <c r="M118" s="344"/>
    </row>
    <row r="119" spans="2:13">
      <c r="B119" s="449"/>
      <c r="C119" s="345"/>
      <c r="D119" s="345"/>
      <c r="E119" s="345"/>
      <c r="F119" s="58">
        <v>6</v>
      </c>
      <c r="G119" s="168">
        <v>20.765798859678917</v>
      </c>
      <c r="H119" s="59">
        <f t="shared" si="3"/>
        <v>6.6133117387512472</v>
      </c>
      <c r="I119" s="62">
        <f t="shared" si="4"/>
        <v>7.1416430947541025</v>
      </c>
      <c r="J119" s="62">
        <f>I119*'Key Data'!$F$3</f>
        <v>1.7854107736885256</v>
      </c>
      <c r="K119" s="62">
        <f t="shared" si="5"/>
        <v>8.9270538684426288</v>
      </c>
      <c r="L119" s="344"/>
      <c r="M119" s="344"/>
    </row>
    <row r="120" spans="2:13">
      <c r="B120" s="449"/>
      <c r="C120" s="345"/>
      <c r="D120" s="345"/>
      <c r="E120" s="345"/>
      <c r="F120" s="58">
        <v>7</v>
      </c>
      <c r="G120" s="168">
        <v>6.5</v>
      </c>
      <c r="H120" s="59">
        <f t="shared" si="3"/>
        <v>2.0700636942675157</v>
      </c>
      <c r="I120" s="62">
        <f t="shared" si="4"/>
        <v>0.41200745937454497</v>
      </c>
      <c r="J120" s="62">
        <f>I120*'Key Data'!$F$3</f>
        <v>0.10300186484363624</v>
      </c>
      <c r="K120" s="62">
        <f t="shared" si="5"/>
        <v>0.51500932421818124</v>
      </c>
      <c r="L120" s="344"/>
      <c r="M120" s="344"/>
    </row>
    <row r="121" spans="2:13">
      <c r="B121" s="449"/>
      <c r="C121" s="345"/>
      <c r="D121" s="345"/>
      <c r="E121" s="345"/>
      <c r="F121" s="58">
        <v>8</v>
      </c>
      <c r="G121" s="168">
        <v>15.710774967068403</v>
      </c>
      <c r="H121" s="59">
        <f t="shared" si="3"/>
        <v>5.0034315181746507</v>
      </c>
      <c r="I121" s="62">
        <f t="shared" si="4"/>
        <v>3.5995747811609373</v>
      </c>
      <c r="J121" s="62">
        <f>I121*'Key Data'!$F$3</f>
        <v>0.89989369529023433</v>
      </c>
      <c r="K121" s="62">
        <f t="shared" si="5"/>
        <v>4.4994684764511721</v>
      </c>
      <c r="L121" s="344"/>
      <c r="M121" s="344"/>
    </row>
    <row r="122" spans="2:13">
      <c r="B122" s="449"/>
      <c r="C122" s="345"/>
      <c r="D122" s="345"/>
      <c r="E122" s="345"/>
      <c r="F122" s="58">
        <v>9</v>
      </c>
      <c r="G122" s="168">
        <v>12</v>
      </c>
      <c r="H122" s="59">
        <f t="shared" si="3"/>
        <v>3.8216560509554141</v>
      </c>
      <c r="I122" s="62">
        <f t="shared" si="4"/>
        <v>1.8572014555381764</v>
      </c>
      <c r="J122" s="62">
        <f>I122*'Key Data'!$F$3</f>
        <v>0.4643003638845441</v>
      </c>
      <c r="K122" s="62">
        <f t="shared" si="5"/>
        <v>2.3215018194227204</v>
      </c>
      <c r="L122" s="344"/>
      <c r="M122" s="344"/>
    </row>
    <row r="123" spans="2:13">
      <c r="B123" s="449"/>
      <c r="C123" s="345"/>
      <c r="D123" s="345"/>
      <c r="E123" s="345"/>
      <c r="F123" s="58">
        <v>10</v>
      </c>
      <c r="G123" s="168">
        <v>15.546903033498445</v>
      </c>
      <c r="H123" s="59">
        <f t="shared" si="3"/>
        <v>4.9512430042988678</v>
      </c>
      <c r="I123" s="62">
        <f t="shared" si="4"/>
        <v>3.5080620668481268</v>
      </c>
      <c r="J123" s="62">
        <f>I123*'Key Data'!$F$3</f>
        <v>0.87701551671203171</v>
      </c>
      <c r="K123" s="62">
        <f t="shared" si="5"/>
        <v>4.3850775835601583</v>
      </c>
      <c r="L123" s="344"/>
      <c r="M123" s="344"/>
    </row>
    <row r="124" spans="2:13">
      <c r="B124" s="449"/>
      <c r="C124" s="345"/>
      <c r="D124" s="345"/>
      <c r="E124" s="345"/>
      <c r="F124" s="58">
        <v>11</v>
      </c>
      <c r="G124" s="168">
        <v>12</v>
      </c>
      <c r="H124" s="59">
        <f t="shared" si="3"/>
        <v>3.8216560509554141</v>
      </c>
      <c r="I124" s="62">
        <f t="shared" si="4"/>
        <v>1.8572014555381764</v>
      </c>
      <c r="J124" s="62">
        <f>I124*'Key Data'!$F$3</f>
        <v>0.4643003638845441</v>
      </c>
      <c r="K124" s="62">
        <f t="shared" si="5"/>
        <v>2.3215018194227204</v>
      </c>
      <c r="L124" s="344"/>
      <c r="M124" s="344"/>
    </row>
    <row r="125" spans="2:13">
      <c r="B125" s="449"/>
      <c r="C125" s="345"/>
      <c r="D125" s="345"/>
      <c r="E125" s="345"/>
      <c r="F125" s="58">
        <v>12</v>
      </c>
      <c r="G125" s="168">
        <v>12</v>
      </c>
      <c r="H125" s="59">
        <f t="shared" si="3"/>
        <v>3.8216560509554141</v>
      </c>
      <c r="I125" s="62">
        <f t="shared" si="4"/>
        <v>1.8572014555381764</v>
      </c>
      <c r="J125" s="62">
        <f>I125*'Key Data'!$F$3</f>
        <v>0.4643003638845441</v>
      </c>
      <c r="K125" s="62">
        <f t="shared" si="5"/>
        <v>2.3215018194227204</v>
      </c>
      <c r="L125" s="344"/>
      <c r="M125" s="344"/>
    </row>
    <row r="126" spans="2:13">
      <c r="B126" s="449"/>
      <c r="C126" s="345"/>
      <c r="D126" s="345"/>
      <c r="E126" s="345"/>
      <c r="F126" s="58">
        <v>13</v>
      </c>
      <c r="G126" s="168">
        <v>13.2</v>
      </c>
      <c r="H126" s="59">
        <f t="shared" si="3"/>
        <v>4.2038216560509554</v>
      </c>
      <c r="I126" s="62">
        <f t="shared" si="4"/>
        <v>2.3470343735243584</v>
      </c>
      <c r="J126" s="62">
        <f>I126*'Key Data'!$F$3</f>
        <v>0.5867585933810896</v>
      </c>
      <c r="K126" s="62">
        <f t="shared" si="5"/>
        <v>2.9337929669054481</v>
      </c>
      <c r="L126" s="344"/>
      <c r="M126" s="344"/>
    </row>
    <row r="127" spans="2:13">
      <c r="B127" s="449"/>
      <c r="C127" s="345"/>
      <c r="D127" s="345"/>
      <c r="E127" s="345"/>
      <c r="F127" s="58">
        <v>14</v>
      </c>
      <c r="G127" s="168">
        <v>13.5</v>
      </c>
      <c r="H127" s="59">
        <f t="shared" si="3"/>
        <v>4.2993630573248405</v>
      </c>
      <c r="I127" s="62">
        <f t="shared" si="4"/>
        <v>2.4802166034471189</v>
      </c>
      <c r="J127" s="62">
        <f>I127*'Key Data'!$F$3</f>
        <v>0.62005415086177973</v>
      </c>
      <c r="K127" s="62">
        <f t="shared" si="5"/>
        <v>3.1002707543088985</v>
      </c>
      <c r="L127" s="344"/>
      <c r="M127" s="344"/>
    </row>
    <row r="128" spans="2:13">
      <c r="B128" s="449"/>
      <c r="C128" s="345"/>
      <c r="D128" s="345"/>
      <c r="E128" s="345"/>
      <c r="F128" s="58">
        <v>15</v>
      </c>
      <c r="G128" s="168">
        <v>13</v>
      </c>
      <c r="H128" s="59">
        <f t="shared" si="3"/>
        <v>4.1401273885350314</v>
      </c>
      <c r="I128" s="62">
        <f t="shared" si="4"/>
        <v>2.260657388686806</v>
      </c>
      <c r="J128" s="62">
        <f>I128*'Key Data'!$F$3</f>
        <v>0.5651643471717015</v>
      </c>
      <c r="K128" s="62">
        <f t="shared" si="5"/>
        <v>2.8258217358585074</v>
      </c>
      <c r="L128" s="344"/>
      <c r="M128" s="344"/>
    </row>
    <row r="129" spans="2:13">
      <c r="B129" s="449"/>
      <c r="C129" s="345"/>
      <c r="D129" s="345"/>
      <c r="E129" s="345"/>
      <c r="F129" s="58">
        <v>16</v>
      </c>
      <c r="G129" s="168">
        <v>12.2</v>
      </c>
      <c r="H129" s="59">
        <f t="shared" si="3"/>
        <v>3.8853503184713372</v>
      </c>
      <c r="I129" s="62">
        <f t="shared" si="4"/>
        <v>1.9341476267934656</v>
      </c>
      <c r="J129" s="62">
        <f>I129*'Key Data'!$F$3</f>
        <v>0.48353690669836641</v>
      </c>
      <c r="K129" s="62">
        <f t="shared" si="5"/>
        <v>2.417684533491832</v>
      </c>
      <c r="L129" s="344"/>
      <c r="M129" s="344"/>
    </row>
    <row r="130" spans="2:13">
      <c r="B130" s="449"/>
      <c r="C130" s="345"/>
      <c r="D130" s="345"/>
      <c r="E130" s="345"/>
      <c r="F130" s="58">
        <v>17</v>
      </c>
      <c r="G130" s="168">
        <v>13.569145479402696</v>
      </c>
      <c r="H130" s="59">
        <f t="shared" si="3"/>
        <v>4.3213839106378007</v>
      </c>
      <c r="I130" s="62">
        <f t="shared" si="4"/>
        <v>2.5115325547216414</v>
      </c>
      <c r="J130" s="62">
        <f>I130*'Key Data'!$F$3</f>
        <v>0.62788313868041035</v>
      </c>
      <c r="K130" s="62">
        <f t="shared" si="5"/>
        <v>3.1394156934020518</v>
      </c>
      <c r="L130" s="344"/>
      <c r="M130" s="344"/>
    </row>
    <row r="131" spans="2:13">
      <c r="B131" s="449"/>
      <c r="C131" s="345"/>
      <c r="D131" s="345"/>
      <c r="E131" s="345"/>
      <c r="F131" s="58">
        <v>18</v>
      </c>
      <c r="G131" s="168">
        <v>12.601470508735444</v>
      </c>
      <c r="H131" s="59">
        <f t="shared" si="3"/>
        <v>4.0132071683870842</v>
      </c>
      <c r="I131" s="62">
        <f t="shared" si="4"/>
        <v>2.0942301587726955</v>
      </c>
      <c r="J131" s="62">
        <f>I131*'Key Data'!$F$3</f>
        <v>0.52355753969317387</v>
      </c>
      <c r="K131" s="62">
        <f t="shared" si="5"/>
        <v>2.6177876984658695</v>
      </c>
      <c r="L131" s="344"/>
      <c r="M131" s="344"/>
    </row>
    <row r="132" spans="2:13">
      <c r="B132" s="449"/>
      <c r="C132" s="345"/>
      <c r="D132" s="345"/>
      <c r="E132" s="345"/>
      <c r="F132" s="58">
        <v>19</v>
      </c>
      <c r="G132" s="168">
        <v>11.2</v>
      </c>
      <c r="H132" s="59">
        <f t="shared" si="3"/>
        <v>3.5668789808917194</v>
      </c>
      <c r="I132" s="62">
        <f t="shared" si="4"/>
        <v>1.5677230319180893</v>
      </c>
      <c r="J132" s="62">
        <f>I132*'Key Data'!$F$3</f>
        <v>0.39193075797952232</v>
      </c>
      <c r="K132" s="62">
        <f t="shared" si="5"/>
        <v>1.9596537898976116</v>
      </c>
      <c r="L132" s="344"/>
      <c r="M132" s="344"/>
    </row>
    <row r="133" spans="2:13">
      <c r="B133" s="449"/>
      <c r="C133" s="345"/>
      <c r="D133" s="345"/>
      <c r="E133" s="345"/>
      <c r="F133" s="58">
        <v>20</v>
      </c>
      <c r="G133" s="168">
        <v>17</v>
      </c>
      <c r="H133" s="59">
        <f t="shared" ref="H133:H176" si="6">G133/3.14</f>
        <v>5.4140127388535033</v>
      </c>
      <c r="I133" s="62">
        <f t="shared" ref="I133:I176" si="7">0.069 * H133^2.456</f>
        <v>4.3689032366516765</v>
      </c>
      <c r="J133" s="62">
        <f>I133*'Key Data'!$F$3</f>
        <v>1.0922258091629191</v>
      </c>
      <c r="K133" s="62">
        <f t="shared" ref="K133:K176" si="8">J133+I133</f>
        <v>5.4611290458145954</v>
      </c>
      <c r="L133" s="344"/>
      <c r="M133" s="344"/>
    </row>
    <row r="134" spans="2:13">
      <c r="B134" s="449"/>
      <c r="C134" s="345"/>
      <c r="D134" s="345"/>
      <c r="E134" s="345"/>
      <c r="F134" s="58">
        <v>21</v>
      </c>
      <c r="G134" s="168">
        <v>14.5</v>
      </c>
      <c r="H134" s="59">
        <f t="shared" si="6"/>
        <v>4.6178343949044587</v>
      </c>
      <c r="I134" s="62">
        <f t="shared" si="7"/>
        <v>2.9560357941747868</v>
      </c>
      <c r="J134" s="62">
        <f>I134*'Key Data'!$F$3</f>
        <v>0.7390089485436967</v>
      </c>
      <c r="K134" s="62">
        <f t="shared" si="8"/>
        <v>3.6950447427184834</v>
      </c>
      <c r="L134" s="344"/>
      <c r="M134" s="344"/>
    </row>
    <row r="135" spans="2:13">
      <c r="B135" s="449"/>
      <c r="C135" s="345"/>
      <c r="D135" s="345"/>
      <c r="E135" s="345"/>
      <c r="F135" s="58">
        <v>22</v>
      </c>
      <c r="G135" s="168">
        <v>11.713772060250253</v>
      </c>
      <c r="H135" s="59">
        <f t="shared" si="6"/>
        <v>3.730500656130654</v>
      </c>
      <c r="I135" s="62">
        <f t="shared" si="7"/>
        <v>1.7502864843811849</v>
      </c>
      <c r="J135" s="62">
        <f>I135*'Key Data'!$F$3</f>
        <v>0.43757162109529624</v>
      </c>
      <c r="K135" s="62">
        <f t="shared" si="8"/>
        <v>2.1878581054764812</v>
      </c>
      <c r="L135" s="344"/>
      <c r="M135" s="344"/>
    </row>
    <row r="136" spans="2:13">
      <c r="B136" s="449"/>
      <c r="C136" s="345"/>
      <c r="D136" s="345"/>
      <c r="E136" s="345"/>
      <c r="F136" s="58">
        <v>23</v>
      </c>
      <c r="G136" s="168">
        <v>17.179383927955314</v>
      </c>
      <c r="H136" s="59">
        <f t="shared" si="6"/>
        <v>5.471141378329718</v>
      </c>
      <c r="I136" s="62">
        <f t="shared" si="7"/>
        <v>4.4829975861492057</v>
      </c>
      <c r="J136" s="62">
        <f>I136*'Key Data'!$F$3</f>
        <v>1.1207493965373014</v>
      </c>
      <c r="K136" s="62">
        <f t="shared" si="8"/>
        <v>5.6037469826865074</v>
      </c>
      <c r="L136" s="344"/>
      <c r="M136" s="344"/>
    </row>
    <row r="137" spans="2:13">
      <c r="B137" s="449"/>
      <c r="C137" s="345"/>
      <c r="D137" s="345"/>
      <c r="E137" s="345"/>
      <c r="F137" s="58">
        <v>24</v>
      </c>
      <c r="G137" s="168">
        <v>15.8</v>
      </c>
      <c r="H137" s="59">
        <f t="shared" si="6"/>
        <v>5.031847133757962</v>
      </c>
      <c r="I137" s="62">
        <f t="shared" si="7"/>
        <v>3.6499900506160148</v>
      </c>
      <c r="J137" s="62">
        <f>I137*'Key Data'!$F$3</f>
        <v>0.9124975126540037</v>
      </c>
      <c r="K137" s="62">
        <f t="shared" si="8"/>
        <v>4.5624875632700181</v>
      </c>
      <c r="L137" s="344"/>
      <c r="M137" s="344"/>
    </row>
    <row r="138" spans="2:13">
      <c r="B138" s="449"/>
      <c r="C138" s="345"/>
      <c r="D138" s="345"/>
      <c r="E138" s="345"/>
      <c r="F138" s="58">
        <v>25</v>
      </c>
      <c r="G138" s="168">
        <v>14.5</v>
      </c>
      <c r="H138" s="59">
        <f t="shared" si="6"/>
        <v>4.6178343949044587</v>
      </c>
      <c r="I138" s="62">
        <f t="shared" si="7"/>
        <v>2.9560357941747868</v>
      </c>
      <c r="J138" s="62">
        <f>I138*'Key Data'!$F$3</f>
        <v>0.7390089485436967</v>
      </c>
      <c r="K138" s="62">
        <f t="shared" si="8"/>
        <v>3.6950447427184834</v>
      </c>
      <c r="L138" s="344"/>
      <c r="M138" s="344"/>
    </row>
    <row r="139" spans="2:13">
      <c r="B139" s="449"/>
      <c r="C139" s="345"/>
      <c r="D139" s="345"/>
      <c r="E139" s="345"/>
      <c r="F139" s="58">
        <v>26</v>
      </c>
      <c r="G139" s="168">
        <v>10.5</v>
      </c>
      <c r="H139" s="59">
        <f t="shared" si="6"/>
        <v>3.3439490445859872</v>
      </c>
      <c r="I139" s="62">
        <f t="shared" si="7"/>
        <v>1.3379219954003179</v>
      </c>
      <c r="J139" s="62">
        <f>I139*'Key Data'!$F$3</f>
        <v>0.33448049885007947</v>
      </c>
      <c r="K139" s="62">
        <f t="shared" si="8"/>
        <v>1.6724024942503974</v>
      </c>
      <c r="L139" s="344"/>
      <c r="M139" s="344"/>
    </row>
    <row r="140" spans="2:13">
      <c r="B140" s="449"/>
      <c r="C140" s="345"/>
      <c r="D140" s="345"/>
      <c r="E140" s="345"/>
      <c r="F140" s="58">
        <v>27</v>
      </c>
      <c r="G140" s="168">
        <v>21.307846153315655</v>
      </c>
      <c r="H140" s="59">
        <f t="shared" si="6"/>
        <v>6.7859382653871512</v>
      </c>
      <c r="I140" s="62">
        <f t="shared" si="7"/>
        <v>7.6082191878533276</v>
      </c>
      <c r="J140" s="62">
        <f>I140*'Key Data'!$F$3</f>
        <v>1.9020547969633319</v>
      </c>
      <c r="K140" s="62">
        <f t="shared" si="8"/>
        <v>9.51027398481666</v>
      </c>
      <c r="L140" s="344"/>
      <c r="M140" s="344"/>
    </row>
    <row r="141" spans="2:13">
      <c r="B141" s="449"/>
      <c r="C141" s="345"/>
      <c r="D141" s="345"/>
      <c r="E141" s="345"/>
      <c r="F141" s="58">
        <v>28</v>
      </c>
      <c r="G141" s="168">
        <v>17.439088914585774</v>
      </c>
      <c r="H141" s="59">
        <f t="shared" si="6"/>
        <v>5.5538499727980168</v>
      </c>
      <c r="I141" s="62">
        <f t="shared" si="7"/>
        <v>4.6512781147497284</v>
      </c>
      <c r="J141" s="62">
        <f>I141*'Key Data'!$F$3</f>
        <v>1.1628195286874321</v>
      </c>
      <c r="K141" s="62">
        <f t="shared" si="8"/>
        <v>5.8140976434371607</v>
      </c>
      <c r="L141" s="344"/>
      <c r="M141" s="344"/>
    </row>
    <row r="142" spans="2:13">
      <c r="B142" s="449"/>
      <c r="C142" s="345"/>
      <c r="D142" s="345"/>
      <c r="E142" s="345"/>
      <c r="F142" s="58">
        <v>29</v>
      </c>
      <c r="G142" s="168">
        <v>15.378339354159198</v>
      </c>
      <c r="H142" s="59">
        <f t="shared" si="6"/>
        <v>4.8975603038723561</v>
      </c>
      <c r="I142" s="62">
        <f t="shared" si="7"/>
        <v>3.4153833770815742</v>
      </c>
      <c r="J142" s="62">
        <f>I142*'Key Data'!$F$3</f>
        <v>0.85384584427039356</v>
      </c>
      <c r="K142" s="62">
        <f t="shared" si="8"/>
        <v>4.269229221351968</v>
      </c>
      <c r="L142" s="344"/>
      <c r="M142" s="344"/>
    </row>
    <row r="143" spans="2:13">
      <c r="B143" s="449"/>
      <c r="C143" s="345"/>
      <c r="D143" s="345"/>
      <c r="E143" s="345"/>
      <c r="F143" s="58">
        <v>30</v>
      </c>
      <c r="G143" s="168">
        <v>14</v>
      </c>
      <c r="H143" s="59">
        <f t="shared" si="6"/>
        <v>4.4585987261146496</v>
      </c>
      <c r="I143" s="62">
        <f t="shared" si="7"/>
        <v>2.7119415854186837</v>
      </c>
      <c r="J143" s="62">
        <f>I143*'Key Data'!$F$3</f>
        <v>0.67798539635467092</v>
      </c>
      <c r="K143" s="62">
        <f t="shared" si="8"/>
        <v>3.3899269817733546</v>
      </c>
      <c r="L143" s="344"/>
      <c r="M143" s="344"/>
    </row>
    <row r="144" spans="2:13">
      <c r="B144" s="449"/>
      <c r="C144" s="345"/>
      <c r="D144" s="345"/>
      <c r="E144" s="345"/>
      <c r="F144" s="58">
        <v>31</v>
      </c>
      <c r="G144" s="168">
        <v>18.811612756158951</v>
      </c>
      <c r="H144" s="59">
        <f t="shared" si="6"/>
        <v>5.9909594764837424</v>
      </c>
      <c r="I144" s="62">
        <f t="shared" si="7"/>
        <v>5.6024785815667899</v>
      </c>
      <c r="J144" s="62">
        <f>I144*'Key Data'!$F$3</f>
        <v>1.4006196453916975</v>
      </c>
      <c r="K144" s="62">
        <f t="shared" si="8"/>
        <v>7.0030982269584872</v>
      </c>
      <c r="L144" s="344"/>
      <c r="M144" s="344"/>
    </row>
    <row r="145" spans="2:13">
      <c r="B145" s="449"/>
      <c r="C145" s="345"/>
      <c r="D145" s="345"/>
      <c r="E145" s="345"/>
      <c r="F145" s="58">
        <v>32</v>
      </c>
      <c r="G145" s="168">
        <v>8.9247166206396038</v>
      </c>
      <c r="H145" s="59">
        <f t="shared" si="6"/>
        <v>2.8422664396941411</v>
      </c>
      <c r="I145" s="62">
        <f t="shared" si="7"/>
        <v>0.8975317237931616</v>
      </c>
      <c r="J145" s="62">
        <f>I145*'Key Data'!$F$3</f>
        <v>0.2243829309482904</v>
      </c>
      <c r="K145" s="62">
        <f t="shared" si="8"/>
        <v>1.121914654741452</v>
      </c>
      <c r="L145" s="344"/>
      <c r="M145" s="344"/>
    </row>
    <row r="146" spans="2:13">
      <c r="B146" s="449"/>
      <c r="C146" s="345"/>
      <c r="D146" s="345"/>
      <c r="E146" s="345"/>
      <c r="F146" s="58">
        <v>33</v>
      </c>
      <c r="G146" s="168">
        <v>19.850659461993043</v>
      </c>
      <c r="H146" s="59">
        <f t="shared" si="6"/>
        <v>6.3218660706984213</v>
      </c>
      <c r="I146" s="62">
        <f t="shared" si="7"/>
        <v>6.3933006140934348</v>
      </c>
      <c r="J146" s="62">
        <f>I146*'Key Data'!$F$3</f>
        <v>1.5983251535233587</v>
      </c>
      <c r="K146" s="62">
        <f t="shared" si="8"/>
        <v>7.9916257676167932</v>
      </c>
      <c r="L146" s="344"/>
      <c r="M146" s="344"/>
    </row>
    <row r="147" spans="2:13">
      <c r="B147" s="449"/>
      <c r="C147" s="345"/>
      <c r="D147" s="345"/>
      <c r="E147" s="345"/>
      <c r="F147" s="58">
        <v>34</v>
      </c>
      <c r="G147" s="168">
        <v>18.334942461771124</v>
      </c>
      <c r="H147" s="59">
        <f t="shared" si="6"/>
        <v>5.8391536502455805</v>
      </c>
      <c r="I147" s="62">
        <f t="shared" si="7"/>
        <v>5.2602266028457212</v>
      </c>
      <c r="J147" s="62">
        <f>I147*'Key Data'!$F$3</f>
        <v>1.3150566507114303</v>
      </c>
      <c r="K147" s="62">
        <f t="shared" si="8"/>
        <v>6.575283253557151</v>
      </c>
      <c r="L147" s="344"/>
      <c r="M147" s="344"/>
    </row>
    <row r="148" spans="2:13">
      <c r="B148" s="449"/>
      <c r="C148" s="345"/>
      <c r="D148" s="345"/>
      <c r="E148" s="345"/>
      <c r="F148" s="58">
        <v>35</v>
      </c>
      <c r="G148" s="168">
        <v>15.021235907382426</v>
      </c>
      <c r="H148" s="59">
        <f t="shared" si="6"/>
        <v>4.7838330915230651</v>
      </c>
      <c r="I148" s="62">
        <f t="shared" si="7"/>
        <v>3.2238809245213416</v>
      </c>
      <c r="J148" s="62">
        <f>I148*'Key Data'!$F$3</f>
        <v>0.80597023113033539</v>
      </c>
      <c r="K148" s="62">
        <f t="shared" si="8"/>
        <v>4.0298511556516772</v>
      </c>
      <c r="L148" s="344"/>
      <c r="M148" s="344"/>
    </row>
    <row r="149" spans="2:13">
      <c r="B149" s="449"/>
      <c r="C149" s="345"/>
      <c r="D149" s="345"/>
      <c r="E149" s="345"/>
      <c r="F149" s="58">
        <v>36</v>
      </c>
      <c r="G149" s="168">
        <v>20.248529360875779</v>
      </c>
      <c r="H149" s="59">
        <f t="shared" si="6"/>
        <v>6.4485762295782729</v>
      </c>
      <c r="I149" s="62">
        <f t="shared" si="7"/>
        <v>6.7126233147333059</v>
      </c>
      <c r="J149" s="62">
        <f>I149*'Key Data'!$F$3</f>
        <v>1.6781558286833265</v>
      </c>
      <c r="K149" s="62">
        <f t="shared" si="8"/>
        <v>8.3907791434166317</v>
      </c>
      <c r="L149" s="344"/>
      <c r="M149" s="344"/>
    </row>
    <row r="150" spans="2:13">
      <c r="B150" s="449"/>
      <c r="C150" s="345"/>
      <c r="D150" s="345"/>
      <c r="E150" s="345"/>
      <c r="F150" s="58">
        <v>37</v>
      </c>
      <c r="G150" s="168">
        <v>13</v>
      </c>
      <c r="H150" s="59">
        <f t="shared" si="6"/>
        <v>4.1401273885350314</v>
      </c>
      <c r="I150" s="62">
        <f t="shared" si="7"/>
        <v>2.260657388686806</v>
      </c>
      <c r="J150" s="62">
        <f>I150*'Key Data'!$F$3</f>
        <v>0.5651643471717015</v>
      </c>
      <c r="K150" s="62">
        <f t="shared" si="8"/>
        <v>2.8258217358585074</v>
      </c>
      <c r="L150" s="344"/>
      <c r="M150" s="344"/>
    </row>
    <row r="151" spans="2:13">
      <c r="B151" s="449"/>
      <c r="C151" s="345"/>
      <c r="D151" s="345"/>
      <c r="E151" s="345"/>
      <c r="F151" s="58">
        <v>38</v>
      </c>
      <c r="G151" s="168">
        <v>11</v>
      </c>
      <c r="H151" s="59">
        <f t="shared" si="6"/>
        <v>3.5031847133757958</v>
      </c>
      <c r="I151" s="62">
        <f t="shared" si="7"/>
        <v>1.499858573011374</v>
      </c>
      <c r="J151" s="62">
        <f>I151*'Key Data'!$F$3</f>
        <v>0.37496464325284351</v>
      </c>
      <c r="K151" s="62">
        <f t="shared" si="8"/>
        <v>1.8748232162642176</v>
      </c>
      <c r="L151" s="344"/>
      <c r="M151" s="344"/>
    </row>
    <row r="152" spans="2:13">
      <c r="B152" s="449"/>
      <c r="C152" s="345"/>
      <c r="D152" s="345"/>
      <c r="E152" s="345"/>
      <c r="F152" s="58">
        <v>39</v>
      </c>
      <c r="G152" s="168">
        <v>14</v>
      </c>
      <c r="H152" s="59">
        <f t="shared" si="6"/>
        <v>4.4585987261146496</v>
      </c>
      <c r="I152" s="62">
        <f t="shared" si="7"/>
        <v>2.7119415854186837</v>
      </c>
      <c r="J152" s="62">
        <f>I152*'Key Data'!$F$3</f>
        <v>0.67798539635467092</v>
      </c>
      <c r="K152" s="62">
        <f t="shared" si="8"/>
        <v>3.3899269817733546</v>
      </c>
      <c r="L152" s="344"/>
      <c r="M152" s="344"/>
    </row>
    <row r="153" spans="2:13">
      <c r="B153" s="449"/>
      <c r="C153" s="345"/>
      <c r="D153" s="345"/>
      <c r="E153" s="345"/>
      <c r="F153" s="58">
        <v>40</v>
      </c>
      <c r="G153" s="168">
        <v>15.710774967068403</v>
      </c>
      <c r="H153" s="59">
        <f t="shared" si="6"/>
        <v>5.0034315181746507</v>
      </c>
      <c r="I153" s="62">
        <f t="shared" si="7"/>
        <v>3.5995747811609373</v>
      </c>
      <c r="J153" s="62">
        <f>I153*'Key Data'!$F$3</f>
        <v>0.89989369529023433</v>
      </c>
      <c r="K153" s="62">
        <f t="shared" si="8"/>
        <v>4.4994684764511721</v>
      </c>
      <c r="L153" s="344"/>
      <c r="M153" s="344"/>
    </row>
    <row r="154" spans="2:13">
      <c r="B154" s="449"/>
      <c r="C154" s="345"/>
      <c r="D154" s="345"/>
      <c r="E154" s="345"/>
      <c r="F154" s="58">
        <v>41</v>
      </c>
      <c r="G154" s="168">
        <v>11</v>
      </c>
      <c r="H154" s="59">
        <f t="shared" si="6"/>
        <v>3.5031847133757958</v>
      </c>
      <c r="I154" s="62">
        <f t="shared" si="7"/>
        <v>1.499858573011374</v>
      </c>
      <c r="J154" s="62">
        <f>I154*'Key Data'!$F$3</f>
        <v>0.37496464325284351</v>
      </c>
      <c r="K154" s="62">
        <f t="shared" si="8"/>
        <v>1.8748232162642176</v>
      </c>
      <c r="L154" s="344"/>
      <c r="M154" s="344"/>
    </row>
    <row r="155" spans="2:13">
      <c r="B155" s="449"/>
      <c r="C155" s="345"/>
      <c r="D155" s="345"/>
      <c r="E155" s="345"/>
      <c r="F155" s="58">
        <v>42</v>
      </c>
      <c r="G155" s="168">
        <v>14</v>
      </c>
      <c r="H155" s="59">
        <f t="shared" si="6"/>
        <v>4.4585987261146496</v>
      </c>
      <c r="I155" s="62">
        <f t="shared" si="7"/>
        <v>2.7119415854186837</v>
      </c>
      <c r="J155" s="62">
        <f>I155*'Key Data'!$F$3</f>
        <v>0.67798539635467092</v>
      </c>
      <c r="K155" s="62">
        <f t="shared" si="8"/>
        <v>3.3899269817733546</v>
      </c>
      <c r="L155" s="344"/>
      <c r="M155" s="344"/>
    </row>
    <row r="156" spans="2:13">
      <c r="B156" s="449"/>
      <c r="C156" s="345"/>
      <c r="D156" s="345"/>
      <c r="E156" s="345"/>
      <c r="F156" s="58">
        <v>43</v>
      </c>
      <c r="G156" s="168">
        <v>14.5</v>
      </c>
      <c r="H156" s="59">
        <f t="shared" si="6"/>
        <v>4.6178343949044587</v>
      </c>
      <c r="I156" s="62">
        <f t="shared" si="7"/>
        <v>2.9560357941747868</v>
      </c>
      <c r="J156" s="62">
        <f>I156*'Key Data'!$F$3</f>
        <v>0.7390089485436967</v>
      </c>
      <c r="K156" s="62">
        <f t="shared" si="8"/>
        <v>3.6950447427184834</v>
      </c>
      <c r="L156" s="344"/>
      <c r="M156" s="344"/>
    </row>
    <row r="157" spans="2:13">
      <c r="B157" s="449"/>
      <c r="C157" s="345"/>
      <c r="D157" s="345"/>
      <c r="E157" s="345"/>
      <c r="F157" s="58">
        <v>44</v>
      </c>
      <c r="G157" s="168">
        <v>13.5</v>
      </c>
      <c r="H157" s="59">
        <f t="shared" si="6"/>
        <v>4.2993630573248405</v>
      </c>
      <c r="I157" s="62">
        <f t="shared" si="7"/>
        <v>2.4802166034471189</v>
      </c>
      <c r="J157" s="62">
        <f>I157*'Key Data'!$F$3</f>
        <v>0.62005415086177973</v>
      </c>
      <c r="K157" s="62">
        <f t="shared" si="8"/>
        <v>3.1002707543088985</v>
      </c>
      <c r="L157" s="344"/>
      <c r="M157" s="344"/>
    </row>
    <row r="158" spans="2:13">
      <c r="B158" s="449"/>
      <c r="C158" s="345"/>
      <c r="D158" s="345"/>
      <c r="E158" s="345"/>
      <c r="F158" s="58">
        <v>45</v>
      </c>
      <c r="G158" s="168">
        <v>14.913830462839549</v>
      </c>
      <c r="H158" s="59">
        <f t="shared" si="6"/>
        <v>4.7496275359361615</v>
      </c>
      <c r="I158" s="62">
        <f t="shared" si="7"/>
        <v>3.1675607635238614</v>
      </c>
      <c r="J158" s="62">
        <f>I158*'Key Data'!$F$3</f>
        <v>0.79189019088096535</v>
      </c>
      <c r="K158" s="62">
        <f t="shared" si="8"/>
        <v>3.9594509544048266</v>
      </c>
      <c r="L158" s="344"/>
      <c r="M158" s="344"/>
    </row>
    <row r="159" spans="2:13">
      <c r="B159" s="449"/>
      <c r="C159" s="345"/>
      <c r="D159" s="345"/>
      <c r="E159" s="345"/>
      <c r="F159" s="58">
        <v>46</v>
      </c>
      <c r="G159" s="168">
        <v>13.2</v>
      </c>
      <c r="H159" s="59">
        <f t="shared" si="6"/>
        <v>4.2038216560509554</v>
      </c>
      <c r="I159" s="62">
        <f t="shared" si="7"/>
        <v>2.3470343735243584</v>
      </c>
      <c r="J159" s="62">
        <f>I159*'Key Data'!$F$3</f>
        <v>0.5867585933810896</v>
      </c>
      <c r="K159" s="62">
        <f t="shared" si="8"/>
        <v>2.9337929669054481</v>
      </c>
      <c r="L159" s="344"/>
      <c r="M159" s="344"/>
    </row>
    <row r="160" spans="2:13">
      <c r="B160" s="449"/>
      <c r="C160" s="345"/>
      <c r="D160" s="345"/>
      <c r="E160" s="345"/>
      <c r="F160" s="58">
        <v>47</v>
      </c>
      <c r="G160" s="168">
        <v>13.1</v>
      </c>
      <c r="H160" s="59">
        <f t="shared" si="6"/>
        <v>4.1719745222929934</v>
      </c>
      <c r="I160" s="62">
        <f t="shared" si="7"/>
        <v>2.3036058736103806</v>
      </c>
      <c r="J160" s="62">
        <f>I160*'Key Data'!$F$3</f>
        <v>0.57590146840259515</v>
      </c>
      <c r="K160" s="62">
        <f t="shared" si="8"/>
        <v>2.8795073420129755</v>
      </c>
      <c r="L160" s="344"/>
      <c r="M160" s="344"/>
    </row>
    <row r="161" spans="2:13">
      <c r="B161" s="449"/>
      <c r="C161" s="345"/>
      <c r="D161" s="345"/>
      <c r="E161" s="345"/>
      <c r="F161" s="58">
        <v>48</v>
      </c>
      <c r="G161" s="168">
        <v>14.921055241409094</v>
      </c>
      <c r="H161" s="59">
        <f t="shared" si="6"/>
        <v>4.7519284208309216</v>
      </c>
      <c r="I161" s="62">
        <f t="shared" si="7"/>
        <v>3.1713307674519045</v>
      </c>
      <c r="J161" s="62">
        <f>I161*'Key Data'!$F$3</f>
        <v>0.79283269186297611</v>
      </c>
      <c r="K161" s="62">
        <f t="shared" si="8"/>
        <v>3.9641634593148805</v>
      </c>
      <c r="L161" s="344"/>
      <c r="M161" s="344"/>
    </row>
    <row r="162" spans="2:13">
      <c r="B162" s="449"/>
      <c r="C162" s="345"/>
      <c r="D162" s="345"/>
      <c r="E162" s="345"/>
      <c r="F162" s="58">
        <v>49</v>
      </c>
      <c r="G162" s="168">
        <v>18</v>
      </c>
      <c r="H162" s="59">
        <f t="shared" si="6"/>
        <v>5.7324840764331206</v>
      </c>
      <c r="I162" s="62">
        <f t="shared" si="7"/>
        <v>5.0273503020791406</v>
      </c>
      <c r="J162" s="62">
        <f>I162*'Key Data'!$F$3</f>
        <v>1.2568375755197851</v>
      </c>
      <c r="K162" s="62">
        <f t="shared" si="8"/>
        <v>6.2841878775989262</v>
      </c>
      <c r="L162" s="344"/>
      <c r="M162" s="344"/>
    </row>
    <row r="163" spans="2:13">
      <c r="B163" s="449"/>
      <c r="C163" s="345"/>
      <c r="D163" s="345"/>
      <c r="E163" s="345"/>
      <c r="F163" s="58">
        <v>50</v>
      </c>
      <c r="G163" s="168">
        <v>11.5</v>
      </c>
      <c r="H163" s="59">
        <f t="shared" si="6"/>
        <v>3.6624203821656049</v>
      </c>
      <c r="I163" s="62">
        <f t="shared" si="7"/>
        <v>1.6728760785757455</v>
      </c>
      <c r="J163" s="62">
        <f>I163*'Key Data'!$F$3</f>
        <v>0.41821901964393637</v>
      </c>
      <c r="K163" s="62">
        <f t="shared" si="8"/>
        <v>2.0910950982196819</v>
      </c>
      <c r="L163" s="344"/>
      <c r="M163" s="344"/>
    </row>
    <row r="164" spans="2:13">
      <c r="B164" s="449"/>
      <c r="C164" s="345"/>
      <c r="D164" s="345"/>
      <c r="E164" s="345"/>
      <c r="F164" s="58">
        <v>51</v>
      </c>
      <c r="G164" s="168">
        <v>15.620770138594661</v>
      </c>
      <c r="H164" s="59">
        <f t="shared" si="6"/>
        <v>4.9747675600619941</v>
      </c>
      <c r="I164" s="62">
        <f t="shared" si="7"/>
        <v>3.549139518371577</v>
      </c>
      <c r="J164" s="62">
        <f>I164*'Key Data'!$F$3</f>
        <v>0.88728487959289426</v>
      </c>
      <c r="K164" s="62">
        <f t="shared" si="8"/>
        <v>4.4364243979644709</v>
      </c>
      <c r="L164" s="344"/>
      <c r="M164" s="344"/>
    </row>
    <row r="165" spans="2:13">
      <c r="B165" s="449"/>
      <c r="C165" s="345"/>
      <c r="D165" s="345"/>
      <c r="E165" s="345"/>
      <c r="F165" s="58">
        <v>52</v>
      </c>
      <c r="G165" s="168">
        <v>13</v>
      </c>
      <c r="H165" s="59">
        <f t="shared" si="6"/>
        <v>4.1401273885350314</v>
      </c>
      <c r="I165" s="62">
        <f t="shared" si="7"/>
        <v>2.260657388686806</v>
      </c>
      <c r="J165" s="62">
        <f>I165*'Key Data'!$F$3</f>
        <v>0.5651643471717015</v>
      </c>
      <c r="K165" s="62">
        <f t="shared" si="8"/>
        <v>2.8258217358585074</v>
      </c>
      <c r="L165" s="344"/>
      <c r="M165" s="344"/>
    </row>
    <row r="166" spans="2:13">
      <c r="B166" s="449"/>
      <c r="C166" s="345"/>
      <c r="D166" s="345"/>
      <c r="E166" s="345"/>
      <c r="F166" s="58">
        <v>53</v>
      </c>
      <c r="G166" s="168">
        <v>14</v>
      </c>
      <c r="H166" s="59">
        <f t="shared" si="6"/>
        <v>4.4585987261146496</v>
      </c>
      <c r="I166" s="62">
        <f t="shared" si="7"/>
        <v>2.7119415854186837</v>
      </c>
      <c r="J166" s="62">
        <f>I166*'Key Data'!$F$3</f>
        <v>0.67798539635467092</v>
      </c>
      <c r="K166" s="62">
        <f t="shared" si="8"/>
        <v>3.3899269817733546</v>
      </c>
      <c r="L166" s="344"/>
      <c r="M166" s="344"/>
    </row>
    <row r="167" spans="2:13">
      <c r="B167" s="449"/>
      <c r="C167" s="345"/>
      <c r="D167" s="345"/>
      <c r="E167" s="345"/>
      <c r="F167" s="58">
        <v>54</v>
      </c>
      <c r="G167" s="168">
        <v>13.5</v>
      </c>
      <c r="H167" s="59">
        <f t="shared" si="6"/>
        <v>4.2993630573248405</v>
      </c>
      <c r="I167" s="62">
        <f t="shared" si="7"/>
        <v>2.4802166034471189</v>
      </c>
      <c r="J167" s="62">
        <f>I167*'Key Data'!$F$3</f>
        <v>0.62005415086177973</v>
      </c>
      <c r="K167" s="62">
        <f t="shared" si="8"/>
        <v>3.1002707543088985</v>
      </c>
      <c r="L167" s="344"/>
      <c r="M167" s="344"/>
    </row>
    <row r="168" spans="2:13">
      <c r="B168" s="449"/>
      <c r="C168" s="345"/>
      <c r="D168" s="345"/>
      <c r="E168" s="345"/>
      <c r="F168" s="58">
        <v>55</v>
      </c>
      <c r="G168" s="168">
        <v>15.600000000000001</v>
      </c>
      <c r="H168" s="59">
        <f t="shared" si="6"/>
        <v>4.9681528662420389</v>
      </c>
      <c r="I168" s="62">
        <f t="shared" si="7"/>
        <v>3.5375606030352822</v>
      </c>
      <c r="J168" s="62">
        <f>I168*'Key Data'!$F$3</f>
        <v>0.88439015075882055</v>
      </c>
      <c r="K168" s="62">
        <f t="shared" si="8"/>
        <v>4.4219507537941025</v>
      </c>
      <c r="L168" s="344"/>
      <c r="M168" s="344"/>
    </row>
    <row r="169" spans="2:13">
      <c r="B169" s="449"/>
      <c r="C169" s="345"/>
      <c r="D169" s="345"/>
      <c r="E169" s="345"/>
      <c r="F169" s="58">
        <v>56</v>
      </c>
      <c r="G169" s="168">
        <v>16.327723451163457</v>
      </c>
      <c r="H169" s="59">
        <f t="shared" si="6"/>
        <v>5.1999119271221197</v>
      </c>
      <c r="I169" s="62">
        <f t="shared" si="7"/>
        <v>3.9567192600356575</v>
      </c>
      <c r="J169" s="62">
        <f>I169*'Key Data'!$F$3</f>
        <v>0.98917981500891439</v>
      </c>
      <c r="K169" s="62">
        <f t="shared" si="8"/>
        <v>4.9458990750445722</v>
      </c>
      <c r="L169" s="344"/>
      <c r="M169" s="344"/>
    </row>
    <row r="170" spans="2:13">
      <c r="B170" s="449"/>
      <c r="C170" s="345"/>
      <c r="D170" s="345"/>
      <c r="E170" s="345"/>
      <c r="F170" s="58">
        <v>57</v>
      </c>
      <c r="G170" s="168">
        <v>18.2</v>
      </c>
      <c r="H170" s="59">
        <f t="shared" si="6"/>
        <v>5.7961783439490437</v>
      </c>
      <c r="I170" s="62">
        <f t="shared" si="7"/>
        <v>5.1656526984199163</v>
      </c>
      <c r="J170" s="62">
        <f>I170*'Key Data'!$F$3</f>
        <v>1.2914131746049791</v>
      </c>
      <c r="K170" s="62">
        <f t="shared" si="8"/>
        <v>6.4570658730248951</v>
      </c>
      <c r="L170" s="344"/>
      <c r="M170" s="344"/>
    </row>
    <row r="171" spans="2:13">
      <c r="B171" s="449"/>
      <c r="C171" s="345"/>
      <c r="D171" s="345"/>
      <c r="E171" s="345"/>
      <c r="F171" s="58">
        <v>58</v>
      </c>
      <c r="G171" s="168">
        <v>16</v>
      </c>
      <c r="H171" s="59">
        <f t="shared" si="6"/>
        <v>5.0955414012738851</v>
      </c>
      <c r="I171" s="62">
        <f t="shared" si="7"/>
        <v>3.7645108437484693</v>
      </c>
      <c r="J171" s="62">
        <f>I171*'Key Data'!$F$3</f>
        <v>0.94112771093711733</v>
      </c>
      <c r="K171" s="62">
        <f t="shared" si="8"/>
        <v>4.7056385546855868</v>
      </c>
      <c r="L171" s="344"/>
      <c r="M171" s="344"/>
    </row>
    <row r="172" spans="2:13">
      <c r="B172" s="449"/>
      <c r="C172" s="345"/>
      <c r="D172" s="345"/>
      <c r="E172" s="345"/>
      <c r="F172" s="58">
        <v>59</v>
      </c>
      <c r="G172" s="168">
        <v>13.2</v>
      </c>
      <c r="H172" s="59">
        <f t="shared" si="6"/>
        <v>4.2038216560509554</v>
      </c>
      <c r="I172" s="62">
        <f t="shared" si="7"/>
        <v>2.3470343735243584</v>
      </c>
      <c r="J172" s="62">
        <f>I172*'Key Data'!$F$3</f>
        <v>0.5867585933810896</v>
      </c>
      <c r="K172" s="62">
        <f t="shared" si="8"/>
        <v>2.9337929669054481</v>
      </c>
      <c r="L172" s="344"/>
      <c r="M172" s="344"/>
    </row>
    <row r="173" spans="2:13">
      <c r="B173" s="449"/>
      <c r="C173" s="345"/>
      <c r="D173" s="345"/>
      <c r="E173" s="345"/>
      <c r="F173" s="58">
        <v>60</v>
      </c>
      <c r="G173" s="168">
        <v>17.445866745696716</v>
      </c>
      <c r="H173" s="59">
        <f t="shared" si="6"/>
        <v>5.5560085177378076</v>
      </c>
      <c r="I173" s="62">
        <f t="shared" si="7"/>
        <v>4.6557192141321124</v>
      </c>
      <c r="J173" s="62">
        <f>I173*'Key Data'!$F$3</f>
        <v>1.1639298035330281</v>
      </c>
      <c r="K173" s="62">
        <f t="shared" si="8"/>
        <v>5.8196490176651405</v>
      </c>
      <c r="L173" s="344"/>
      <c r="M173" s="344"/>
    </row>
    <row r="174" spans="2:13">
      <c r="B174" s="449"/>
      <c r="C174" s="345"/>
      <c r="D174" s="345"/>
      <c r="E174" s="345"/>
      <c r="F174" s="58">
        <v>61</v>
      </c>
      <c r="G174" s="168">
        <v>15.620770138594661</v>
      </c>
      <c r="H174" s="59">
        <f t="shared" si="6"/>
        <v>4.9747675600619941</v>
      </c>
      <c r="I174" s="62">
        <f t="shared" si="7"/>
        <v>3.549139518371577</v>
      </c>
      <c r="J174" s="62">
        <f>I174*'Key Data'!$F$3</f>
        <v>0.88728487959289426</v>
      </c>
      <c r="K174" s="62">
        <f t="shared" si="8"/>
        <v>4.4364243979644709</v>
      </c>
      <c r="L174" s="344"/>
      <c r="M174" s="344"/>
    </row>
    <row r="175" spans="2:13">
      <c r="B175" s="449"/>
      <c r="C175" s="345"/>
      <c r="D175" s="345"/>
      <c r="E175" s="345"/>
      <c r="F175" s="58">
        <v>62</v>
      </c>
      <c r="G175" s="168">
        <v>18.704060495238032</v>
      </c>
      <c r="H175" s="59">
        <f t="shared" si="6"/>
        <v>5.9567071640885452</v>
      </c>
      <c r="I175" s="62">
        <f t="shared" si="7"/>
        <v>5.5241370136107131</v>
      </c>
      <c r="J175" s="62">
        <f>I175*'Key Data'!$F$3</f>
        <v>1.3810342534026783</v>
      </c>
      <c r="K175" s="62">
        <f t="shared" si="8"/>
        <v>6.9051712670133911</v>
      </c>
      <c r="L175" s="344"/>
      <c r="M175" s="344"/>
    </row>
    <row r="176" spans="2:13" ht="15.75" thickBot="1">
      <c r="B176" s="450"/>
      <c r="C176" s="451"/>
      <c r="D176" s="451"/>
      <c r="E176" s="451"/>
      <c r="F176" s="154">
        <v>63</v>
      </c>
      <c r="G176" s="169">
        <v>12.5</v>
      </c>
      <c r="H176" s="59">
        <f t="shared" si="6"/>
        <v>3.9808917197452227</v>
      </c>
      <c r="I176" s="62">
        <f t="shared" si="7"/>
        <v>2.0530563379579201</v>
      </c>
      <c r="J176" s="62">
        <f>I176*'Key Data'!$F$3</f>
        <v>0.51326408448948002</v>
      </c>
      <c r="K176" s="62">
        <f t="shared" si="8"/>
        <v>2.5663204224473999</v>
      </c>
      <c r="L176" s="344"/>
      <c r="M176" s="344"/>
    </row>
  </sheetData>
  <mergeCells count="24">
    <mergeCell ref="B4:B45"/>
    <mergeCell ref="C4:C45"/>
    <mergeCell ref="D4:D45"/>
    <mergeCell ref="E4:E45"/>
    <mergeCell ref="B46:B78"/>
    <mergeCell ref="C46:C78"/>
    <mergeCell ref="D46:D78"/>
    <mergeCell ref="E46:E78"/>
    <mergeCell ref="B79:B113"/>
    <mergeCell ref="C79:C113"/>
    <mergeCell ref="D79:D113"/>
    <mergeCell ref="E79:E113"/>
    <mergeCell ref="B114:B176"/>
    <mergeCell ref="C114:C176"/>
    <mergeCell ref="D114:D176"/>
    <mergeCell ref="E114:E176"/>
    <mergeCell ref="L4:L45"/>
    <mergeCell ref="L46:L78"/>
    <mergeCell ref="L79:L113"/>
    <mergeCell ref="L114:L176"/>
    <mergeCell ref="M4:M45"/>
    <mergeCell ref="M46:M78"/>
    <mergeCell ref="M79:M113"/>
    <mergeCell ref="M114:M176"/>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7F37E-5307-4AD4-ACF7-1921136D7EA7}">
  <dimension ref="B3:M43"/>
  <sheetViews>
    <sheetView workbookViewId="0">
      <selection activeCell="B3" sqref="B3:M3"/>
    </sheetView>
  </sheetViews>
  <sheetFormatPr defaultRowHeight="15"/>
  <sheetData>
    <row r="3" spans="2:13" ht="81.75">
      <c r="B3" s="275" t="s">
        <v>486</v>
      </c>
      <c r="C3" s="275" t="s">
        <v>433</v>
      </c>
      <c r="D3" s="275" t="s">
        <v>434</v>
      </c>
      <c r="E3" s="275" t="s">
        <v>435</v>
      </c>
      <c r="F3" s="274" t="s">
        <v>436</v>
      </c>
      <c r="G3" s="275" t="s">
        <v>437</v>
      </c>
      <c r="H3" s="276" t="s">
        <v>438</v>
      </c>
      <c r="I3" s="274" t="s">
        <v>439</v>
      </c>
      <c r="J3" s="274" t="s">
        <v>440</v>
      </c>
      <c r="K3" s="274" t="s">
        <v>496</v>
      </c>
      <c r="L3" s="274" t="s">
        <v>442</v>
      </c>
      <c r="M3" s="274" t="s">
        <v>443</v>
      </c>
    </row>
    <row r="4" spans="2:13">
      <c r="B4" s="345">
        <v>1</v>
      </c>
      <c r="C4" s="345" t="s">
        <v>504</v>
      </c>
      <c r="D4" s="345">
        <v>23.102060000000002</v>
      </c>
      <c r="E4" s="345">
        <v>75.112669999999994</v>
      </c>
      <c r="F4" s="58">
        <v>1</v>
      </c>
      <c r="G4" s="168">
        <v>17</v>
      </c>
      <c r="H4" s="59">
        <f>G4/3.14</f>
        <v>5.4140127388535033</v>
      </c>
      <c r="I4" s="62">
        <f>0.069 * H4^2.456</f>
        <v>4.3689032366516765</v>
      </c>
      <c r="J4" s="62">
        <f>I4*'Key Data'!$F$3</f>
        <v>1.0922258091629191</v>
      </c>
      <c r="K4" s="62">
        <f>J4+I4</f>
        <v>5.4611290458145954</v>
      </c>
      <c r="L4" s="344">
        <f>SUM(K4:K43)/1000</f>
        <v>0.19196926892448127</v>
      </c>
      <c r="M4" s="344">
        <f>L4/225*10000</f>
        <v>8.5319675077547217</v>
      </c>
    </row>
    <row r="5" spans="2:13">
      <c r="B5" s="345"/>
      <c r="C5" s="345"/>
      <c r="D5" s="345"/>
      <c r="E5" s="345"/>
      <c r="F5" s="58">
        <v>2</v>
      </c>
      <c r="G5" s="168">
        <v>16.5</v>
      </c>
      <c r="H5" s="59">
        <f t="shared" ref="H5:H43" si="0">G5/3.14</f>
        <v>5.2547770700636942</v>
      </c>
      <c r="I5" s="62">
        <f t="shared" ref="I5:I43" si="1">0.069 * H5^2.456</f>
        <v>4.0600412128794678</v>
      </c>
      <c r="J5" s="62">
        <f>I5*'Key Data'!$F$3</f>
        <v>1.015010303219867</v>
      </c>
      <c r="K5" s="62">
        <f t="shared" ref="K5:K43" si="2">J5+I5</f>
        <v>5.075051516099335</v>
      </c>
      <c r="L5" s="344"/>
      <c r="M5" s="344"/>
    </row>
    <row r="6" spans="2:13">
      <c r="B6" s="345"/>
      <c r="C6" s="345"/>
      <c r="D6" s="345"/>
      <c r="E6" s="345"/>
      <c r="F6" s="58">
        <v>3</v>
      </c>
      <c r="G6" s="168">
        <v>17</v>
      </c>
      <c r="H6" s="59">
        <f t="shared" si="0"/>
        <v>5.4140127388535033</v>
      </c>
      <c r="I6" s="62">
        <f t="shared" si="1"/>
        <v>4.3689032366516765</v>
      </c>
      <c r="J6" s="62">
        <f>I6*'Key Data'!$F$3</f>
        <v>1.0922258091629191</v>
      </c>
      <c r="K6" s="62">
        <f t="shared" si="2"/>
        <v>5.4611290458145954</v>
      </c>
      <c r="L6" s="344"/>
      <c r="M6" s="344"/>
    </row>
    <row r="7" spans="2:13">
      <c r="B7" s="345"/>
      <c r="C7" s="345"/>
      <c r="D7" s="345"/>
      <c r="E7" s="345"/>
      <c r="F7" s="58">
        <v>4</v>
      </c>
      <c r="G7" s="168">
        <v>14.5</v>
      </c>
      <c r="H7" s="59">
        <f t="shared" si="0"/>
        <v>4.6178343949044587</v>
      </c>
      <c r="I7" s="62">
        <f t="shared" si="1"/>
        <v>2.9560357941747868</v>
      </c>
      <c r="J7" s="62">
        <f>I7*'Key Data'!$F$3</f>
        <v>0.7390089485436967</v>
      </c>
      <c r="K7" s="62">
        <f t="shared" si="2"/>
        <v>3.6950447427184834</v>
      </c>
      <c r="L7" s="344"/>
      <c r="M7" s="344"/>
    </row>
    <row r="8" spans="2:13">
      <c r="B8" s="345"/>
      <c r="C8" s="345"/>
      <c r="D8" s="345"/>
      <c r="E8" s="345"/>
      <c r="F8" s="58">
        <v>5</v>
      </c>
      <c r="G8" s="168">
        <v>16.5</v>
      </c>
      <c r="H8" s="59">
        <f t="shared" si="0"/>
        <v>5.2547770700636942</v>
      </c>
      <c r="I8" s="62">
        <f t="shared" si="1"/>
        <v>4.0600412128794678</v>
      </c>
      <c r="J8" s="62">
        <f>I8*'Key Data'!$F$3</f>
        <v>1.015010303219867</v>
      </c>
      <c r="K8" s="62">
        <f t="shared" si="2"/>
        <v>5.075051516099335</v>
      </c>
      <c r="L8" s="344"/>
      <c r="M8" s="344"/>
    </row>
    <row r="9" spans="2:13">
      <c r="B9" s="345"/>
      <c r="C9" s="345"/>
      <c r="D9" s="345"/>
      <c r="E9" s="345"/>
      <c r="F9" s="58">
        <v>6</v>
      </c>
      <c r="G9" s="168">
        <v>14.5</v>
      </c>
      <c r="H9" s="59">
        <f t="shared" si="0"/>
        <v>4.6178343949044587</v>
      </c>
      <c r="I9" s="62">
        <f t="shared" si="1"/>
        <v>2.9560357941747868</v>
      </c>
      <c r="J9" s="62">
        <f>I9*'Key Data'!$F$3</f>
        <v>0.7390089485436967</v>
      </c>
      <c r="K9" s="62">
        <f t="shared" si="2"/>
        <v>3.6950447427184834</v>
      </c>
      <c r="L9" s="344"/>
      <c r="M9" s="344"/>
    </row>
    <row r="10" spans="2:13">
      <c r="B10" s="345"/>
      <c r="C10" s="345"/>
      <c r="D10" s="345"/>
      <c r="E10" s="345"/>
      <c r="F10" s="58">
        <v>7</v>
      </c>
      <c r="G10" s="168">
        <v>14</v>
      </c>
      <c r="H10" s="59">
        <f t="shared" si="0"/>
        <v>4.4585987261146496</v>
      </c>
      <c r="I10" s="62">
        <f t="shared" si="1"/>
        <v>2.7119415854186837</v>
      </c>
      <c r="J10" s="62">
        <f>I10*'Key Data'!$F$3</f>
        <v>0.67798539635467092</v>
      </c>
      <c r="K10" s="62">
        <f t="shared" si="2"/>
        <v>3.3899269817733546</v>
      </c>
      <c r="L10" s="344"/>
      <c r="M10" s="344"/>
    </row>
    <row r="11" spans="2:13">
      <c r="B11" s="345"/>
      <c r="C11" s="345"/>
      <c r="D11" s="345"/>
      <c r="E11" s="345"/>
      <c r="F11" s="58">
        <v>8</v>
      </c>
      <c r="G11" s="168">
        <v>15</v>
      </c>
      <c r="H11" s="59">
        <f t="shared" si="0"/>
        <v>4.7770700636942669</v>
      </c>
      <c r="I11" s="62">
        <f t="shared" si="1"/>
        <v>3.2126987721879932</v>
      </c>
      <c r="J11" s="62">
        <f>I11*'Key Data'!$F$3</f>
        <v>0.80317469304699829</v>
      </c>
      <c r="K11" s="62">
        <f t="shared" si="2"/>
        <v>4.015873465234991</v>
      </c>
      <c r="L11" s="344"/>
      <c r="M11" s="344"/>
    </row>
    <row r="12" spans="2:13">
      <c r="B12" s="345"/>
      <c r="C12" s="345"/>
      <c r="D12" s="345"/>
      <c r="E12" s="345"/>
      <c r="F12" s="58">
        <v>9</v>
      </c>
      <c r="G12" s="168">
        <v>16.2</v>
      </c>
      <c r="H12" s="59">
        <f t="shared" si="0"/>
        <v>5.1592356687898082</v>
      </c>
      <c r="I12" s="62">
        <f t="shared" si="1"/>
        <v>3.8811350128756921</v>
      </c>
      <c r="J12" s="62">
        <f>I12*'Key Data'!$F$3</f>
        <v>0.97028375321892302</v>
      </c>
      <c r="K12" s="62">
        <f t="shared" si="2"/>
        <v>4.8514187660946151</v>
      </c>
      <c r="L12" s="344"/>
      <c r="M12" s="344"/>
    </row>
    <row r="13" spans="2:13">
      <c r="B13" s="345"/>
      <c r="C13" s="345"/>
      <c r="D13" s="345"/>
      <c r="E13" s="345"/>
      <c r="F13" s="58">
        <v>10</v>
      </c>
      <c r="G13" s="168">
        <v>15.8</v>
      </c>
      <c r="H13" s="59">
        <f t="shared" si="0"/>
        <v>5.031847133757962</v>
      </c>
      <c r="I13" s="62">
        <f t="shared" si="1"/>
        <v>3.6499900506160148</v>
      </c>
      <c r="J13" s="62">
        <f>I13*'Key Data'!$F$3</f>
        <v>0.9124975126540037</v>
      </c>
      <c r="K13" s="62">
        <f t="shared" si="2"/>
        <v>4.5624875632700181</v>
      </c>
      <c r="L13" s="344"/>
      <c r="M13" s="344"/>
    </row>
    <row r="14" spans="2:13">
      <c r="B14" s="345"/>
      <c r="C14" s="345"/>
      <c r="D14" s="345"/>
      <c r="E14" s="345"/>
      <c r="F14" s="58">
        <v>11</v>
      </c>
      <c r="G14" s="168">
        <v>17.5</v>
      </c>
      <c r="H14" s="59">
        <f t="shared" si="0"/>
        <v>5.5732484076433115</v>
      </c>
      <c r="I14" s="62">
        <f t="shared" si="1"/>
        <v>4.691279653986399</v>
      </c>
      <c r="J14" s="62">
        <f>I14*'Key Data'!$F$3</f>
        <v>1.1728199134965998</v>
      </c>
      <c r="K14" s="62">
        <f t="shared" si="2"/>
        <v>5.8640995674829988</v>
      </c>
      <c r="L14" s="344"/>
      <c r="M14" s="344"/>
    </row>
    <row r="15" spans="2:13">
      <c r="B15" s="345"/>
      <c r="C15" s="345"/>
      <c r="D15" s="345"/>
      <c r="E15" s="345"/>
      <c r="F15" s="58">
        <v>12</v>
      </c>
      <c r="G15" s="168">
        <v>13.6</v>
      </c>
      <c r="H15" s="59">
        <f t="shared" si="0"/>
        <v>4.3312101910828025</v>
      </c>
      <c r="I15" s="62">
        <f t="shared" si="1"/>
        <v>2.5255817695877463</v>
      </c>
      <c r="J15" s="62">
        <f>I15*'Key Data'!$F$3</f>
        <v>0.63139544239693657</v>
      </c>
      <c r="K15" s="62">
        <f t="shared" si="2"/>
        <v>3.1569772119846826</v>
      </c>
      <c r="L15" s="344"/>
      <c r="M15" s="344"/>
    </row>
    <row r="16" spans="2:13">
      <c r="B16" s="345"/>
      <c r="C16" s="345"/>
      <c r="D16" s="345"/>
      <c r="E16" s="345"/>
      <c r="F16" s="58">
        <v>13</v>
      </c>
      <c r="G16" s="168">
        <v>14.6</v>
      </c>
      <c r="H16" s="59">
        <f t="shared" si="0"/>
        <v>4.6496815286624198</v>
      </c>
      <c r="I16" s="62">
        <f t="shared" si="1"/>
        <v>3.0063565694276995</v>
      </c>
      <c r="J16" s="62">
        <f>I16*'Key Data'!$F$3</f>
        <v>0.75158914235692487</v>
      </c>
      <c r="K16" s="62">
        <f t="shared" si="2"/>
        <v>3.7579457117846244</v>
      </c>
      <c r="L16" s="344"/>
      <c r="M16" s="344"/>
    </row>
    <row r="17" spans="2:13">
      <c r="B17" s="345"/>
      <c r="C17" s="345"/>
      <c r="D17" s="345"/>
      <c r="E17" s="345"/>
      <c r="F17" s="58">
        <v>14</v>
      </c>
      <c r="G17" s="168">
        <v>18.7</v>
      </c>
      <c r="H17" s="59">
        <f t="shared" si="0"/>
        <v>5.9554140127388528</v>
      </c>
      <c r="I17" s="62">
        <f t="shared" si="1"/>
        <v>5.5211921358590201</v>
      </c>
      <c r="J17" s="62">
        <f>I17*'Key Data'!$F$3</f>
        <v>1.380298033964755</v>
      </c>
      <c r="K17" s="62">
        <f t="shared" si="2"/>
        <v>6.9014901698237754</v>
      </c>
      <c r="L17" s="344"/>
      <c r="M17" s="344"/>
    </row>
    <row r="18" spans="2:13">
      <c r="B18" s="345"/>
      <c r="C18" s="345"/>
      <c r="D18" s="345"/>
      <c r="E18" s="345"/>
      <c r="F18" s="58">
        <v>15</v>
      </c>
      <c r="G18" s="168">
        <v>17.5</v>
      </c>
      <c r="H18" s="59">
        <f t="shared" si="0"/>
        <v>5.5732484076433115</v>
      </c>
      <c r="I18" s="62">
        <f t="shared" si="1"/>
        <v>4.691279653986399</v>
      </c>
      <c r="J18" s="62">
        <f>I18*'Key Data'!$F$3</f>
        <v>1.1728199134965998</v>
      </c>
      <c r="K18" s="62">
        <f t="shared" si="2"/>
        <v>5.8640995674829988</v>
      </c>
      <c r="L18" s="344"/>
      <c r="M18" s="344"/>
    </row>
    <row r="19" spans="2:13">
      <c r="B19" s="345"/>
      <c r="C19" s="345"/>
      <c r="D19" s="345"/>
      <c r="E19" s="345"/>
      <c r="F19" s="58">
        <v>16</v>
      </c>
      <c r="G19" s="168">
        <v>16</v>
      </c>
      <c r="H19" s="59">
        <f t="shared" si="0"/>
        <v>5.0955414012738851</v>
      </c>
      <c r="I19" s="62">
        <f t="shared" si="1"/>
        <v>3.7645108437484693</v>
      </c>
      <c r="J19" s="62">
        <f>I19*'Key Data'!$F$3</f>
        <v>0.94112771093711733</v>
      </c>
      <c r="K19" s="62">
        <f t="shared" si="2"/>
        <v>4.7056385546855868</v>
      </c>
      <c r="L19" s="344"/>
      <c r="M19" s="344"/>
    </row>
    <row r="20" spans="2:13">
      <c r="B20" s="345"/>
      <c r="C20" s="345"/>
      <c r="D20" s="345"/>
      <c r="E20" s="345"/>
      <c r="F20" s="58">
        <v>17</v>
      </c>
      <c r="G20" s="168">
        <v>19</v>
      </c>
      <c r="H20" s="59">
        <f t="shared" si="0"/>
        <v>6.0509554140127388</v>
      </c>
      <c r="I20" s="62">
        <f t="shared" si="1"/>
        <v>5.7412798843525668</v>
      </c>
      <c r="J20" s="62">
        <f>I20*'Key Data'!$F$3</f>
        <v>1.4353199710881417</v>
      </c>
      <c r="K20" s="62">
        <f t="shared" si="2"/>
        <v>7.176599855440708</v>
      </c>
      <c r="L20" s="344"/>
      <c r="M20" s="344"/>
    </row>
    <row r="21" spans="2:13">
      <c r="B21" s="345"/>
      <c r="C21" s="345"/>
      <c r="D21" s="345"/>
      <c r="E21" s="345"/>
      <c r="F21" s="58">
        <v>18</v>
      </c>
      <c r="G21" s="168">
        <v>16.8</v>
      </c>
      <c r="H21" s="59">
        <f t="shared" si="0"/>
        <v>5.3503184713375793</v>
      </c>
      <c r="I21" s="62">
        <f t="shared" si="1"/>
        <v>4.243746866871775</v>
      </c>
      <c r="J21" s="62">
        <f>I21*'Key Data'!$F$3</f>
        <v>1.0609367167179438</v>
      </c>
      <c r="K21" s="62">
        <f t="shared" si="2"/>
        <v>5.3046835835897186</v>
      </c>
      <c r="L21" s="344"/>
      <c r="M21" s="344"/>
    </row>
    <row r="22" spans="2:13">
      <c r="B22" s="345"/>
      <c r="C22" s="345"/>
      <c r="D22" s="345"/>
      <c r="E22" s="345"/>
      <c r="F22" s="58">
        <v>19</v>
      </c>
      <c r="G22" s="168">
        <v>15</v>
      </c>
      <c r="H22" s="59">
        <f t="shared" si="0"/>
        <v>4.7770700636942669</v>
      </c>
      <c r="I22" s="62">
        <f t="shared" si="1"/>
        <v>3.2126987721879932</v>
      </c>
      <c r="J22" s="62">
        <f>I22*'Key Data'!$F$3</f>
        <v>0.80317469304699829</v>
      </c>
      <c r="K22" s="62">
        <f t="shared" si="2"/>
        <v>4.015873465234991</v>
      </c>
      <c r="L22" s="344"/>
      <c r="M22" s="344"/>
    </row>
    <row r="23" spans="2:13">
      <c r="B23" s="345"/>
      <c r="C23" s="345"/>
      <c r="D23" s="345"/>
      <c r="E23" s="345"/>
      <c r="F23" s="58">
        <v>20</v>
      </c>
      <c r="G23" s="168">
        <v>16.5</v>
      </c>
      <c r="H23" s="59">
        <f t="shared" si="0"/>
        <v>5.2547770700636942</v>
      </c>
      <c r="I23" s="62">
        <f t="shared" si="1"/>
        <v>4.0600412128794678</v>
      </c>
      <c r="J23" s="62">
        <f>I23*'Key Data'!$F$3</f>
        <v>1.015010303219867</v>
      </c>
      <c r="K23" s="62">
        <f t="shared" si="2"/>
        <v>5.075051516099335</v>
      </c>
      <c r="L23" s="344"/>
      <c r="M23" s="344"/>
    </row>
    <row r="24" spans="2:13">
      <c r="B24" s="345"/>
      <c r="C24" s="345"/>
      <c r="D24" s="345"/>
      <c r="E24" s="345"/>
      <c r="F24" s="58">
        <v>21</v>
      </c>
      <c r="G24" s="168">
        <v>15.7</v>
      </c>
      <c r="H24" s="59">
        <f t="shared" si="0"/>
        <v>5</v>
      </c>
      <c r="I24" s="62">
        <f t="shared" si="1"/>
        <v>3.5935146637627282</v>
      </c>
      <c r="J24" s="62">
        <f>I24*'Key Data'!$F$3</f>
        <v>0.89837866594068205</v>
      </c>
      <c r="K24" s="62">
        <f t="shared" si="2"/>
        <v>4.4918933297034105</v>
      </c>
      <c r="L24" s="344"/>
      <c r="M24" s="344"/>
    </row>
    <row r="25" spans="2:13">
      <c r="B25" s="345"/>
      <c r="C25" s="345"/>
      <c r="D25" s="345"/>
      <c r="E25" s="345"/>
      <c r="F25" s="58">
        <v>22</v>
      </c>
      <c r="G25" s="168">
        <v>18.7</v>
      </c>
      <c r="H25" s="59">
        <f t="shared" si="0"/>
        <v>5.9554140127388528</v>
      </c>
      <c r="I25" s="62">
        <f t="shared" si="1"/>
        <v>5.5211921358590201</v>
      </c>
      <c r="J25" s="62">
        <f>I25*'Key Data'!$F$3</f>
        <v>1.380298033964755</v>
      </c>
      <c r="K25" s="62">
        <f t="shared" si="2"/>
        <v>6.9014901698237754</v>
      </c>
      <c r="L25" s="344"/>
      <c r="M25" s="344"/>
    </row>
    <row r="26" spans="2:13">
      <c r="B26" s="345"/>
      <c r="C26" s="345"/>
      <c r="D26" s="345"/>
      <c r="E26" s="345"/>
      <c r="F26" s="58">
        <v>23</v>
      </c>
      <c r="G26" s="168">
        <v>15.5</v>
      </c>
      <c r="H26" s="59">
        <f t="shared" si="0"/>
        <v>4.936305732484076</v>
      </c>
      <c r="I26" s="62">
        <f t="shared" si="1"/>
        <v>3.4821263516260039</v>
      </c>
      <c r="J26" s="62">
        <f>I26*'Key Data'!$F$3</f>
        <v>0.87053158790650098</v>
      </c>
      <c r="K26" s="62">
        <f t="shared" si="2"/>
        <v>4.3526579395325049</v>
      </c>
      <c r="L26" s="344"/>
      <c r="M26" s="344"/>
    </row>
    <row r="27" spans="2:13">
      <c r="B27" s="345"/>
      <c r="C27" s="345"/>
      <c r="D27" s="345"/>
      <c r="E27" s="345"/>
      <c r="F27" s="58">
        <v>24</v>
      </c>
      <c r="G27" s="168">
        <v>16</v>
      </c>
      <c r="H27" s="59">
        <f t="shared" si="0"/>
        <v>5.0955414012738851</v>
      </c>
      <c r="I27" s="62">
        <f t="shared" si="1"/>
        <v>3.7645108437484693</v>
      </c>
      <c r="J27" s="62">
        <f>I27*'Key Data'!$F$3</f>
        <v>0.94112771093711733</v>
      </c>
      <c r="K27" s="62">
        <f t="shared" si="2"/>
        <v>4.7056385546855868</v>
      </c>
      <c r="L27" s="344"/>
      <c r="M27" s="344"/>
    </row>
    <row r="28" spans="2:13">
      <c r="B28" s="345"/>
      <c r="C28" s="345"/>
      <c r="D28" s="345"/>
      <c r="E28" s="345"/>
      <c r="F28" s="58">
        <v>25</v>
      </c>
      <c r="G28" s="168">
        <v>16.5</v>
      </c>
      <c r="H28" s="59">
        <f t="shared" si="0"/>
        <v>5.2547770700636942</v>
      </c>
      <c r="I28" s="62">
        <f t="shared" si="1"/>
        <v>4.0600412128794678</v>
      </c>
      <c r="J28" s="62">
        <f>I28*'Key Data'!$F$3</f>
        <v>1.015010303219867</v>
      </c>
      <c r="K28" s="62">
        <f t="shared" si="2"/>
        <v>5.075051516099335</v>
      </c>
      <c r="L28" s="344"/>
      <c r="M28" s="344"/>
    </row>
    <row r="29" spans="2:13">
      <c r="B29" s="345"/>
      <c r="C29" s="345"/>
      <c r="D29" s="345"/>
      <c r="E29" s="345"/>
      <c r="F29" s="58">
        <v>26</v>
      </c>
      <c r="G29" s="168">
        <v>16.5</v>
      </c>
      <c r="H29" s="59">
        <f t="shared" si="0"/>
        <v>5.2547770700636942</v>
      </c>
      <c r="I29" s="62">
        <f t="shared" si="1"/>
        <v>4.0600412128794678</v>
      </c>
      <c r="J29" s="62">
        <f>I29*'Key Data'!$F$3</f>
        <v>1.015010303219867</v>
      </c>
      <c r="K29" s="62">
        <f t="shared" si="2"/>
        <v>5.075051516099335</v>
      </c>
      <c r="L29" s="344"/>
      <c r="M29" s="344"/>
    </row>
    <row r="30" spans="2:13">
      <c r="B30" s="345"/>
      <c r="C30" s="345"/>
      <c r="D30" s="345"/>
      <c r="E30" s="345"/>
      <c r="F30" s="58">
        <v>27</v>
      </c>
      <c r="G30" s="168">
        <v>16</v>
      </c>
      <c r="H30" s="59">
        <f t="shared" si="0"/>
        <v>5.0955414012738851</v>
      </c>
      <c r="I30" s="62">
        <f t="shared" si="1"/>
        <v>3.7645108437484693</v>
      </c>
      <c r="J30" s="62">
        <f>I30*'Key Data'!$F$3</f>
        <v>0.94112771093711733</v>
      </c>
      <c r="K30" s="62">
        <f t="shared" si="2"/>
        <v>4.7056385546855868</v>
      </c>
      <c r="L30" s="344"/>
      <c r="M30" s="344"/>
    </row>
    <row r="31" spans="2:13">
      <c r="B31" s="345"/>
      <c r="C31" s="345"/>
      <c r="D31" s="345"/>
      <c r="E31" s="345"/>
      <c r="F31" s="58">
        <v>28</v>
      </c>
      <c r="G31" s="168">
        <v>16.5</v>
      </c>
      <c r="H31" s="59">
        <f t="shared" si="0"/>
        <v>5.2547770700636942</v>
      </c>
      <c r="I31" s="62">
        <f t="shared" si="1"/>
        <v>4.0600412128794678</v>
      </c>
      <c r="J31" s="62">
        <f>I31*'Key Data'!$F$3</f>
        <v>1.015010303219867</v>
      </c>
      <c r="K31" s="62">
        <f t="shared" si="2"/>
        <v>5.075051516099335</v>
      </c>
      <c r="L31" s="344"/>
      <c r="M31" s="344"/>
    </row>
    <row r="32" spans="2:13">
      <c r="B32" s="345"/>
      <c r="C32" s="345"/>
      <c r="D32" s="345"/>
      <c r="E32" s="345"/>
      <c r="F32" s="58">
        <v>29</v>
      </c>
      <c r="G32" s="168">
        <v>15</v>
      </c>
      <c r="H32" s="59">
        <f t="shared" si="0"/>
        <v>4.7770700636942669</v>
      </c>
      <c r="I32" s="62">
        <f t="shared" si="1"/>
        <v>3.2126987721879932</v>
      </c>
      <c r="J32" s="62">
        <f>I32*'Key Data'!$F$3</f>
        <v>0.80317469304699829</v>
      </c>
      <c r="K32" s="62">
        <f t="shared" si="2"/>
        <v>4.015873465234991</v>
      </c>
      <c r="L32" s="344"/>
      <c r="M32" s="344"/>
    </row>
    <row r="33" spans="2:13">
      <c r="B33" s="345"/>
      <c r="C33" s="345"/>
      <c r="D33" s="345"/>
      <c r="E33" s="345"/>
      <c r="F33" s="58">
        <v>30</v>
      </c>
      <c r="G33" s="168">
        <v>15</v>
      </c>
      <c r="H33" s="59">
        <f t="shared" si="0"/>
        <v>4.7770700636942669</v>
      </c>
      <c r="I33" s="62">
        <f t="shared" si="1"/>
        <v>3.2126987721879932</v>
      </c>
      <c r="J33" s="62">
        <f>I33*'Key Data'!$F$3</f>
        <v>0.80317469304699829</v>
      </c>
      <c r="K33" s="62">
        <f t="shared" si="2"/>
        <v>4.015873465234991</v>
      </c>
      <c r="L33" s="344"/>
      <c r="M33" s="344"/>
    </row>
    <row r="34" spans="2:13">
      <c r="B34" s="345"/>
      <c r="C34" s="345"/>
      <c r="D34" s="345"/>
      <c r="E34" s="345"/>
      <c r="F34" s="58">
        <v>31</v>
      </c>
      <c r="G34" s="168">
        <v>16</v>
      </c>
      <c r="H34" s="59">
        <f t="shared" si="0"/>
        <v>5.0955414012738851</v>
      </c>
      <c r="I34" s="62">
        <f t="shared" si="1"/>
        <v>3.7645108437484693</v>
      </c>
      <c r="J34" s="62">
        <f>I34*'Key Data'!$F$3</f>
        <v>0.94112771093711733</v>
      </c>
      <c r="K34" s="62">
        <f t="shared" si="2"/>
        <v>4.7056385546855868</v>
      </c>
      <c r="L34" s="344"/>
      <c r="M34" s="344"/>
    </row>
    <row r="35" spans="2:13">
      <c r="B35" s="345"/>
      <c r="C35" s="345"/>
      <c r="D35" s="345"/>
      <c r="E35" s="345"/>
      <c r="F35" s="58">
        <v>32</v>
      </c>
      <c r="G35" s="168">
        <v>15</v>
      </c>
      <c r="H35" s="59">
        <f t="shared" si="0"/>
        <v>4.7770700636942669</v>
      </c>
      <c r="I35" s="62">
        <f t="shared" si="1"/>
        <v>3.2126987721879932</v>
      </c>
      <c r="J35" s="62">
        <f>I35*'Key Data'!$F$3</f>
        <v>0.80317469304699829</v>
      </c>
      <c r="K35" s="62">
        <f t="shared" si="2"/>
        <v>4.015873465234991</v>
      </c>
      <c r="L35" s="344"/>
      <c r="M35" s="344"/>
    </row>
    <row r="36" spans="2:13">
      <c r="B36" s="345"/>
      <c r="C36" s="345"/>
      <c r="D36" s="345"/>
      <c r="E36" s="345"/>
      <c r="F36" s="58">
        <v>33</v>
      </c>
      <c r="G36" s="168">
        <v>16.600000000000001</v>
      </c>
      <c r="H36" s="59">
        <f t="shared" si="0"/>
        <v>5.2866242038216562</v>
      </c>
      <c r="I36" s="62">
        <f t="shared" si="1"/>
        <v>4.1207411947585451</v>
      </c>
      <c r="J36" s="62">
        <f>I36*'Key Data'!$F$3</f>
        <v>1.0301852986896363</v>
      </c>
      <c r="K36" s="62">
        <f t="shared" si="2"/>
        <v>5.1509264934481811</v>
      </c>
      <c r="L36" s="344"/>
      <c r="M36" s="344"/>
    </row>
    <row r="37" spans="2:13">
      <c r="B37" s="345"/>
      <c r="C37" s="345"/>
      <c r="D37" s="345"/>
      <c r="E37" s="345"/>
      <c r="F37" s="58">
        <v>34</v>
      </c>
      <c r="G37" s="168">
        <v>17.5</v>
      </c>
      <c r="H37" s="59">
        <f t="shared" si="0"/>
        <v>5.5732484076433115</v>
      </c>
      <c r="I37" s="62">
        <f t="shared" si="1"/>
        <v>4.691279653986399</v>
      </c>
      <c r="J37" s="62">
        <f>I37*'Key Data'!$F$3</f>
        <v>1.1728199134965998</v>
      </c>
      <c r="K37" s="62">
        <f t="shared" si="2"/>
        <v>5.8640995674829988</v>
      </c>
      <c r="L37" s="344"/>
      <c r="M37" s="344"/>
    </row>
    <row r="38" spans="2:13">
      <c r="B38" s="345"/>
      <c r="C38" s="345"/>
      <c r="D38" s="345"/>
      <c r="E38" s="345"/>
      <c r="F38" s="58">
        <v>35</v>
      </c>
      <c r="G38" s="168">
        <v>14.4</v>
      </c>
      <c r="H38" s="59">
        <f t="shared" si="0"/>
        <v>4.5859872611464967</v>
      </c>
      <c r="I38" s="62">
        <f t="shared" si="1"/>
        <v>2.9062177815578027</v>
      </c>
      <c r="J38" s="62">
        <f>I38*'Key Data'!$F$3</f>
        <v>0.72655444538945069</v>
      </c>
      <c r="K38" s="62">
        <f t="shared" si="2"/>
        <v>3.6327722269472535</v>
      </c>
      <c r="L38" s="344"/>
      <c r="M38" s="344"/>
    </row>
    <row r="39" spans="2:13">
      <c r="B39" s="345"/>
      <c r="C39" s="345"/>
      <c r="D39" s="345"/>
      <c r="E39" s="345"/>
      <c r="F39" s="58">
        <v>36</v>
      </c>
      <c r="G39" s="168">
        <v>15.5</v>
      </c>
      <c r="H39" s="59">
        <f t="shared" si="0"/>
        <v>4.936305732484076</v>
      </c>
      <c r="I39" s="62">
        <f t="shared" si="1"/>
        <v>3.4821263516260039</v>
      </c>
      <c r="J39" s="62">
        <f>I39*'Key Data'!$F$3</f>
        <v>0.87053158790650098</v>
      </c>
      <c r="K39" s="62">
        <f t="shared" si="2"/>
        <v>4.3526579395325049</v>
      </c>
      <c r="L39" s="344"/>
      <c r="M39" s="344"/>
    </row>
    <row r="40" spans="2:13">
      <c r="B40" s="345"/>
      <c r="C40" s="345"/>
      <c r="D40" s="345"/>
      <c r="E40" s="345"/>
      <c r="F40" s="58">
        <v>37</v>
      </c>
      <c r="G40" s="168">
        <v>15.8</v>
      </c>
      <c r="H40" s="59">
        <f t="shared" si="0"/>
        <v>5.031847133757962</v>
      </c>
      <c r="I40" s="62">
        <f t="shared" si="1"/>
        <v>3.6499900506160148</v>
      </c>
      <c r="J40" s="62">
        <f>I40*'Key Data'!$F$3</f>
        <v>0.9124975126540037</v>
      </c>
      <c r="K40" s="62">
        <f t="shared" si="2"/>
        <v>4.5624875632700181</v>
      </c>
      <c r="L40" s="344"/>
      <c r="M40" s="344"/>
    </row>
    <row r="41" spans="2:13">
      <c r="B41" s="345"/>
      <c r="C41" s="345"/>
      <c r="D41" s="345"/>
      <c r="E41" s="345"/>
      <c r="F41" s="58">
        <v>38</v>
      </c>
      <c r="G41" s="168">
        <v>15</v>
      </c>
      <c r="H41" s="59">
        <f t="shared" si="0"/>
        <v>4.7770700636942669</v>
      </c>
      <c r="I41" s="62">
        <f t="shared" si="1"/>
        <v>3.2126987721879932</v>
      </c>
      <c r="J41" s="62">
        <f>I41*'Key Data'!$F$3</f>
        <v>0.80317469304699829</v>
      </c>
      <c r="K41" s="62">
        <f t="shared" si="2"/>
        <v>4.015873465234991</v>
      </c>
      <c r="L41" s="344"/>
      <c r="M41" s="344"/>
    </row>
    <row r="42" spans="2:13">
      <c r="B42" s="345"/>
      <c r="C42" s="345"/>
      <c r="D42" s="345"/>
      <c r="E42" s="345"/>
      <c r="F42" s="58">
        <v>39</v>
      </c>
      <c r="G42" s="168">
        <v>16.5</v>
      </c>
      <c r="H42" s="59">
        <f t="shared" si="0"/>
        <v>5.2547770700636942</v>
      </c>
      <c r="I42" s="62">
        <f t="shared" si="1"/>
        <v>4.0600412128794678</v>
      </c>
      <c r="J42" s="62">
        <f>I42*'Key Data'!$F$3</f>
        <v>1.015010303219867</v>
      </c>
      <c r="K42" s="62">
        <f t="shared" si="2"/>
        <v>5.075051516099335</v>
      </c>
      <c r="L42" s="344"/>
      <c r="M42" s="344"/>
    </row>
    <row r="43" spans="2:13">
      <c r="B43" s="345"/>
      <c r="C43" s="345"/>
      <c r="D43" s="345"/>
      <c r="E43" s="345"/>
      <c r="F43" s="58">
        <v>40</v>
      </c>
      <c r="G43" s="168">
        <v>16.5</v>
      </c>
      <c r="H43" s="59">
        <f t="shared" si="0"/>
        <v>5.2547770700636942</v>
      </c>
      <c r="I43" s="62">
        <f t="shared" si="1"/>
        <v>4.0600412128794678</v>
      </c>
      <c r="J43" s="62">
        <f>I43*'Key Data'!$F$3</f>
        <v>1.015010303219867</v>
      </c>
      <c r="K43" s="62">
        <f t="shared" si="2"/>
        <v>5.075051516099335</v>
      </c>
      <c r="L43" s="344"/>
      <c r="M43" s="344"/>
    </row>
  </sheetData>
  <mergeCells count="6">
    <mergeCell ref="M4:M43"/>
    <mergeCell ref="B4:B43"/>
    <mergeCell ref="C4:C43"/>
    <mergeCell ref="D4:D43"/>
    <mergeCell ref="E4:E43"/>
    <mergeCell ref="L4:L43"/>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6B33D-DFCE-46CD-9AC4-F52CAC696247}">
  <dimension ref="B3:M38"/>
  <sheetViews>
    <sheetView workbookViewId="0">
      <selection activeCell="O8" sqref="O8"/>
    </sheetView>
  </sheetViews>
  <sheetFormatPr defaultRowHeight="15"/>
  <sheetData>
    <row r="3" spans="2:13" ht="81.75">
      <c r="B3" s="275" t="s">
        <v>486</v>
      </c>
      <c r="C3" s="275" t="s">
        <v>433</v>
      </c>
      <c r="D3" s="275" t="s">
        <v>434</v>
      </c>
      <c r="E3" s="275" t="s">
        <v>435</v>
      </c>
      <c r="F3" s="274" t="s">
        <v>436</v>
      </c>
      <c r="G3" s="275" t="s">
        <v>437</v>
      </c>
      <c r="H3" s="276" t="s">
        <v>438</v>
      </c>
      <c r="I3" s="274" t="s">
        <v>439</v>
      </c>
      <c r="J3" s="274" t="s">
        <v>440</v>
      </c>
      <c r="K3" s="274" t="s">
        <v>496</v>
      </c>
      <c r="L3" s="274" t="s">
        <v>442</v>
      </c>
      <c r="M3" s="274" t="s">
        <v>443</v>
      </c>
    </row>
    <row r="4" spans="2:13">
      <c r="B4" s="345">
        <v>1</v>
      </c>
      <c r="C4" s="345" t="s">
        <v>505</v>
      </c>
      <c r="D4" s="345">
        <v>23.101880000000001</v>
      </c>
      <c r="E4" s="345">
        <v>75.110919999999993</v>
      </c>
      <c r="F4" s="170">
        <v>1</v>
      </c>
      <c r="G4" s="171">
        <v>17.5</v>
      </c>
      <c r="H4" s="57">
        <f>G4/3.14</f>
        <v>5.5732484076433115</v>
      </c>
      <c r="I4" s="62">
        <f>0.069 * H4^2.456</f>
        <v>4.691279653986399</v>
      </c>
      <c r="J4" s="62">
        <f>I4*'Key Data'!$F$3</f>
        <v>1.1728199134965998</v>
      </c>
      <c r="K4" s="62">
        <f>J4+I4</f>
        <v>5.8640995674829988</v>
      </c>
      <c r="L4" s="344">
        <f>SUM(K4:K38)/1000</f>
        <v>0.2760918211589467</v>
      </c>
      <c r="M4" s="344">
        <f>L4/225*10000</f>
        <v>12.270747607064298</v>
      </c>
    </row>
    <row r="5" spans="2:13">
      <c r="B5" s="345"/>
      <c r="C5" s="345"/>
      <c r="D5" s="345"/>
      <c r="E5" s="345"/>
      <c r="F5" s="170">
        <v>2</v>
      </c>
      <c r="G5" s="171">
        <v>18.5</v>
      </c>
      <c r="H5" s="57">
        <f t="shared" ref="H5:H38" si="0">G5/3.14</f>
        <v>5.8917197452229297</v>
      </c>
      <c r="I5" s="62">
        <f t="shared" ref="I5:I38" si="1">0.069 * H5^2.456</f>
        <v>5.3772922434966537</v>
      </c>
      <c r="J5" s="62">
        <f>I5*'Key Data'!$F$3</f>
        <v>1.3443230608741634</v>
      </c>
      <c r="K5" s="62">
        <f t="shared" ref="K5:K38" si="2">J5+I5</f>
        <v>6.7216153043708173</v>
      </c>
      <c r="L5" s="344"/>
      <c r="M5" s="344"/>
    </row>
    <row r="6" spans="2:13">
      <c r="B6" s="345"/>
      <c r="C6" s="345"/>
      <c r="D6" s="345"/>
      <c r="E6" s="345"/>
      <c r="F6" s="170">
        <v>3</v>
      </c>
      <c r="G6" s="171">
        <v>17.5</v>
      </c>
      <c r="H6" s="57">
        <f t="shared" si="0"/>
        <v>5.5732484076433115</v>
      </c>
      <c r="I6" s="62">
        <f t="shared" si="1"/>
        <v>4.691279653986399</v>
      </c>
      <c r="J6" s="62">
        <f>I6*'Key Data'!$F$3</f>
        <v>1.1728199134965998</v>
      </c>
      <c r="K6" s="62">
        <f t="shared" si="2"/>
        <v>5.8640995674829988</v>
      </c>
      <c r="L6" s="344"/>
      <c r="M6" s="344"/>
    </row>
    <row r="7" spans="2:13">
      <c r="B7" s="345"/>
      <c r="C7" s="345"/>
      <c r="D7" s="345"/>
      <c r="E7" s="345"/>
      <c r="F7" s="170">
        <v>4</v>
      </c>
      <c r="G7" s="171">
        <v>20</v>
      </c>
      <c r="H7" s="57">
        <f t="shared" si="0"/>
        <v>6.3694267515923562</v>
      </c>
      <c r="I7" s="62">
        <f t="shared" si="1"/>
        <v>6.5120772598654071</v>
      </c>
      <c r="J7" s="62">
        <f>I7*'Key Data'!$F$3</f>
        <v>1.6280193149663518</v>
      </c>
      <c r="K7" s="62">
        <f t="shared" si="2"/>
        <v>8.1400965748317589</v>
      </c>
      <c r="L7" s="344"/>
      <c r="M7" s="344"/>
    </row>
    <row r="8" spans="2:13">
      <c r="B8" s="345"/>
      <c r="C8" s="345"/>
      <c r="D8" s="345"/>
      <c r="E8" s="345"/>
      <c r="F8" s="170">
        <v>5</v>
      </c>
      <c r="G8" s="171">
        <v>19</v>
      </c>
      <c r="H8" s="57">
        <f t="shared" si="0"/>
        <v>6.0509554140127388</v>
      </c>
      <c r="I8" s="62">
        <f t="shared" si="1"/>
        <v>5.7412798843525668</v>
      </c>
      <c r="J8" s="62">
        <f>I8*'Key Data'!$F$3</f>
        <v>1.4353199710881417</v>
      </c>
      <c r="K8" s="62">
        <f t="shared" si="2"/>
        <v>7.176599855440708</v>
      </c>
      <c r="L8" s="344"/>
      <c r="M8" s="344"/>
    </row>
    <row r="9" spans="2:13">
      <c r="B9" s="345"/>
      <c r="C9" s="345"/>
      <c r="D9" s="345"/>
      <c r="E9" s="345"/>
      <c r="F9" s="170">
        <v>6</v>
      </c>
      <c r="G9" s="171">
        <v>18</v>
      </c>
      <c r="H9" s="57">
        <f t="shared" si="0"/>
        <v>5.7324840764331206</v>
      </c>
      <c r="I9" s="62">
        <f t="shared" si="1"/>
        <v>5.0273503020791406</v>
      </c>
      <c r="J9" s="62">
        <f>I9*'Key Data'!$F$3</f>
        <v>1.2568375755197851</v>
      </c>
      <c r="K9" s="62">
        <f t="shared" si="2"/>
        <v>6.2841878775989262</v>
      </c>
      <c r="L9" s="344"/>
      <c r="M9" s="344"/>
    </row>
    <row r="10" spans="2:13">
      <c r="B10" s="345"/>
      <c r="C10" s="345"/>
      <c r="D10" s="345"/>
      <c r="E10" s="345"/>
      <c r="F10" s="170">
        <v>7</v>
      </c>
      <c r="G10" s="171">
        <v>17</v>
      </c>
      <c r="H10" s="57">
        <f t="shared" si="0"/>
        <v>5.4140127388535033</v>
      </c>
      <c r="I10" s="62">
        <f t="shared" si="1"/>
        <v>4.3689032366516765</v>
      </c>
      <c r="J10" s="62">
        <f>I10*'Key Data'!$F$3</f>
        <v>1.0922258091629191</v>
      </c>
      <c r="K10" s="62">
        <f t="shared" si="2"/>
        <v>5.4611290458145954</v>
      </c>
      <c r="L10" s="344"/>
      <c r="M10" s="344"/>
    </row>
    <row r="11" spans="2:13">
      <c r="B11" s="345"/>
      <c r="C11" s="345"/>
      <c r="D11" s="345"/>
      <c r="E11" s="345"/>
      <c r="F11" s="170">
        <v>8</v>
      </c>
      <c r="G11" s="171">
        <v>17.2</v>
      </c>
      <c r="H11" s="57">
        <f t="shared" si="0"/>
        <v>5.4777070063694264</v>
      </c>
      <c r="I11" s="62">
        <f t="shared" si="1"/>
        <v>4.4962219418867573</v>
      </c>
      <c r="J11" s="62">
        <f>I11*'Key Data'!$F$3</f>
        <v>1.1240554854716893</v>
      </c>
      <c r="K11" s="62">
        <f t="shared" si="2"/>
        <v>5.620277427358447</v>
      </c>
      <c r="L11" s="344"/>
      <c r="M11" s="344"/>
    </row>
    <row r="12" spans="2:13">
      <c r="B12" s="345"/>
      <c r="C12" s="345"/>
      <c r="D12" s="345"/>
      <c r="E12" s="345"/>
      <c r="F12" s="170">
        <v>9</v>
      </c>
      <c r="G12" s="171">
        <v>21.1</v>
      </c>
      <c r="H12" s="57">
        <f t="shared" si="0"/>
        <v>6.7197452229299364</v>
      </c>
      <c r="I12" s="62">
        <f t="shared" si="1"/>
        <v>7.4272421816920433</v>
      </c>
      <c r="J12" s="62">
        <f>I12*'Key Data'!$F$3</f>
        <v>1.8568105454230108</v>
      </c>
      <c r="K12" s="62">
        <f t="shared" si="2"/>
        <v>9.2840527271150535</v>
      </c>
      <c r="L12" s="344"/>
      <c r="M12" s="344"/>
    </row>
    <row r="13" spans="2:13">
      <c r="B13" s="345"/>
      <c r="C13" s="345"/>
      <c r="D13" s="345"/>
      <c r="E13" s="345"/>
      <c r="F13" s="170">
        <v>10</v>
      </c>
      <c r="G13" s="172">
        <v>18.600000000000001</v>
      </c>
      <c r="H13" s="57">
        <f t="shared" si="0"/>
        <v>5.9235668789808917</v>
      </c>
      <c r="I13" s="62">
        <f t="shared" si="1"/>
        <v>5.4489605802047985</v>
      </c>
      <c r="J13" s="62">
        <f>I13*'Key Data'!$F$3</f>
        <v>1.3622401450511996</v>
      </c>
      <c r="K13" s="62">
        <f t="shared" si="2"/>
        <v>6.8112007252559978</v>
      </c>
      <c r="L13" s="344"/>
      <c r="M13" s="344"/>
    </row>
    <row r="14" spans="2:13">
      <c r="B14" s="345"/>
      <c r="C14" s="345"/>
      <c r="D14" s="345"/>
      <c r="E14" s="345"/>
      <c r="F14" s="170">
        <v>11</v>
      </c>
      <c r="G14" s="171">
        <v>15.7</v>
      </c>
      <c r="H14" s="57">
        <f t="shared" si="0"/>
        <v>5</v>
      </c>
      <c r="I14" s="62">
        <f t="shared" si="1"/>
        <v>3.5935146637627282</v>
      </c>
      <c r="J14" s="62">
        <f>I14*'Key Data'!$F$3</f>
        <v>0.89837866594068205</v>
      </c>
      <c r="K14" s="62">
        <f t="shared" si="2"/>
        <v>4.4918933297034105</v>
      </c>
      <c r="L14" s="344"/>
      <c r="M14" s="344"/>
    </row>
    <row r="15" spans="2:13">
      <c r="B15" s="345"/>
      <c r="C15" s="345"/>
      <c r="D15" s="345"/>
      <c r="E15" s="345"/>
      <c r="F15" s="170">
        <v>12</v>
      </c>
      <c r="G15" s="171">
        <v>17.5</v>
      </c>
      <c r="H15" s="57">
        <f t="shared" si="0"/>
        <v>5.5732484076433115</v>
      </c>
      <c r="I15" s="62">
        <f t="shared" si="1"/>
        <v>4.691279653986399</v>
      </c>
      <c r="J15" s="62">
        <f>I15*'Key Data'!$F$3</f>
        <v>1.1728199134965998</v>
      </c>
      <c r="K15" s="62">
        <f t="shared" si="2"/>
        <v>5.8640995674829988</v>
      </c>
      <c r="L15" s="344"/>
      <c r="M15" s="344"/>
    </row>
    <row r="16" spans="2:13">
      <c r="B16" s="345"/>
      <c r="C16" s="345"/>
      <c r="D16" s="345"/>
      <c r="E16" s="345"/>
      <c r="F16" s="170">
        <v>13</v>
      </c>
      <c r="G16" s="171">
        <v>23</v>
      </c>
      <c r="H16" s="57">
        <f t="shared" si="0"/>
        <v>7.3248407643312099</v>
      </c>
      <c r="I16" s="62">
        <f t="shared" si="1"/>
        <v>9.1789592186769973</v>
      </c>
      <c r="J16" s="62">
        <f>I16*'Key Data'!$F$3</f>
        <v>2.2947398046692493</v>
      </c>
      <c r="K16" s="62">
        <f t="shared" si="2"/>
        <v>11.473699023346246</v>
      </c>
      <c r="L16" s="344"/>
      <c r="M16" s="344"/>
    </row>
    <row r="17" spans="2:13">
      <c r="B17" s="345"/>
      <c r="C17" s="345"/>
      <c r="D17" s="345"/>
      <c r="E17" s="345"/>
      <c r="F17" s="170">
        <v>14</v>
      </c>
      <c r="G17" s="171">
        <v>17.600000000000001</v>
      </c>
      <c r="H17" s="57">
        <f t="shared" si="0"/>
        <v>5.6050955414012744</v>
      </c>
      <c r="I17" s="62">
        <f t="shared" si="1"/>
        <v>4.7573925399614394</v>
      </c>
      <c r="J17" s="62">
        <f>I17*'Key Data'!$F$3</f>
        <v>1.1893481349903599</v>
      </c>
      <c r="K17" s="62">
        <f t="shared" si="2"/>
        <v>5.9467406749517995</v>
      </c>
      <c r="L17" s="344"/>
      <c r="M17" s="344"/>
    </row>
    <row r="18" spans="2:13">
      <c r="B18" s="345"/>
      <c r="C18" s="345"/>
      <c r="D18" s="345"/>
      <c r="E18" s="345"/>
      <c r="F18" s="170">
        <v>15</v>
      </c>
      <c r="G18" s="171">
        <v>21.5</v>
      </c>
      <c r="H18" s="57">
        <f t="shared" si="0"/>
        <v>6.8471337579617835</v>
      </c>
      <c r="I18" s="62">
        <f t="shared" si="1"/>
        <v>7.7778351234376215</v>
      </c>
      <c r="J18" s="62">
        <f>I18*'Key Data'!$F$3</f>
        <v>1.9444587808594054</v>
      </c>
      <c r="K18" s="62">
        <f t="shared" si="2"/>
        <v>9.7222939042970271</v>
      </c>
      <c r="L18" s="344"/>
      <c r="M18" s="344"/>
    </row>
    <row r="19" spans="2:13">
      <c r="B19" s="345"/>
      <c r="C19" s="345"/>
      <c r="D19" s="345"/>
      <c r="E19" s="345"/>
      <c r="F19" s="170">
        <v>16</v>
      </c>
      <c r="G19" s="171">
        <v>19</v>
      </c>
      <c r="H19" s="57">
        <f t="shared" si="0"/>
        <v>6.0509554140127388</v>
      </c>
      <c r="I19" s="62">
        <f t="shared" si="1"/>
        <v>5.7412798843525668</v>
      </c>
      <c r="J19" s="62">
        <f>I19*'Key Data'!$F$3</f>
        <v>1.4353199710881417</v>
      </c>
      <c r="K19" s="62">
        <f t="shared" si="2"/>
        <v>7.176599855440708</v>
      </c>
      <c r="L19" s="344"/>
      <c r="M19" s="344"/>
    </row>
    <row r="20" spans="2:13">
      <c r="B20" s="345"/>
      <c r="C20" s="345"/>
      <c r="D20" s="345"/>
      <c r="E20" s="345"/>
      <c r="F20" s="170">
        <v>17</v>
      </c>
      <c r="G20" s="171">
        <v>19</v>
      </c>
      <c r="H20" s="57">
        <f t="shared" si="0"/>
        <v>6.0509554140127388</v>
      </c>
      <c r="I20" s="62">
        <f t="shared" si="1"/>
        <v>5.7412798843525668</v>
      </c>
      <c r="J20" s="62">
        <f>I20*'Key Data'!$F$3</f>
        <v>1.4353199710881417</v>
      </c>
      <c r="K20" s="62">
        <f t="shared" si="2"/>
        <v>7.176599855440708</v>
      </c>
      <c r="L20" s="344"/>
      <c r="M20" s="344"/>
    </row>
    <row r="21" spans="2:13">
      <c r="B21" s="345"/>
      <c r="C21" s="345"/>
      <c r="D21" s="345"/>
      <c r="E21" s="345"/>
      <c r="F21" s="170">
        <v>18</v>
      </c>
      <c r="G21" s="171">
        <v>17.5</v>
      </c>
      <c r="H21" s="57">
        <f t="shared" si="0"/>
        <v>5.5732484076433115</v>
      </c>
      <c r="I21" s="62">
        <f t="shared" si="1"/>
        <v>4.691279653986399</v>
      </c>
      <c r="J21" s="62">
        <f>I21*'Key Data'!$F$3</f>
        <v>1.1728199134965998</v>
      </c>
      <c r="K21" s="62">
        <f t="shared" si="2"/>
        <v>5.8640995674829988</v>
      </c>
      <c r="L21" s="344"/>
      <c r="M21" s="344"/>
    </row>
    <row r="22" spans="2:13">
      <c r="B22" s="345"/>
      <c r="C22" s="345"/>
      <c r="D22" s="345"/>
      <c r="E22" s="345"/>
      <c r="F22" s="170">
        <v>19</v>
      </c>
      <c r="G22" s="171">
        <v>21</v>
      </c>
      <c r="H22" s="57">
        <f t="shared" si="0"/>
        <v>6.6878980891719744</v>
      </c>
      <c r="I22" s="62">
        <f t="shared" si="1"/>
        <v>7.3410885545126936</v>
      </c>
      <c r="J22" s="62">
        <f>I22*'Key Data'!$F$3</f>
        <v>1.8352721386281734</v>
      </c>
      <c r="K22" s="62">
        <f t="shared" si="2"/>
        <v>9.1763606931408663</v>
      </c>
      <c r="L22" s="344"/>
      <c r="M22" s="344"/>
    </row>
    <row r="23" spans="2:13">
      <c r="B23" s="345"/>
      <c r="C23" s="345"/>
      <c r="D23" s="345"/>
      <c r="E23" s="345"/>
      <c r="F23" s="170">
        <v>20</v>
      </c>
      <c r="G23" s="171">
        <v>22.5</v>
      </c>
      <c r="H23" s="57">
        <f t="shared" si="0"/>
        <v>7.1656050955414008</v>
      </c>
      <c r="I23" s="62">
        <f t="shared" si="1"/>
        <v>8.6966129036164865</v>
      </c>
      <c r="J23" s="62">
        <f>I23*'Key Data'!$F$3</f>
        <v>2.1741532259041216</v>
      </c>
      <c r="K23" s="62">
        <f t="shared" si="2"/>
        <v>10.870766129520607</v>
      </c>
      <c r="L23" s="344"/>
      <c r="M23" s="344"/>
    </row>
    <row r="24" spans="2:13">
      <c r="B24" s="345"/>
      <c r="C24" s="345"/>
      <c r="D24" s="345"/>
      <c r="E24" s="345"/>
      <c r="F24" s="170">
        <v>21</v>
      </c>
      <c r="G24" s="171">
        <v>17.5</v>
      </c>
      <c r="H24" s="57">
        <f t="shared" si="0"/>
        <v>5.5732484076433115</v>
      </c>
      <c r="I24" s="62">
        <f t="shared" si="1"/>
        <v>4.691279653986399</v>
      </c>
      <c r="J24" s="62">
        <f>I24*'Key Data'!$F$3</f>
        <v>1.1728199134965998</v>
      </c>
      <c r="K24" s="62">
        <f t="shared" si="2"/>
        <v>5.8640995674829988</v>
      </c>
      <c r="L24" s="344"/>
      <c r="M24" s="344"/>
    </row>
    <row r="25" spans="2:13">
      <c r="B25" s="345"/>
      <c r="C25" s="345"/>
      <c r="D25" s="345"/>
      <c r="E25" s="345"/>
      <c r="F25" s="170">
        <v>22</v>
      </c>
      <c r="G25" s="171">
        <v>17.7</v>
      </c>
      <c r="H25" s="57">
        <f t="shared" si="0"/>
        <v>5.6369426751592355</v>
      </c>
      <c r="I25" s="62">
        <f t="shared" si="1"/>
        <v>4.8240546291872697</v>
      </c>
      <c r="J25" s="62">
        <f>I25*'Key Data'!$F$3</f>
        <v>1.2060136572968174</v>
      </c>
      <c r="K25" s="62">
        <f t="shared" si="2"/>
        <v>6.0300682864840871</v>
      </c>
      <c r="L25" s="344"/>
      <c r="M25" s="344"/>
    </row>
    <row r="26" spans="2:13">
      <c r="B26" s="345"/>
      <c r="C26" s="345"/>
      <c r="D26" s="345"/>
      <c r="E26" s="345"/>
      <c r="F26" s="170">
        <v>23</v>
      </c>
      <c r="G26" s="171">
        <v>23</v>
      </c>
      <c r="H26" s="57">
        <f t="shared" si="0"/>
        <v>7.3248407643312099</v>
      </c>
      <c r="I26" s="62">
        <f t="shared" si="1"/>
        <v>9.1789592186769973</v>
      </c>
      <c r="J26" s="62">
        <f>I26*'Key Data'!$F$3</f>
        <v>2.2947398046692493</v>
      </c>
      <c r="K26" s="62">
        <f t="shared" si="2"/>
        <v>11.473699023346246</v>
      </c>
      <c r="L26" s="344"/>
      <c r="M26" s="344"/>
    </row>
    <row r="27" spans="2:13">
      <c r="B27" s="345"/>
      <c r="C27" s="345"/>
      <c r="D27" s="345"/>
      <c r="E27" s="345"/>
      <c r="F27" s="170">
        <v>24</v>
      </c>
      <c r="G27" s="171">
        <v>17.5</v>
      </c>
      <c r="H27" s="57">
        <f t="shared" si="0"/>
        <v>5.5732484076433115</v>
      </c>
      <c r="I27" s="62">
        <f t="shared" si="1"/>
        <v>4.691279653986399</v>
      </c>
      <c r="J27" s="62">
        <f>I27*'Key Data'!$F$3</f>
        <v>1.1728199134965998</v>
      </c>
      <c r="K27" s="62">
        <f t="shared" si="2"/>
        <v>5.8640995674829988</v>
      </c>
      <c r="L27" s="344"/>
      <c r="M27" s="344"/>
    </row>
    <row r="28" spans="2:13">
      <c r="B28" s="345"/>
      <c r="C28" s="345"/>
      <c r="D28" s="345"/>
      <c r="E28" s="345"/>
      <c r="F28" s="170">
        <v>25</v>
      </c>
      <c r="G28" s="171">
        <v>16.5</v>
      </c>
      <c r="H28" s="57">
        <f t="shared" si="0"/>
        <v>5.2547770700636942</v>
      </c>
      <c r="I28" s="62">
        <f t="shared" si="1"/>
        <v>4.0600412128794678</v>
      </c>
      <c r="J28" s="62">
        <f>I28*'Key Data'!$F$3</f>
        <v>1.015010303219867</v>
      </c>
      <c r="K28" s="62">
        <f t="shared" si="2"/>
        <v>5.075051516099335</v>
      </c>
      <c r="L28" s="344"/>
      <c r="M28" s="344"/>
    </row>
    <row r="29" spans="2:13">
      <c r="B29" s="345"/>
      <c r="C29" s="345"/>
      <c r="D29" s="345"/>
      <c r="E29" s="345"/>
      <c r="F29" s="170">
        <v>26</v>
      </c>
      <c r="G29" s="171">
        <v>28.2</v>
      </c>
      <c r="H29" s="57">
        <f t="shared" si="0"/>
        <v>8.9808917197452232</v>
      </c>
      <c r="I29" s="62">
        <f t="shared" si="1"/>
        <v>15.142643051401812</v>
      </c>
      <c r="J29" s="62">
        <f>I29*'Key Data'!$F$3</f>
        <v>3.7856607628504531</v>
      </c>
      <c r="K29" s="62">
        <f t="shared" si="2"/>
        <v>18.928303814252267</v>
      </c>
      <c r="L29" s="344"/>
      <c r="M29" s="344"/>
    </row>
    <row r="30" spans="2:13">
      <c r="B30" s="345"/>
      <c r="C30" s="345"/>
      <c r="D30" s="345"/>
      <c r="E30" s="345"/>
      <c r="F30" s="170">
        <v>27</v>
      </c>
      <c r="G30" s="172">
        <v>25.9</v>
      </c>
      <c r="H30" s="57">
        <f t="shared" si="0"/>
        <v>8.2484076433121007</v>
      </c>
      <c r="I30" s="62">
        <f t="shared" si="1"/>
        <v>12.287233053013152</v>
      </c>
      <c r="J30" s="62">
        <f>I30*'Key Data'!$F$3</f>
        <v>3.0718082632532879</v>
      </c>
      <c r="K30" s="62">
        <f t="shared" si="2"/>
        <v>15.35904131626644</v>
      </c>
      <c r="L30" s="344"/>
      <c r="M30" s="344"/>
    </row>
    <row r="31" spans="2:13">
      <c r="B31" s="345"/>
      <c r="C31" s="345"/>
      <c r="D31" s="345"/>
      <c r="E31" s="345"/>
      <c r="F31" s="170">
        <v>28</v>
      </c>
      <c r="G31" s="171">
        <v>17.5</v>
      </c>
      <c r="H31" s="57">
        <f t="shared" si="0"/>
        <v>5.5732484076433115</v>
      </c>
      <c r="I31" s="62">
        <f t="shared" si="1"/>
        <v>4.691279653986399</v>
      </c>
      <c r="J31" s="62">
        <f>I31*'Key Data'!$F$3</f>
        <v>1.1728199134965998</v>
      </c>
      <c r="K31" s="62">
        <f t="shared" si="2"/>
        <v>5.8640995674829988</v>
      </c>
      <c r="L31" s="344"/>
      <c r="M31" s="344"/>
    </row>
    <row r="32" spans="2:13">
      <c r="B32" s="345"/>
      <c r="C32" s="345"/>
      <c r="D32" s="345"/>
      <c r="E32" s="345"/>
      <c r="F32" s="170">
        <v>29</v>
      </c>
      <c r="G32" s="171">
        <v>23</v>
      </c>
      <c r="H32" s="57">
        <f t="shared" si="0"/>
        <v>7.3248407643312099</v>
      </c>
      <c r="I32" s="62">
        <f t="shared" si="1"/>
        <v>9.1789592186769973</v>
      </c>
      <c r="J32" s="62">
        <f>I32*'Key Data'!$F$3</f>
        <v>2.2947398046692493</v>
      </c>
      <c r="K32" s="62">
        <f t="shared" si="2"/>
        <v>11.473699023346246</v>
      </c>
      <c r="L32" s="344"/>
      <c r="M32" s="344"/>
    </row>
    <row r="33" spans="2:13">
      <c r="B33" s="345"/>
      <c r="C33" s="345"/>
      <c r="D33" s="345"/>
      <c r="E33" s="345"/>
      <c r="F33" s="170">
        <v>30</v>
      </c>
      <c r="G33" s="171">
        <v>15</v>
      </c>
      <c r="H33" s="57">
        <f t="shared" si="0"/>
        <v>4.7770700636942669</v>
      </c>
      <c r="I33" s="62">
        <f t="shared" si="1"/>
        <v>3.2126987721879932</v>
      </c>
      <c r="J33" s="62">
        <f>I33*'Key Data'!$F$3</f>
        <v>0.80317469304699829</v>
      </c>
      <c r="K33" s="62">
        <f t="shared" si="2"/>
        <v>4.015873465234991</v>
      </c>
      <c r="L33" s="344"/>
      <c r="M33" s="344"/>
    </row>
    <row r="34" spans="2:13">
      <c r="B34" s="345"/>
      <c r="C34" s="345"/>
      <c r="D34" s="345"/>
      <c r="E34" s="345"/>
      <c r="F34" s="170">
        <v>31</v>
      </c>
      <c r="G34" s="171">
        <v>23</v>
      </c>
      <c r="H34" s="57">
        <f t="shared" si="0"/>
        <v>7.3248407643312099</v>
      </c>
      <c r="I34" s="62">
        <f t="shared" si="1"/>
        <v>9.1789592186769973</v>
      </c>
      <c r="J34" s="62">
        <f>I34*'Key Data'!$F$3</f>
        <v>2.2947398046692493</v>
      </c>
      <c r="K34" s="62">
        <f t="shared" si="2"/>
        <v>11.473699023346246</v>
      </c>
      <c r="L34" s="344"/>
      <c r="M34" s="344"/>
    </row>
    <row r="35" spans="2:13">
      <c r="B35" s="345"/>
      <c r="C35" s="345"/>
      <c r="D35" s="345"/>
      <c r="E35" s="345"/>
      <c r="F35" s="170">
        <v>32</v>
      </c>
      <c r="G35" s="171">
        <v>19</v>
      </c>
      <c r="H35" s="57">
        <f t="shared" si="0"/>
        <v>6.0509554140127388</v>
      </c>
      <c r="I35" s="62">
        <f t="shared" si="1"/>
        <v>5.7412798843525668</v>
      </c>
      <c r="J35" s="62">
        <f>I35*'Key Data'!$F$3</f>
        <v>1.4353199710881417</v>
      </c>
      <c r="K35" s="62">
        <f t="shared" si="2"/>
        <v>7.176599855440708</v>
      </c>
      <c r="L35" s="344"/>
      <c r="M35" s="344"/>
    </row>
    <row r="36" spans="2:13">
      <c r="B36" s="345"/>
      <c r="C36" s="345"/>
      <c r="D36" s="345"/>
      <c r="E36" s="345"/>
      <c r="F36" s="170">
        <v>33</v>
      </c>
      <c r="G36" s="171">
        <v>19.5</v>
      </c>
      <c r="H36" s="57">
        <f t="shared" si="0"/>
        <v>6.2101910828025479</v>
      </c>
      <c r="I36" s="62">
        <f t="shared" si="1"/>
        <v>6.1194850844108943</v>
      </c>
      <c r="J36" s="62">
        <f>I36*'Key Data'!$F$3</f>
        <v>1.5298712711027236</v>
      </c>
      <c r="K36" s="62">
        <f t="shared" si="2"/>
        <v>7.6493563555136177</v>
      </c>
      <c r="L36" s="344"/>
      <c r="M36" s="344"/>
    </row>
    <row r="37" spans="2:13">
      <c r="B37" s="345"/>
      <c r="C37" s="345"/>
      <c r="D37" s="345"/>
      <c r="E37" s="345"/>
      <c r="F37" s="170">
        <v>34</v>
      </c>
      <c r="G37" s="171">
        <v>17</v>
      </c>
      <c r="H37" s="57">
        <f t="shared" si="0"/>
        <v>5.4140127388535033</v>
      </c>
      <c r="I37" s="62">
        <f t="shared" si="1"/>
        <v>4.3689032366516765</v>
      </c>
      <c r="J37" s="62">
        <f>I37*'Key Data'!$F$3</f>
        <v>1.0922258091629191</v>
      </c>
      <c r="K37" s="62">
        <f t="shared" si="2"/>
        <v>5.4611290458145954</v>
      </c>
      <c r="L37" s="344"/>
      <c r="M37" s="344"/>
    </row>
    <row r="38" spans="2:13">
      <c r="B38" s="345"/>
      <c r="C38" s="345"/>
      <c r="D38" s="345"/>
      <c r="E38" s="345"/>
      <c r="F38" s="170">
        <v>35</v>
      </c>
      <c r="G38" s="171">
        <v>21.2</v>
      </c>
      <c r="H38" s="57">
        <f t="shared" si="0"/>
        <v>6.7515923566878975</v>
      </c>
      <c r="I38" s="62">
        <f t="shared" si="1"/>
        <v>7.5139923662345751</v>
      </c>
      <c r="J38" s="62">
        <f>I38*'Key Data'!$F$3</f>
        <v>1.8784980915586438</v>
      </c>
      <c r="K38" s="62">
        <f t="shared" si="2"/>
        <v>9.3924904577932189</v>
      </c>
      <c r="L38" s="344"/>
      <c r="M38" s="344"/>
    </row>
  </sheetData>
  <mergeCells count="6">
    <mergeCell ref="M4:M38"/>
    <mergeCell ref="B4:B38"/>
    <mergeCell ref="C4:C38"/>
    <mergeCell ref="D4:D38"/>
    <mergeCell ref="E4:E38"/>
    <mergeCell ref="L4:L3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0F817-6FE3-453E-8709-E7A0546850FA}">
  <dimension ref="A4:J52"/>
  <sheetViews>
    <sheetView topLeftCell="A27" zoomScale="87" zoomScaleNormal="87" workbookViewId="0">
      <selection activeCell="F50" sqref="F50"/>
    </sheetView>
  </sheetViews>
  <sheetFormatPr defaultRowHeight="15"/>
  <cols>
    <col min="2" max="2" width="9.140625" style="100"/>
    <col min="4" max="4" width="19.85546875" bestFit="1" customWidth="1"/>
    <col min="6" max="6" width="24.85546875" bestFit="1" customWidth="1"/>
    <col min="7" max="7" width="15.5703125" customWidth="1"/>
    <col min="8" max="8" width="37.140625" bestFit="1" customWidth="1"/>
    <col min="9" max="9" width="35.28515625" customWidth="1"/>
    <col min="10" max="10" width="17.85546875" customWidth="1"/>
  </cols>
  <sheetData>
    <row r="4" spans="1:10" s="194" customFormat="1" ht="15" customHeight="1">
      <c r="B4" s="281"/>
      <c r="D4" s="364" t="s">
        <v>71</v>
      </c>
      <c r="E4" s="367" t="s">
        <v>72</v>
      </c>
      <c r="F4" s="367" t="s">
        <v>73</v>
      </c>
      <c r="G4" s="367" t="s">
        <v>74</v>
      </c>
      <c r="H4" s="364" t="s">
        <v>75</v>
      </c>
      <c r="I4" s="364" t="s">
        <v>91</v>
      </c>
      <c r="J4" s="361" t="s">
        <v>92</v>
      </c>
    </row>
    <row r="5" spans="1:10" s="194" customFormat="1" ht="20.25" customHeight="1">
      <c r="B5" s="281"/>
      <c r="D5" s="364"/>
      <c r="E5" s="368"/>
      <c r="F5" s="368"/>
      <c r="G5" s="368"/>
      <c r="H5" s="364"/>
      <c r="I5" s="364"/>
      <c r="J5" s="361"/>
    </row>
    <row r="6" spans="1:10">
      <c r="D6" s="351" t="s">
        <v>76</v>
      </c>
      <c r="E6" s="60">
        <v>1</v>
      </c>
      <c r="F6" s="60">
        <v>1</v>
      </c>
      <c r="G6" s="59">
        <f>Database!D6</f>
        <v>29.217174451088699</v>
      </c>
      <c r="H6" s="344">
        <f>AVERAGEA(G6:G19)</f>
        <v>34.793838466523837</v>
      </c>
      <c r="I6" s="344">
        <f>((14*(SUM(G6^2)+(G7^2)+(G8^2)+(G9^2)+(G10^2)+(G11^2)+(G12^2)+(G13^2)+(G14^2)+(G15^2)+(G16^2)+(G17^2)+(G18^2)+(G19^2)))-(SUM(G6:G19)^2))/(14*13)</f>
        <v>79.258053867398559</v>
      </c>
      <c r="J6" s="257">
        <f>(B10*(SQRT((('Key Data'!E12^2)*(Uncertainty!I6/COUNT(G6:G19)))+(('Key Data'!E13^2)*(Uncertainty!I20/COUNT(G20:G26)))+(('Key Data'!E14^2)*(Uncertainty!I27/COUNT(G27:G30)))+(('Key Data'!E15^2)*(Uncertainty!I31/COUNT(G31:G34)))+(('Key Data'!E16^2)*(Uncertainty!I35/COUNT(G35:G36)))+(('Key Data'!E17^2)*(Uncertainty!I37/COUNT(G37:G38)))+(('Key Data'!E18^2)*(Uncertainty!I39/COUNT(G39:G40)))+(('Key Data'!E19^2)*(Uncertainty!I41/COUNT(G41)))+(('Key Data'!E20^2)*(Uncertainty!I42/COUNT(G42)))+(('Key Data'!E21^2)*(Uncertainty!I43/COUNT(G43)))+(('Key Data'!E22^2)*(Uncertainty!I44/COUNT(G44)))+(('Key Data'!E23^2)*(Uncertainty!I45/COUNT(G45:G46)))+(('Key Data'!E24^2)*(Uncertainty!I47/COUNT(G47:G50)))+(('Key Data'!E25^2)*(Uncertainty!I51/COUNT(G51)))+(('Key Data'!E26^2)*(Uncertainty!I52/COUNT(G52))))))/'Final Calculation'!AG9</f>
        <v>9.3314755086651158E-2</v>
      </c>
    </row>
    <row r="7" spans="1:10">
      <c r="A7" s="365" t="s">
        <v>93</v>
      </c>
      <c r="B7" s="366"/>
      <c r="D7" s="351"/>
      <c r="E7" s="60">
        <v>2</v>
      </c>
      <c r="F7" s="60">
        <v>2</v>
      </c>
      <c r="G7" s="59">
        <f>Database!D7</f>
        <v>33.758490885016194</v>
      </c>
      <c r="H7" s="344"/>
      <c r="I7" s="344"/>
    </row>
    <row r="8" spans="1:10">
      <c r="A8" s="60" t="s">
        <v>94</v>
      </c>
      <c r="B8" s="199">
        <v>15</v>
      </c>
      <c r="D8" s="351"/>
      <c r="E8" s="60">
        <v>3</v>
      </c>
      <c r="F8" s="60">
        <v>3</v>
      </c>
      <c r="G8" s="59">
        <f>Database!D8</f>
        <v>33.1317628435364</v>
      </c>
      <c r="H8" s="344"/>
      <c r="I8" s="344"/>
    </row>
    <row r="9" spans="1:10">
      <c r="A9" s="60" t="s">
        <v>95</v>
      </c>
      <c r="B9" s="199">
        <v>47</v>
      </c>
      <c r="D9" s="351"/>
      <c r="E9" s="60">
        <v>4</v>
      </c>
      <c r="F9" s="60">
        <v>4</v>
      </c>
      <c r="G9" s="59">
        <f>Database!D9</f>
        <v>30.351885694994536</v>
      </c>
      <c r="H9" s="344"/>
      <c r="I9" s="344"/>
    </row>
    <row r="10" spans="1:10" ht="18">
      <c r="A10" s="60" t="s">
        <v>96</v>
      </c>
      <c r="B10" s="199">
        <v>1.694</v>
      </c>
      <c r="D10" s="351"/>
      <c r="E10" s="60">
        <v>5</v>
      </c>
      <c r="F10" s="60">
        <v>5</v>
      </c>
      <c r="G10" s="59">
        <f>Database!D10</f>
        <v>36.412188161307846</v>
      </c>
      <c r="H10" s="344"/>
      <c r="I10" s="344"/>
    </row>
    <row r="11" spans="1:10">
      <c r="A11" s="60" t="s">
        <v>97</v>
      </c>
      <c r="B11" s="199">
        <f>B9-B8</f>
        <v>32</v>
      </c>
      <c r="D11" s="351"/>
      <c r="E11" s="60">
        <v>6</v>
      </c>
      <c r="F11" s="60">
        <v>6</v>
      </c>
      <c r="G11" s="59">
        <f>Database!D11</f>
        <v>29.063200365566754</v>
      </c>
      <c r="H11" s="344"/>
      <c r="I11" s="344"/>
    </row>
    <row r="12" spans="1:10">
      <c r="D12" s="351"/>
      <c r="E12" s="60">
        <v>7</v>
      </c>
      <c r="F12" s="60">
        <v>7</v>
      </c>
      <c r="G12" s="59">
        <f>Database!D12</f>
        <v>32.472579883163938</v>
      </c>
      <c r="H12" s="344"/>
      <c r="I12" s="344"/>
    </row>
    <row r="13" spans="1:10">
      <c r="D13" s="351"/>
      <c r="E13" s="60">
        <v>8</v>
      </c>
      <c r="F13" s="60">
        <v>8</v>
      </c>
      <c r="G13" s="59">
        <f>Database!D13</f>
        <v>29.516688298563832</v>
      </c>
      <c r="H13" s="344"/>
      <c r="I13" s="344"/>
    </row>
    <row r="14" spans="1:10" ht="15" customHeight="1">
      <c r="D14" s="351"/>
      <c r="E14" s="60">
        <v>9</v>
      </c>
      <c r="F14" s="60">
        <v>9</v>
      </c>
      <c r="G14" s="59">
        <f>Database!D14</f>
        <v>34.505945280418679</v>
      </c>
      <c r="H14" s="344"/>
      <c r="I14" s="344"/>
    </row>
    <row r="15" spans="1:10" ht="15" customHeight="1">
      <c r="D15" s="351"/>
      <c r="E15" s="60">
        <v>10</v>
      </c>
      <c r="F15" s="60">
        <v>10</v>
      </c>
      <c r="G15" s="59">
        <f>Database!D15</f>
        <v>30.351885694994536</v>
      </c>
      <c r="H15" s="344"/>
      <c r="I15" s="344"/>
    </row>
    <row r="16" spans="1:10">
      <c r="D16" s="351"/>
      <c r="E16" s="60">
        <v>11</v>
      </c>
      <c r="F16" s="60">
        <v>11</v>
      </c>
      <c r="G16" s="59">
        <f>Database!D16</f>
        <v>32.452525261269017</v>
      </c>
      <c r="H16" s="344"/>
      <c r="I16" s="344"/>
    </row>
    <row r="17" spans="4:9">
      <c r="D17" s="351"/>
      <c r="E17" s="60">
        <v>12</v>
      </c>
      <c r="F17" s="60">
        <v>12</v>
      </c>
      <c r="G17" s="59">
        <f>Database!D17</f>
        <v>41.55182982918916</v>
      </c>
      <c r="H17" s="344"/>
      <c r="I17" s="344"/>
    </row>
    <row r="18" spans="4:9">
      <c r="D18" s="351"/>
      <c r="E18" s="60">
        <v>13</v>
      </c>
      <c r="F18" s="60">
        <v>13</v>
      </c>
      <c r="G18" s="59">
        <f>Database!D18</f>
        <v>63.442563009262585</v>
      </c>
      <c r="H18" s="344"/>
      <c r="I18" s="344"/>
    </row>
    <row r="19" spans="4:9">
      <c r="D19" s="351"/>
      <c r="E19" s="60">
        <v>14</v>
      </c>
      <c r="F19" s="60">
        <v>14</v>
      </c>
      <c r="G19" s="59">
        <f>Database!D19</f>
        <v>30.885018872961602</v>
      </c>
      <c r="H19" s="344"/>
      <c r="I19" s="344"/>
    </row>
    <row r="20" spans="4:9">
      <c r="D20" s="351" t="s">
        <v>77</v>
      </c>
      <c r="E20" s="60">
        <v>15</v>
      </c>
      <c r="F20" s="60">
        <v>1</v>
      </c>
      <c r="G20" s="59">
        <f>Database!D20</f>
        <v>23.790168863589262</v>
      </c>
      <c r="H20" s="344">
        <f>AVERAGEA(G20:G26)</f>
        <v>32.853404780951386</v>
      </c>
      <c r="I20" s="344">
        <f>((7*(SUM(G20^2)+(G21^2)+(G22^2)+(G23^2)+(G24^2)+(G25^2)+(G26^2)))-(SUM(G20:G26)^2))/(7*6)</f>
        <v>40.740144822518538</v>
      </c>
    </row>
    <row r="21" spans="4:9">
      <c r="D21" s="351"/>
      <c r="E21" s="60">
        <v>16</v>
      </c>
      <c r="F21" s="60">
        <v>2</v>
      </c>
      <c r="G21" s="59">
        <f>Database!D21</f>
        <v>31.243896532894688</v>
      </c>
      <c r="H21" s="344"/>
      <c r="I21" s="344"/>
    </row>
    <row r="22" spans="4:9">
      <c r="D22" s="351"/>
      <c r="E22" s="60">
        <v>17</v>
      </c>
      <c r="F22" s="60">
        <v>3</v>
      </c>
      <c r="G22" s="59">
        <f>Database!D22</f>
        <v>33.230789071884651</v>
      </c>
      <c r="H22" s="344"/>
      <c r="I22" s="344"/>
    </row>
    <row r="23" spans="4:9">
      <c r="D23" s="351"/>
      <c r="E23" s="60">
        <v>18</v>
      </c>
      <c r="F23" s="60">
        <v>4</v>
      </c>
      <c r="G23" s="59">
        <f>Database!D23</f>
        <v>33.942125303572553</v>
      </c>
      <c r="H23" s="344"/>
      <c r="I23" s="344"/>
    </row>
    <row r="24" spans="4:9">
      <c r="D24" s="351"/>
      <c r="E24" s="60">
        <v>19</v>
      </c>
      <c r="F24" s="60">
        <v>5</v>
      </c>
      <c r="G24" s="59">
        <f>Database!D24</f>
        <v>29.509265574042505</v>
      </c>
      <c r="H24" s="344"/>
      <c r="I24" s="344"/>
    </row>
    <row r="25" spans="4:9">
      <c r="D25" s="351"/>
      <c r="E25" s="60">
        <v>20</v>
      </c>
      <c r="F25" s="60">
        <v>6</v>
      </c>
      <c r="G25" s="59">
        <f>Database!D25</f>
        <v>33.279174956904825</v>
      </c>
      <c r="H25" s="344"/>
      <c r="I25" s="344"/>
    </row>
    <row r="26" spans="4:9">
      <c r="D26" s="351"/>
      <c r="E26" s="60">
        <v>21</v>
      </c>
      <c r="F26" s="60">
        <v>7</v>
      </c>
      <c r="G26" s="59">
        <f>Database!D26</f>
        <v>44.978413163771215</v>
      </c>
      <c r="H26" s="344"/>
      <c r="I26" s="344"/>
    </row>
    <row r="27" spans="4:9">
      <c r="D27" s="351" t="s">
        <v>78</v>
      </c>
      <c r="E27" s="58">
        <v>22</v>
      </c>
      <c r="F27" s="58">
        <v>1</v>
      </c>
      <c r="G27" s="59">
        <f>Database!D27</f>
        <v>29.60823378747963</v>
      </c>
      <c r="H27" s="344">
        <f>AVERAGEA(G27:G30)</f>
        <v>30.524731874929152</v>
      </c>
      <c r="I27" s="344">
        <f>((4*(SUM(G27^2)+(G28^2)+(G29^2)+(G30^2)))-(SUM(G27:G30)^2))/(4*3)</f>
        <v>0.79465360380254424</v>
      </c>
    </row>
    <row r="28" spans="4:9">
      <c r="D28" s="351"/>
      <c r="E28" s="58">
        <v>23</v>
      </c>
      <c r="F28" s="58">
        <v>2</v>
      </c>
      <c r="G28" s="59">
        <f>Database!D28</f>
        <v>31.683366036450987</v>
      </c>
      <c r="H28" s="344"/>
      <c r="I28" s="344"/>
    </row>
    <row r="29" spans="4:9">
      <c r="D29" s="351"/>
      <c r="E29" s="58">
        <v>24</v>
      </c>
      <c r="F29" s="58">
        <v>3</v>
      </c>
      <c r="G29" s="59">
        <f>Database!D29</f>
        <v>30.697129344963141</v>
      </c>
      <c r="H29" s="344"/>
      <c r="I29" s="344"/>
    </row>
    <row r="30" spans="4:9">
      <c r="D30" s="351"/>
      <c r="E30" s="58">
        <v>25</v>
      </c>
      <c r="F30" s="58">
        <v>4</v>
      </c>
      <c r="G30" s="59">
        <f>Database!D30</f>
        <v>30.11019833082285</v>
      </c>
      <c r="H30" s="344"/>
      <c r="I30" s="344"/>
    </row>
    <row r="31" spans="4:9">
      <c r="D31" s="351" t="s">
        <v>79</v>
      </c>
      <c r="E31" s="58">
        <v>26</v>
      </c>
      <c r="F31" s="58">
        <v>1</v>
      </c>
      <c r="G31" s="59">
        <f>Database!D31</f>
        <v>21.773049587886952</v>
      </c>
      <c r="H31" s="344">
        <f>AVERAGEA(G31:G34)</f>
        <v>22.984996448471591</v>
      </c>
      <c r="I31" s="344">
        <f>((4*(SUM(G31^2)+(G32^2)+(G33^2)+(G34^2)))-(SUM(G31:G34)^2))/(4*3)</f>
        <v>24.057651326614632</v>
      </c>
    </row>
    <row r="32" spans="4:9">
      <c r="D32" s="351"/>
      <c r="E32" s="58">
        <v>27</v>
      </c>
      <c r="F32" s="58">
        <v>2</v>
      </c>
      <c r="G32" s="59">
        <f>Database!D32</f>
        <v>28.977422162677573</v>
      </c>
      <c r="H32" s="344"/>
      <c r="I32" s="344"/>
    </row>
    <row r="33" spans="4:9">
      <c r="D33" s="351"/>
      <c r="E33" s="58">
        <v>28</v>
      </c>
      <c r="F33" s="58">
        <v>3</v>
      </c>
      <c r="G33" s="59">
        <f>Database!D33</f>
        <v>17.17653498295963</v>
      </c>
      <c r="H33" s="344"/>
      <c r="I33" s="344"/>
    </row>
    <row r="34" spans="4:9">
      <c r="D34" s="351"/>
      <c r="E34" s="58">
        <v>29</v>
      </c>
      <c r="F34" s="58">
        <v>4</v>
      </c>
      <c r="G34" s="59">
        <f>Database!D34</f>
        <v>24.012979060362191</v>
      </c>
      <c r="H34" s="344"/>
      <c r="I34" s="344"/>
    </row>
    <row r="35" spans="4:9">
      <c r="D35" s="362" t="s">
        <v>80</v>
      </c>
      <c r="E35" s="58">
        <v>30</v>
      </c>
      <c r="F35" s="58">
        <v>1</v>
      </c>
      <c r="G35" s="59">
        <f>Database!D35</f>
        <v>3.9038115687787274</v>
      </c>
      <c r="H35" s="344">
        <f>AVERAGEA(G35:G36)</f>
        <v>10.440022800688176</v>
      </c>
      <c r="I35" s="344">
        <f>((2*(SUM(G34^2)+(G35^2)))-(SUM(G34:G35)^2))/(2*1)</f>
        <v>202.18930860227863</v>
      </c>
    </row>
    <row r="36" spans="4:9">
      <c r="D36" s="363"/>
      <c r="E36" s="58">
        <v>31</v>
      </c>
      <c r="F36" s="58">
        <v>2</v>
      </c>
      <c r="G36" s="59">
        <f>Database!D36</f>
        <v>16.976234032597624</v>
      </c>
      <c r="H36" s="344"/>
      <c r="I36" s="344"/>
    </row>
    <row r="37" spans="4:9">
      <c r="D37" s="351" t="s">
        <v>81</v>
      </c>
      <c r="E37" s="58">
        <v>32</v>
      </c>
      <c r="F37" s="58">
        <v>1</v>
      </c>
      <c r="G37" s="59">
        <f>Database!D37</f>
        <v>8.2199350257336761</v>
      </c>
      <c r="H37" s="344">
        <f>AVERAGEA(G37:G38)</f>
        <v>10.243378622719346</v>
      </c>
      <c r="I37" s="344">
        <f>((2*(SUM(G36^2)+(G35^2)))-(SUM(G35:G36)^2))/(2*1)</f>
        <v>85.444114536278477</v>
      </c>
    </row>
    <row r="38" spans="4:9">
      <c r="D38" s="351"/>
      <c r="E38" s="58">
        <v>33</v>
      </c>
      <c r="F38" s="58">
        <v>2</v>
      </c>
      <c r="G38" s="59">
        <f>Database!D38</f>
        <v>12.266822219705016</v>
      </c>
      <c r="H38" s="344"/>
      <c r="I38" s="344"/>
    </row>
    <row r="39" spans="4:9">
      <c r="D39" s="362" t="s">
        <v>82</v>
      </c>
      <c r="E39" s="60">
        <v>34</v>
      </c>
      <c r="F39" s="60">
        <v>1</v>
      </c>
      <c r="G39" s="59">
        <f>Database!D39</f>
        <v>199.69628318668197</v>
      </c>
      <c r="H39" s="344">
        <f>AVERAGEA(G39:G40)</f>
        <v>143.44250532269044</v>
      </c>
      <c r="I39" s="344">
        <f>((2*(SUM(G39^2)+(G40^2)))-(SUM(G39:G40)^2))/(2*1)</f>
        <v>6328.9750479426075</v>
      </c>
    </row>
    <row r="40" spans="4:9">
      <c r="D40" s="363"/>
      <c r="E40" s="60">
        <v>35</v>
      </c>
      <c r="F40" s="60">
        <v>2</v>
      </c>
      <c r="G40" s="59">
        <f>Database!D40</f>
        <v>87.188727458698907</v>
      </c>
      <c r="H40" s="344"/>
      <c r="I40" s="344"/>
    </row>
    <row r="41" spans="4:9">
      <c r="D41" s="248" t="s">
        <v>83</v>
      </c>
      <c r="E41" s="60">
        <v>36</v>
      </c>
      <c r="F41" s="60">
        <v>1</v>
      </c>
      <c r="G41" s="59">
        <f>Database!D41</f>
        <v>180.6143464383907</v>
      </c>
      <c r="H41" s="62">
        <f>AVERAGEA(G41)</f>
        <v>180.6143464383907</v>
      </c>
      <c r="I41" s="121">
        <v>0</v>
      </c>
    </row>
    <row r="42" spans="4:9">
      <c r="D42" s="248" t="s">
        <v>84</v>
      </c>
      <c r="E42" s="60">
        <v>37</v>
      </c>
      <c r="F42" s="60">
        <v>1</v>
      </c>
      <c r="G42" s="59">
        <f>Database!D42</f>
        <v>80.407513925134083</v>
      </c>
      <c r="H42" s="62">
        <f>AVERAGEA(G42)</f>
        <v>80.407513925134083</v>
      </c>
      <c r="I42" s="121">
        <v>0</v>
      </c>
    </row>
    <row r="43" spans="4:9">
      <c r="D43" s="248" t="s">
        <v>85</v>
      </c>
      <c r="E43" s="60">
        <v>38</v>
      </c>
      <c r="F43" s="60">
        <v>1</v>
      </c>
      <c r="G43" s="59">
        <f>Database!D43</f>
        <v>106.44746735974533</v>
      </c>
      <c r="H43" s="62">
        <f>AVERAGEA(G43)</f>
        <v>106.44746735974533</v>
      </c>
      <c r="I43" s="121">
        <v>0</v>
      </c>
    </row>
    <row r="44" spans="4:9">
      <c r="D44" s="248" t="s">
        <v>86</v>
      </c>
      <c r="E44" s="60">
        <v>39</v>
      </c>
      <c r="F44" s="60">
        <v>1</v>
      </c>
      <c r="G44" s="59">
        <f>Database!D44</f>
        <v>7.9114201820964212</v>
      </c>
      <c r="H44" s="62">
        <f>AVERAGEA(G44)</f>
        <v>7.9114201820964212</v>
      </c>
      <c r="I44" s="121">
        <v>0</v>
      </c>
    </row>
    <row r="45" spans="4:9">
      <c r="D45" s="362" t="s">
        <v>87</v>
      </c>
      <c r="E45" s="60">
        <v>40</v>
      </c>
      <c r="F45" s="60">
        <v>1</v>
      </c>
      <c r="G45" s="59">
        <f>Database!D45</f>
        <v>9.0083014741516045</v>
      </c>
      <c r="H45" s="344">
        <f>AVERAGEA(G45:G46)</f>
        <v>6.6828494189494556</v>
      </c>
      <c r="I45" s="344">
        <f>((2*(SUM(G45^2)+(G46^2)))-(SUM(G45:G46)^2))/(2*1)</f>
        <v>10.815454522087791</v>
      </c>
    </row>
    <row r="46" spans="4:9">
      <c r="D46" s="363"/>
      <c r="E46" s="60">
        <v>41</v>
      </c>
      <c r="F46" s="60">
        <v>2</v>
      </c>
      <c r="G46" s="59">
        <f>Database!D46</f>
        <v>4.3573973637473076</v>
      </c>
      <c r="H46" s="344"/>
      <c r="I46" s="344"/>
    </row>
    <row r="47" spans="4:9">
      <c r="D47" s="345" t="s">
        <v>88</v>
      </c>
      <c r="E47" s="60">
        <v>42</v>
      </c>
      <c r="F47" s="60">
        <v>1</v>
      </c>
      <c r="G47" s="59">
        <f>Database!D47</f>
        <v>3.3067872728088221</v>
      </c>
      <c r="H47" s="344">
        <f>AVERAGEA(G47:G50)</f>
        <v>15.166585115337625</v>
      </c>
      <c r="I47" s="344">
        <f>((4*(SUM(G47^2)+(G48^2)+(G49^2)+(G50^2))-(SUM(G47:G50)^2))/(4*3))</f>
        <v>95.773604106831726</v>
      </c>
    </row>
    <row r="48" spans="4:9">
      <c r="D48" s="345"/>
      <c r="E48" s="60">
        <v>43</v>
      </c>
      <c r="F48" s="60">
        <v>2</v>
      </c>
      <c r="G48" s="59">
        <f>Database!D48</f>
        <v>23.197862680037382</v>
      </c>
      <c r="H48" s="344"/>
      <c r="I48" s="344"/>
    </row>
    <row r="49" spans="4:9">
      <c r="D49" s="345"/>
      <c r="E49" s="60">
        <v>44</v>
      </c>
      <c r="F49" s="60">
        <v>3</v>
      </c>
      <c r="G49" s="59">
        <f>Database!D49</f>
        <v>23.197862680037382</v>
      </c>
      <c r="H49" s="344"/>
      <c r="I49" s="344"/>
    </row>
    <row r="50" spans="4:9">
      <c r="D50" s="345"/>
      <c r="E50" s="60">
        <v>45</v>
      </c>
      <c r="F50" s="60">
        <v>4</v>
      </c>
      <c r="G50" s="59">
        <f>Database!D50</f>
        <v>10.963827828466922</v>
      </c>
      <c r="H50" s="344"/>
      <c r="I50" s="344"/>
    </row>
    <row r="51" spans="4:9">
      <c r="D51" s="60" t="s">
        <v>89</v>
      </c>
      <c r="E51" s="60">
        <v>46</v>
      </c>
      <c r="F51" s="60">
        <v>1</v>
      </c>
      <c r="G51" s="59">
        <f>Database!D51</f>
        <v>8.5319675077547217</v>
      </c>
      <c r="H51" s="59">
        <f>AVERAGEA(G51)</f>
        <v>8.5319675077547217</v>
      </c>
      <c r="I51" s="121">
        <v>0</v>
      </c>
    </row>
    <row r="52" spans="4:9">
      <c r="D52" s="60" t="s">
        <v>90</v>
      </c>
      <c r="E52" s="60">
        <v>47</v>
      </c>
      <c r="F52" s="60">
        <v>1</v>
      </c>
      <c r="G52" s="59">
        <f>Database!D52</f>
        <v>12.270747607064298</v>
      </c>
      <c r="H52" s="59">
        <f>AVERAGEA(G52)</f>
        <v>12.270747607064298</v>
      </c>
      <c r="I52" s="121">
        <v>0</v>
      </c>
    </row>
  </sheetData>
  <mergeCells count="35">
    <mergeCell ref="H4:H5"/>
    <mergeCell ref="D6:D19"/>
    <mergeCell ref="H6:H19"/>
    <mergeCell ref="A7:B7"/>
    <mergeCell ref="D4:D5"/>
    <mergeCell ref="E4:E5"/>
    <mergeCell ref="F4:F5"/>
    <mergeCell ref="G4:G5"/>
    <mergeCell ref="D20:D26"/>
    <mergeCell ref="H20:H26"/>
    <mergeCell ref="D27:D30"/>
    <mergeCell ref="H27:H30"/>
    <mergeCell ref="D31:D34"/>
    <mergeCell ref="H31:H34"/>
    <mergeCell ref="J4:J5"/>
    <mergeCell ref="D45:D46"/>
    <mergeCell ref="H45:H46"/>
    <mergeCell ref="D47:D50"/>
    <mergeCell ref="H47:H50"/>
    <mergeCell ref="I4:I5"/>
    <mergeCell ref="I6:I19"/>
    <mergeCell ref="I20:I26"/>
    <mergeCell ref="I27:I30"/>
    <mergeCell ref="I31:I34"/>
    <mergeCell ref="D35:D36"/>
    <mergeCell ref="H35:H36"/>
    <mergeCell ref="D37:D38"/>
    <mergeCell ref="H37:H38"/>
    <mergeCell ref="D39:D40"/>
    <mergeCell ref="H39:H40"/>
    <mergeCell ref="I35:I36"/>
    <mergeCell ref="I37:I38"/>
    <mergeCell ref="I39:I40"/>
    <mergeCell ref="I45:I46"/>
    <mergeCell ref="I47:I5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21410-8697-4920-B9F8-6F5B27367EF8}">
  <dimension ref="A4:S22"/>
  <sheetViews>
    <sheetView topLeftCell="A14" workbookViewId="0">
      <selection activeCell="A22" sqref="A22:XFD22"/>
    </sheetView>
  </sheetViews>
  <sheetFormatPr defaultColWidth="8.85546875" defaultRowHeight="15"/>
  <cols>
    <col min="1" max="1" width="12.42578125" customWidth="1"/>
    <col min="3" max="3" width="13.140625" customWidth="1"/>
    <col min="4" max="4" width="16.140625" customWidth="1"/>
    <col min="5" max="5" width="10.28515625" customWidth="1"/>
    <col min="6" max="6" width="14.42578125" customWidth="1"/>
    <col min="7" max="7" width="15.42578125" customWidth="1"/>
    <col min="8" max="8" width="13.28515625" customWidth="1"/>
    <col min="9" max="9" width="15.42578125" customWidth="1"/>
    <col min="10" max="10" width="14" customWidth="1"/>
    <col min="11" max="11" width="18.7109375" customWidth="1"/>
    <col min="12" max="12" width="13.7109375" customWidth="1"/>
    <col min="13" max="13" width="17.7109375" customWidth="1"/>
    <col min="14" max="15" width="13" customWidth="1"/>
    <col min="16" max="16" width="17.140625" style="17" customWidth="1"/>
    <col min="17" max="17" width="18.85546875" style="17" customWidth="1"/>
    <col min="18" max="18" width="14.140625" style="17" customWidth="1"/>
    <col min="19" max="19" width="12.42578125" customWidth="1"/>
  </cols>
  <sheetData>
    <row r="4" spans="1:19" ht="21" customHeight="1"/>
    <row r="10" spans="1:19">
      <c r="D10" t="s">
        <v>98</v>
      </c>
      <c r="E10" t="s">
        <v>99</v>
      </c>
      <c r="I10" s="194"/>
      <c r="J10" t="s">
        <v>100</v>
      </c>
      <c r="N10" t="s">
        <v>101</v>
      </c>
    </row>
    <row r="11" spans="1:19">
      <c r="I11" s="194"/>
    </row>
    <row r="14" spans="1:19" ht="178.5">
      <c r="A14" s="369" t="s">
        <v>102</v>
      </c>
      <c r="B14" s="175" t="s">
        <v>102</v>
      </c>
      <c r="C14" s="176" t="s">
        <v>103</v>
      </c>
      <c r="D14" s="176" t="s">
        <v>104</v>
      </c>
      <c r="E14" s="176" t="s">
        <v>105</v>
      </c>
      <c r="F14" s="177" t="s">
        <v>106</v>
      </c>
      <c r="G14" s="178" t="s">
        <v>107</v>
      </c>
      <c r="H14" s="176" t="s">
        <v>108</v>
      </c>
      <c r="I14" s="179" t="s">
        <v>109</v>
      </c>
      <c r="J14" s="180" t="s">
        <v>110</v>
      </c>
      <c r="K14" s="179" t="s">
        <v>111</v>
      </c>
      <c r="L14" s="179" t="s">
        <v>112</v>
      </c>
      <c r="M14" s="179" t="s">
        <v>113</v>
      </c>
      <c r="N14" s="179" t="s">
        <v>114</v>
      </c>
      <c r="O14" s="179" t="s">
        <v>115</v>
      </c>
      <c r="P14" s="181" t="s">
        <v>116</v>
      </c>
      <c r="Q14" s="181" t="s">
        <v>117</v>
      </c>
      <c r="R14" s="181" t="s">
        <v>118</v>
      </c>
      <c r="S14" s="179" t="s">
        <v>119</v>
      </c>
    </row>
    <row r="15" spans="1:19">
      <c r="A15" s="369"/>
      <c r="B15" s="182" t="s">
        <v>120</v>
      </c>
      <c r="C15" s="183" t="s">
        <v>121</v>
      </c>
      <c r="D15" s="183" t="s">
        <v>122</v>
      </c>
      <c r="E15" s="183" t="s">
        <v>123</v>
      </c>
      <c r="F15" s="184" t="s">
        <v>124</v>
      </c>
      <c r="G15" s="184" t="s">
        <v>125</v>
      </c>
      <c r="H15" s="182" t="s">
        <v>126</v>
      </c>
      <c r="I15" s="184" t="s">
        <v>127</v>
      </c>
      <c r="J15" s="185" t="s">
        <v>128</v>
      </c>
      <c r="K15" s="184" t="s">
        <v>129</v>
      </c>
      <c r="L15" s="184" t="s">
        <v>130</v>
      </c>
      <c r="M15" s="183" t="s">
        <v>131</v>
      </c>
      <c r="N15" s="183" t="s">
        <v>132</v>
      </c>
      <c r="O15" s="184" t="s">
        <v>133</v>
      </c>
      <c r="P15" s="186" t="s">
        <v>134</v>
      </c>
      <c r="Q15" s="187" t="s">
        <v>135</v>
      </c>
      <c r="R15" s="188" t="s">
        <v>136</v>
      </c>
      <c r="S15" s="188" t="s">
        <v>137</v>
      </c>
    </row>
    <row r="16" spans="1:19">
      <c r="A16" s="189">
        <v>2018</v>
      </c>
      <c r="B16" s="190">
        <v>0</v>
      </c>
      <c r="C16" s="191">
        <v>0.47</v>
      </c>
      <c r="D16" s="191">
        <v>1.3</v>
      </c>
      <c r="E16" s="191">
        <v>0.25</v>
      </c>
      <c r="F16" s="191">
        <v>0</v>
      </c>
      <c r="G16" s="191">
        <v>0</v>
      </c>
      <c r="H16" s="192">
        <f t="shared" ref="H16:H22" si="0">(44*C16*D16*(1+E16)*F16*G16)/12</f>
        <v>0</v>
      </c>
      <c r="I16" s="191">
        <v>0</v>
      </c>
      <c r="J16" s="193">
        <v>73</v>
      </c>
      <c r="K16" s="191">
        <v>0.1</v>
      </c>
      <c r="L16" s="191">
        <f t="shared" ref="L16:L22" si="1">I16*J16*K16</f>
        <v>0</v>
      </c>
      <c r="M16" s="191">
        <v>0.47</v>
      </c>
      <c r="N16" s="191">
        <v>0.4</v>
      </c>
      <c r="O16" s="191">
        <v>0</v>
      </c>
      <c r="P16" s="192">
        <f t="shared" ref="P16:P22" si="2">(44/12)*M16*(1+N16)*(O16*L16)</f>
        <v>0</v>
      </c>
      <c r="Q16" s="192">
        <f>P16</f>
        <v>0</v>
      </c>
      <c r="R16" s="192">
        <f>P16</f>
        <v>0</v>
      </c>
      <c r="S16" s="192">
        <f>H16+R16</f>
        <v>0</v>
      </c>
    </row>
    <row r="17" spans="1:19">
      <c r="A17" s="189">
        <v>2019</v>
      </c>
      <c r="B17" s="190">
        <v>1</v>
      </c>
      <c r="C17" s="191">
        <v>0.47</v>
      </c>
      <c r="D17" s="191">
        <v>1.3</v>
      </c>
      <c r="E17" s="191">
        <v>0.25</v>
      </c>
      <c r="F17" s="191">
        <v>0</v>
      </c>
      <c r="G17" s="191">
        <v>0</v>
      </c>
      <c r="H17" s="192">
        <f t="shared" si="0"/>
        <v>0</v>
      </c>
      <c r="I17" s="191">
        <v>0</v>
      </c>
      <c r="J17" s="193">
        <v>73</v>
      </c>
      <c r="K17" s="191">
        <v>0.1</v>
      </c>
      <c r="L17" s="191">
        <f t="shared" si="1"/>
        <v>0</v>
      </c>
      <c r="M17" s="191">
        <v>0.47</v>
      </c>
      <c r="N17" s="191">
        <v>0.4</v>
      </c>
      <c r="O17" s="191">
        <v>0</v>
      </c>
      <c r="P17" s="192">
        <f t="shared" si="2"/>
        <v>0</v>
      </c>
      <c r="Q17" s="192">
        <f t="shared" ref="Q17:Q22" si="3">P17-P16</f>
        <v>0</v>
      </c>
      <c r="R17" s="192">
        <f t="shared" ref="R17:R22" si="4">P17</f>
        <v>0</v>
      </c>
      <c r="S17" s="192">
        <f t="shared" ref="S17:S22" si="5">H17+R17</f>
        <v>0</v>
      </c>
    </row>
    <row r="18" spans="1:19">
      <c r="A18" s="189">
        <v>2020</v>
      </c>
      <c r="B18" s="190">
        <v>2</v>
      </c>
      <c r="C18" s="191">
        <v>0.47</v>
      </c>
      <c r="D18" s="191">
        <v>1.3</v>
      </c>
      <c r="E18" s="191">
        <v>0.25</v>
      </c>
      <c r="F18" s="191">
        <v>0</v>
      </c>
      <c r="G18" s="191">
        <v>0</v>
      </c>
      <c r="H18" s="192">
        <f t="shared" si="0"/>
        <v>0</v>
      </c>
      <c r="I18" s="191">
        <v>0</v>
      </c>
      <c r="J18" s="193">
        <v>73</v>
      </c>
      <c r="K18" s="191">
        <v>0.1</v>
      </c>
      <c r="L18" s="191">
        <f t="shared" si="1"/>
        <v>0</v>
      </c>
      <c r="M18" s="191">
        <v>0.47</v>
      </c>
      <c r="N18" s="191">
        <v>0.4</v>
      </c>
      <c r="O18" s="191">
        <v>0</v>
      </c>
      <c r="P18" s="192">
        <f t="shared" si="2"/>
        <v>0</v>
      </c>
      <c r="Q18" s="192">
        <f t="shared" si="3"/>
        <v>0</v>
      </c>
      <c r="R18" s="192">
        <f t="shared" si="4"/>
        <v>0</v>
      </c>
      <c r="S18" s="192">
        <f t="shared" si="5"/>
        <v>0</v>
      </c>
    </row>
    <row r="19" spans="1:19">
      <c r="A19" s="189">
        <v>2021</v>
      </c>
      <c r="B19" s="190">
        <v>3</v>
      </c>
      <c r="C19" s="191">
        <v>0.47</v>
      </c>
      <c r="D19" s="191">
        <v>1.3</v>
      </c>
      <c r="E19" s="191">
        <v>0.25</v>
      </c>
      <c r="F19" s="191">
        <v>0</v>
      </c>
      <c r="G19" s="191">
        <v>0</v>
      </c>
      <c r="H19" s="192">
        <f t="shared" si="0"/>
        <v>0</v>
      </c>
      <c r="I19" s="191">
        <v>0</v>
      </c>
      <c r="J19" s="193">
        <v>73</v>
      </c>
      <c r="K19" s="191">
        <v>0.1</v>
      </c>
      <c r="L19" s="191">
        <f t="shared" si="1"/>
        <v>0</v>
      </c>
      <c r="M19" s="191">
        <v>0.47</v>
      </c>
      <c r="N19" s="191">
        <v>0.4</v>
      </c>
      <c r="O19" s="191">
        <v>0</v>
      </c>
      <c r="P19" s="192">
        <f t="shared" si="2"/>
        <v>0</v>
      </c>
      <c r="Q19" s="192">
        <f t="shared" si="3"/>
        <v>0</v>
      </c>
      <c r="R19" s="192">
        <f t="shared" si="4"/>
        <v>0</v>
      </c>
      <c r="S19" s="192">
        <f t="shared" si="5"/>
        <v>0</v>
      </c>
    </row>
    <row r="20" spans="1:19">
      <c r="A20" s="189">
        <v>2022</v>
      </c>
      <c r="B20" s="190">
        <v>4</v>
      </c>
      <c r="C20" s="191">
        <v>0.47</v>
      </c>
      <c r="D20" s="191">
        <v>1.3</v>
      </c>
      <c r="E20" s="191">
        <v>0.25</v>
      </c>
      <c r="F20" s="191">
        <v>0</v>
      </c>
      <c r="G20" s="191">
        <v>0</v>
      </c>
      <c r="H20" s="192">
        <f t="shared" si="0"/>
        <v>0</v>
      </c>
      <c r="I20" s="191">
        <v>0</v>
      </c>
      <c r="J20" s="193">
        <v>73</v>
      </c>
      <c r="K20" s="191">
        <v>0.1</v>
      </c>
      <c r="L20" s="191">
        <f t="shared" si="1"/>
        <v>0</v>
      </c>
      <c r="M20" s="191">
        <v>0.47</v>
      </c>
      <c r="N20" s="191">
        <v>0.4</v>
      </c>
      <c r="O20" s="191">
        <v>0</v>
      </c>
      <c r="P20" s="192">
        <f t="shared" si="2"/>
        <v>0</v>
      </c>
      <c r="Q20" s="192">
        <f t="shared" si="3"/>
        <v>0</v>
      </c>
      <c r="R20" s="192">
        <f>P20</f>
        <v>0</v>
      </c>
      <c r="S20" s="192">
        <f>H20+R20</f>
        <v>0</v>
      </c>
    </row>
    <row r="21" spans="1:19">
      <c r="A21" s="189">
        <v>2023</v>
      </c>
      <c r="B21" s="190">
        <v>5</v>
      </c>
      <c r="C21" s="191">
        <v>0.47</v>
      </c>
      <c r="D21" s="191">
        <v>1.3</v>
      </c>
      <c r="E21" s="191">
        <v>0.25</v>
      </c>
      <c r="F21" s="191">
        <v>0</v>
      </c>
      <c r="G21" s="191">
        <v>0</v>
      </c>
      <c r="H21" s="192">
        <f t="shared" si="0"/>
        <v>0</v>
      </c>
      <c r="I21" s="191">
        <v>0</v>
      </c>
      <c r="J21" s="193">
        <v>73</v>
      </c>
      <c r="K21" s="191">
        <v>0.1</v>
      </c>
      <c r="L21" s="191">
        <f t="shared" si="1"/>
        <v>0</v>
      </c>
      <c r="M21" s="191">
        <v>0.47</v>
      </c>
      <c r="N21" s="191">
        <v>0.4</v>
      </c>
      <c r="O21" s="191">
        <v>0</v>
      </c>
      <c r="P21" s="192">
        <f t="shared" si="2"/>
        <v>0</v>
      </c>
      <c r="Q21" s="192">
        <f t="shared" si="3"/>
        <v>0</v>
      </c>
      <c r="R21" s="192">
        <f t="shared" si="4"/>
        <v>0</v>
      </c>
      <c r="S21" s="192">
        <f t="shared" si="5"/>
        <v>0</v>
      </c>
    </row>
    <row r="22" spans="1:19">
      <c r="A22" s="189">
        <v>2024</v>
      </c>
      <c r="B22" s="190">
        <v>6</v>
      </c>
      <c r="C22" s="191">
        <v>0.47</v>
      </c>
      <c r="D22" s="191">
        <v>1.3</v>
      </c>
      <c r="E22" s="191">
        <v>0.25</v>
      </c>
      <c r="F22" s="191">
        <v>0</v>
      </c>
      <c r="G22" s="191">
        <v>0</v>
      </c>
      <c r="H22" s="192">
        <f t="shared" si="0"/>
        <v>0</v>
      </c>
      <c r="I22" s="191">
        <v>0</v>
      </c>
      <c r="J22" s="193">
        <v>73</v>
      </c>
      <c r="K22" s="191">
        <v>0.1</v>
      </c>
      <c r="L22" s="191">
        <f t="shared" si="1"/>
        <v>0</v>
      </c>
      <c r="M22" s="191">
        <v>0.47</v>
      </c>
      <c r="N22" s="191">
        <v>0.4</v>
      </c>
      <c r="O22" s="191">
        <v>0</v>
      </c>
      <c r="P22" s="192">
        <f t="shared" si="2"/>
        <v>0</v>
      </c>
      <c r="Q22" s="192">
        <f t="shared" si="3"/>
        <v>0</v>
      </c>
      <c r="R22" s="192">
        <f t="shared" si="4"/>
        <v>0</v>
      </c>
      <c r="S22" s="192">
        <f t="shared" si="5"/>
        <v>0</v>
      </c>
    </row>
  </sheetData>
  <mergeCells count="1">
    <mergeCell ref="A14:A15"/>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F2C6-1CCE-42DE-B751-A3972A8903D0}">
  <dimension ref="A5:AG22"/>
  <sheetViews>
    <sheetView tabSelected="1" topLeftCell="B1" zoomScale="85" zoomScaleNormal="85" workbookViewId="0">
      <selection activeCell="F3" sqref="F3"/>
    </sheetView>
  </sheetViews>
  <sheetFormatPr defaultColWidth="8.85546875" defaultRowHeight="15"/>
  <cols>
    <col min="1" max="1" width="21.85546875" customWidth="1"/>
    <col min="2" max="2" width="29" customWidth="1"/>
    <col min="3" max="3" width="11.7109375" customWidth="1"/>
    <col min="4" max="4" width="17" customWidth="1"/>
    <col min="5" max="5" width="21" bestFit="1" customWidth="1"/>
    <col min="6" max="6" width="11.140625" customWidth="1"/>
    <col min="7" max="7" width="12.28515625" customWidth="1"/>
    <col min="8" max="8" width="12" customWidth="1"/>
    <col min="9" max="32" width="11.140625" customWidth="1"/>
    <col min="33" max="33" width="22.85546875" customWidth="1"/>
    <col min="34" max="34" width="11.140625" customWidth="1"/>
    <col min="38" max="38" width="9.42578125" customWidth="1"/>
    <col min="39" max="39" width="13.42578125" customWidth="1"/>
  </cols>
  <sheetData>
    <row r="5" spans="1:33">
      <c r="E5" s="195"/>
    </row>
    <row r="6" spans="1:33" ht="18">
      <c r="A6" s="196" t="s">
        <v>138</v>
      </c>
      <c r="B6" s="196" t="s">
        <v>139</v>
      </c>
      <c r="C6" s="196" t="s">
        <v>140</v>
      </c>
      <c r="D6" s="196" t="s">
        <v>141</v>
      </c>
      <c r="E6" s="196" t="s">
        <v>142</v>
      </c>
      <c r="F6" s="196" t="s">
        <v>143</v>
      </c>
      <c r="G6" s="196" t="s">
        <v>144</v>
      </c>
      <c r="H6" s="196" t="s">
        <v>145</v>
      </c>
    </row>
    <row r="7" spans="1:33">
      <c r="A7" s="203" t="s">
        <v>146</v>
      </c>
      <c r="B7" s="207">
        <v>65</v>
      </c>
      <c r="C7" s="204">
        <v>0.48</v>
      </c>
      <c r="D7" s="205">
        <v>1</v>
      </c>
      <c r="E7" s="206">
        <v>1</v>
      </c>
      <c r="F7" s="13">
        <f>B7*C7*D7*E7</f>
        <v>31.2</v>
      </c>
      <c r="G7" s="13">
        <v>0</v>
      </c>
      <c r="H7" s="203">
        <f xml:space="preserve"> IF(((B7-(F7-G7))/20)&gt;0.8,0.8,((B7-(F7-G7))/20))</f>
        <v>0.8</v>
      </c>
    </row>
    <row r="8" spans="1:33">
      <c r="A8" s="203" t="s">
        <v>147</v>
      </c>
      <c r="B8" s="207">
        <v>47</v>
      </c>
      <c r="C8" s="204">
        <v>0.48</v>
      </c>
      <c r="D8" s="205">
        <v>1</v>
      </c>
      <c r="E8" s="206">
        <v>1</v>
      </c>
      <c r="F8" s="13">
        <f>B8*C8*D8*E8</f>
        <v>22.56</v>
      </c>
      <c r="G8" s="13">
        <v>0</v>
      </c>
      <c r="H8" s="203">
        <f xml:space="preserve"> IF(((B8-(F8-G8))/20)&gt;0.8,0.8,((B8-(F8-G8))/20))</f>
        <v>0.8</v>
      </c>
    </row>
    <row r="9" spans="1:33">
      <c r="A9" s="207" t="s">
        <v>148</v>
      </c>
      <c r="B9" s="212" t="s">
        <v>149</v>
      </c>
      <c r="C9" s="208" t="s">
        <v>150</v>
      </c>
      <c r="D9" s="209" t="s">
        <v>151</v>
      </c>
      <c r="E9" s="210" t="s">
        <v>152</v>
      </c>
      <c r="F9" s="13"/>
      <c r="G9" s="13"/>
      <c r="H9" s="13"/>
    </row>
    <row r="10" spans="1:33">
      <c r="A10" s="203" t="s">
        <v>153</v>
      </c>
      <c r="B10" s="211" t="s">
        <v>154</v>
      </c>
      <c r="C10" s="13" t="s">
        <v>155</v>
      </c>
      <c r="D10" s="13" t="s">
        <v>156</v>
      </c>
      <c r="E10" s="13" t="s">
        <v>157</v>
      </c>
      <c r="F10" s="13"/>
      <c r="G10" s="13"/>
      <c r="H10" s="13"/>
    </row>
    <row r="12" spans="1:33" ht="15.75" thickBot="1"/>
    <row r="13" spans="1:33" s="197" customFormat="1" ht="150">
      <c r="B13" s="213" t="s">
        <v>158</v>
      </c>
      <c r="C13" s="305" t="s">
        <v>159</v>
      </c>
      <c r="D13" s="305" t="s">
        <v>160</v>
      </c>
      <c r="E13" s="305" t="s">
        <v>161</v>
      </c>
      <c r="F13" s="305" t="s">
        <v>162</v>
      </c>
      <c r="G13" s="305" t="s">
        <v>163</v>
      </c>
      <c r="H13" s="305" t="s">
        <v>164</v>
      </c>
      <c r="I13" s="305" t="s">
        <v>165</v>
      </c>
      <c r="J13" s="305" t="s">
        <v>166</v>
      </c>
      <c r="K13" s="305" t="s">
        <v>167</v>
      </c>
      <c r="L13" s="305" t="s">
        <v>168</v>
      </c>
      <c r="M13" s="305" t="s">
        <v>169</v>
      </c>
      <c r="N13" s="305" t="s">
        <v>170</v>
      </c>
      <c r="O13" s="305" t="s">
        <v>171</v>
      </c>
      <c r="P13" s="305" t="s">
        <v>172</v>
      </c>
      <c r="Q13" s="305" t="s">
        <v>173</v>
      </c>
      <c r="R13" s="305" t="s">
        <v>174</v>
      </c>
      <c r="S13" s="305" t="s">
        <v>175</v>
      </c>
      <c r="T13" s="305" t="s">
        <v>176</v>
      </c>
      <c r="U13" s="305" t="s">
        <v>177</v>
      </c>
      <c r="V13" s="305" t="s">
        <v>178</v>
      </c>
      <c r="W13" s="305" t="s">
        <v>179</v>
      </c>
      <c r="X13" s="305" t="s">
        <v>180</v>
      </c>
      <c r="Y13" s="305" t="s">
        <v>181</v>
      </c>
      <c r="Z13" s="305" t="s">
        <v>182</v>
      </c>
      <c r="AA13" s="305" t="s">
        <v>183</v>
      </c>
      <c r="AB13" s="305" t="s">
        <v>184</v>
      </c>
      <c r="AC13" s="305" t="s">
        <v>185</v>
      </c>
      <c r="AD13" s="305" t="s">
        <v>186</v>
      </c>
      <c r="AE13" s="305" t="s">
        <v>187</v>
      </c>
      <c r="AF13" s="305" t="s">
        <v>188</v>
      </c>
      <c r="AG13" s="306" t="s">
        <v>189</v>
      </c>
    </row>
    <row r="14" spans="1:33" s="100" customFormat="1" ht="18">
      <c r="B14" s="307"/>
      <c r="C14" s="199" t="s">
        <v>190</v>
      </c>
      <c r="D14" s="199" t="s">
        <v>191</v>
      </c>
      <c r="E14" s="199" t="s">
        <v>192</v>
      </c>
      <c r="F14" s="199" t="s">
        <v>193</v>
      </c>
      <c r="G14" s="199" t="s">
        <v>194</v>
      </c>
      <c r="H14" s="199" t="s">
        <v>195</v>
      </c>
      <c r="I14" s="199" t="s">
        <v>196</v>
      </c>
      <c r="J14" s="199" t="s">
        <v>197</v>
      </c>
      <c r="K14" s="199" t="s">
        <v>198</v>
      </c>
      <c r="L14" s="199" t="s">
        <v>199</v>
      </c>
      <c r="M14" s="199" t="s">
        <v>200</v>
      </c>
      <c r="N14" s="199" t="s">
        <v>201</v>
      </c>
      <c r="O14" s="199" t="s">
        <v>202</v>
      </c>
      <c r="P14" s="199" t="s">
        <v>203</v>
      </c>
      <c r="Q14" s="199" t="s">
        <v>204</v>
      </c>
      <c r="R14" s="199" t="s">
        <v>205</v>
      </c>
      <c r="S14" s="199" t="s">
        <v>206</v>
      </c>
      <c r="T14" s="199" t="s">
        <v>207</v>
      </c>
      <c r="U14" s="199" t="s">
        <v>208</v>
      </c>
      <c r="V14" s="199" t="s">
        <v>209</v>
      </c>
      <c r="W14" s="199" t="s">
        <v>210</v>
      </c>
      <c r="X14" s="199" t="s">
        <v>211</v>
      </c>
      <c r="Y14" s="199" t="s">
        <v>212</v>
      </c>
      <c r="Z14" s="199" t="s">
        <v>213</v>
      </c>
      <c r="AA14" s="199" t="s">
        <v>214</v>
      </c>
      <c r="AB14" s="199" t="s">
        <v>215</v>
      </c>
      <c r="AC14" s="199" t="s">
        <v>216</v>
      </c>
      <c r="AD14" s="199" t="s">
        <v>217</v>
      </c>
      <c r="AE14" s="199" t="s">
        <v>218</v>
      </c>
      <c r="AF14" s="199" t="s">
        <v>219</v>
      </c>
      <c r="AG14" s="308" t="s">
        <v>220</v>
      </c>
    </row>
    <row r="15" spans="1:33" s="200" customFormat="1">
      <c r="B15" s="309" t="s">
        <v>379</v>
      </c>
      <c r="C15" s="201">
        <f>$H$7</f>
        <v>0.8</v>
      </c>
      <c r="D15" s="201">
        <f t="shared" ref="D15:K21" si="0">$H$7</f>
        <v>0.8</v>
      </c>
      <c r="E15" s="201">
        <f t="shared" si="0"/>
        <v>0.8</v>
      </c>
      <c r="F15" s="201">
        <f t="shared" si="0"/>
        <v>0.8</v>
      </c>
      <c r="G15" s="201">
        <f t="shared" si="0"/>
        <v>0.8</v>
      </c>
      <c r="H15" s="201">
        <f t="shared" si="0"/>
        <v>0.8</v>
      </c>
      <c r="I15" s="201">
        <f t="shared" si="0"/>
        <v>0.8</v>
      </c>
      <c r="J15" s="201">
        <f t="shared" si="0"/>
        <v>0.8</v>
      </c>
      <c r="K15" s="201">
        <f t="shared" si="0"/>
        <v>0.8</v>
      </c>
      <c r="L15" s="201">
        <f>$H$8</f>
        <v>0.8</v>
      </c>
      <c r="M15" s="201">
        <f t="shared" ref="M15:Q21" si="1">$H$8</f>
        <v>0.8</v>
      </c>
      <c r="N15" s="201">
        <f t="shared" si="1"/>
        <v>0.8</v>
      </c>
      <c r="O15" s="201">
        <f t="shared" si="1"/>
        <v>0.8</v>
      </c>
      <c r="P15" s="201">
        <f t="shared" si="1"/>
        <v>0.8</v>
      </c>
      <c r="Q15" s="201">
        <f t="shared" si="1"/>
        <v>0.8</v>
      </c>
      <c r="R15" s="202">
        <f>'Key Data'!D$12</f>
        <v>258.02</v>
      </c>
      <c r="S15" s="202">
        <v>0</v>
      </c>
      <c r="T15" s="202">
        <v>0</v>
      </c>
      <c r="U15" s="202">
        <v>0</v>
      </c>
      <c r="V15" s="202">
        <v>0</v>
      </c>
      <c r="W15" s="202">
        <f>'Key Data'!D$17</f>
        <v>68.5</v>
      </c>
      <c r="X15" s="202">
        <v>0</v>
      </c>
      <c r="Y15" s="202">
        <v>0</v>
      </c>
      <c r="Z15" s="202">
        <v>0</v>
      </c>
      <c r="AA15" s="202">
        <v>0</v>
      </c>
      <c r="AB15" s="202">
        <f>'Key Data'!D$22</f>
        <v>15.79</v>
      </c>
      <c r="AC15" s="202">
        <v>0</v>
      </c>
      <c r="AD15" s="202">
        <v>0</v>
      </c>
      <c r="AE15" s="202">
        <v>0</v>
      </c>
      <c r="AF15" s="202">
        <v>0</v>
      </c>
      <c r="AG15" s="310">
        <f>44/12*(C15*R15+D15*S15+E15*T15+F15*U15+G15*V15+H15*W15+I15*X15+J15*Y15+K15*Z15+L15*AA15+M15*AB15+N15*AC15+O15*AD15+P15*AE15+Q15*AF15)*0.75</f>
        <v>753.08199999999999</v>
      </c>
    </row>
    <row r="16" spans="1:33">
      <c r="B16" s="309" t="s">
        <v>221</v>
      </c>
      <c r="C16" s="201">
        <f t="shared" ref="C16:C21" si="2">$H$7</f>
        <v>0.8</v>
      </c>
      <c r="D16" s="201">
        <f t="shared" si="0"/>
        <v>0.8</v>
      </c>
      <c r="E16" s="201">
        <f t="shared" si="0"/>
        <v>0.8</v>
      </c>
      <c r="F16" s="201">
        <f t="shared" si="0"/>
        <v>0.8</v>
      </c>
      <c r="G16" s="201">
        <f t="shared" si="0"/>
        <v>0.8</v>
      </c>
      <c r="H16" s="201">
        <f t="shared" si="0"/>
        <v>0.8</v>
      </c>
      <c r="I16" s="201">
        <f t="shared" si="0"/>
        <v>0.8</v>
      </c>
      <c r="J16" s="201">
        <f t="shared" si="0"/>
        <v>0.8</v>
      </c>
      <c r="K16" s="201">
        <f t="shared" si="0"/>
        <v>0.8</v>
      </c>
      <c r="L16" s="201">
        <f t="shared" ref="L16:L21" si="3">$H$8</f>
        <v>0.8</v>
      </c>
      <c r="M16" s="201">
        <f t="shared" si="1"/>
        <v>0.8</v>
      </c>
      <c r="N16" s="201">
        <f t="shared" si="1"/>
        <v>0.8</v>
      </c>
      <c r="O16" s="201">
        <f t="shared" si="1"/>
        <v>0.8</v>
      </c>
      <c r="P16" s="201">
        <f t="shared" si="1"/>
        <v>0.8</v>
      </c>
      <c r="Q16" s="201">
        <f t="shared" si="1"/>
        <v>0.8</v>
      </c>
      <c r="R16" s="202">
        <f>'Key Data'!D$12</f>
        <v>258.02</v>
      </c>
      <c r="S16" s="202">
        <f>'Key Data'!D$13</f>
        <v>115.32</v>
      </c>
      <c r="T16" s="202">
        <v>0</v>
      </c>
      <c r="U16" s="202">
        <v>0</v>
      </c>
      <c r="V16" s="202">
        <v>0</v>
      </c>
      <c r="W16" s="202">
        <f>'Key Data'!D$17</f>
        <v>68.5</v>
      </c>
      <c r="X16" s="202">
        <f>'Key Data'!D$18</f>
        <v>22.09</v>
      </c>
      <c r="Y16" s="202">
        <v>0</v>
      </c>
      <c r="Z16" s="202">
        <v>0</v>
      </c>
      <c r="AA16" s="202">
        <v>0</v>
      </c>
      <c r="AB16" s="202">
        <f>'Key Data'!D$22</f>
        <v>15.79</v>
      </c>
      <c r="AC16" s="202">
        <f>'Key Data'!D$23</f>
        <v>20</v>
      </c>
      <c r="AD16" s="202">
        <v>0</v>
      </c>
      <c r="AE16" s="202">
        <v>0</v>
      </c>
      <c r="AF16" s="202">
        <v>0</v>
      </c>
      <c r="AG16" s="310">
        <f>44/12*(C16*R16+D16*S16+E16*T16+F16*U16+G16*V16+H16*W16+I16*X16+J16*Y16+K16*Z16+L16*AA16+M16*AB16+N16*AC16+O16*AD16+P16*AE16+Q16*AF16)*1</f>
        <v>1465.8453333333334</v>
      </c>
    </row>
    <row r="17" spans="2:33">
      <c r="B17" s="309" t="s">
        <v>222</v>
      </c>
      <c r="C17" s="201">
        <f t="shared" si="2"/>
        <v>0.8</v>
      </c>
      <c r="D17" s="201">
        <f t="shared" si="0"/>
        <v>0.8</v>
      </c>
      <c r="E17" s="201">
        <f t="shared" si="0"/>
        <v>0.8</v>
      </c>
      <c r="F17" s="201">
        <f t="shared" si="0"/>
        <v>0.8</v>
      </c>
      <c r="G17" s="201">
        <f t="shared" si="0"/>
        <v>0.8</v>
      </c>
      <c r="H17" s="201">
        <f t="shared" si="0"/>
        <v>0.8</v>
      </c>
      <c r="I17" s="201">
        <f t="shared" si="0"/>
        <v>0.8</v>
      </c>
      <c r="J17" s="201">
        <f t="shared" si="0"/>
        <v>0.8</v>
      </c>
      <c r="K17" s="201">
        <f t="shared" si="0"/>
        <v>0.8</v>
      </c>
      <c r="L17" s="201">
        <f t="shared" si="3"/>
        <v>0.8</v>
      </c>
      <c r="M17" s="201">
        <f t="shared" si="1"/>
        <v>0.8</v>
      </c>
      <c r="N17" s="201">
        <f t="shared" si="1"/>
        <v>0.8</v>
      </c>
      <c r="O17" s="201">
        <f t="shared" si="1"/>
        <v>0.8</v>
      </c>
      <c r="P17" s="201">
        <f t="shared" si="1"/>
        <v>0.8</v>
      </c>
      <c r="Q17" s="201">
        <f t="shared" si="1"/>
        <v>0.8</v>
      </c>
      <c r="R17" s="202">
        <f>'Key Data'!D$12</f>
        <v>258.02</v>
      </c>
      <c r="S17" s="202">
        <f>'Key Data'!D$13</f>
        <v>115.32</v>
      </c>
      <c r="T17" s="202">
        <f>'Key Data'!D$14</f>
        <v>76.959999999999994</v>
      </c>
      <c r="U17" s="202">
        <v>0</v>
      </c>
      <c r="V17" s="202">
        <v>0</v>
      </c>
      <c r="W17" s="202">
        <f>'Key Data'!D$17</f>
        <v>68.5</v>
      </c>
      <c r="X17" s="202">
        <f>'Key Data'!D$18</f>
        <v>22.09</v>
      </c>
      <c r="Y17" s="202">
        <f>'Key Data'!D$19</f>
        <v>19</v>
      </c>
      <c r="Z17" s="202">
        <v>0</v>
      </c>
      <c r="AA17" s="202">
        <v>0</v>
      </c>
      <c r="AB17" s="202">
        <f>'Key Data'!D$22</f>
        <v>15.79</v>
      </c>
      <c r="AC17" s="202">
        <f>'Key Data'!D$23</f>
        <v>20</v>
      </c>
      <c r="AD17" s="202">
        <f>'Key Data'!D$24</f>
        <v>14.63</v>
      </c>
      <c r="AE17" s="202">
        <v>0</v>
      </c>
      <c r="AF17" s="202">
        <v>0</v>
      </c>
      <c r="AG17" s="310">
        <f t="shared" ref="AG17:AG20" si="4">44/12*(C17*R17+D17*S17+E17*T17+F17*U17+G17*V17+H17*W17+I17*X17+J17*Y17+K17*Z17+L17*AA17+M17*AB17+N17*AC17+O17*AD17+P17*AE17+Q17*AF17)*1</f>
        <v>1790.2426666666668</v>
      </c>
    </row>
    <row r="18" spans="2:33">
      <c r="B18" s="309" t="s">
        <v>223</v>
      </c>
      <c r="C18" s="201">
        <f t="shared" si="2"/>
        <v>0.8</v>
      </c>
      <c r="D18" s="201">
        <f t="shared" si="0"/>
        <v>0.8</v>
      </c>
      <c r="E18" s="201">
        <f t="shared" si="0"/>
        <v>0.8</v>
      </c>
      <c r="F18" s="201">
        <f t="shared" si="0"/>
        <v>0.8</v>
      </c>
      <c r="G18" s="201">
        <f t="shared" si="0"/>
        <v>0.8</v>
      </c>
      <c r="H18" s="201">
        <f t="shared" si="0"/>
        <v>0.8</v>
      </c>
      <c r="I18" s="201">
        <f t="shared" si="0"/>
        <v>0.8</v>
      </c>
      <c r="J18" s="201">
        <f t="shared" si="0"/>
        <v>0.8</v>
      </c>
      <c r="K18" s="201">
        <f t="shared" si="0"/>
        <v>0.8</v>
      </c>
      <c r="L18" s="201">
        <f t="shared" si="3"/>
        <v>0.8</v>
      </c>
      <c r="M18" s="201">
        <f t="shared" si="1"/>
        <v>0.8</v>
      </c>
      <c r="N18" s="201">
        <f t="shared" si="1"/>
        <v>0.8</v>
      </c>
      <c r="O18" s="201">
        <f t="shared" si="1"/>
        <v>0.8</v>
      </c>
      <c r="P18" s="201">
        <f t="shared" si="1"/>
        <v>0.8</v>
      </c>
      <c r="Q18" s="201">
        <f t="shared" si="1"/>
        <v>0.8</v>
      </c>
      <c r="R18" s="202">
        <f>'Key Data'!D$12</f>
        <v>258.02</v>
      </c>
      <c r="S18" s="202">
        <f>'Key Data'!D$13</f>
        <v>115.32</v>
      </c>
      <c r="T18" s="202">
        <f>'Key Data'!D$14</f>
        <v>76.959999999999994</v>
      </c>
      <c r="U18" s="202">
        <f>'Key Data'!D$15</f>
        <v>93.61</v>
      </c>
      <c r="V18" s="202">
        <v>0</v>
      </c>
      <c r="W18" s="202">
        <f>'Key Data'!D$17</f>
        <v>68.5</v>
      </c>
      <c r="X18" s="202">
        <f>'Key Data'!D$18</f>
        <v>22.09</v>
      </c>
      <c r="Y18" s="202">
        <f>'Key Data'!D$19</f>
        <v>19</v>
      </c>
      <c r="Z18" s="202">
        <f>'Key Data'!D$20</f>
        <v>12.1</v>
      </c>
      <c r="AA18" s="202">
        <v>0</v>
      </c>
      <c r="AB18" s="202">
        <f>'Key Data'!D$22</f>
        <v>15.79</v>
      </c>
      <c r="AC18" s="202">
        <f>'Key Data'!D$23</f>
        <v>20</v>
      </c>
      <c r="AD18" s="202">
        <f>'Key Data'!D$24</f>
        <v>14.63</v>
      </c>
      <c r="AE18" s="202">
        <f>'Key Data'!D$25</f>
        <v>43.96</v>
      </c>
      <c r="AF18" s="202">
        <v>0</v>
      </c>
      <c r="AG18" s="310">
        <f t="shared" si="4"/>
        <v>2229.2746666666662</v>
      </c>
    </row>
    <row r="19" spans="2:33">
      <c r="B19" s="309" t="s">
        <v>224</v>
      </c>
      <c r="C19" s="201">
        <f t="shared" si="2"/>
        <v>0.8</v>
      </c>
      <c r="D19" s="201">
        <f t="shared" si="0"/>
        <v>0.8</v>
      </c>
      <c r="E19" s="201">
        <f t="shared" si="0"/>
        <v>0.8</v>
      </c>
      <c r="F19" s="201">
        <f t="shared" si="0"/>
        <v>0.8</v>
      </c>
      <c r="G19" s="201">
        <f t="shared" si="0"/>
        <v>0.8</v>
      </c>
      <c r="H19" s="201">
        <f t="shared" si="0"/>
        <v>0.8</v>
      </c>
      <c r="I19" s="201">
        <f t="shared" si="0"/>
        <v>0.8</v>
      </c>
      <c r="J19" s="201">
        <f t="shared" si="0"/>
        <v>0.8</v>
      </c>
      <c r="K19" s="201">
        <f t="shared" si="0"/>
        <v>0.8</v>
      </c>
      <c r="L19" s="201">
        <f t="shared" si="3"/>
        <v>0.8</v>
      </c>
      <c r="M19" s="201">
        <f t="shared" si="1"/>
        <v>0.8</v>
      </c>
      <c r="N19" s="201">
        <f t="shared" si="1"/>
        <v>0.8</v>
      </c>
      <c r="O19" s="201">
        <f t="shared" si="1"/>
        <v>0.8</v>
      </c>
      <c r="P19" s="201">
        <f t="shared" si="1"/>
        <v>0.8</v>
      </c>
      <c r="Q19" s="201">
        <f t="shared" si="1"/>
        <v>0.8</v>
      </c>
      <c r="R19" s="202">
        <f>'Key Data'!D$12</f>
        <v>258.02</v>
      </c>
      <c r="S19" s="202">
        <f>'Key Data'!D$13</f>
        <v>115.32</v>
      </c>
      <c r="T19" s="202">
        <f>'Key Data'!D$14</f>
        <v>76.959999999999994</v>
      </c>
      <c r="U19" s="202">
        <f>'Key Data'!D$15</f>
        <v>93.61</v>
      </c>
      <c r="V19" s="202">
        <f>'Key Data'!D$16</f>
        <v>74.86</v>
      </c>
      <c r="W19" s="202">
        <f>'Key Data'!D$17</f>
        <v>68.5</v>
      </c>
      <c r="X19" s="202">
        <f>'Key Data'!D$18</f>
        <v>22.09</v>
      </c>
      <c r="Y19" s="202">
        <f>'Key Data'!D$19</f>
        <v>19</v>
      </c>
      <c r="Z19" s="202">
        <f>'Key Data'!D$20</f>
        <v>12.1</v>
      </c>
      <c r="AA19" s="202">
        <f>'Key Data'!D$21</f>
        <v>27.77</v>
      </c>
      <c r="AB19" s="202">
        <f>'Key Data'!D$22</f>
        <v>15.79</v>
      </c>
      <c r="AC19" s="202">
        <f>'Key Data'!D$23</f>
        <v>20</v>
      </c>
      <c r="AD19" s="202">
        <f>'Key Data'!D$24</f>
        <v>14.63</v>
      </c>
      <c r="AE19" s="202">
        <f>'Key Data'!D$25</f>
        <v>43.96</v>
      </c>
      <c r="AF19" s="202">
        <f>'Key Data'!D$26</f>
        <v>31.45</v>
      </c>
      <c r="AG19" s="310">
        <f t="shared" si="4"/>
        <v>2622.5759999999996</v>
      </c>
    </row>
    <row r="20" spans="2:33">
      <c r="B20" s="309" t="s">
        <v>225</v>
      </c>
      <c r="C20" s="201">
        <f t="shared" si="2"/>
        <v>0.8</v>
      </c>
      <c r="D20" s="201">
        <f t="shared" si="0"/>
        <v>0.8</v>
      </c>
      <c r="E20" s="201">
        <f t="shared" si="0"/>
        <v>0.8</v>
      </c>
      <c r="F20" s="201">
        <f t="shared" si="0"/>
        <v>0.8</v>
      </c>
      <c r="G20" s="201">
        <f t="shared" si="0"/>
        <v>0.8</v>
      </c>
      <c r="H20" s="201">
        <f t="shared" si="0"/>
        <v>0.8</v>
      </c>
      <c r="I20" s="201">
        <f t="shared" si="0"/>
        <v>0.8</v>
      </c>
      <c r="J20" s="201">
        <f t="shared" si="0"/>
        <v>0.8</v>
      </c>
      <c r="K20" s="201">
        <f t="shared" si="0"/>
        <v>0.8</v>
      </c>
      <c r="L20" s="201">
        <f t="shared" si="3"/>
        <v>0.8</v>
      </c>
      <c r="M20" s="201">
        <f t="shared" si="1"/>
        <v>0.8</v>
      </c>
      <c r="N20" s="201">
        <f t="shared" si="1"/>
        <v>0.8</v>
      </c>
      <c r="O20" s="201">
        <f t="shared" si="1"/>
        <v>0.8</v>
      </c>
      <c r="P20" s="201">
        <f t="shared" si="1"/>
        <v>0.8</v>
      </c>
      <c r="Q20" s="201">
        <f t="shared" si="1"/>
        <v>0.8</v>
      </c>
      <c r="R20" s="202">
        <f>'Key Data'!D$12</f>
        <v>258.02</v>
      </c>
      <c r="S20" s="202">
        <f>'Key Data'!D$13</f>
        <v>115.32</v>
      </c>
      <c r="T20" s="202">
        <f>'Key Data'!D$14</f>
        <v>76.959999999999994</v>
      </c>
      <c r="U20" s="202">
        <f>'Key Data'!D$15</f>
        <v>93.61</v>
      </c>
      <c r="V20" s="202">
        <f>'Key Data'!D$16</f>
        <v>74.86</v>
      </c>
      <c r="W20" s="202">
        <f>'Key Data'!D$17</f>
        <v>68.5</v>
      </c>
      <c r="X20" s="202">
        <f>'Key Data'!D$18</f>
        <v>22.09</v>
      </c>
      <c r="Y20" s="202">
        <f>'Key Data'!D$19</f>
        <v>19</v>
      </c>
      <c r="Z20" s="202">
        <f>'Key Data'!D$20</f>
        <v>12.1</v>
      </c>
      <c r="AA20" s="202">
        <f>'Key Data'!D$21</f>
        <v>27.77</v>
      </c>
      <c r="AB20" s="202">
        <f>'Key Data'!D$22</f>
        <v>15.79</v>
      </c>
      <c r="AC20" s="202">
        <f>'Key Data'!D$23</f>
        <v>20</v>
      </c>
      <c r="AD20" s="202">
        <f>'Key Data'!D$24</f>
        <v>14.63</v>
      </c>
      <c r="AE20" s="202">
        <f>'Key Data'!D$25</f>
        <v>43.96</v>
      </c>
      <c r="AF20" s="202">
        <f>'Key Data'!D$26</f>
        <v>31.45</v>
      </c>
      <c r="AG20" s="310">
        <f t="shared" si="4"/>
        <v>2622.5759999999996</v>
      </c>
    </row>
    <row r="21" spans="2:33">
      <c r="B21" s="309" t="s">
        <v>226</v>
      </c>
      <c r="C21" s="201">
        <f t="shared" si="2"/>
        <v>0.8</v>
      </c>
      <c r="D21" s="201">
        <f t="shared" si="0"/>
        <v>0.8</v>
      </c>
      <c r="E21" s="201">
        <f t="shared" si="0"/>
        <v>0.8</v>
      </c>
      <c r="F21" s="201">
        <f t="shared" si="0"/>
        <v>0.8</v>
      </c>
      <c r="G21" s="201">
        <f t="shared" si="0"/>
        <v>0.8</v>
      </c>
      <c r="H21" s="201">
        <f t="shared" si="0"/>
        <v>0.8</v>
      </c>
      <c r="I21" s="201">
        <f t="shared" si="0"/>
        <v>0.8</v>
      </c>
      <c r="J21" s="201">
        <f t="shared" si="0"/>
        <v>0.8</v>
      </c>
      <c r="K21" s="201">
        <f t="shared" si="0"/>
        <v>0.8</v>
      </c>
      <c r="L21" s="201">
        <f t="shared" si="3"/>
        <v>0.8</v>
      </c>
      <c r="M21" s="201">
        <f t="shared" si="1"/>
        <v>0.8</v>
      </c>
      <c r="N21" s="201">
        <f t="shared" si="1"/>
        <v>0.8</v>
      </c>
      <c r="O21" s="201">
        <f t="shared" si="1"/>
        <v>0.8</v>
      </c>
      <c r="P21" s="201">
        <f t="shared" si="1"/>
        <v>0.8</v>
      </c>
      <c r="Q21" s="201">
        <f t="shared" si="1"/>
        <v>0.8</v>
      </c>
      <c r="R21" s="202">
        <f>'Key Data'!D$12</f>
        <v>258.02</v>
      </c>
      <c r="S21" s="202">
        <f>'Key Data'!D$13</f>
        <v>115.32</v>
      </c>
      <c r="T21" s="202">
        <f>'Key Data'!D$14</f>
        <v>76.959999999999994</v>
      </c>
      <c r="U21" s="202">
        <f>'Key Data'!D$15</f>
        <v>93.61</v>
      </c>
      <c r="V21" s="202">
        <f>'Key Data'!D$16</f>
        <v>74.86</v>
      </c>
      <c r="W21" s="202">
        <f>'Key Data'!D$17</f>
        <v>68.5</v>
      </c>
      <c r="X21" s="202">
        <f>'Key Data'!D$18</f>
        <v>22.09</v>
      </c>
      <c r="Y21" s="202">
        <f>'Key Data'!D$19</f>
        <v>19</v>
      </c>
      <c r="Z21" s="202">
        <f>'Key Data'!D$20</f>
        <v>12.1</v>
      </c>
      <c r="AA21" s="202">
        <f>'Key Data'!D$21</f>
        <v>27.77</v>
      </c>
      <c r="AB21" s="202">
        <f>'Key Data'!D$22</f>
        <v>15.79</v>
      </c>
      <c r="AC21" s="202">
        <f>'Key Data'!D$23</f>
        <v>20</v>
      </c>
      <c r="AD21" s="202">
        <f>'Key Data'!D$24</f>
        <v>14.63</v>
      </c>
      <c r="AE21" s="202">
        <f>'Key Data'!D$25</f>
        <v>43.96</v>
      </c>
      <c r="AF21" s="202">
        <f>'Key Data'!D$26</f>
        <v>31.45</v>
      </c>
      <c r="AG21" s="310">
        <f>44/12*(C21*R21+D21*S21+E21*T21+F21*U21+G21*V21+H21*W21+I21*X21+J21*Y21+K21*Z21+L21*AA21+M21*AB21+N21*AC21+O21*AD21+P21*AE21+Q21*AF21)*0.75</f>
        <v>1966.9319999999998</v>
      </c>
    </row>
    <row r="22" spans="2:33">
      <c r="AG22" s="304">
        <f>SUM(AG15:AG21)</f>
        <v>13450.528666666665</v>
      </c>
    </row>
  </sheetData>
  <dataValidations count="3">
    <dataValidation type="list" allowBlank="1" showInputMessage="1" showErrorMessage="1" sqref="C9" xr:uid="{736E2A2A-980F-494C-812A-B992FED29952}">
      <formula1>FLU</formula1>
    </dataValidation>
    <dataValidation type="list" allowBlank="1" showInputMessage="1" showErrorMessage="1" sqref="D9" xr:uid="{E3F2A7A5-FD3A-4A86-BAD5-593EE73B2A1F}">
      <formula1>IF(#REF!&lt;&gt;"3. Grassland",FMG_Cropland,FMG_Grassland)</formula1>
    </dataValidation>
    <dataValidation type="list" allowBlank="1" showInputMessage="1" showErrorMessage="1" sqref="E9" xr:uid="{1F8B167C-1F32-4250-B822-9134E8F75EF4}">
      <formula1>IF(#REF!&lt;&gt;"3. Grassland",FI_Cropland,FI_Grassland)</formula1>
    </dataValidation>
  </dataValidations>
  <hyperlinks>
    <hyperlink ref="B10" r:id="rId1" xr:uid="{59A993F9-DA8B-4062-A8DB-82F4625E3988}"/>
  </hyperlinks>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AAC4BA-BCAD-4008-9ED8-38A858359E99}">
  <dimension ref="A5:J37"/>
  <sheetViews>
    <sheetView topLeftCell="A15" workbookViewId="0">
      <selection activeCell="A35" sqref="A35"/>
    </sheetView>
  </sheetViews>
  <sheetFormatPr defaultColWidth="8.85546875" defaultRowHeight="15"/>
  <cols>
    <col min="1" max="1" width="17.28515625" bestFit="1" customWidth="1"/>
    <col min="2" max="2" width="28.42578125" customWidth="1"/>
    <col min="4" max="4" width="20.28515625" customWidth="1"/>
    <col min="5" max="5" width="18.140625" customWidth="1"/>
    <col min="6" max="6" width="23.7109375" customWidth="1"/>
    <col min="7" max="7" width="17" customWidth="1"/>
    <col min="10" max="10" width="19" customWidth="1"/>
  </cols>
  <sheetData>
    <row r="5" spans="1:10" ht="18.75">
      <c r="B5" t="s">
        <v>227</v>
      </c>
    </row>
    <row r="9" spans="1:10" ht="18.75">
      <c r="B9" t="s">
        <v>228</v>
      </c>
    </row>
    <row r="10" spans="1:10" ht="18.75">
      <c r="B10" t="s">
        <v>229</v>
      </c>
    </row>
    <row r="14" spans="1:10" ht="15.75" thickBot="1"/>
    <row r="15" spans="1:10" s="215" customFormat="1" ht="135">
      <c r="A15" s="213" t="s">
        <v>230</v>
      </c>
      <c r="B15" s="198" t="s">
        <v>231</v>
      </c>
      <c r="C15" s="198" t="s">
        <v>232</v>
      </c>
      <c r="D15" s="198" t="s">
        <v>233</v>
      </c>
      <c r="E15" s="198" t="s">
        <v>234</v>
      </c>
      <c r="F15" s="198" t="s">
        <v>235</v>
      </c>
      <c r="G15" s="198" t="s">
        <v>236</v>
      </c>
      <c r="H15" s="198" t="s">
        <v>237</v>
      </c>
      <c r="I15" s="198" t="s">
        <v>238</v>
      </c>
      <c r="J15" s="214" t="s">
        <v>239</v>
      </c>
    </row>
    <row r="16" spans="1:10" ht="18.75">
      <c r="A16" s="216" t="s">
        <v>240</v>
      </c>
      <c r="B16" s="217"/>
      <c r="C16" s="217" t="s">
        <v>241</v>
      </c>
      <c r="D16" s="217" t="s">
        <v>242</v>
      </c>
      <c r="E16" s="217" t="s">
        <v>243</v>
      </c>
      <c r="F16" s="217" t="s">
        <v>244</v>
      </c>
      <c r="G16" s="217" t="s">
        <v>245</v>
      </c>
      <c r="H16" s="217" t="s">
        <v>246</v>
      </c>
      <c r="I16" s="217" t="s">
        <v>247</v>
      </c>
      <c r="J16" s="218" t="s">
        <v>248</v>
      </c>
    </row>
    <row r="17" spans="1:10">
      <c r="A17" s="13" t="s">
        <v>37</v>
      </c>
      <c r="B17" s="13" t="s">
        <v>249</v>
      </c>
      <c r="C17" s="13">
        <v>0</v>
      </c>
      <c r="D17" s="57">
        <v>0</v>
      </c>
      <c r="E17" s="13">
        <v>0.67</v>
      </c>
      <c r="F17" s="13">
        <v>6.8</v>
      </c>
      <c r="G17" s="13">
        <v>21</v>
      </c>
      <c r="H17" s="13">
        <v>0.2</v>
      </c>
      <c r="I17" s="13">
        <v>310</v>
      </c>
      <c r="J17" s="219">
        <f>0.001*C17*D17*E17*(F17*G17+H17*I17)</f>
        <v>0</v>
      </c>
    </row>
    <row r="18" spans="1:10">
      <c r="A18" s="13" t="s">
        <v>39</v>
      </c>
      <c r="B18" s="13" t="s">
        <v>250</v>
      </c>
      <c r="C18" s="13">
        <v>0</v>
      </c>
      <c r="D18" s="57">
        <v>0</v>
      </c>
      <c r="E18" s="13">
        <v>0.67</v>
      </c>
      <c r="F18" s="13">
        <v>6.8</v>
      </c>
      <c r="G18" s="13">
        <v>21</v>
      </c>
      <c r="H18" s="13">
        <v>0.2</v>
      </c>
      <c r="I18" s="13">
        <v>310</v>
      </c>
      <c r="J18" s="219">
        <f>0.001*C18*D18*E18*(F18*G18+H18*I18)</f>
        <v>0</v>
      </c>
    </row>
    <row r="19" spans="1:10">
      <c r="A19" s="13" t="s">
        <v>41</v>
      </c>
      <c r="B19" s="13" t="s">
        <v>251</v>
      </c>
      <c r="C19" s="13">
        <v>0</v>
      </c>
      <c r="D19" s="57">
        <v>0</v>
      </c>
      <c r="E19" s="13">
        <v>0.67</v>
      </c>
      <c r="F19" s="13">
        <v>6.8</v>
      </c>
      <c r="G19" s="13">
        <v>21</v>
      </c>
      <c r="H19" s="13">
        <v>0.2</v>
      </c>
      <c r="I19" s="13">
        <v>310</v>
      </c>
      <c r="J19" s="219">
        <f t="shared" ref="J19:J31" si="0">0.001*C19*D19*E19*(F19*G19+H19*I19)</f>
        <v>0</v>
      </c>
    </row>
    <row r="20" spans="1:10">
      <c r="A20" s="13" t="s">
        <v>43</v>
      </c>
      <c r="B20" s="13" t="s">
        <v>252</v>
      </c>
      <c r="C20" s="13">
        <v>0</v>
      </c>
      <c r="D20" s="57">
        <v>0</v>
      </c>
      <c r="E20" s="13">
        <v>0.67</v>
      </c>
      <c r="F20" s="13">
        <v>6.8</v>
      </c>
      <c r="G20" s="13">
        <v>21</v>
      </c>
      <c r="H20" s="13">
        <v>0.2</v>
      </c>
      <c r="I20" s="13">
        <v>310</v>
      </c>
      <c r="J20" s="219">
        <f t="shared" si="0"/>
        <v>0</v>
      </c>
    </row>
    <row r="21" spans="1:10">
      <c r="A21" s="13" t="s">
        <v>45</v>
      </c>
      <c r="B21" s="13" t="s">
        <v>253</v>
      </c>
      <c r="C21" s="13">
        <v>0</v>
      </c>
      <c r="D21" s="57">
        <v>0</v>
      </c>
      <c r="E21" s="13">
        <v>0.67</v>
      </c>
      <c r="F21" s="13">
        <v>6.8</v>
      </c>
      <c r="G21" s="13">
        <v>21</v>
      </c>
      <c r="H21" s="13">
        <v>0.2</v>
      </c>
      <c r="I21" s="13">
        <v>310</v>
      </c>
      <c r="J21" s="219">
        <f t="shared" si="0"/>
        <v>0</v>
      </c>
    </row>
    <row r="22" spans="1:10">
      <c r="A22" s="13" t="s">
        <v>47</v>
      </c>
      <c r="B22" s="13" t="s">
        <v>254</v>
      </c>
      <c r="C22" s="13">
        <v>0</v>
      </c>
      <c r="D22" s="57">
        <v>0</v>
      </c>
      <c r="E22" s="13">
        <v>0.67</v>
      </c>
      <c r="F22" s="13">
        <v>6.8</v>
      </c>
      <c r="G22" s="13">
        <v>21</v>
      </c>
      <c r="H22" s="13">
        <v>0.2</v>
      </c>
      <c r="I22" s="13">
        <v>310</v>
      </c>
      <c r="J22" s="219">
        <f t="shared" si="0"/>
        <v>0</v>
      </c>
    </row>
    <row r="23" spans="1:10">
      <c r="A23" s="13" t="s">
        <v>255</v>
      </c>
      <c r="B23" s="13" t="s">
        <v>250</v>
      </c>
      <c r="C23" s="13">
        <v>0</v>
      </c>
      <c r="D23" s="57">
        <v>0</v>
      </c>
      <c r="E23" s="13">
        <v>0.67</v>
      </c>
      <c r="F23" s="13">
        <v>6.8</v>
      </c>
      <c r="G23" s="13">
        <v>21</v>
      </c>
      <c r="H23" s="13">
        <v>0.2</v>
      </c>
      <c r="I23" s="13">
        <v>310</v>
      </c>
      <c r="J23" s="219">
        <f t="shared" si="0"/>
        <v>0</v>
      </c>
    </row>
    <row r="24" spans="1:10">
      <c r="A24" s="13" t="s">
        <v>256</v>
      </c>
      <c r="B24" s="13" t="s">
        <v>251</v>
      </c>
      <c r="C24" s="13">
        <v>0</v>
      </c>
      <c r="D24" s="57">
        <v>0</v>
      </c>
      <c r="E24" s="13">
        <v>0.67</v>
      </c>
      <c r="F24" s="13">
        <v>6.8</v>
      </c>
      <c r="G24" s="13">
        <v>21</v>
      </c>
      <c r="H24" s="13">
        <v>0.2</v>
      </c>
      <c r="I24" s="13">
        <v>310</v>
      </c>
      <c r="J24" s="219">
        <f t="shared" si="0"/>
        <v>0</v>
      </c>
    </row>
    <row r="25" spans="1:10">
      <c r="A25" s="13" t="s">
        <v>257</v>
      </c>
      <c r="B25" s="13" t="s">
        <v>252</v>
      </c>
      <c r="C25" s="13">
        <v>0</v>
      </c>
      <c r="D25" s="57">
        <v>0</v>
      </c>
      <c r="E25" s="13">
        <v>0.67</v>
      </c>
      <c r="F25" s="13">
        <v>6.8</v>
      </c>
      <c r="G25" s="13">
        <v>21</v>
      </c>
      <c r="H25" s="13">
        <v>0.2</v>
      </c>
      <c r="I25" s="13">
        <v>310</v>
      </c>
      <c r="J25" s="219">
        <f t="shared" si="0"/>
        <v>0</v>
      </c>
    </row>
    <row r="26" spans="1:10">
      <c r="A26" s="13" t="s">
        <v>258</v>
      </c>
      <c r="B26" s="13" t="s">
        <v>253</v>
      </c>
      <c r="C26" s="13">
        <v>0</v>
      </c>
      <c r="D26" s="57">
        <v>0</v>
      </c>
      <c r="E26" s="13">
        <v>0.67</v>
      </c>
      <c r="F26" s="13">
        <v>6.8</v>
      </c>
      <c r="G26" s="13">
        <v>21</v>
      </c>
      <c r="H26" s="13">
        <v>0.2</v>
      </c>
      <c r="I26" s="13">
        <v>310</v>
      </c>
      <c r="J26" s="219">
        <f t="shared" si="0"/>
        <v>0</v>
      </c>
    </row>
    <row r="27" spans="1:10">
      <c r="A27" s="13" t="s">
        <v>259</v>
      </c>
      <c r="B27" s="13" t="s">
        <v>249</v>
      </c>
      <c r="C27" s="13">
        <v>0</v>
      </c>
      <c r="D27" s="57">
        <v>0</v>
      </c>
      <c r="E27" s="13">
        <v>0.67</v>
      </c>
      <c r="F27" s="13">
        <v>6.8</v>
      </c>
      <c r="G27" s="13">
        <v>21</v>
      </c>
      <c r="H27" s="13">
        <v>0.2</v>
      </c>
      <c r="I27" s="13">
        <v>310</v>
      </c>
      <c r="J27" s="219">
        <f t="shared" si="0"/>
        <v>0</v>
      </c>
    </row>
    <row r="28" spans="1:10">
      <c r="A28" s="13" t="s">
        <v>260</v>
      </c>
      <c r="B28" s="13" t="s">
        <v>250</v>
      </c>
      <c r="C28" s="13">
        <v>0</v>
      </c>
      <c r="D28" s="57">
        <v>0</v>
      </c>
      <c r="E28" s="13">
        <v>0.67</v>
      </c>
      <c r="F28" s="13">
        <v>6.8</v>
      </c>
      <c r="G28" s="13">
        <v>21</v>
      </c>
      <c r="H28" s="13">
        <v>0.2</v>
      </c>
      <c r="I28" s="13">
        <v>310</v>
      </c>
      <c r="J28" s="219">
        <f t="shared" si="0"/>
        <v>0</v>
      </c>
    </row>
    <row r="29" spans="1:10">
      <c r="A29" s="13" t="s">
        <v>261</v>
      </c>
      <c r="B29" s="13" t="s">
        <v>251</v>
      </c>
      <c r="C29" s="13">
        <v>0</v>
      </c>
      <c r="D29" s="57">
        <v>0</v>
      </c>
      <c r="E29" s="13">
        <v>0.67</v>
      </c>
      <c r="F29" s="13">
        <v>6.8</v>
      </c>
      <c r="G29" s="13">
        <v>21</v>
      </c>
      <c r="H29" s="13">
        <v>0.2</v>
      </c>
      <c r="I29" s="13">
        <v>310</v>
      </c>
      <c r="J29" s="219">
        <f t="shared" si="0"/>
        <v>0</v>
      </c>
    </row>
    <row r="30" spans="1:10">
      <c r="A30" s="13" t="s">
        <v>262</v>
      </c>
      <c r="B30" s="13" t="s">
        <v>252</v>
      </c>
      <c r="C30" s="13">
        <v>0</v>
      </c>
      <c r="D30" s="57">
        <v>0</v>
      </c>
      <c r="E30" s="13">
        <v>0.67</v>
      </c>
      <c r="F30" s="13">
        <v>6.8</v>
      </c>
      <c r="G30" s="13">
        <v>21</v>
      </c>
      <c r="H30" s="13">
        <v>0.2</v>
      </c>
      <c r="I30" s="13">
        <v>310</v>
      </c>
      <c r="J30" s="219">
        <f t="shared" si="0"/>
        <v>0</v>
      </c>
    </row>
    <row r="31" spans="1:10">
      <c r="A31" s="13" t="s">
        <v>263</v>
      </c>
      <c r="B31" s="13" t="s">
        <v>253</v>
      </c>
      <c r="C31" s="13">
        <v>0</v>
      </c>
      <c r="D31" s="57">
        <v>0</v>
      </c>
      <c r="E31" s="13">
        <v>0.67</v>
      </c>
      <c r="F31" s="13">
        <v>6.8</v>
      </c>
      <c r="G31" s="13">
        <v>21</v>
      </c>
      <c r="H31" s="13">
        <v>0.2</v>
      </c>
      <c r="I31" s="13">
        <v>310</v>
      </c>
      <c r="J31" s="219">
        <f t="shared" si="0"/>
        <v>0</v>
      </c>
    </row>
    <row r="32" spans="1:10" ht="15.75" thickBot="1">
      <c r="A32" s="14"/>
    </row>
    <row r="33" spans="1:7" ht="174">
      <c r="A33" s="14"/>
      <c r="B33" s="220" t="s">
        <v>102</v>
      </c>
      <c r="C33" s="221" t="s">
        <v>264</v>
      </c>
      <c r="D33" s="222" t="s">
        <v>265</v>
      </c>
      <c r="E33" s="222" t="s">
        <v>266</v>
      </c>
      <c r="F33" s="223" t="s">
        <v>267</v>
      </c>
      <c r="G33" s="224" t="s">
        <v>268</v>
      </c>
    </row>
    <row r="34" spans="1:7" ht="17.25">
      <c r="A34" s="14"/>
      <c r="B34" s="225"/>
      <c r="C34" s="226" t="s">
        <v>120</v>
      </c>
      <c r="D34" s="227" t="s">
        <v>269</v>
      </c>
      <c r="E34" s="227" t="s">
        <v>270</v>
      </c>
      <c r="F34" s="227" t="s">
        <v>271</v>
      </c>
      <c r="G34" s="228" t="s">
        <v>272</v>
      </c>
    </row>
    <row r="35" spans="1:7">
      <c r="A35" s="14"/>
      <c r="B35" s="229" t="s">
        <v>273</v>
      </c>
      <c r="C35" s="13">
        <v>6.5</v>
      </c>
      <c r="D35" s="13">
        <v>0</v>
      </c>
      <c r="E35" s="13">
        <v>0</v>
      </c>
      <c r="F35" s="57">
        <f>SUM(J17:J31)</f>
        <v>0</v>
      </c>
      <c r="G35" s="230">
        <f>SUM(D35:F35)</f>
        <v>0</v>
      </c>
    </row>
    <row r="36" spans="1:7">
      <c r="A36" s="14"/>
    </row>
    <row r="37" spans="1:7">
      <c r="A37" s="14"/>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0EAF1-0AD7-4161-89B5-E62611086D12}">
  <dimension ref="B1:S41"/>
  <sheetViews>
    <sheetView topLeftCell="A6" zoomScale="85" zoomScaleNormal="100" workbookViewId="0">
      <selection activeCell="C3" sqref="C3:E9"/>
    </sheetView>
  </sheetViews>
  <sheetFormatPr defaultColWidth="9.140625" defaultRowHeight="15"/>
  <cols>
    <col min="1" max="1" width="6.7109375" style="282" customWidth="1"/>
    <col min="2" max="2" width="7.42578125" style="282" customWidth="1"/>
    <col min="3" max="3" width="12.140625" style="282" customWidth="1"/>
    <col min="4" max="4" width="10.28515625" style="282" bestFit="1" customWidth="1"/>
    <col min="5" max="5" width="10.5703125" style="282" customWidth="1"/>
    <col min="6" max="6" width="9.5703125" style="282" bestFit="1" customWidth="1"/>
    <col min="7" max="7" width="10.140625" style="282" bestFit="1" customWidth="1"/>
    <col min="8" max="8" width="6.85546875" style="282" customWidth="1"/>
    <col min="9" max="9" width="9.140625" style="282"/>
    <col min="10" max="10" width="7.42578125" style="282" customWidth="1"/>
    <col min="11" max="12" width="9.140625" style="282"/>
    <col min="13" max="13" width="11.140625" style="282" bestFit="1" customWidth="1"/>
    <col min="14" max="14" width="9.5703125" style="282" bestFit="1" customWidth="1"/>
    <col min="15" max="16384" width="9.140625" style="282"/>
  </cols>
  <sheetData>
    <row r="1" spans="2:19" ht="15.75" thickBot="1"/>
    <row r="2" spans="2:19" ht="60">
      <c r="B2" s="298" t="s">
        <v>274</v>
      </c>
      <c r="C2" s="299" t="s">
        <v>102</v>
      </c>
      <c r="D2" s="300" t="s">
        <v>275</v>
      </c>
      <c r="E2" s="301" t="s">
        <v>276</v>
      </c>
    </row>
    <row r="3" spans="2:19">
      <c r="B3" s="319">
        <v>1</v>
      </c>
      <c r="C3" s="302">
        <v>2018</v>
      </c>
      <c r="D3" s="283">
        <f>44/12*(((1.1*$H$13*(1+$H$14)+$H$15*(1+$H$16))*$J$15*(M12*(3.141*0.5^2)/10000))+H$12)</f>
        <v>51.896772158238313</v>
      </c>
      <c r="E3" s="320">
        <f>D3</f>
        <v>51.896772158238313</v>
      </c>
      <c r="N3" s="284"/>
      <c r="O3" s="284"/>
      <c r="P3" s="284"/>
      <c r="Q3" s="284"/>
      <c r="R3" s="284"/>
      <c r="S3" s="284"/>
    </row>
    <row r="4" spans="2:19">
      <c r="B4" s="319">
        <v>2</v>
      </c>
      <c r="C4" s="302">
        <v>2019</v>
      </c>
      <c r="D4" s="283">
        <f>D3+(44/12*(((1.1*$H$13*(1+$H$14)+$H$15*(1+$H$16))*$J$15*(M13*(3.141*0.5^2)/10000))+H$12))</f>
        <v>102.78259135164578</v>
      </c>
      <c r="E4" s="320">
        <f>D4+E3</f>
        <v>154.6793635098841</v>
      </c>
      <c r="O4" s="284"/>
      <c r="P4" s="284"/>
    </row>
    <row r="5" spans="2:19">
      <c r="B5" s="319">
        <v>3</v>
      </c>
      <c r="C5" s="302">
        <v>2020</v>
      </c>
      <c r="D5" s="283">
        <f t="shared" ref="D5:D9" si="0">D4+(44/12*(((1.1*$H$13*(1+$H$14)+$H$15*(1+$H$16))*$J$15*(M14*(3.141*0.5^2)/10000))+H$12))</f>
        <v>141.75110737543173</v>
      </c>
      <c r="E5" s="320">
        <f t="shared" ref="E5:E9" si="1">D5+E4</f>
        <v>296.4304708853158</v>
      </c>
      <c r="O5" s="284"/>
      <c r="P5" s="284"/>
    </row>
    <row r="6" spans="2:19">
      <c r="B6" s="319">
        <v>4</v>
      </c>
      <c r="C6" s="302">
        <v>2021</v>
      </c>
      <c r="D6" s="283">
        <f t="shared" si="0"/>
        <v>208.26279822042176</v>
      </c>
      <c r="E6" s="320">
        <f t="shared" si="1"/>
        <v>504.69326910573756</v>
      </c>
      <c r="O6" s="284"/>
      <c r="P6" s="284"/>
    </row>
    <row r="7" spans="2:19">
      <c r="B7" s="319">
        <v>5</v>
      </c>
      <c r="C7" s="302">
        <v>2022</v>
      </c>
      <c r="D7" s="283">
        <f t="shared" si="0"/>
        <v>270.75697807736549</v>
      </c>
      <c r="E7" s="320">
        <f t="shared" si="1"/>
        <v>775.4502471831031</v>
      </c>
      <c r="O7" s="284"/>
      <c r="P7" s="284"/>
    </row>
    <row r="8" spans="2:19">
      <c r="B8" s="319">
        <v>6</v>
      </c>
      <c r="C8" s="302">
        <v>2023</v>
      </c>
      <c r="D8" s="283">
        <f t="shared" si="0"/>
        <v>280.14014064368416</v>
      </c>
      <c r="E8" s="320">
        <f t="shared" si="1"/>
        <v>1055.5903878267873</v>
      </c>
      <c r="O8" s="284"/>
      <c r="P8" s="284"/>
    </row>
    <row r="9" spans="2:19">
      <c r="B9" s="293">
        <v>7</v>
      </c>
      <c r="C9" s="302">
        <v>2024</v>
      </c>
      <c r="D9" s="283">
        <f t="shared" si="0"/>
        <v>280.14014064368416</v>
      </c>
      <c r="E9" s="320">
        <f t="shared" si="1"/>
        <v>1335.7305284704714</v>
      </c>
      <c r="N9" s="284"/>
    </row>
    <row r="10" spans="2:19">
      <c r="G10" s="285"/>
      <c r="H10" s="285"/>
      <c r="J10" s="285"/>
    </row>
    <row r="11" spans="2:19" ht="17.25" thickBot="1">
      <c r="F11" s="286"/>
      <c r="G11" s="284"/>
      <c r="J11" s="285"/>
      <c r="L11" s="317" t="s">
        <v>102</v>
      </c>
      <c r="M11" s="293" t="s">
        <v>277</v>
      </c>
      <c r="N11" s="293" t="s">
        <v>278</v>
      </c>
    </row>
    <row r="12" spans="2:19" ht="16.5">
      <c r="G12" s="287" t="s">
        <v>279</v>
      </c>
      <c r="H12" s="288">
        <v>0</v>
      </c>
      <c r="I12" s="289" t="s">
        <v>280</v>
      </c>
      <c r="J12" s="290">
        <v>0.1</v>
      </c>
      <c r="L12" s="293">
        <v>2018</v>
      </c>
      <c r="M12" s="303">
        <v>75048.534</v>
      </c>
      <c r="N12" s="293">
        <f>M12*(3.141*0.5*0.5/10000)</f>
        <v>5.8931861323499994</v>
      </c>
    </row>
    <row r="13" spans="2:19" ht="16.5">
      <c r="G13" s="292" t="s">
        <v>281</v>
      </c>
      <c r="H13" s="293">
        <v>0</v>
      </c>
      <c r="I13" s="293" t="s">
        <v>282</v>
      </c>
      <c r="J13" s="294">
        <v>73</v>
      </c>
      <c r="L13" s="293">
        <v>2019</v>
      </c>
      <c r="M13" s="303">
        <v>73586.582999999999</v>
      </c>
      <c r="N13" s="293">
        <f t="shared" ref="N13:N18" si="2">M13*(3.141*0.5*0.5/10000)</f>
        <v>5.7783864300749999</v>
      </c>
      <c r="O13" s="291"/>
    </row>
    <row r="14" spans="2:19" ht="16.5">
      <c r="G14" s="292" t="s">
        <v>283</v>
      </c>
      <c r="H14" s="293">
        <v>0.25</v>
      </c>
      <c r="I14" s="293" t="s">
        <v>284</v>
      </c>
      <c r="J14" s="294">
        <v>0.5</v>
      </c>
      <c r="L14" s="293">
        <v>2020</v>
      </c>
      <c r="M14" s="303">
        <v>56352.830399999999</v>
      </c>
      <c r="N14" s="293">
        <f t="shared" si="2"/>
        <v>4.4251060071600001</v>
      </c>
    </row>
    <row r="15" spans="2:19" ht="16.5">
      <c r="G15" s="318" t="s">
        <v>285</v>
      </c>
      <c r="H15" s="293">
        <f>J12*J13*J14</f>
        <v>3.6500000000000004</v>
      </c>
      <c r="I15" s="293" t="s">
        <v>286</v>
      </c>
      <c r="J15" s="294">
        <f>'Key Data'!G3</f>
        <v>0.47</v>
      </c>
      <c r="L15" s="293">
        <v>2021</v>
      </c>
      <c r="M15" s="303">
        <v>96183.340200000006</v>
      </c>
      <c r="N15" s="293">
        <f t="shared" si="2"/>
        <v>7.5527967892049999</v>
      </c>
    </row>
    <row r="16" spans="2:19" ht="15.75" thickBot="1">
      <c r="G16" s="295" t="s">
        <v>287</v>
      </c>
      <c r="H16" s="296">
        <v>0.4</v>
      </c>
      <c r="I16" s="296"/>
      <c r="J16" s="297"/>
      <c r="L16" s="293">
        <v>2022</v>
      </c>
      <c r="M16" s="303">
        <v>90373.570200000002</v>
      </c>
      <c r="N16" s="293">
        <f t="shared" si="2"/>
        <v>7.0965845999550003</v>
      </c>
    </row>
    <row r="17" spans="7:16">
      <c r="L17" s="293">
        <v>2023</v>
      </c>
      <c r="M17" s="303">
        <v>13569.102000000001</v>
      </c>
      <c r="N17" s="293">
        <f t="shared" si="2"/>
        <v>1.0655137345500001</v>
      </c>
    </row>
    <row r="18" spans="7:16">
      <c r="G18" s="284"/>
      <c r="H18" s="284"/>
      <c r="L18" s="293">
        <v>2024</v>
      </c>
      <c r="M18" s="293">
        <v>0</v>
      </c>
      <c r="N18" s="293">
        <f t="shared" si="2"/>
        <v>0</v>
      </c>
    </row>
    <row r="20" spans="7:16" ht="15" customHeight="1">
      <c r="G20" s="370" t="s">
        <v>288</v>
      </c>
      <c r="H20" s="370"/>
      <c r="I20" s="370"/>
      <c r="J20" s="370"/>
      <c r="K20" s="370"/>
      <c r="L20" s="370"/>
      <c r="M20" s="370"/>
      <c r="N20" s="370"/>
      <c r="O20" s="370"/>
      <c r="P20" s="370"/>
    </row>
    <row r="21" spans="7:16">
      <c r="G21" s="370"/>
      <c r="H21" s="370"/>
      <c r="I21" s="370"/>
      <c r="J21" s="370"/>
      <c r="K21" s="370"/>
      <c r="L21" s="370"/>
      <c r="M21" s="370"/>
      <c r="N21" s="370"/>
      <c r="O21" s="370"/>
      <c r="P21" s="370"/>
    </row>
    <row r="22" spans="7:16">
      <c r="G22" s="370"/>
      <c r="H22" s="370"/>
      <c r="I22" s="370"/>
      <c r="J22" s="370"/>
      <c r="K22" s="370"/>
      <c r="L22" s="370"/>
      <c r="M22" s="370"/>
      <c r="N22" s="370"/>
      <c r="O22" s="370"/>
      <c r="P22" s="370"/>
    </row>
    <row r="23" spans="7:16">
      <c r="G23" s="370"/>
      <c r="H23" s="370"/>
      <c r="I23" s="370"/>
      <c r="J23" s="370"/>
      <c r="K23" s="370"/>
      <c r="L23" s="370"/>
      <c r="M23" s="370"/>
      <c r="N23" s="370"/>
      <c r="O23" s="370"/>
      <c r="P23" s="370"/>
    </row>
    <row r="24" spans="7:16">
      <c r="G24" s="370"/>
      <c r="H24" s="370"/>
      <c r="I24" s="370"/>
      <c r="J24" s="370"/>
      <c r="K24" s="370"/>
      <c r="L24" s="370"/>
      <c r="M24" s="370"/>
      <c r="N24" s="370"/>
      <c r="O24" s="370"/>
      <c r="P24" s="370"/>
    </row>
    <row r="25" spans="7:16">
      <c r="G25" s="370"/>
      <c r="H25" s="370"/>
      <c r="I25" s="370"/>
      <c r="J25" s="370"/>
      <c r="K25" s="370"/>
      <c r="L25" s="370"/>
      <c r="M25" s="370"/>
      <c r="N25" s="370"/>
      <c r="O25" s="370"/>
      <c r="P25" s="370"/>
    </row>
    <row r="26" spans="7:16">
      <c r="G26" s="370"/>
      <c r="H26" s="370"/>
      <c r="I26" s="370"/>
      <c r="J26" s="370"/>
      <c r="K26" s="370"/>
      <c r="L26" s="370"/>
      <c r="M26" s="370"/>
      <c r="N26" s="370"/>
      <c r="O26" s="370"/>
      <c r="P26" s="370"/>
    </row>
    <row r="27" spans="7:16">
      <c r="G27" s="370"/>
      <c r="H27" s="370"/>
      <c r="I27" s="370"/>
      <c r="J27" s="370"/>
      <c r="K27" s="370"/>
      <c r="L27" s="370"/>
      <c r="M27" s="370"/>
      <c r="N27" s="370"/>
      <c r="O27" s="370"/>
      <c r="P27" s="370"/>
    </row>
    <row r="28" spans="7:16">
      <c r="G28" s="370"/>
      <c r="H28" s="370"/>
      <c r="I28" s="370"/>
      <c r="J28" s="370"/>
      <c r="K28" s="370"/>
      <c r="L28" s="370"/>
      <c r="M28" s="370"/>
      <c r="N28" s="370"/>
      <c r="O28" s="370"/>
      <c r="P28" s="370"/>
    </row>
    <row r="29" spans="7:16">
      <c r="G29" s="370"/>
      <c r="H29" s="370"/>
      <c r="I29" s="370"/>
      <c r="J29" s="370"/>
      <c r="K29" s="370"/>
      <c r="L29" s="370"/>
      <c r="M29" s="370"/>
      <c r="N29" s="370"/>
      <c r="O29" s="370"/>
      <c r="P29" s="370"/>
    </row>
    <row r="30" spans="7:16">
      <c r="G30" s="370"/>
      <c r="H30" s="370"/>
      <c r="I30" s="370"/>
      <c r="J30" s="370"/>
      <c r="K30" s="370"/>
      <c r="L30" s="370"/>
      <c r="M30" s="370"/>
      <c r="N30" s="370"/>
      <c r="O30" s="370"/>
      <c r="P30" s="370"/>
    </row>
    <row r="31" spans="7:16">
      <c r="G31" s="370"/>
      <c r="H31" s="370"/>
      <c r="I31" s="370"/>
      <c r="J31" s="370"/>
      <c r="K31" s="370"/>
      <c r="L31" s="370"/>
      <c r="M31" s="370"/>
      <c r="N31" s="370"/>
      <c r="O31" s="370"/>
      <c r="P31" s="370"/>
    </row>
    <row r="32" spans="7:16">
      <c r="G32" s="370"/>
      <c r="H32" s="370"/>
      <c r="I32" s="370"/>
      <c r="J32" s="370"/>
      <c r="K32" s="370"/>
      <c r="L32" s="370"/>
      <c r="M32" s="370"/>
      <c r="N32" s="370"/>
      <c r="O32" s="370"/>
      <c r="P32" s="370"/>
    </row>
    <row r="33" spans="7:16">
      <c r="G33" s="370"/>
      <c r="H33" s="370"/>
      <c r="I33" s="370"/>
      <c r="J33" s="370"/>
      <c r="K33" s="370"/>
      <c r="L33" s="370"/>
      <c r="M33" s="370"/>
      <c r="N33" s="370"/>
      <c r="O33" s="370"/>
      <c r="P33" s="370"/>
    </row>
    <row r="34" spans="7:16">
      <c r="G34" s="370"/>
      <c r="H34" s="370"/>
      <c r="I34" s="370"/>
      <c r="J34" s="370"/>
      <c r="K34" s="370"/>
      <c r="L34" s="370"/>
      <c r="M34" s="370"/>
      <c r="N34" s="370"/>
      <c r="O34" s="370"/>
      <c r="P34" s="370"/>
    </row>
    <row r="35" spans="7:16">
      <c r="G35" s="370"/>
      <c r="H35" s="370"/>
      <c r="I35" s="370"/>
      <c r="J35" s="370"/>
      <c r="K35" s="370"/>
      <c r="L35" s="370"/>
      <c r="M35" s="370"/>
      <c r="N35" s="370"/>
      <c r="O35" s="370"/>
      <c r="P35" s="370"/>
    </row>
    <row r="36" spans="7:16">
      <c r="G36" s="370"/>
      <c r="H36" s="370"/>
      <c r="I36" s="370"/>
      <c r="J36" s="370"/>
      <c r="K36" s="370"/>
      <c r="L36" s="370"/>
      <c r="M36" s="370"/>
      <c r="N36" s="370"/>
      <c r="O36" s="370"/>
      <c r="P36" s="370"/>
    </row>
    <row r="37" spans="7:16">
      <c r="G37" s="370"/>
      <c r="H37" s="370"/>
      <c r="I37" s="370"/>
      <c r="J37" s="370"/>
      <c r="K37" s="370"/>
      <c r="L37" s="370"/>
      <c r="M37" s="370"/>
      <c r="N37" s="370"/>
      <c r="O37" s="370"/>
      <c r="P37" s="370"/>
    </row>
    <row r="38" spans="7:16">
      <c r="G38" s="370"/>
      <c r="H38" s="370"/>
      <c r="I38" s="370"/>
      <c r="J38" s="370"/>
      <c r="K38" s="370"/>
      <c r="L38" s="370"/>
      <c r="M38" s="370"/>
      <c r="N38" s="370"/>
      <c r="O38" s="370"/>
      <c r="P38" s="370"/>
    </row>
    <row r="39" spans="7:16">
      <c r="G39" s="370"/>
      <c r="H39" s="370"/>
      <c r="I39" s="370"/>
      <c r="J39" s="370"/>
      <c r="K39" s="370"/>
      <c r="L39" s="370"/>
      <c r="M39" s="370"/>
      <c r="N39" s="370"/>
      <c r="O39" s="370"/>
      <c r="P39" s="370"/>
    </row>
    <row r="40" spans="7:16">
      <c r="G40" s="370"/>
      <c r="H40" s="370"/>
      <c r="I40" s="370"/>
      <c r="J40" s="370"/>
      <c r="K40" s="370"/>
      <c r="L40" s="370"/>
      <c r="M40" s="370"/>
      <c r="N40" s="370"/>
      <c r="O40" s="370"/>
      <c r="P40" s="370"/>
    </row>
    <row r="41" spans="7:16">
      <c r="G41" s="282" t="s">
        <v>289</v>
      </c>
      <c r="H41" s="371" t="s">
        <v>290</v>
      </c>
      <c r="I41" s="372"/>
      <c r="J41" s="372"/>
      <c r="K41" s="372"/>
      <c r="L41" s="372"/>
      <c r="M41" s="372"/>
      <c r="N41" s="372"/>
      <c r="O41" s="372"/>
      <c r="P41" s="372"/>
    </row>
  </sheetData>
  <mergeCells count="2">
    <mergeCell ref="G20:P40"/>
    <mergeCell ref="H41:P41"/>
  </mergeCells>
  <hyperlinks>
    <hyperlink ref="H41" r:id="rId1" xr:uid="{4A5596C7-1538-4EEA-82B9-9DA69D1B4907}"/>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36AC7-2D07-467A-B165-E83ED7637DBF}">
  <dimension ref="A7:BA13"/>
  <sheetViews>
    <sheetView topLeftCell="A7" workbookViewId="0">
      <selection activeCell="A9" sqref="A9"/>
    </sheetView>
  </sheetViews>
  <sheetFormatPr defaultColWidth="8.85546875" defaultRowHeight="15"/>
  <cols>
    <col min="1" max="1" width="22.42578125" bestFit="1" customWidth="1"/>
    <col min="2" max="2" width="14" customWidth="1"/>
    <col min="3" max="3" width="12.42578125" customWidth="1"/>
    <col min="4" max="4" width="14.42578125" customWidth="1"/>
    <col min="5" max="5" width="12.28515625" customWidth="1"/>
    <col min="6" max="6" width="14.140625" customWidth="1"/>
    <col min="7" max="7" width="12.140625" customWidth="1"/>
    <col min="8" max="32" width="13.42578125" customWidth="1"/>
    <col min="33" max="34" width="16.140625" customWidth="1"/>
    <col min="35" max="35" width="12" customWidth="1"/>
    <col min="36" max="36" width="13.140625" customWidth="1"/>
    <col min="37" max="37" width="11.85546875" customWidth="1"/>
    <col min="38" max="38" width="13.85546875" customWidth="1"/>
    <col min="39" max="39" width="14.42578125" customWidth="1"/>
    <col min="40" max="40" width="13.28515625" customWidth="1"/>
    <col min="41" max="41" width="12.42578125" customWidth="1"/>
    <col min="42" max="42" width="11.85546875" customWidth="1"/>
    <col min="43" max="43" width="12" customWidth="1"/>
    <col min="44" max="44" width="11.85546875" customWidth="1"/>
    <col min="45" max="45" width="15.140625" customWidth="1"/>
    <col min="46" max="46" width="22.85546875" customWidth="1"/>
    <col min="47" max="47" width="12.85546875" customWidth="1"/>
    <col min="48" max="48" width="11.7109375" customWidth="1"/>
    <col min="49" max="49" width="12.42578125" customWidth="1"/>
    <col min="50" max="50" width="11" customWidth="1"/>
    <col min="51" max="51" width="12.140625" customWidth="1"/>
    <col min="52" max="52" width="10.5703125" bestFit="1" customWidth="1"/>
    <col min="53" max="53" width="10.28515625" customWidth="1"/>
    <col min="54" max="54" width="13.28515625" bestFit="1" customWidth="1"/>
    <col min="55" max="55" width="9.5703125" customWidth="1"/>
    <col min="56" max="56" width="9" bestFit="1" customWidth="1"/>
    <col min="57" max="57" width="10.85546875" bestFit="1" customWidth="1"/>
    <col min="58" max="59" width="9" bestFit="1" customWidth="1"/>
  </cols>
  <sheetData>
    <row r="7" spans="1:53" s="235" customFormat="1" ht="129">
      <c r="A7" s="231" t="s">
        <v>158</v>
      </c>
      <c r="B7" s="231" t="s">
        <v>264</v>
      </c>
      <c r="C7" s="232" t="s">
        <v>291</v>
      </c>
      <c r="D7" s="232" t="s">
        <v>292</v>
      </c>
      <c r="E7" s="232" t="s">
        <v>293</v>
      </c>
      <c r="F7" s="232" t="s">
        <v>294</v>
      </c>
      <c r="G7" s="232" t="s">
        <v>295</v>
      </c>
      <c r="H7" s="232" t="s">
        <v>296</v>
      </c>
      <c r="I7" s="232" t="s">
        <v>297</v>
      </c>
      <c r="J7" s="232" t="s">
        <v>298</v>
      </c>
      <c r="K7" s="232" t="s">
        <v>299</v>
      </c>
      <c r="L7" s="232" t="s">
        <v>300</v>
      </c>
      <c r="M7" s="232" t="s">
        <v>301</v>
      </c>
      <c r="N7" s="232" t="s">
        <v>302</v>
      </c>
      <c r="O7" s="232" t="s">
        <v>303</v>
      </c>
      <c r="P7" s="232" t="s">
        <v>304</v>
      </c>
      <c r="Q7" s="232" t="s">
        <v>305</v>
      </c>
      <c r="R7" s="232" t="s">
        <v>306</v>
      </c>
      <c r="S7" s="232" t="s">
        <v>305</v>
      </c>
      <c r="T7" s="232" t="s">
        <v>307</v>
      </c>
      <c r="U7" s="232" t="s">
        <v>308</v>
      </c>
      <c r="V7" s="232" t="s">
        <v>307</v>
      </c>
      <c r="W7" s="232" t="s">
        <v>309</v>
      </c>
      <c r="X7" s="232" t="s">
        <v>307</v>
      </c>
      <c r="Y7" s="232" t="s">
        <v>310</v>
      </c>
      <c r="Z7" s="232" t="s">
        <v>307</v>
      </c>
      <c r="AA7" s="232" t="s">
        <v>311</v>
      </c>
      <c r="AB7" s="232" t="s">
        <v>307</v>
      </c>
      <c r="AC7" s="232" t="s">
        <v>312</v>
      </c>
      <c r="AD7" s="232" t="s">
        <v>307</v>
      </c>
      <c r="AE7" s="232" t="s">
        <v>313</v>
      </c>
      <c r="AF7" s="232" t="s">
        <v>307</v>
      </c>
      <c r="AG7" s="232" t="s">
        <v>314</v>
      </c>
      <c r="AH7" s="233" t="s">
        <v>315</v>
      </c>
      <c r="AI7" s="232" t="s">
        <v>316</v>
      </c>
      <c r="AJ7" s="232" t="s">
        <v>317</v>
      </c>
      <c r="AK7" s="232" t="s">
        <v>318</v>
      </c>
      <c r="AL7" s="232" t="s">
        <v>319</v>
      </c>
      <c r="AM7" s="232" t="s">
        <v>320</v>
      </c>
      <c r="AN7" s="232" t="s">
        <v>321</v>
      </c>
      <c r="AO7" s="232" t="s">
        <v>322</v>
      </c>
      <c r="AP7" s="232" t="s">
        <v>323</v>
      </c>
      <c r="AQ7" s="232" t="s">
        <v>324</v>
      </c>
      <c r="AR7" s="232" t="s">
        <v>189</v>
      </c>
      <c r="AS7" s="232" t="s">
        <v>325</v>
      </c>
      <c r="AT7" s="232" t="s">
        <v>326</v>
      </c>
      <c r="AU7" s="234" t="s">
        <v>327</v>
      </c>
      <c r="AV7" s="234" t="s">
        <v>328</v>
      </c>
      <c r="AW7" s="234" t="s">
        <v>329</v>
      </c>
      <c r="AX7" s="234" t="s">
        <v>330</v>
      </c>
      <c r="AY7" s="234" t="s">
        <v>331</v>
      </c>
      <c r="AZ7" s="234" t="s">
        <v>332</v>
      </c>
    </row>
    <row r="8" spans="1:53" s="240" customFormat="1">
      <c r="A8" s="236"/>
      <c r="B8" s="236" t="s">
        <v>120</v>
      </c>
      <c r="C8" s="237" t="s">
        <v>333</v>
      </c>
      <c r="D8" s="237" t="s">
        <v>334</v>
      </c>
      <c r="E8" s="237" t="s">
        <v>333</v>
      </c>
      <c r="F8" s="237" t="s">
        <v>335</v>
      </c>
      <c r="G8" s="237" t="s">
        <v>333</v>
      </c>
      <c r="H8" s="237" t="s">
        <v>336</v>
      </c>
      <c r="I8" s="237" t="s">
        <v>333</v>
      </c>
      <c r="J8" s="237" t="s">
        <v>337</v>
      </c>
      <c r="K8" s="237" t="s">
        <v>333</v>
      </c>
      <c r="L8" s="237" t="s">
        <v>338</v>
      </c>
      <c r="M8" s="237" t="s">
        <v>333</v>
      </c>
      <c r="N8" s="237" t="s">
        <v>339</v>
      </c>
      <c r="O8" s="237" t="s">
        <v>333</v>
      </c>
      <c r="P8" s="237" t="s">
        <v>340</v>
      </c>
      <c r="Q8" s="237" t="s">
        <v>333</v>
      </c>
      <c r="R8" s="237" t="s">
        <v>341</v>
      </c>
      <c r="S8" s="237" t="s">
        <v>333</v>
      </c>
      <c r="T8" s="237" t="s">
        <v>342</v>
      </c>
      <c r="U8" s="237" t="s">
        <v>333</v>
      </c>
      <c r="V8" s="237" t="s">
        <v>343</v>
      </c>
      <c r="W8" s="237" t="s">
        <v>333</v>
      </c>
      <c r="X8" s="237" t="s">
        <v>344</v>
      </c>
      <c r="Y8" s="237" t="s">
        <v>333</v>
      </c>
      <c r="Z8" s="237" t="s">
        <v>345</v>
      </c>
      <c r="AA8" s="237" t="s">
        <v>333</v>
      </c>
      <c r="AB8" s="237" t="s">
        <v>346</v>
      </c>
      <c r="AC8" s="237" t="s">
        <v>333</v>
      </c>
      <c r="AD8" s="237" t="s">
        <v>347</v>
      </c>
      <c r="AE8" s="237" t="s">
        <v>333</v>
      </c>
      <c r="AF8" s="237" t="s">
        <v>348</v>
      </c>
      <c r="AG8" s="237" t="s">
        <v>349</v>
      </c>
      <c r="AH8" s="238" t="s">
        <v>350</v>
      </c>
      <c r="AI8" s="237" t="s">
        <v>351</v>
      </c>
      <c r="AJ8" s="237" t="s">
        <v>352</v>
      </c>
      <c r="AK8" s="237" t="s">
        <v>353</v>
      </c>
      <c r="AL8" s="237" t="s">
        <v>354</v>
      </c>
      <c r="AM8" s="237" t="s">
        <v>355</v>
      </c>
      <c r="AN8" s="237" t="s">
        <v>356</v>
      </c>
      <c r="AO8" s="237" t="s">
        <v>357</v>
      </c>
      <c r="AP8" s="237" t="s">
        <v>358</v>
      </c>
      <c r="AQ8" s="237" t="s">
        <v>359</v>
      </c>
      <c r="AR8" s="237" t="s">
        <v>220</v>
      </c>
      <c r="AS8" s="237" t="s">
        <v>360</v>
      </c>
      <c r="AT8" s="237" t="s">
        <v>361</v>
      </c>
      <c r="AU8" s="237" t="s">
        <v>362</v>
      </c>
      <c r="AV8" s="185" t="s">
        <v>363</v>
      </c>
      <c r="AW8" s="237" t="s">
        <v>364</v>
      </c>
      <c r="AX8" s="239" t="s">
        <v>365</v>
      </c>
      <c r="AY8" s="239"/>
      <c r="AZ8" s="239"/>
    </row>
    <row r="9" spans="1:53" s="246" customFormat="1">
      <c r="A9" s="229" t="s">
        <v>273</v>
      </c>
      <c r="B9" s="241">
        <v>1</v>
      </c>
      <c r="C9" s="241">
        <f>Database!E6</f>
        <v>34.793838466523837</v>
      </c>
      <c r="D9" s="241">
        <f>'Key Data'!E12</f>
        <v>0.28859360669306305</v>
      </c>
      <c r="E9" s="241">
        <f>Database!E20</f>
        <v>32.853404780951386</v>
      </c>
      <c r="F9" s="241">
        <f>'Key Data'!E13</f>
        <v>0.12898463190389906</v>
      </c>
      <c r="G9" s="241">
        <f>Database!E27</f>
        <v>30.524731874929152</v>
      </c>
      <c r="H9" s="241">
        <f>'Key Data'!E14</f>
        <v>8.6079234055879902E-2</v>
      </c>
      <c r="I9" s="241">
        <f>Database!E31</f>
        <v>22.984996448471591</v>
      </c>
      <c r="J9" s="241">
        <f>'Key Data'!E15</f>
        <v>0.1047021452698924</v>
      </c>
      <c r="K9" s="241">
        <f>Database!E35</f>
        <v>10.440022800688176</v>
      </c>
      <c r="L9" s="241">
        <f>'Key Data'!E16</f>
        <v>8.3730398407265719E-2</v>
      </c>
      <c r="M9" s="241">
        <f>Database!E37</f>
        <v>10.243378622719346</v>
      </c>
      <c r="N9" s="241">
        <f>'Key Data'!E17</f>
        <v>7.6616781871462758E-2</v>
      </c>
      <c r="O9" s="241">
        <f>Database!E39</f>
        <v>143.44250532269044</v>
      </c>
      <c r="P9" s="241">
        <f>'Key Data'!E18</f>
        <v>2.4707514037089231E-2</v>
      </c>
      <c r="Q9" s="241">
        <f>Database!E41</f>
        <v>180.6143464383907</v>
      </c>
      <c r="R9" s="241">
        <f>'Key Data'!E19</f>
        <v>2.1251370154128358E-2</v>
      </c>
      <c r="S9" s="241">
        <f>Database!E42</f>
        <v>80.407513925134083</v>
      </c>
      <c r="T9" s="241">
        <f>'Key Data'!E20</f>
        <v>1.3533767308681742E-2</v>
      </c>
      <c r="U9" s="241">
        <f>Database!E43</f>
        <v>106.44746735974533</v>
      </c>
      <c r="V9" s="241">
        <f>'Key Data'!E21</f>
        <v>3.1060555220007603E-2</v>
      </c>
      <c r="W9" s="241">
        <f>Database!E44</f>
        <v>7.9114201820964212</v>
      </c>
      <c r="X9" s="241">
        <f>'Key Data'!E22</f>
        <v>1.7661007091246669E-2</v>
      </c>
      <c r="Y9" s="241">
        <f>Database!E45</f>
        <v>6.6828494189494556</v>
      </c>
      <c r="Z9" s="241">
        <f>'Key Data'!E23</f>
        <v>2.2369863320135113E-2</v>
      </c>
      <c r="AA9" s="241">
        <f>Database!E47</f>
        <v>15.166585115337625</v>
      </c>
      <c r="AB9" s="241">
        <f>'Key Data'!E24</f>
        <v>1.6363555018678835E-2</v>
      </c>
      <c r="AC9" s="241">
        <f>Database!E51</f>
        <v>8.5319675077547217</v>
      </c>
      <c r="AD9" s="241">
        <f>'Key Data'!E25</f>
        <v>4.9168959577656976E-2</v>
      </c>
      <c r="AE9" s="241">
        <f>Database!E52</f>
        <v>12.270747607064298</v>
      </c>
      <c r="AF9" s="241">
        <f>'Key Data'!E26</f>
        <v>3.517661007091246E-2</v>
      </c>
      <c r="AG9" s="241">
        <f>(C9*D9)+(E9*F9)+(G9*H9)+(I9*J9)+(K9*L9)+(M9*N9)+(O9*P9)+(Q9*R9)+(S9*T9)+(U9*V9)+(W9*X9)+(Y9*Z9)+(AA9*AB9)+(AC9*AD9)+(AE9*AF9)</f>
        <v>34.137442268729409</v>
      </c>
      <c r="AH9" s="243">
        <f>SUM('Key Data'!D12:D26)</f>
        <v>894.06000000000006</v>
      </c>
      <c r="AI9" s="243">
        <f>(AG9*AH9)</f>
        <v>30520.921634780218</v>
      </c>
      <c r="AJ9" s="242">
        <f>Uncertainty!J6</f>
        <v>9.3314755086651158E-2</v>
      </c>
      <c r="AK9" s="243">
        <f>'Key Data'!$G$3</f>
        <v>0.47</v>
      </c>
      <c r="AL9" s="243">
        <f>AI9*AK9*3.67</f>
        <v>52645.537727832394</v>
      </c>
      <c r="AM9" s="243">
        <f>(AL9-0)/1*1</f>
        <v>52645.537727832394</v>
      </c>
      <c r="AN9" s="243">
        <f>AM9</f>
        <v>52645.537727832394</v>
      </c>
      <c r="AO9" s="244">
        <v>0</v>
      </c>
      <c r="AP9" s="244">
        <f>AL9*'Key Data'!$J$3</f>
        <v>526.45537727832391</v>
      </c>
      <c r="AQ9" s="244">
        <f>AL9*'Key Data'!$H$3</f>
        <v>526.45537727832391</v>
      </c>
      <c r="AR9" s="244">
        <f>SOC!AG22</f>
        <v>13450.528666666665</v>
      </c>
      <c r="AS9" s="244">
        <f>SUM(AN9:AR9)</f>
        <v>67148.977149055718</v>
      </c>
      <c r="AT9" s="244">
        <f>'GHG Emission'!G35</f>
        <v>0</v>
      </c>
      <c r="AU9" s="244">
        <f>AS9-AT9</f>
        <v>67148.977149055718</v>
      </c>
      <c r="AV9" s="244">
        <f>Leakage!E9</f>
        <v>1335.7305284704714</v>
      </c>
      <c r="AW9" s="244">
        <f>SUM(Baseline!S16:S22)</f>
        <v>0</v>
      </c>
      <c r="AX9" s="244">
        <f>AU9-AW9-AV9</f>
        <v>65813.24662058524</v>
      </c>
      <c r="AY9" s="244">
        <f>AU9*20%</f>
        <v>13429.795429811144</v>
      </c>
      <c r="AZ9" s="244">
        <f>AX9-AY9</f>
        <v>52383.451190774096</v>
      </c>
      <c r="BA9" s="245"/>
    </row>
    <row r="10" spans="1:53">
      <c r="AX10" s="134"/>
      <c r="AY10" s="134"/>
      <c r="AZ10" s="134"/>
    </row>
    <row r="11" spans="1:53">
      <c r="AL11" s="17"/>
      <c r="AU11" s="134"/>
      <c r="AX11" s="134"/>
      <c r="AY11" s="134"/>
      <c r="AZ11" s="134"/>
    </row>
    <row r="12" spans="1:53">
      <c r="AY12" s="247"/>
    </row>
    <row r="13" spans="1:53">
      <c r="G13" s="17"/>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29AD-29CC-4769-8651-47E8AA849094}">
  <dimension ref="A3:P26"/>
  <sheetViews>
    <sheetView zoomScale="70" zoomScaleNormal="70" workbookViewId="0">
      <selection activeCell="B4" sqref="B4"/>
    </sheetView>
  </sheetViews>
  <sheetFormatPr defaultRowHeight="15"/>
  <cols>
    <col min="1" max="1" width="30.85546875" customWidth="1"/>
    <col min="2" max="2" width="35" bestFit="1" customWidth="1"/>
    <col min="3" max="3" width="11.5703125" customWidth="1"/>
    <col min="4" max="4" width="12" customWidth="1"/>
    <col min="5" max="5" width="12.5703125" customWidth="1"/>
    <col min="6" max="6" width="10.5703125" bestFit="1" customWidth="1"/>
    <col min="7" max="8" width="12.85546875" customWidth="1"/>
    <col min="9" max="9" width="11" customWidth="1"/>
    <col min="10" max="10" width="10.7109375" bestFit="1" customWidth="1"/>
    <col min="11" max="11" width="13" customWidth="1"/>
    <col min="14" max="14" width="14.42578125" customWidth="1"/>
    <col min="15" max="15" width="16.85546875" customWidth="1"/>
    <col min="16" max="16" width="24.42578125" customWidth="1"/>
  </cols>
  <sheetData>
    <row r="3" spans="1:16" ht="55.5">
      <c r="B3" s="258" t="s">
        <v>366</v>
      </c>
      <c r="C3" s="258" t="s">
        <v>367</v>
      </c>
      <c r="D3" s="258" t="s">
        <v>368</v>
      </c>
      <c r="E3" s="258" t="s">
        <v>369</v>
      </c>
      <c r="F3" s="258" t="s">
        <v>370</v>
      </c>
      <c r="G3" s="258" t="s">
        <v>371</v>
      </c>
      <c r="H3" s="258" t="s">
        <v>372</v>
      </c>
      <c r="I3" s="258" t="s">
        <v>373</v>
      </c>
      <c r="J3" s="258" t="s">
        <v>374</v>
      </c>
      <c r="K3" s="258" t="s">
        <v>375</v>
      </c>
      <c r="N3" s="258" t="s">
        <v>376</v>
      </c>
      <c r="O3" s="258" t="s">
        <v>377</v>
      </c>
      <c r="P3" s="258" t="s">
        <v>378</v>
      </c>
    </row>
    <row r="4" spans="1:16">
      <c r="B4" s="101" t="s">
        <v>379</v>
      </c>
      <c r="C4" s="61">
        <v>305</v>
      </c>
      <c r="D4" s="313">
        <f>ROUNDUP(('Final Calculation'!$AW$9)*('Vintage Period '!C4/'Vintage Period '!$C$11),0)</f>
        <v>0</v>
      </c>
      <c r="E4" s="313">
        <f>('Final Calculation'!$AS$9)*('Vintage Period '!C4/'Vintage Period '!$C$11)</f>
        <v>8741.1173838932973</v>
      </c>
      <c r="F4" s="313">
        <f>E4</f>
        <v>8741.1173838932973</v>
      </c>
      <c r="G4" s="313">
        <f>('Final Calculation'!$AV$9)*('Vintage Period '!C4/'Vintage Period '!$C$11)</f>
        <v>173.87870729129057</v>
      </c>
      <c r="H4" s="313">
        <f>E4*20%</f>
        <v>1748.2234767786595</v>
      </c>
      <c r="I4" s="313">
        <v>0</v>
      </c>
      <c r="J4" s="313">
        <f>E4-G4-D4</f>
        <v>8567.2386766020063</v>
      </c>
      <c r="K4" s="313">
        <f>ROUNDDOWN(J4+I4-H4,0)</f>
        <v>6819</v>
      </c>
      <c r="N4" s="101">
        <f>H23</f>
        <v>53566.01260710787</v>
      </c>
      <c r="O4" s="322">
        <f>ROUNDDOWN(J11,0)</f>
        <v>65813</v>
      </c>
      <c r="P4" s="321">
        <f>(O4-N4)/O4</f>
        <v>0.18608766342352012</v>
      </c>
    </row>
    <row r="5" spans="1:16">
      <c r="B5" s="101" t="s">
        <v>221</v>
      </c>
      <c r="C5" s="61">
        <v>365</v>
      </c>
      <c r="D5" s="313">
        <f>ROUNDUP(('Final Calculation'!$AW$9)*('Vintage Period '!C5/'Vintage Period '!$C$11),0)</f>
        <v>0</v>
      </c>
      <c r="E5" s="313">
        <f>('Final Calculation'!$AS$9)*('Vintage Period '!C5/'Vintage Period '!$C$11)</f>
        <v>10460.681459413288</v>
      </c>
      <c r="F5" s="313">
        <f>E5+F4</f>
        <v>19201.798843306584</v>
      </c>
      <c r="G5" s="313">
        <f>('Final Calculation'!$AV$9)*('Vintage Period '!C5/'Vintage Period '!$C$11)</f>
        <v>208.08435462728215</v>
      </c>
      <c r="H5" s="313">
        <f t="shared" ref="H5:H10" si="0">E5*20%</f>
        <v>2092.1362918826576</v>
      </c>
      <c r="I5" s="313">
        <v>0</v>
      </c>
      <c r="J5" s="313">
        <f>E5-G5-D5</f>
        <v>10252.597104786006</v>
      </c>
      <c r="K5" s="313">
        <f t="shared" ref="K5:K10" si="1">ROUNDDOWN(J5+I5-H5,0)</f>
        <v>8160</v>
      </c>
    </row>
    <row r="6" spans="1:16">
      <c r="B6" s="101" t="s">
        <v>222</v>
      </c>
      <c r="C6" s="61">
        <v>365</v>
      </c>
      <c r="D6" s="313">
        <f>ROUNDUP(('Final Calculation'!$AW$9)*('Vintage Period '!C6/'Vintage Period '!$C$11),0)</f>
        <v>0</v>
      </c>
      <c r="E6" s="313">
        <f>('Final Calculation'!$AS$9)*('Vintage Period '!C6/'Vintage Period '!$C$11)</f>
        <v>10460.681459413288</v>
      </c>
      <c r="F6" s="313">
        <f t="shared" ref="F6:F10" si="2">E6+F5</f>
        <v>29662.480302719872</v>
      </c>
      <c r="G6" s="313">
        <f>('Final Calculation'!$AV$9)*('Vintage Period '!C6/'Vintage Period '!$C$11)</f>
        <v>208.08435462728215</v>
      </c>
      <c r="H6" s="313">
        <f>E6*20%</f>
        <v>2092.1362918826576</v>
      </c>
      <c r="I6" s="313">
        <v>0</v>
      </c>
      <c r="J6" s="313">
        <f t="shared" ref="J6:J10" si="3">E6-G6-D6</f>
        <v>10252.597104786006</v>
      </c>
      <c r="K6" s="313">
        <f t="shared" si="1"/>
        <v>8160</v>
      </c>
    </row>
    <row r="7" spans="1:16">
      <c r="B7" s="101" t="s">
        <v>223</v>
      </c>
      <c r="C7" s="61">
        <v>365</v>
      </c>
      <c r="D7" s="313">
        <f>ROUNDUP(('Final Calculation'!$AW$9)*('Vintage Period '!C7/'Vintage Period '!$C$11),0)</f>
        <v>0</v>
      </c>
      <c r="E7" s="313">
        <f>('Final Calculation'!$AS$9)*('Vintage Period '!C7/'Vintage Period '!$C$11)</f>
        <v>10460.681459413288</v>
      </c>
      <c r="F7" s="313">
        <f t="shared" si="2"/>
        <v>40123.161762133161</v>
      </c>
      <c r="G7" s="313">
        <f>('Final Calculation'!$AV$9)*('Vintage Period '!C7/'Vintage Period '!$C$11)</f>
        <v>208.08435462728215</v>
      </c>
      <c r="H7" s="313">
        <f t="shared" si="0"/>
        <v>2092.1362918826576</v>
      </c>
      <c r="I7" s="313">
        <v>0</v>
      </c>
      <c r="J7" s="313">
        <f t="shared" si="3"/>
        <v>10252.597104786006</v>
      </c>
      <c r="K7" s="313">
        <f t="shared" si="1"/>
        <v>8160</v>
      </c>
    </row>
    <row r="8" spans="1:16">
      <c r="B8" s="101" t="s">
        <v>224</v>
      </c>
      <c r="C8" s="61">
        <v>365</v>
      </c>
      <c r="D8" s="313">
        <f>ROUNDUP(('Final Calculation'!$AW$9)*('Vintage Period '!C8/'Vintage Period '!$C$11),0)</f>
        <v>0</v>
      </c>
      <c r="E8" s="313">
        <f>('Final Calculation'!$AS$9)*('Vintage Period '!C8/'Vintage Period '!$C$11)</f>
        <v>10460.681459413288</v>
      </c>
      <c r="F8" s="313">
        <f t="shared" si="2"/>
        <v>50583.843221546449</v>
      </c>
      <c r="G8" s="313">
        <f>('Final Calculation'!$AV$9)*('Vintage Period '!C8/'Vintage Period '!$C$11)</f>
        <v>208.08435462728215</v>
      </c>
      <c r="H8" s="313">
        <f t="shared" si="0"/>
        <v>2092.1362918826576</v>
      </c>
      <c r="I8" s="313">
        <v>0</v>
      </c>
      <c r="J8" s="313">
        <f t="shared" si="3"/>
        <v>10252.597104786006</v>
      </c>
      <c r="K8" s="313">
        <f t="shared" si="1"/>
        <v>8160</v>
      </c>
    </row>
    <row r="9" spans="1:16">
      <c r="B9" s="101" t="s">
        <v>225</v>
      </c>
      <c r="C9" s="61">
        <v>365</v>
      </c>
      <c r="D9" s="313">
        <f>ROUNDUP(('Final Calculation'!$AW$9)*('Vintage Period '!C9/'Vintage Period '!$C$11),0)</f>
        <v>0</v>
      </c>
      <c r="E9" s="313">
        <f>('Final Calculation'!$AS$9)*('Vintage Period '!C9/'Vintage Period '!$C$11)</f>
        <v>10460.681459413288</v>
      </c>
      <c r="F9" s="313">
        <f t="shared" si="2"/>
        <v>61044.524680959737</v>
      </c>
      <c r="G9" s="313">
        <f>('Final Calculation'!$AV$9)*('Vintage Period '!C9/'Vintage Period '!$C$11)</f>
        <v>208.08435462728215</v>
      </c>
      <c r="H9" s="313">
        <f t="shared" si="0"/>
        <v>2092.1362918826576</v>
      </c>
      <c r="I9" s="313">
        <v>0</v>
      </c>
      <c r="J9" s="313">
        <f t="shared" si="3"/>
        <v>10252.597104786006</v>
      </c>
      <c r="K9" s="313">
        <f t="shared" si="1"/>
        <v>8160</v>
      </c>
    </row>
    <row r="10" spans="1:16">
      <c r="B10" s="101" t="s">
        <v>226</v>
      </c>
      <c r="C10" s="61">
        <v>213</v>
      </c>
      <c r="D10" s="313">
        <f>ROUNDUP(('Final Calculation'!$AW$9)*('Vintage Period '!C10/'Vintage Period '!$C$11),0)</f>
        <v>0</v>
      </c>
      <c r="E10" s="313">
        <f>('Final Calculation'!$AS$9)*('Vintage Period '!C10/'Vintage Period '!$C$11)</f>
        <v>6104.4524680959748</v>
      </c>
      <c r="F10" s="313">
        <f t="shared" si="2"/>
        <v>67148.977149055718</v>
      </c>
      <c r="G10" s="313">
        <f>('Final Calculation'!$AV$9)*('Vintage Period '!C10/'Vintage Period '!$C$11)</f>
        <v>121.43004804277014</v>
      </c>
      <c r="H10" s="313">
        <f t="shared" si="0"/>
        <v>1220.890493619195</v>
      </c>
      <c r="I10" s="313">
        <v>0</v>
      </c>
      <c r="J10" s="313">
        <f t="shared" si="3"/>
        <v>5983.0224200532048</v>
      </c>
      <c r="K10" s="313">
        <f t="shared" si="1"/>
        <v>4762</v>
      </c>
    </row>
    <row r="11" spans="1:16">
      <c r="B11" s="259" t="s">
        <v>380</v>
      </c>
      <c r="C11" s="314">
        <f>SUM(C4:C10)</f>
        <v>2343</v>
      </c>
      <c r="D11" s="314">
        <f>SUM(D4:D10)</f>
        <v>0</v>
      </c>
      <c r="E11" s="314">
        <f>SUM(E4:E10)</f>
        <v>67148.977149055718</v>
      </c>
      <c r="F11" s="314"/>
      <c r="G11" s="314">
        <f>SUM(G4:G10)</f>
        <v>1335.7305284704717</v>
      </c>
      <c r="H11" s="314">
        <f>SUM(H4:H10)</f>
        <v>13429.795429811144</v>
      </c>
      <c r="I11" s="314">
        <f>SUM(I4:I10)</f>
        <v>0</v>
      </c>
      <c r="J11" s="314">
        <f>SUM(J4:J10)</f>
        <v>65813.246620585254</v>
      </c>
      <c r="K11" s="314">
        <f>SUM(K4:K10)</f>
        <v>52381</v>
      </c>
    </row>
    <row r="13" spans="1:16">
      <c r="G13" s="134"/>
    </row>
    <row r="14" spans="1:16" ht="15.75" thickBot="1"/>
    <row r="15" spans="1:16" ht="111" customHeight="1" thickBot="1">
      <c r="A15" s="334"/>
      <c r="B15" s="266" t="s">
        <v>381</v>
      </c>
      <c r="C15" s="267" t="s">
        <v>382</v>
      </c>
      <c r="D15" s="268" t="s">
        <v>383</v>
      </c>
      <c r="E15" s="269" t="s">
        <v>384</v>
      </c>
      <c r="F15" s="269" t="s">
        <v>385</v>
      </c>
      <c r="G15" s="269" t="s">
        <v>386</v>
      </c>
      <c r="H15" s="269" t="s">
        <v>387</v>
      </c>
      <c r="I15" s="270" t="s">
        <v>388</v>
      </c>
    </row>
    <row r="16" spans="1:16">
      <c r="B16" s="101" t="s">
        <v>379</v>
      </c>
      <c r="C16" s="61">
        <v>0</v>
      </c>
      <c r="D16" s="335">
        <v>1283.8696106360112</v>
      </c>
      <c r="E16" s="335">
        <v>43.507978850468284</v>
      </c>
      <c r="F16" s="335">
        <v>256.77392212720224</v>
      </c>
      <c r="G16" s="335">
        <v>0</v>
      </c>
      <c r="H16" s="335">
        <f>D16-C16-E16</f>
        <v>1240.3616317855428</v>
      </c>
      <c r="I16" s="335">
        <f>H16+G16-F16</f>
        <v>983.5877096583406</v>
      </c>
    </row>
    <row r="17" spans="2:12">
      <c r="B17" s="101" t="s">
        <v>221</v>
      </c>
      <c r="C17" s="61">
        <v>0</v>
      </c>
      <c r="D17" s="335">
        <v>3752.4799987881088</v>
      </c>
      <c r="E17" s="335">
        <v>138.06519120920706</v>
      </c>
      <c r="F17" s="335">
        <v>750.4959997576218</v>
      </c>
      <c r="G17" s="335">
        <v>0</v>
      </c>
      <c r="H17" s="335">
        <f t="shared" ref="H17:H22" si="4">D17-C17-E17</f>
        <v>3614.4148075789017</v>
      </c>
      <c r="I17" s="335">
        <f t="shared" ref="I17:I22" si="5">H17+G17-F17</f>
        <v>2863.9188078212801</v>
      </c>
    </row>
    <row r="18" spans="2:12">
      <c r="B18" s="101" t="s">
        <v>222</v>
      </c>
      <c r="C18" s="61">
        <v>0</v>
      </c>
      <c r="D18" s="335">
        <v>6393.1014416104126</v>
      </c>
      <c r="E18" s="335">
        <v>273.51727818627342</v>
      </c>
      <c r="F18" s="335">
        <v>1278.6202883220826</v>
      </c>
      <c r="G18" s="335">
        <v>0</v>
      </c>
      <c r="H18" s="335">
        <f t="shared" si="4"/>
        <v>6119.5841634241388</v>
      </c>
      <c r="I18" s="335">
        <f t="shared" si="5"/>
        <v>4840.9638751020557</v>
      </c>
    </row>
    <row r="19" spans="2:12">
      <c r="B19" s="101" t="s">
        <v>223</v>
      </c>
      <c r="C19" s="61">
        <v>0</v>
      </c>
      <c r="D19" s="335">
        <v>10116.780632493701</v>
      </c>
      <c r="E19" s="335">
        <v>471.0288715851762</v>
      </c>
      <c r="F19" s="335">
        <v>2023.3561264987402</v>
      </c>
      <c r="G19" s="335">
        <v>0</v>
      </c>
      <c r="H19" s="335">
        <f t="shared" si="4"/>
        <v>9645.7517609085244</v>
      </c>
      <c r="I19" s="335">
        <f t="shared" si="5"/>
        <v>7622.3956344097842</v>
      </c>
    </row>
    <row r="20" spans="2:12">
      <c r="B20" s="101" t="s">
        <v>224</v>
      </c>
      <c r="C20" s="61">
        <v>0</v>
      </c>
      <c r="D20" s="335">
        <v>13115.406391276716</v>
      </c>
      <c r="E20" s="335">
        <v>731.68405072676182</v>
      </c>
      <c r="F20" s="335">
        <v>2623.0812782553435</v>
      </c>
      <c r="G20" s="335">
        <v>0</v>
      </c>
      <c r="H20" s="335">
        <f t="shared" si="4"/>
        <v>12383.722340549954</v>
      </c>
      <c r="I20" s="335">
        <f t="shared" si="5"/>
        <v>9760.6410622946096</v>
      </c>
    </row>
    <row r="21" spans="2:12">
      <c r="B21" s="101" t="s">
        <v>225</v>
      </c>
      <c r="C21" s="61">
        <v>0</v>
      </c>
      <c r="D21" s="335">
        <v>14627.487564066632</v>
      </c>
      <c r="E21" s="335">
        <v>1010.3074609830136</v>
      </c>
      <c r="F21" s="335">
        <v>2925.4975128133265</v>
      </c>
      <c r="G21" s="335">
        <v>0</v>
      </c>
      <c r="H21" s="335">
        <f t="shared" si="4"/>
        <v>13617.18010308362</v>
      </c>
      <c r="I21" s="335">
        <f t="shared" si="5"/>
        <v>10691.682590270293</v>
      </c>
    </row>
    <row r="22" spans="2:12">
      <c r="B22" s="101" t="s">
        <v>226</v>
      </c>
      <c r="C22" s="61">
        <v>0</v>
      </c>
      <c r="D22" s="335">
        <f>13191.50016932/365*$C$10</f>
        <v>7698.0535234661911</v>
      </c>
      <c r="E22" s="335">
        <f>1290.4476016267/365*$C$10</f>
        <v>753.05572368900573</v>
      </c>
      <c r="F22" s="335">
        <f>2638.30003386399/365*$C$10</f>
        <v>1539.6107046932325</v>
      </c>
      <c r="G22" s="335">
        <v>0</v>
      </c>
      <c r="H22" s="335">
        <f t="shared" si="4"/>
        <v>6944.9977997771857</v>
      </c>
      <c r="I22" s="335">
        <f t="shared" si="5"/>
        <v>5405.3870950839537</v>
      </c>
    </row>
    <row r="23" spans="2:12">
      <c r="B23" s="315" t="s">
        <v>380</v>
      </c>
      <c r="C23" s="316">
        <f t="shared" ref="C23:I23" si="6">SUM(C16:C22)</f>
        <v>0</v>
      </c>
      <c r="D23" s="316">
        <f t="shared" si="6"/>
        <v>56987.179162337779</v>
      </c>
      <c r="E23" s="316">
        <f>SUM(E16:E22)</f>
        <v>3421.1665552299064</v>
      </c>
      <c r="F23" s="316">
        <f t="shared" si="6"/>
        <v>11397.435832467549</v>
      </c>
      <c r="G23" s="316">
        <f t="shared" si="6"/>
        <v>0</v>
      </c>
      <c r="H23" s="316">
        <f t="shared" si="6"/>
        <v>53566.01260710787</v>
      </c>
      <c r="I23" s="316">
        <f t="shared" si="6"/>
        <v>42168.576774640314</v>
      </c>
    </row>
    <row r="25" spans="2:12">
      <c r="L25" s="15"/>
    </row>
    <row r="26" spans="2:12">
      <c r="K26" s="15"/>
    </row>
  </sheetData>
  <phoneticPr fontId="15"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DC1F0F2D97C04690DF7AC407C65BA5" ma:contentTypeVersion="20" ma:contentTypeDescription="Create a new document." ma:contentTypeScope="" ma:versionID="33310114c5e1c5d78470c21a1dd26b32">
  <xsd:schema xmlns:xsd="http://www.w3.org/2001/XMLSchema" xmlns:xs="http://www.w3.org/2001/XMLSchema" xmlns:p="http://schemas.microsoft.com/office/2006/metadata/properties" xmlns:ns2="5944c9fc-9421-4c39-b608-61ce31788618" xmlns:ns3="3ba820af-9c36-47fb-8383-9944acc4573c" targetNamespace="http://schemas.microsoft.com/office/2006/metadata/properties" ma:root="true" ma:fieldsID="29eb7b3a6bc09b2ca563c5b9d4504c50" ns2:_="" ns3:_="">
    <xsd:import namespace="5944c9fc-9421-4c39-b608-61ce31788618"/>
    <xsd:import namespace="3ba820af-9c36-47fb-8383-9944acc4573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44c9fc-9421-4c39-b608-61ce31788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b97863a-9c53-4d79-aa62-b4edf9878b66"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a820af-9c36-47fb-8383-9944acc4573c"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4e236bb-6ba1-491a-998c-53c379aa7070}" ma:internalName="TaxCatchAll" ma:showField="CatchAllData" ma:web="3ba820af-9c36-47fb-8383-9944acc457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ba820af-9c36-47fb-8383-9944acc4573c" xsi:nil="true"/>
    <lcf76f155ced4ddcb4097134ff3c332f xmlns="5944c9fc-9421-4c39-b608-61ce3178861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4CADE67-BFF1-43CE-8859-F2BCF40F49E5}"/>
</file>

<file path=customXml/itemProps2.xml><?xml version="1.0" encoding="utf-8"?>
<ds:datastoreItem xmlns:ds="http://schemas.openxmlformats.org/officeDocument/2006/customXml" ds:itemID="{2760D004-FBFA-4164-9325-A9830D737C19}"/>
</file>

<file path=customXml/itemProps3.xml><?xml version="1.0" encoding="utf-8"?>
<ds:datastoreItem xmlns:ds="http://schemas.openxmlformats.org/officeDocument/2006/customXml" ds:itemID="{6B3374F8-19F9-41DE-A5CB-48A2F19DD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25</vt:i4>
      </vt:variant>
    </vt:vector>
  </HeadingPairs>
  <TitlesOfParts>
    <vt:vector size="25" baseType="lpstr">
      <vt:lpstr>Key Data</vt:lpstr>
      <vt:lpstr>Database</vt:lpstr>
      <vt:lpstr>Uncertainty</vt:lpstr>
      <vt:lpstr>Baseline</vt:lpstr>
      <vt:lpstr>SOC</vt:lpstr>
      <vt:lpstr>GHG Emission</vt:lpstr>
      <vt:lpstr>Leakage</vt:lpstr>
      <vt:lpstr>Final Calculation</vt:lpstr>
      <vt:lpstr>Vintage Period </vt:lpstr>
      <vt:lpstr>LTA</vt:lpstr>
      <vt:lpstr>i=1 (2018 Mango)</vt:lpstr>
      <vt:lpstr>i=2 (2019 Mango)</vt:lpstr>
      <vt:lpstr>i=3 (2020 Mango)</vt:lpstr>
      <vt:lpstr>i=4 (2021 Mango)</vt:lpstr>
      <vt:lpstr>i=5 (2022 Mango)</vt:lpstr>
      <vt:lpstr>i=6 (Mango 2023)</vt:lpstr>
      <vt:lpstr>i=7 (2019 Red Sander)</vt:lpstr>
      <vt:lpstr>i=8 (2020 Red Sander)</vt:lpstr>
      <vt:lpstr>i=9 (2021 Red Sander)</vt:lpstr>
      <vt:lpstr>i=10 (2022 Red Sander)</vt:lpstr>
      <vt:lpstr>i=11 (2018 Guava)</vt:lpstr>
      <vt:lpstr>i=12 (2019 Guava)</vt:lpstr>
      <vt:lpstr>i=13 (2020 Guava)</vt:lpstr>
      <vt:lpstr>i=14 (2021 Guava)</vt:lpstr>
      <vt:lpstr>i=15 (2022 Gauva)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Sahil Pathan</dc:creator>
  <cp:keywords/>
  <dc:description/>
  <cp:lastModifiedBy>Rajat Singh</cp:lastModifiedBy>
  <cp:revision/>
  <dcterms:created xsi:type="dcterms:W3CDTF">2024-11-19T06:51:13Z</dcterms:created>
  <dcterms:modified xsi:type="dcterms:W3CDTF">2025-10-16T13:02:15Z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0x010100CDDC1F0F2D97C04690DF7AC407C65BA5</vt:lpwstr>
  </property>
</Properties>
</file>