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rojects\Khalladi project\GS5073_Performance_Review_no__1\regsfirstperformancereviewcommentforgs5073_\final response to GS_19 Jan 2024\reccipl1288_gs_revisedpackage\"/>
    </mc:Choice>
  </mc:AlternateContent>
  <xr:revisionPtr revIDLastSave="0" documentId="13_ncr:1_{7AC023BD-31C1-49E6-9C76-F112C9884B6F}" xr6:coauthVersionLast="47" xr6:coauthVersionMax="47" xr10:uidLastSave="{00000000-0000-0000-0000-000000000000}"/>
  <bookViews>
    <workbookView xWindow="-110" yWindow="-110" windowWidth="19420" windowHeight="10420" firstSheet="3" activeTab="3" xr2:uid="{31DD6D94-4341-4FAF-9187-F85D035B932B}"/>
  </bookViews>
  <sheets>
    <sheet name="Cover" sheetId="2" r:id="rId1"/>
    <sheet name="Baseline Emissions" sheetId="3" r:id="rId2"/>
    <sheet name="Project Emissions" sheetId="4" r:id="rId3"/>
    <sheet name="Emission Reductions" sheetId="5" r:id="rId4"/>
    <sheet name="Electricity export and import" sheetId="1" r:id="rId5"/>
    <sheet name="ERs Comparison" sheetId="10" r:id="rId6"/>
    <sheet name="SDGs Calculation" sheetId="6" r:id="rId7"/>
    <sheet name="IRR Calculation" sheetId="7" r:id="rId8"/>
    <sheet name="Dates" sheetId="9" r:id="rId9"/>
    <sheet name="Emission reduction Claimed" sheetId="12" r:id="rId10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8" i="5" l="1"/>
  <c r="F6" i="12"/>
  <c r="B10" i="12"/>
  <c r="B9" i="12"/>
  <c r="B8" i="12"/>
  <c r="G37" i="5"/>
  <c r="G5" i="12"/>
  <c r="G4" i="12"/>
  <c r="G3" i="12"/>
  <c r="F3" i="12"/>
  <c r="D5" i="12"/>
  <c r="D3" i="12"/>
  <c r="C5" i="12"/>
  <c r="C4" i="12"/>
  <c r="C3" i="12"/>
  <c r="C6" i="12" s="1"/>
  <c r="B5" i="12"/>
  <c r="B4" i="12"/>
  <c r="B3" i="12"/>
  <c r="E4" i="12"/>
  <c r="F4" i="12" s="1"/>
  <c r="E3" i="12"/>
  <c r="G12" i="7"/>
  <c r="G24" i="7"/>
  <c r="G25" i="7" s="1"/>
  <c r="G14" i="7" s="1"/>
  <c r="G22" i="7"/>
  <c r="G23" i="7" s="1"/>
  <c r="B6" i="12" l="1"/>
  <c r="E5" i="12"/>
  <c r="F5" i="12" s="1"/>
  <c r="C15" i="10"/>
  <c r="C17" i="10" s="1"/>
  <c r="C6" i="10"/>
  <c r="C28" i="6" l="1"/>
  <c r="C23" i="6"/>
  <c r="G46" i="3"/>
  <c r="H33" i="5"/>
  <c r="I33" i="5"/>
  <c r="H26" i="5"/>
  <c r="I26" i="5"/>
  <c r="H13" i="5"/>
  <c r="I13" i="5"/>
  <c r="I13" i="1"/>
  <c r="M13" i="1" s="1"/>
  <c r="I12" i="1"/>
  <c r="M12" i="1" s="1"/>
  <c r="I26" i="1"/>
  <c r="M26" i="1" s="1"/>
  <c r="I10" i="1"/>
  <c r="M10" i="1" s="1"/>
  <c r="D13" i="1"/>
  <c r="D12" i="1"/>
  <c r="D11" i="1"/>
  <c r="D9" i="1"/>
  <c r="D27" i="1"/>
  <c r="D26" i="1"/>
  <c r="D25" i="1"/>
  <c r="D10" i="1"/>
  <c r="I27" i="1"/>
  <c r="M27" i="1" s="1"/>
  <c r="I25" i="1"/>
  <c r="M25" i="1" s="1"/>
  <c r="D8" i="1"/>
  <c r="I8" i="1"/>
  <c r="M8" i="1" s="1"/>
  <c r="I9" i="1"/>
  <c r="M9" i="1" s="1"/>
  <c r="I11" i="1"/>
  <c r="M11" i="1" s="1"/>
  <c r="I15" i="1" l="1"/>
  <c r="M15" i="1" s="1"/>
  <c r="I16" i="1"/>
  <c r="M16" i="1" s="1"/>
  <c r="I17" i="1"/>
  <c r="M17" i="1" s="1"/>
  <c r="I18" i="1"/>
  <c r="M18" i="1" s="1"/>
  <c r="I19" i="1"/>
  <c r="M19" i="1" s="1"/>
  <c r="I20" i="1"/>
  <c r="M20" i="1" s="1"/>
  <c r="I21" i="1"/>
  <c r="M21" i="1" s="1"/>
  <c r="I22" i="1"/>
  <c r="M22" i="1" s="1"/>
  <c r="I23" i="1"/>
  <c r="M23" i="1" s="1"/>
  <c r="I24" i="1"/>
  <c r="M24" i="1" s="1"/>
  <c r="I14" i="1"/>
  <c r="M14" i="1" s="1"/>
  <c r="I7" i="1"/>
  <c r="M7" i="1" s="1"/>
  <c r="I6" i="1"/>
  <c r="M6" i="1" s="1"/>
  <c r="I5" i="1"/>
  <c r="M5" i="1" s="1"/>
  <c r="I4" i="1"/>
  <c r="M4" i="1" s="1"/>
  <c r="D7" i="1"/>
  <c r="N7" i="1" s="1"/>
  <c r="D6" i="1"/>
  <c r="N6" i="1" s="1"/>
  <c r="D5" i="1"/>
  <c r="N5" i="1" s="1"/>
  <c r="D4" i="1"/>
  <c r="N4" i="1" s="1"/>
  <c r="D15" i="1"/>
  <c r="N15" i="1" s="1"/>
  <c r="O15" i="1" s="1"/>
  <c r="F21" i="3" s="1"/>
  <c r="H21" i="3" s="1"/>
  <c r="G19" i="5" s="1"/>
  <c r="J19" i="5" s="1"/>
  <c r="D16" i="1"/>
  <c r="N16" i="1" s="1"/>
  <c r="D17" i="1"/>
  <c r="N17" i="1" s="1"/>
  <c r="O17" i="1" s="1"/>
  <c r="F23" i="3" s="1"/>
  <c r="H23" i="3" s="1"/>
  <c r="G21" i="5" s="1"/>
  <c r="J21" i="5" s="1"/>
  <c r="D18" i="1"/>
  <c r="N18" i="1" s="1"/>
  <c r="O18" i="1" s="1"/>
  <c r="F24" i="3" s="1"/>
  <c r="H24" i="3" s="1"/>
  <c r="G22" i="5" s="1"/>
  <c r="J22" i="5" s="1"/>
  <c r="D19" i="1"/>
  <c r="N19" i="1" s="1"/>
  <c r="D20" i="1"/>
  <c r="N20" i="1" s="1"/>
  <c r="D21" i="1"/>
  <c r="N21" i="1" s="1"/>
  <c r="D22" i="1"/>
  <c r="N22" i="1" s="1"/>
  <c r="D23" i="1"/>
  <c r="N23" i="1" s="1"/>
  <c r="O23" i="1" s="1"/>
  <c r="F30" i="3" s="1"/>
  <c r="H30" i="3" s="1"/>
  <c r="G28" i="5" s="1"/>
  <c r="J28" i="5" s="1"/>
  <c r="D24" i="1"/>
  <c r="N24" i="1" s="1"/>
  <c r="D14" i="1"/>
  <c r="N14" i="1" s="1"/>
  <c r="O14" i="1" s="1"/>
  <c r="F20" i="3" s="1"/>
  <c r="H20" i="3" s="1"/>
  <c r="G18" i="5" s="1"/>
  <c r="J18" i="5" s="1"/>
  <c r="N9" i="1"/>
  <c r="O9" i="1" s="1"/>
  <c r="F14" i="3" s="1"/>
  <c r="H14" i="3" s="1"/>
  <c r="G12" i="5" s="1"/>
  <c r="J12" i="5" s="1"/>
  <c r="N8" i="1"/>
  <c r="O8" i="1" s="1"/>
  <c r="F13" i="3" s="1"/>
  <c r="H13" i="3" s="1"/>
  <c r="G11" i="5" s="1"/>
  <c r="J11" i="5" s="1"/>
  <c r="N27" i="1"/>
  <c r="O27" i="1" s="1"/>
  <c r="F34" i="3" s="1"/>
  <c r="H34" i="3" s="1"/>
  <c r="G32" i="5" s="1"/>
  <c r="J32" i="5" s="1"/>
  <c r="N26" i="1"/>
  <c r="O26" i="1" s="1"/>
  <c r="F33" i="3" s="1"/>
  <c r="H33" i="3" s="1"/>
  <c r="G31" i="5" s="1"/>
  <c r="J31" i="5" s="1"/>
  <c r="N25" i="1"/>
  <c r="O25" i="1" s="1"/>
  <c r="F32" i="3" s="1"/>
  <c r="H32" i="3" s="1"/>
  <c r="G30" i="5" s="1"/>
  <c r="J30" i="5" s="1"/>
  <c r="N10" i="1"/>
  <c r="O10" i="1" s="1"/>
  <c r="F16" i="3" s="1"/>
  <c r="N11" i="1"/>
  <c r="O11" i="1" s="1"/>
  <c r="F17" i="3" s="1"/>
  <c r="H17" i="3" s="1"/>
  <c r="G15" i="5" s="1"/>
  <c r="J15" i="5" s="1"/>
  <c r="N12" i="1"/>
  <c r="O12" i="1" s="1"/>
  <c r="F18" i="3" s="1"/>
  <c r="H18" i="3" s="1"/>
  <c r="G16" i="5" s="1"/>
  <c r="J16" i="5" s="1"/>
  <c r="N13" i="1"/>
  <c r="O13" i="1" s="1"/>
  <c r="F19" i="3" s="1"/>
  <c r="H19" i="3" s="1"/>
  <c r="G17" i="5" s="1"/>
  <c r="J17" i="5" s="1"/>
  <c r="O24" i="1" l="1"/>
  <c r="F31" i="3" s="1"/>
  <c r="H31" i="3" s="1"/>
  <c r="G29" i="5" s="1"/>
  <c r="J29" i="5" s="1"/>
  <c r="O16" i="1"/>
  <c r="F22" i="3" s="1"/>
  <c r="H22" i="3" s="1"/>
  <c r="G20" i="5" s="1"/>
  <c r="J20" i="5" s="1"/>
  <c r="H16" i="3"/>
  <c r="O7" i="1"/>
  <c r="F12" i="3" s="1"/>
  <c r="H12" i="3" s="1"/>
  <c r="G10" i="5" s="1"/>
  <c r="J10" i="5" s="1"/>
  <c r="O4" i="1"/>
  <c r="O22" i="1"/>
  <c r="F29" i="3" s="1"/>
  <c r="O19" i="1"/>
  <c r="F25" i="3" s="1"/>
  <c r="H25" i="3" s="1"/>
  <c r="G23" i="5" s="1"/>
  <c r="J23" i="5" s="1"/>
  <c r="O21" i="1"/>
  <c r="F27" i="3" s="1"/>
  <c r="H27" i="3" s="1"/>
  <c r="G25" i="5" s="1"/>
  <c r="J25" i="5" s="1"/>
  <c r="O5" i="1"/>
  <c r="F10" i="3" s="1"/>
  <c r="H10" i="3" s="1"/>
  <c r="G8" i="5" s="1"/>
  <c r="J8" i="5" s="1"/>
  <c r="O20" i="1"/>
  <c r="F26" i="3" s="1"/>
  <c r="H26" i="3" s="1"/>
  <c r="G24" i="5" s="1"/>
  <c r="J24" i="5" s="1"/>
  <c r="O6" i="1"/>
  <c r="F11" i="3" s="1"/>
  <c r="H11" i="3" s="1"/>
  <c r="G9" i="5" s="1"/>
  <c r="J9" i="5" s="1"/>
  <c r="T4" i="1"/>
  <c r="T6" i="1"/>
  <c r="U6" i="1" s="1"/>
  <c r="T5" i="1"/>
  <c r="U5" i="1" s="1"/>
  <c r="H28" i="3" l="1"/>
  <c r="H29" i="3"/>
  <c r="H35" i="3" s="1"/>
  <c r="F35" i="3"/>
  <c r="G8" i="7" s="1"/>
  <c r="O28" i="1"/>
  <c r="C12" i="6" s="1"/>
  <c r="C13" i="6" s="1"/>
  <c r="F9" i="3"/>
  <c r="G14" i="5"/>
  <c r="F28" i="3"/>
  <c r="G7" i="7" s="1"/>
  <c r="U4" i="1"/>
  <c r="U7" i="1" s="1"/>
  <c r="T7" i="1"/>
  <c r="J14" i="5" l="1"/>
  <c r="J26" i="5" s="1"/>
  <c r="G26" i="5"/>
  <c r="F15" i="3"/>
  <c r="H9" i="3"/>
  <c r="H15" i="3" s="1"/>
  <c r="G27" i="5"/>
  <c r="C18" i="3" l="1"/>
  <c r="G6" i="7"/>
  <c r="G7" i="5"/>
  <c r="G33" i="5"/>
  <c r="J27" i="5"/>
  <c r="J33" i="5" s="1"/>
  <c r="G13" i="5" l="1"/>
  <c r="J7" i="5"/>
  <c r="J13" i="5" l="1"/>
  <c r="J34" i="5" s="1"/>
  <c r="C6" i="6" s="1"/>
  <c r="C8" i="6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tc={C164A6A4-8A66-4C68-B586-57522776DF2A}</author>
  </authors>
  <commentList>
    <comment ref="B20" authorId="0" shapeId="0" xr:uid="{C164A6A4-8A66-4C68-B586-57522776DF2A}">
      <text>
        <r>
          <rPr>
            <sz val="11"/>
            <color theme="1"/>
            <rFont val="Calibri"/>
            <family val="2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Removed?</t>
        </r>
      </text>
    </comment>
  </commentList>
</comments>
</file>

<file path=xl/sharedStrings.xml><?xml version="1.0" encoding="utf-8"?>
<sst xmlns="http://schemas.openxmlformats.org/spreadsheetml/2006/main" count="290" uniqueCount="165">
  <si>
    <t xml:space="preserve">Month </t>
  </si>
  <si>
    <t xml:space="preserve">June </t>
  </si>
  <si>
    <t xml:space="preserve">Aug </t>
  </si>
  <si>
    <t xml:space="preserve">sept </t>
  </si>
  <si>
    <t>Oct</t>
  </si>
  <si>
    <t xml:space="preserve">Nov </t>
  </si>
  <si>
    <t>Jan</t>
  </si>
  <si>
    <t xml:space="preserve">July </t>
  </si>
  <si>
    <t>Dec</t>
  </si>
  <si>
    <t>March</t>
  </si>
  <si>
    <t xml:space="preserve">April </t>
  </si>
  <si>
    <t xml:space="preserve">May </t>
  </si>
  <si>
    <t>Feb</t>
  </si>
  <si>
    <t>Total production per year in MWh</t>
  </si>
  <si>
    <t>Total reduction per-year of  t CO2e</t>
  </si>
  <si>
    <t>Project:</t>
  </si>
  <si>
    <t>Jbel Sendouq-Khalladi (“Khalladi”) Wind Farm Project in Morocco</t>
  </si>
  <si>
    <t>Type:</t>
  </si>
  <si>
    <t>Large Scale</t>
  </si>
  <si>
    <t>Methodology:</t>
  </si>
  <si>
    <t>ACM0002 (Version 12.3.0)</t>
  </si>
  <si>
    <t>Monitoring Period</t>
  </si>
  <si>
    <t>Project Owner:</t>
  </si>
  <si>
    <t>ACWA Power Khalladi S.A.</t>
  </si>
  <si>
    <t>01/07/2018 - 30/06/2020</t>
  </si>
  <si>
    <t>Baseline Emissions</t>
  </si>
  <si>
    <t>Year</t>
  </si>
  <si>
    <t>Combined Margin Grid Emission Factor</t>
  </si>
  <si>
    <t>Baseline emissions</t>
  </si>
  <si>
    <t>Baseline emission factor</t>
  </si>
  <si>
    <t>Unit</t>
  </si>
  <si>
    <t>tCO2/MWh</t>
  </si>
  <si>
    <t>Combined Margin Grid Emission Factor (tCO2/MWh)</t>
  </si>
  <si>
    <t>EGfacility,y</t>
  </si>
  <si>
    <t>BEy</t>
  </si>
  <si>
    <t>Quantity of net electricity generation supplied by the Project activity to the grid (MWh)</t>
  </si>
  <si>
    <t>Baseline emissions (tCO2)</t>
  </si>
  <si>
    <t>Total 2018</t>
  </si>
  <si>
    <t>Total 2019</t>
  </si>
  <si>
    <t>Total 2020</t>
  </si>
  <si>
    <t>CDM Ref. No.</t>
  </si>
  <si>
    <t xml:space="preserve">Year </t>
  </si>
  <si>
    <t>Project emissions</t>
  </si>
  <si>
    <t>Leakage emissions</t>
  </si>
  <si>
    <t>Emission reductions</t>
  </si>
  <si>
    <t>LEy</t>
  </si>
  <si>
    <r>
      <t>BE</t>
    </r>
    <r>
      <rPr>
        <vertAlign val="subscript"/>
        <sz val="11"/>
        <color theme="1"/>
        <rFont val="Arial"/>
        <family val="2"/>
      </rPr>
      <t>y</t>
    </r>
  </si>
  <si>
    <r>
      <t>PE</t>
    </r>
    <r>
      <rPr>
        <vertAlign val="subscript"/>
        <sz val="11"/>
        <color theme="1"/>
        <rFont val="Arial"/>
        <family val="2"/>
      </rPr>
      <t>y</t>
    </r>
  </si>
  <si>
    <r>
      <t>ER</t>
    </r>
    <r>
      <rPr>
        <vertAlign val="subscript"/>
        <sz val="11"/>
        <color theme="1"/>
        <rFont val="Arial"/>
        <family val="2"/>
      </rPr>
      <t>y</t>
    </r>
  </si>
  <si>
    <r>
      <t>[tCO</t>
    </r>
    <r>
      <rPr>
        <vertAlign val="subscript"/>
        <sz val="11"/>
        <color theme="1"/>
        <rFont val="Arial"/>
        <family val="2"/>
      </rPr>
      <t>2</t>
    </r>
    <r>
      <rPr>
        <sz val="11"/>
        <color theme="1"/>
        <rFont val="Arial"/>
        <family val="2"/>
      </rPr>
      <t>]</t>
    </r>
  </si>
  <si>
    <r>
      <t>Total</t>
    </r>
    <r>
      <rPr>
        <sz val="11"/>
        <color theme="1"/>
        <rFont val="Arial"/>
        <family val="2"/>
      </rPr>
      <t xml:space="preserve"> </t>
    </r>
  </si>
  <si>
    <r>
      <t>EF</t>
    </r>
    <r>
      <rPr>
        <b/>
        <vertAlign val="subscript"/>
        <sz val="11"/>
        <color theme="1"/>
        <rFont val="Arial"/>
        <family val="2"/>
      </rPr>
      <t>grid,CM,y</t>
    </r>
  </si>
  <si>
    <r>
      <t>EF</t>
    </r>
    <r>
      <rPr>
        <vertAlign val="subscript"/>
        <sz val="11"/>
        <color theme="1"/>
        <rFont val="Arial"/>
        <family val="2"/>
      </rPr>
      <t>grid,CM,y</t>
    </r>
  </si>
  <si>
    <t>July 2018</t>
  </si>
  <si>
    <t>August 2018</t>
  </si>
  <si>
    <t>September 2018</t>
  </si>
  <si>
    <t>October 2018</t>
  </si>
  <si>
    <t>November 2018</t>
  </si>
  <si>
    <t>December 2018</t>
  </si>
  <si>
    <t>January 2019</t>
  </si>
  <si>
    <t>March 2019</t>
  </si>
  <si>
    <t>April 2019</t>
  </si>
  <si>
    <t>May 2019</t>
  </si>
  <si>
    <t>June 2019</t>
  </si>
  <si>
    <t>July 2019</t>
  </si>
  <si>
    <t>August 2019</t>
  </si>
  <si>
    <t>September 2019</t>
  </si>
  <si>
    <t>October 2019</t>
  </si>
  <si>
    <t>November 2019</t>
  </si>
  <si>
    <t>December 2019</t>
  </si>
  <si>
    <t>January 2020</t>
  </si>
  <si>
    <t>March 2020</t>
  </si>
  <si>
    <t>April 2020</t>
  </si>
  <si>
    <t>May 2020</t>
  </si>
  <si>
    <t>June 2020</t>
  </si>
  <si>
    <t>February 2019</t>
  </si>
  <si>
    <t>February 2020</t>
  </si>
  <si>
    <t>Month</t>
  </si>
  <si>
    <t>Quantity of Electricity Imported from grid (MWh)</t>
  </si>
  <si>
    <t>Quantity of Electricity exported to grid  (MWh)</t>
  </si>
  <si>
    <t>EGfacility,y (MWh)</t>
  </si>
  <si>
    <t>Quantity of net electricity generation supplied by the project activity to the grid (Export-Import)</t>
  </si>
  <si>
    <t>Date of completion</t>
  </si>
  <si>
    <t>Version</t>
  </si>
  <si>
    <t>Period</t>
  </si>
  <si>
    <t>From</t>
  </si>
  <si>
    <t>To</t>
  </si>
  <si>
    <t>Measured value</t>
  </si>
  <si>
    <t>Corrected value</t>
  </si>
  <si>
    <t>Corrected values</t>
  </si>
  <si>
    <t>Total</t>
  </si>
  <si>
    <t>Baseline Estimate</t>
  </si>
  <si>
    <t>Project Estimate</t>
  </si>
  <si>
    <t>Net Benefit</t>
  </si>
  <si>
    <t>Value</t>
  </si>
  <si>
    <t>tCO2</t>
  </si>
  <si>
    <t>MWh</t>
  </si>
  <si>
    <t>10 Jobs &amp; 1 training</t>
  </si>
  <si>
    <t>SDG 13: GHG Emission Reductions</t>
  </si>
  <si>
    <t>SDGs</t>
  </si>
  <si>
    <t>SDG 07: Amount of Clean electricity supplied (MWh)</t>
  </si>
  <si>
    <t xml:space="preserve">SDG 08: Number of Jobs created, Number of trainings conducted </t>
  </si>
  <si>
    <t>SDG 05: Number of women employees in managerial positions</t>
  </si>
  <si>
    <t>SDG 03: Number of CSR activities conducted</t>
  </si>
  <si>
    <t xml:space="preserve">ERs Achieved (actual) </t>
  </si>
  <si>
    <t>tCO2e per year</t>
  </si>
  <si>
    <t>years</t>
  </si>
  <si>
    <t>Emission Reductions (Annual) as the PDD</t>
  </si>
  <si>
    <t>ERs Estimate (Ex-ante)</t>
  </si>
  <si>
    <t>Monitoring Period  (01/07/2018 – 30/06/2020)</t>
  </si>
  <si>
    <t>tCO2e</t>
  </si>
  <si>
    <t xml:space="preserve">Emission Reductions Achieved (achieved) </t>
  </si>
  <si>
    <t>Emission Reductions (estimated)</t>
  </si>
  <si>
    <t>Percentage change between ERs ahieved vs ERs estimated</t>
  </si>
  <si>
    <t>Electricity Generation Estimate (ex-ante)</t>
  </si>
  <si>
    <t>Electricity Generation achieved (actual)</t>
  </si>
  <si>
    <t>Electricity Generation (Annual) as per PDD</t>
  </si>
  <si>
    <t>Electricity Generation (estimated)</t>
  </si>
  <si>
    <t>%</t>
  </si>
  <si>
    <t>CDM and GS both are different registries, please provide the information in the following</t>
  </si>
  <si>
    <t>Milestone</t>
  </si>
  <si>
    <t>Date /monitoring period</t>
  </si>
  <si>
    <t>Stream</t>
  </si>
  <si>
    <t>Mode of site visit (remote/physical) and date</t>
  </si>
  <si>
    <t>GS registration</t>
  </si>
  <si>
    <t>-</t>
  </si>
  <si>
    <t>GS CER</t>
  </si>
  <si>
    <r>
      <t>Contract signed with VVB for GS and CDM verification (2</t>
    </r>
    <r>
      <rPr>
        <b/>
        <vertAlign val="superscript"/>
        <sz val="10"/>
        <color rgb="FF44546A"/>
        <rFont val="Arial"/>
        <family val="2"/>
      </rPr>
      <t>nd</t>
    </r>
    <r>
      <rPr>
        <b/>
        <sz val="10"/>
        <color rgb="FF44546A"/>
        <rFont val="Arial"/>
        <family val="2"/>
      </rPr>
      <t> )</t>
    </r>
  </si>
  <si>
    <t>Transition (GS 2.2 to GS4GG) approval</t>
  </si>
  <si>
    <t>NA</t>
  </si>
  <si>
    <t>Transition (GS CER to GS VER) approval</t>
  </si>
  <si>
    <t>GS VER</t>
  </si>
  <si>
    <r>
      <t>GS verification (2</t>
    </r>
    <r>
      <rPr>
        <b/>
        <vertAlign val="superscript"/>
        <sz val="10"/>
        <color rgb="FF44546A"/>
        <rFont val="Arial"/>
        <family val="2"/>
      </rPr>
      <t>nd</t>
    </r>
    <r>
      <rPr>
        <b/>
        <sz val="10"/>
        <color rgb="FF44546A"/>
        <rFont val="Arial"/>
        <family val="2"/>
      </rPr>
      <t> )</t>
    </r>
  </si>
  <si>
    <t>MP: 01/07/2018 – 30/06/2020</t>
  </si>
  <si>
    <r>
      <t>CDM verification (2</t>
    </r>
    <r>
      <rPr>
        <b/>
        <vertAlign val="superscript"/>
        <sz val="10"/>
        <color rgb="FF44546A"/>
        <rFont val="Arial"/>
        <family val="2"/>
      </rPr>
      <t>nd</t>
    </r>
    <r>
      <rPr>
        <b/>
        <sz val="10"/>
        <color rgb="FF44546A"/>
        <rFont val="Arial"/>
        <family val="2"/>
      </rPr>
      <t> )</t>
    </r>
  </si>
  <si>
    <t xml:space="preserve">MP: 01/07/2018 – 30/06/2020 </t>
  </si>
  <si>
    <t>GS: 21/12/2016</t>
  </si>
  <si>
    <t>CDM- 28/04/2021</t>
  </si>
  <si>
    <t>Average Annual Generation</t>
  </si>
  <si>
    <t xml:space="preserve">IRR at annual estimated generation </t>
  </si>
  <si>
    <t>Benchmark</t>
  </si>
  <si>
    <t>IRR at average actual generation</t>
  </si>
  <si>
    <t>IRR still within the benchmark of 12%.
 Hence the project is still additional</t>
  </si>
  <si>
    <t>Annual Average</t>
  </si>
  <si>
    <t xml:space="preserve">12/12/2017 – 30/06/2018 </t>
  </si>
  <si>
    <t>01/07/2018 – 30/06/2020</t>
  </si>
  <si>
    <t>Total (12/12/2017 – 30/06/2020)</t>
  </si>
  <si>
    <t xml:space="preserve">01/01/2018 – 31/12/2018 </t>
  </si>
  <si>
    <t>01/01/2019 – 31/12/2019</t>
  </si>
  <si>
    <t>01/01/2020 – 31/12/2020</t>
  </si>
  <si>
    <t>IRRs</t>
  </si>
  <si>
    <r>
      <t>GS verification (1</t>
    </r>
    <r>
      <rPr>
        <b/>
        <vertAlign val="superscript"/>
        <sz val="10"/>
        <color rgb="FF44546A"/>
        <rFont val="Arial"/>
        <family val="2"/>
      </rPr>
      <t>st</t>
    </r>
    <r>
      <rPr>
        <b/>
        <sz val="10"/>
        <color rgb="FF44546A"/>
        <rFont val="Arial"/>
        <family val="2"/>
      </rPr>
      <t> )</t>
    </r>
  </si>
  <si>
    <t>MP: 01/12/2017 – 05/06/2018</t>
  </si>
  <si>
    <t>GS: 06/06/2018 to 07/06/2018</t>
  </si>
  <si>
    <t>CDM&amp; GS on 25/09/2020</t>
  </si>
  <si>
    <t>Actual Generation</t>
  </si>
  <si>
    <t xml:space="preserve">01/07/2018 – 31/12/2018 </t>
  </si>
  <si>
    <t>01/01/2020 – 30/06/2020</t>
  </si>
  <si>
    <t>Actual Ers</t>
  </si>
  <si>
    <t>Difference</t>
  </si>
  <si>
    <t>Estimated Generation 
with 10% increase</t>
  </si>
  <si>
    <t>Estimated Generation 
as per PDD</t>
  </si>
  <si>
    <t>Estimated Annual ERs 
with 10% increase</t>
  </si>
  <si>
    <t>Actual ERs in the 
Monitoring Period</t>
  </si>
  <si>
    <t>Claimed ERs as per GS 2.1.3 (b)
 of Rule Clarification: Assessment Approach for Reporting Higher Ex-post Emission Reductions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</si>
</sst>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 * #,##0.00_ ;_ * \-#,##0.00_ ;_ * &quot;-&quot;??_ ;_ @_ "/>
    <numFmt numFmtId="164" formatCode="_(* #,##0.00_);_(* \(#,##0.00\);_(* &quot;-&quot;??_);_(@_)"/>
    <numFmt numFmtId="165" formatCode="_-* #,##0.00_-;\-* #,##0.00_-;_-* &quot;-&quot;??_-;_-@_-"/>
    <numFmt numFmtId="166" formatCode="0.00000"/>
    <numFmt numFmtId="167" formatCode="0.0%"/>
    <numFmt numFmtId="191" formatCode="_(* #,##0_);_(* \(#,##0\);_(* &quot;-&quot;??_);_(@_)"/>
  </numFmts>
  <fonts count="4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i/>
      <sz val="8"/>
      <color theme="1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vertAlign val="subscript"/>
      <sz val="11"/>
      <color theme="1"/>
      <name val="Arial"/>
      <family val="2"/>
    </font>
    <font>
      <sz val="11"/>
      <name val="Arial"/>
      <family val="2"/>
    </font>
    <font>
      <b/>
      <sz val="12"/>
      <color theme="1"/>
      <name val="Arial"/>
      <family val="2"/>
    </font>
    <font>
      <b/>
      <sz val="11"/>
      <name val="Arial"/>
      <family val="2"/>
    </font>
    <font>
      <b/>
      <vertAlign val="subscript"/>
      <sz val="11"/>
      <color theme="1"/>
      <name val="Arial"/>
      <family val="2"/>
    </font>
    <font>
      <sz val="10"/>
      <name val="Verdana"/>
      <family val="2"/>
    </font>
    <font>
      <sz val="11"/>
      <color indexed="8"/>
      <name val="Calibri"/>
      <family val="2"/>
    </font>
    <font>
      <sz val="11"/>
      <color indexed="8"/>
      <name val="Tahoma"/>
      <family val="2"/>
      <charset val="222"/>
    </font>
    <font>
      <sz val="11"/>
      <color indexed="9"/>
      <name val="Tahoma"/>
      <family val="2"/>
      <charset val="222"/>
    </font>
    <font>
      <b/>
      <sz val="11"/>
      <color indexed="9"/>
      <name val="Tahoma"/>
      <family val="2"/>
      <charset val="222"/>
    </font>
    <font>
      <sz val="11"/>
      <color indexed="52"/>
      <name val="Tahoma"/>
      <family val="2"/>
      <charset val="222"/>
    </font>
    <font>
      <sz val="11"/>
      <color indexed="20"/>
      <name val="Tahoma"/>
      <family val="2"/>
      <charset val="222"/>
    </font>
    <font>
      <b/>
      <sz val="11"/>
      <color indexed="63"/>
      <name val="Tahoma"/>
      <family val="2"/>
      <charset val="222"/>
    </font>
    <font>
      <b/>
      <sz val="11"/>
      <color indexed="52"/>
      <name val="Tahoma"/>
      <family val="2"/>
      <charset val="222"/>
    </font>
    <font>
      <sz val="11"/>
      <color indexed="10"/>
      <name val="Tahoma"/>
      <family val="2"/>
      <charset val="222"/>
    </font>
    <font>
      <i/>
      <sz val="11"/>
      <color indexed="23"/>
      <name val="Tahoma"/>
      <family val="2"/>
      <charset val="222"/>
    </font>
    <font>
      <b/>
      <sz val="18"/>
      <color indexed="56"/>
      <name val="Tahoma"/>
      <family val="2"/>
      <charset val="222"/>
    </font>
    <font>
      <sz val="11"/>
      <color indexed="17"/>
      <name val="Tahoma"/>
      <family val="2"/>
      <charset val="222"/>
    </font>
    <font>
      <sz val="11"/>
      <color indexed="62"/>
      <name val="Tahoma"/>
      <family val="2"/>
      <charset val="222"/>
    </font>
    <font>
      <sz val="11"/>
      <color indexed="60"/>
      <name val="Tahoma"/>
      <family val="2"/>
      <charset val="222"/>
    </font>
    <font>
      <b/>
      <sz val="11"/>
      <color indexed="8"/>
      <name val="Tahoma"/>
      <family val="2"/>
      <charset val="222"/>
    </font>
    <font>
      <b/>
      <sz val="15"/>
      <color indexed="56"/>
      <name val="Tahoma"/>
      <family val="2"/>
      <charset val="222"/>
    </font>
    <font>
      <b/>
      <sz val="13"/>
      <color indexed="56"/>
      <name val="Tahoma"/>
      <family val="2"/>
      <charset val="222"/>
    </font>
    <font>
      <b/>
      <sz val="11"/>
      <color indexed="56"/>
      <name val="Tahoma"/>
      <family val="2"/>
      <charset val="222"/>
    </font>
    <font>
      <sz val="12"/>
      <name val="宋体"/>
      <charset val="134"/>
    </font>
    <font>
      <sz val="11"/>
      <color rgb="FF000000"/>
      <name val="Arial"/>
      <family val="2"/>
    </font>
    <font>
      <b/>
      <sz val="11"/>
      <color theme="1"/>
      <name val="Calibri"/>
      <family val="2"/>
      <scheme val="minor"/>
    </font>
    <font>
      <b/>
      <sz val="10"/>
      <color rgb="FF44546A"/>
      <name val="Arial"/>
      <family val="2"/>
    </font>
    <font>
      <b/>
      <vertAlign val="superscript"/>
      <sz val="10"/>
      <color rgb="FF44546A"/>
      <name val="Arial"/>
      <family val="2"/>
    </font>
    <font>
      <sz val="11"/>
      <color rgb="FF000000"/>
      <name val="Calibri"/>
      <family val="2"/>
    </font>
  </fonts>
  <fills count="2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indexed="47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rgb="FFFFFFFF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3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indexed="64"/>
      </bottom>
      <diagonal/>
    </border>
  </borders>
  <cellStyleXfs count="67">
    <xf numFmtId="0" fontId="0" fillId="0" borderId="0"/>
    <xf numFmtId="164" fontId="2" fillId="0" borderId="0" applyFont="0" applyFill="0" applyBorder="0" applyAlignment="0" applyProtection="0"/>
    <xf numFmtId="0" fontId="3" fillId="0" borderId="0"/>
    <xf numFmtId="0" fontId="16" fillId="0" borderId="0"/>
    <xf numFmtId="0" fontId="18" fillId="5" borderId="0" applyNumberFormat="0" applyBorder="0" applyAlignment="0" applyProtection="0"/>
    <xf numFmtId="0" fontId="18" fillId="6" borderId="0" applyNumberFormat="0" applyBorder="0" applyAlignment="0" applyProtection="0"/>
    <xf numFmtId="0" fontId="18" fillId="7" borderId="0" applyNumberFormat="0" applyBorder="0" applyAlignment="0" applyProtection="0"/>
    <xf numFmtId="0" fontId="18" fillId="8" borderId="0" applyNumberFormat="0" applyBorder="0" applyAlignment="0" applyProtection="0"/>
    <xf numFmtId="0" fontId="18" fillId="9" borderId="0" applyNumberFormat="0" applyBorder="0" applyAlignment="0" applyProtection="0"/>
    <xf numFmtId="0" fontId="18" fillId="4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8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9" fillId="16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7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43" fontId="2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6" fillId="0" borderId="0"/>
    <xf numFmtId="0" fontId="8" fillId="0" borderId="0"/>
    <xf numFmtId="0" fontId="8" fillId="0" borderId="0"/>
    <xf numFmtId="0" fontId="8" fillId="0" borderId="0"/>
    <xf numFmtId="0" fontId="16" fillId="0" borderId="0"/>
    <xf numFmtId="0" fontId="35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9" fontId="17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20" fillId="19" borderId="14" applyNumberFormat="0" applyAlignment="0" applyProtection="0"/>
    <xf numFmtId="0" fontId="21" fillId="0" borderId="16" applyNumberFormat="0" applyFill="0" applyAlignment="0" applyProtection="0"/>
    <xf numFmtId="0" fontId="22" fillId="6" borderId="0" applyNumberFormat="0" applyBorder="0" applyAlignment="0" applyProtection="0"/>
    <xf numFmtId="0" fontId="23" fillId="10" borderId="18" applyNumberFormat="0" applyAlignment="0" applyProtection="0"/>
    <xf numFmtId="0" fontId="24" fillId="10" borderId="13" applyNumberFormat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7" borderId="0" applyNumberFormat="0" applyBorder="0" applyAlignment="0" applyProtection="0"/>
    <xf numFmtId="0" fontId="8" fillId="0" borderId="0"/>
    <xf numFmtId="0" fontId="8" fillId="0" borderId="0"/>
    <xf numFmtId="0" fontId="29" fillId="4" borderId="13" applyNumberFormat="0" applyAlignment="0" applyProtection="0"/>
    <xf numFmtId="0" fontId="30" fillId="21" borderId="0" applyNumberFormat="0" applyBorder="0" applyAlignment="0" applyProtection="0"/>
    <xf numFmtId="0" fontId="31" fillId="0" borderId="19" applyNumberFormat="0" applyFill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17" borderId="0" applyNumberFormat="0" applyBorder="0" applyAlignment="0" applyProtection="0"/>
    <xf numFmtId="0" fontId="19" fillId="15" borderId="0" applyNumberFormat="0" applyBorder="0" applyAlignment="0" applyProtection="0"/>
    <xf numFmtId="0" fontId="19" fillId="25" borderId="0" applyNumberFormat="0" applyBorder="0" applyAlignment="0" applyProtection="0"/>
    <xf numFmtId="0" fontId="18" fillId="20" borderId="17" applyNumberFormat="0" applyFont="0" applyAlignment="0" applyProtection="0"/>
    <xf numFmtId="0" fontId="32" fillId="0" borderId="20" applyNumberFormat="0" applyFill="0" applyAlignment="0" applyProtection="0"/>
    <xf numFmtId="0" fontId="33" fillId="0" borderId="15" applyNumberFormat="0" applyFill="0" applyAlignment="0" applyProtection="0"/>
    <xf numFmtId="0" fontId="34" fillId="0" borderId="21" applyNumberFormat="0" applyFill="0" applyAlignment="0" applyProtection="0"/>
    <xf numFmtId="0" fontId="34" fillId="0" borderId="0" applyNumberFormat="0" applyFill="0" applyBorder="0" applyAlignment="0" applyProtection="0"/>
    <xf numFmtId="9" fontId="2" fillId="0" borderId="0" applyFont="0" applyFill="0" applyBorder="0" applyAlignment="0" applyProtection="0"/>
  </cellStyleXfs>
  <cellXfs count="113">
    <xf numFmtId="0" fontId="0" fillId="0" borderId="0" xfId="0"/>
    <xf numFmtId="0" fontId="6" fillId="0" borderId="0" xfId="2" applyFont="1" applyAlignment="1">
      <alignment horizontal="left"/>
    </xf>
    <xf numFmtId="0" fontId="4" fillId="0" borderId="3" xfId="2" applyFont="1" applyBorder="1" applyAlignment="1">
      <alignment horizontal="center"/>
    </xf>
    <xf numFmtId="3" fontId="5" fillId="0" borderId="0" xfId="2" applyNumberFormat="1" applyFont="1"/>
    <xf numFmtId="0" fontId="4" fillId="0" borderId="4" xfId="2" applyFont="1" applyBorder="1" applyAlignment="1">
      <alignment horizontal="center" vertical="center"/>
    </xf>
    <xf numFmtId="0" fontId="7" fillId="0" borderId="0" xfId="2" applyFont="1" applyAlignment="1">
      <alignment horizontal="left"/>
    </xf>
    <xf numFmtId="4" fontId="4" fillId="0" borderId="0" xfId="2" applyNumberFormat="1" applyFont="1"/>
    <xf numFmtId="166" fontId="4" fillId="0" borderId="0" xfId="2" applyNumberFormat="1" applyFont="1"/>
    <xf numFmtId="0" fontId="9" fillId="3" borderId="1" xfId="0" applyFont="1" applyFill="1" applyBorder="1" applyAlignment="1">
      <alignment horizontal="center" vertical="center" wrapText="1"/>
    </xf>
    <xf numFmtId="0" fontId="10" fillId="0" borderId="0" xfId="0" applyFont="1"/>
    <xf numFmtId="0" fontId="10" fillId="3" borderId="1" xfId="0" applyFont="1" applyFill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right" vertical="center" wrapText="1"/>
    </xf>
    <xf numFmtId="4" fontId="10" fillId="0" borderId="1" xfId="0" applyNumberFormat="1" applyFont="1" applyBorder="1" applyAlignment="1">
      <alignment horizontal="right"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/>
    <xf numFmtId="3" fontId="10" fillId="0" borderId="1" xfId="0" applyNumberFormat="1" applyFont="1" applyBorder="1"/>
    <xf numFmtId="0" fontId="10" fillId="0" borderId="0" xfId="2" applyFont="1"/>
    <xf numFmtId="0" fontId="9" fillId="0" borderId="1" xfId="2" applyFont="1" applyBorder="1" applyAlignment="1">
      <alignment vertical="center" wrapText="1"/>
    </xf>
    <xf numFmtId="0" fontId="9" fillId="0" borderId="1" xfId="2" applyFont="1" applyBorder="1" applyAlignment="1">
      <alignment vertical="center"/>
    </xf>
    <xf numFmtId="14" fontId="12" fillId="0" borderId="1" xfId="2" applyNumberFormat="1" applyFont="1" applyBorder="1" applyAlignment="1">
      <alignment horizontal="left" vertical="center"/>
    </xf>
    <xf numFmtId="4" fontId="10" fillId="0" borderId="1" xfId="2" applyNumberFormat="1" applyFont="1" applyBorder="1" applyAlignment="1">
      <alignment vertical="center" wrapText="1"/>
    </xf>
    <xf numFmtId="166" fontId="10" fillId="0" borderId="1" xfId="2" applyNumberFormat="1" applyFont="1" applyBorder="1" applyAlignment="1">
      <alignment vertical="center" wrapText="1"/>
    </xf>
    <xf numFmtId="2" fontId="10" fillId="0" borderId="1" xfId="2" applyNumberFormat="1" applyFont="1" applyBorder="1" applyAlignment="1">
      <alignment horizontal="right" vertical="center"/>
    </xf>
    <xf numFmtId="166" fontId="10" fillId="0" borderId="1" xfId="2" applyNumberFormat="1" applyFont="1" applyBorder="1"/>
    <xf numFmtId="4" fontId="9" fillId="0" borderId="1" xfId="2" applyNumberFormat="1" applyFont="1" applyBorder="1"/>
    <xf numFmtId="0" fontId="9" fillId="0" borderId="1" xfId="0" applyFont="1" applyBorder="1"/>
    <xf numFmtId="0" fontId="10" fillId="0" borderId="1" xfId="0" applyFont="1" applyBorder="1" applyAlignment="1">
      <alignment horizontal="left"/>
    </xf>
    <xf numFmtId="49" fontId="12" fillId="0" borderId="1" xfId="0" applyNumberFormat="1" applyFont="1" applyBorder="1" applyAlignment="1">
      <alignment horizontal="left" vertical="center"/>
    </xf>
    <xf numFmtId="17" fontId="14" fillId="0" borderId="1" xfId="0" applyNumberFormat="1" applyFont="1" applyBorder="1" applyAlignment="1">
      <alignment horizontal="left"/>
    </xf>
    <xf numFmtId="49" fontId="14" fillId="0" borderId="1" xfId="0" applyNumberFormat="1" applyFont="1" applyBorder="1" applyAlignment="1">
      <alignment horizontal="left"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2" fontId="10" fillId="2" borderId="1" xfId="0" applyNumberFormat="1" applyFont="1" applyFill="1" applyBorder="1"/>
    <xf numFmtId="2" fontId="10" fillId="0" borderId="1" xfId="0" applyNumberFormat="1" applyFont="1" applyBorder="1"/>
    <xf numFmtId="0" fontId="10" fillId="0" borderId="0" xfId="0" applyFont="1" applyAlignment="1">
      <alignment horizontal="center" vertical="center"/>
    </xf>
    <xf numFmtId="164" fontId="10" fillId="0" borderId="1" xfId="1" applyFont="1" applyBorder="1"/>
    <xf numFmtId="164" fontId="10" fillId="0" borderId="1" xfId="0" applyNumberFormat="1" applyFont="1" applyBorder="1"/>
    <xf numFmtId="0" fontId="9" fillId="0" borderId="0" xfId="0" applyFont="1"/>
    <xf numFmtId="0" fontId="9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/>
    </xf>
    <xf numFmtId="0" fontId="10" fillId="0" borderId="0" xfId="0" applyFont="1" applyAlignment="1">
      <alignment horizontal="center" vertical="center" wrapText="1"/>
    </xf>
    <xf numFmtId="3" fontId="10" fillId="0" borderId="0" xfId="0" applyNumberFormat="1" applyFont="1"/>
    <xf numFmtId="164" fontId="10" fillId="0" borderId="0" xfId="1" applyFont="1" applyFill="1" applyBorder="1"/>
    <xf numFmtId="0" fontId="10" fillId="2" borderId="0" xfId="0" applyFont="1" applyFill="1"/>
    <xf numFmtId="4" fontId="10" fillId="0" borderId="1" xfId="0" applyNumberFormat="1" applyFont="1" applyBorder="1"/>
    <xf numFmtId="4" fontId="10" fillId="2" borderId="1" xfId="0" applyNumberFormat="1" applyFont="1" applyFill="1" applyBorder="1"/>
    <xf numFmtId="14" fontId="10" fillId="0" borderId="1" xfId="0" applyNumberFormat="1" applyFont="1" applyBorder="1" applyAlignment="1">
      <alignment horizontal="left"/>
    </xf>
    <xf numFmtId="4" fontId="14" fillId="0" borderId="1" xfId="2" applyNumberFormat="1" applyFont="1" applyBorder="1" applyAlignment="1">
      <alignment horizontal="right"/>
    </xf>
    <xf numFmtId="4" fontId="9" fillId="0" borderId="1" xfId="2" applyNumberFormat="1" applyFont="1" applyBorder="1" applyAlignment="1">
      <alignment vertical="center" wrapText="1"/>
    </xf>
    <xf numFmtId="2" fontId="9" fillId="0" borderId="1" xfId="0" applyNumberFormat="1" applyFont="1" applyBorder="1" applyAlignment="1">
      <alignment horizontal="right" vertical="center" wrapText="1"/>
    </xf>
    <xf numFmtId="4" fontId="9" fillId="0" borderId="0" xfId="0" applyNumberFormat="1" applyFont="1"/>
    <xf numFmtId="2" fontId="36" fillId="0" borderId="1" xfId="0" applyNumberFormat="1" applyFont="1" applyBorder="1"/>
    <xf numFmtId="4" fontId="10" fillId="0" borderId="0" xfId="2" applyNumberFormat="1" applyFont="1"/>
    <xf numFmtId="0" fontId="37" fillId="0" borderId="0" xfId="0" applyFont="1"/>
    <xf numFmtId="2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4" fontId="0" fillId="0" borderId="0" xfId="0" applyNumberFormat="1" applyAlignment="1">
      <alignment horizontal="left"/>
    </xf>
    <xf numFmtId="0" fontId="0" fillId="0" borderId="0" xfId="0" applyAlignment="1">
      <alignment wrapText="1"/>
    </xf>
    <xf numFmtId="0" fontId="37" fillId="2" borderId="0" xfId="0" applyFont="1" applyFill="1"/>
    <xf numFmtId="0" fontId="0" fillId="2" borderId="0" xfId="0" applyFill="1"/>
    <xf numFmtId="0" fontId="0" fillId="2" borderId="0" xfId="0" applyFill="1" applyAlignment="1">
      <alignment horizontal="left"/>
    </xf>
    <xf numFmtId="0" fontId="37" fillId="0" borderId="0" xfId="0" applyFont="1" applyAlignment="1">
      <alignment wrapText="1"/>
    </xf>
    <xf numFmtId="167" fontId="37" fillId="0" borderId="0" xfId="0" applyNumberFormat="1" applyFont="1"/>
    <xf numFmtId="1" fontId="9" fillId="0" borderId="1" xfId="2" applyNumberFormat="1" applyFont="1" applyBorder="1" applyAlignment="1">
      <alignment horizontal="right" vertical="center"/>
    </xf>
    <xf numFmtId="1" fontId="9" fillId="0" borderId="1" xfId="0" applyNumberFormat="1" applyFont="1" applyBorder="1" applyAlignment="1">
      <alignment horizontal="right" vertical="center" wrapText="1"/>
    </xf>
    <xf numFmtId="0" fontId="38" fillId="0" borderId="0" xfId="0" applyFont="1" applyAlignment="1">
      <alignment vertical="center" wrapText="1"/>
    </xf>
    <xf numFmtId="0" fontId="38" fillId="26" borderId="23" xfId="0" applyFont="1" applyFill="1" applyBorder="1" applyAlignment="1">
      <alignment vertical="center" wrapText="1"/>
    </xf>
    <xf numFmtId="0" fontId="38" fillId="26" borderId="24" xfId="0" applyFont="1" applyFill="1" applyBorder="1" applyAlignment="1">
      <alignment vertical="center" wrapText="1"/>
    </xf>
    <xf numFmtId="0" fontId="38" fillId="26" borderId="25" xfId="0" applyFont="1" applyFill="1" applyBorder="1" applyAlignment="1">
      <alignment vertical="center" wrapText="1"/>
    </xf>
    <xf numFmtId="14" fontId="38" fillId="26" borderId="25" xfId="0" applyNumberFormat="1" applyFont="1" applyFill="1" applyBorder="1" applyAlignment="1">
      <alignment vertical="center" wrapText="1"/>
    </xf>
    <xf numFmtId="0" fontId="38" fillId="26" borderId="26" xfId="0" applyFont="1" applyFill="1" applyBorder="1" applyAlignment="1">
      <alignment vertical="center" wrapText="1"/>
    </xf>
    <xf numFmtId="0" fontId="37" fillId="0" borderId="1" xfId="0" applyFont="1" applyBorder="1"/>
    <xf numFmtId="0" fontId="0" fillId="0" borderId="1" xfId="0" applyBorder="1"/>
    <xf numFmtId="0" fontId="0" fillId="0" borderId="1" xfId="0" applyBorder="1" applyAlignment="1">
      <alignment wrapText="1"/>
    </xf>
    <xf numFmtId="10" fontId="0" fillId="0" borderId="1" xfId="0" applyNumberFormat="1" applyBorder="1"/>
    <xf numFmtId="9" fontId="0" fillId="0" borderId="1" xfId="0" applyNumberFormat="1" applyBorder="1"/>
    <xf numFmtId="1" fontId="0" fillId="0" borderId="1" xfId="0" applyNumberFormat="1" applyBorder="1"/>
    <xf numFmtId="14" fontId="0" fillId="0" borderId="0" xfId="0" applyNumberFormat="1"/>
    <xf numFmtId="4" fontId="0" fillId="0" borderId="1" xfId="0" applyNumberFormat="1" applyBorder="1"/>
    <xf numFmtId="3" fontId="0" fillId="0" borderId="1" xfId="0" applyNumberFormat="1" applyBorder="1"/>
    <xf numFmtId="3" fontId="37" fillId="0" borderId="1" xfId="0" applyNumberFormat="1" applyFont="1" applyBorder="1"/>
    <xf numFmtId="10" fontId="37" fillId="0" borderId="1" xfId="0" applyNumberFormat="1" applyFont="1" applyBorder="1"/>
    <xf numFmtId="0" fontId="10" fillId="0" borderId="9" xfId="2" applyFont="1" applyBorder="1" applyAlignment="1">
      <alignment horizontal="left" vertical="center"/>
    </xf>
    <xf numFmtId="0" fontId="10" fillId="0" borderId="7" xfId="2" applyFont="1" applyBorder="1" applyAlignment="1">
      <alignment horizontal="left" vertical="center"/>
    </xf>
    <xf numFmtId="14" fontId="14" fillId="0" borderId="1" xfId="2" applyNumberFormat="1" applyFont="1" applyBorder="1" applyAlignment="1">
      <alignment horizontal="center" vertical="center"/>
    </xf>
    <xf numFmtId="0" fontId="14" fillId="0" borderId="11" xfId="2" applyFont="1" applyBorder="1" applyAlignment="1">
      <alignment horizontal="center" vertical="center" wrapText="1"/>
    </xf>
    <xf numFmtId="0" fontId="14" fillId="0" borderId="22" xfId="2" applyFont="1" applyBorder="1" applyAlignment="1">
      <alignment horizontal="center" vertical="center" wrapText="1"/>
    </xf>
    <xf numFmtId="0" fontId="14" fillId="0" borderId="10" xfId="2" applyFont="1" applyBorder="1" applyAlignment="1">
      <alignment horizontal="center" vertical="center" wrapText="1"/>
    </xf>
    <xf numFmtId="0" fontId="14" fillId="0" borderId="12" xfId="2" applyFont="1" applyBorder="1" applyAlignment="1">
      <alignment horizontal="center" vertical="center" wrapText="1"/>
    </xf>
    <xf numFmtId="0" fontId="13" fillId="0" borderId="0" xfId="2" applyFont="1" applyAlignment="1">
      <alignment horizontal="left"/>
    </xf>
    <xf numFmtId="0" fontId="5" fillId="0" borderId="2" xfId="2" applyFont="1" applyBorder="1" applyAlignment="1">
      <alignment horizontal="center"/>
    </xf>
    <xf numFmtId="0" fontId="5" fillId="0" borderId="3" xfId="2" applyFont="1" applyBorder="1" applyAlignment="1">
      <alignment horizontal="center"/>
    </xf>
    <xf numFmtId="0" fontId="10" fillId="0" borderId="8" xfId="2" applyFont="1" applyBorder="1" applyAlignment="1">
      <alignment horizontal="center" vertical="center"/>
    </xf>
    <xf numFmtId="0" fontId="10" fillId="0" borderId="5" xfId="2" applyFont="1" applyBorder="1" applyAlignment="1">
      <alignment horizontal="center" vertical="center"/>
    </xf>
    <xf numFmtId="0" fontId="10" fillId="0" borderId="1" xfId="2" applyFont="1" applyBorder="1" applyAlignment="1">
      <alignment horizontal="left" vertical="center" wrapText="1"/>
    </xf>
    <xf numFmtId="0" fontId="10" fillId="0" borderId="6" xfId="2" applyFont="1" applyBorder="1" applyAlignment="1">
      <alignment horizontal="left" vertical="center" wrapText="1"/>
    </xf>
    <xf numFmtId="166" fontId="12" fillId="0" borderId="1" xfId="2" applyNumberFormat="1" applyFont="1" applyBorder="1" applyAlignment="1">
      <alignment horizontal="left" vertical="center"/>
    </xf>
    <xf numFmtId="166" fontId="12" fillId="0" borderId="6" xfId="2" applyNumberFormat="1" applyFont="1" applyBorder="1" applyAlignment="1">
      <alignment horizontal="left" vertical="center"/>
    </xf>
    <xf numFmtId="0" fontId="9" fillId="0" borderId="1" xfId="2" applyFont="1" applyBorder="1" applyAlignment="1">
      <alignment horizontal="center" vertical="center" wrapText="1"/>
    </xf>
    <xf numFmtId="0" fontId="9" fillId="0" borderId="1" xfId="2" applyFont="1" applyBorder="1" applyAlignment="1">
      <alignment horizontal="center" wrapText="1"/>
    </xf>
    <xf numFmtId="0" fontId="14" fillId="0" borderId="1" xfId="2" applyFont="1" applyBorder="1" applyAlignment="1">
      <alignment horizontal="center"/>
    </xf>
    <xf numFmtId="0" fontId="9" fillId="0" borderId="1" xfId="2" applyFont="1" applyBorder="1" applyAlignment="1">
      <alignment horizontal="left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3" fontId="0" fillId="0" borderId="0" xfId="0" applyNumberFormat="1"/>
    <xf numFmtId="9" fontId="0" fillId="0" borderId="0" xfId="66" applyFont="1"/>
    <xf numFmtId="0" fontId="40" fillId="0" borderId="1" xfId="0" applyFont="1" applyBorder="1" applyAlignment="1">
      <alignment vertical="center"/>
    </xf>
    <xf numFmtId="0" fontId="37" fillId="0" borderId="1" xfId="0" applyFont="1" applyBorder="1" applyAlignment="1">
      <alignment wrapText="1"/>
    </xf>
    <xf numFmtId="9" fontId="0" fillId="0" borderId="1" xfId="66" applyFont="1" applyBorder="1"/>
    <xf numFmtId="0" fontId="9" fillId="0" borderId="1" xfId="0" applyFont="1" applyBorder="1" applyAlignment="1">
      <alignment wrapText="1"/>
    </xf>
    <xf numFmtId="3" fontId="9" fillId="0" borderId="1" xfId="0" applyNumberFormat="1" applyFont="1" applyBorder="1"/>
    <xf numFmtId="191" fontId="9" fillId="0" borderId="1" xfId="1" applyNumberFormat="1" applyFont="1" applyBorder="1"/>
  </cellXfs>
  <cellStyles count="67">
    <cellStyle name="20% - ส่วนที่ถูกเน้น1" xfId="4" xr:uid="{BCCD7361-907C-4D74-A797-52D00F9E6FAA}"/>
    <cellStyle name="20% - ส่วนที่ถูกเน้น2" xfId="5" xr:uid="{21C8F2D8-31E9-492F-B744-F4CC5CD11103}"/>
    <cellStyle name="20% - ส่วนที่ถูกเน้น3" xfId="6" xr:uid="{D2FF1E45-320B-4B20-A6A7-83C3DF86B218}"/>
    <cellStyle name="20% - ส่วนที่ถูกเน้น4" xfId="7" xr:uid="{A6E0A96C-7CB1-45B9-9044-2904DF0E38B1}"/>
    <cellStyle name="20% - ส่วนที่ถูกเน้น5" xfId="8" xr:uid="{40F3F34A-CCF3-41F8-A987-F91DF7C4BC95}"/>
    <cellStyle name="20% - ส่วนที่ถูกเน้น6" xfId="9" xr:uid="{5C05900F-5E54-444F-9E40-083DB3654661}"/>
    <cellStyle name="40% - ส่วนที่ถูกเน้น1" xfId="10" xr:uid="{5DF6A411-2929-4E3D-AE8E-3DC8B31F1AF2}"/>
    <cellStyle name="40% - ส่วนที่ถูกเน้น2" xfId="11" xr:uid="{6D945208-80E2-4CE4-9D7B-D28ED76ACF31}"/>
    <cellStyle name="40% - ส่วนที่ถูกเน้น3" xfId="12" xr:uid="{4513CAA1-8AF1-4E78-85A0-329EFBA6151D}"/>
    <cellStyle name="40% - ส่วนที่ถูกเน้น4" xfId="13" xr:uid="{33BF604B-B7E6-4D1B-A666-82A4A96BE0C9}"/>
    <cellStyle name="40% - ส่วนที่ถูกเน้น5" xfId="14" xr:uid="{BE8F3466-6FE2-4C72-8660-9BADFF2C1D80}"/>
    <cellStyle name="40% - ส่วนที่ถูกเน้น6" xfId="15" xr:uid="{90F54255-0E68-47F9-979F-6CF8BB785A79}"/>
    <cellStyle name="60% - ส่วนที่ถูกเน้น1" xfId="16" xr:uid="{B5941A7F-D4B2-4BB4-A50E-22839FB3FB28}"/>
    <cellStyle name="60% - ส่วนที่ถูกเน้น2" xfId="17" xr:uid="{F2EF39FD-FEF9-429D-9F9D-1D2B5BF5D861}"/>
    <cellStyle name="60% - ส่วนที่ถูกเน้น3" xfId="18" xr:uid="{97B29FF7-7101-465F-A388-9C4ADF627A77}"/>
    <cellStyle name="60% - ส่วนที่ถูกเน้น4" xfId="19" xr:uid="{4CDBC6EB-A49C-4B1B-BCA7-0428E774665A}"/>
    <cellStyle name="60% - ส่วนที่ถูกเน้น5" xfId="20" xr:uid="{A1ECDD0C-429C-4073-AFFF-B7DEA6C60ECD}"/>
    <cellStyle name="60% - ส่วนที่ถูกเน้น6" xfId="21" xr:uid="{3704877F-63D9-4320-BF67-8EEA70554670}"/>
    <cellStyle name="Comma" xfId="1" builtinId="3"/>
    <cellStyle name="Comma 2" xfId="23" xr:uid="{0D4CF3C1-6EA7-4758-9D4A-A788424FA502}"/>
    <cellStyle name="Comma 2 2" xfId="24" xr:uid="{380D5144-7743-4C7B-ADD3-8A6EB190F1F8}"/>
    <cellStyle name="Comma 2 3" xfId="25" xr:uid="{6312770E-843D-416A-ADF5-E8AC00ECFF93}"/>
    <cellStyle name="Comma 2 4" xfId="26" xr:uid="{71B49368-A189-4D6D-8D82-893C5D2BF9CD}"/>
    <cellStyle name="Comma 2 5" xfId="27" xr:uid="{D60B7E83-9F95-41A1-AEBE-CA66FF662850}"/>
    <cellStyle name="Comma 3" xfId="22" xr:uid="{17E31947-CE07-437C-B902-0CF1A4B45748}"/>
    <cellStyle name="Normal" xfId="0" builtinId="0"/>
    <cellStyle name="Normal 2" xfId="2" xr:uid="{551FB786-791C-4064-B5D1-9CC49FEC0C19}"/>
    <cellStyle name="Normal 2 2" xfId="29" xr:uid="{75C143BC-44B9-4EFB-9607-F3761681A7A0}"/>
    <cellStyle name="Normal 2 3" xfId="30" xr:uid="{5449A973-277C-4B8E-9AC7-6CF8B82AB78C}"/>
    <cellStyle name="Normal 2 4" xfId="31" xr:uid="{EA97D3B2-6A93-4C5A-B3B3-7326B6BF3D7A}"/>
    <cellStyle name="Normal 2 5" xfId="28" xr:uid="{8DD48209-B61B-44AC-98F2-A7698F1A76E2}"/>
    <cellStyle name="Normal 3" xfId="32" xr:uid="{A171AC29-C98F-4DE5-8BB4-9B5BD7728A6F}"/>
    <cellStyle name="Normal 3 2" xfId="33" xr:uid="{5EDB98A2-D1A6-40B7-A01C-A9FBBFFAA302}"/>
    <cellStyle name="Normal 4" xfId="34" xr:uid="{D0A99E28-F127-4670-A185-5DB26EE2C706}"/>
    <cellStyle name="Normal 5" xfId="35" xr:uid="{B6D443F6-E45E-4994-BF21-84BF9E2050E7}"/>
    <cellStyle name="Normal 6" xfId="36" xr:uid="{F0F860C8-A400-4D95-B351-56ABA9106586}"/>
    <cellStyle name="Normal 7" xfId="37" xr:uid="{E827DD83-3849-4714-B9BC-068795271AB1}"/>
    <cellStyle name="Normal 8" xfId="3" xr:uid="{1F94A875-EA74-42B4-B4C6-A9E7A0CA6643}"/>
    <cellStyle name="Percent" xfId="66" builtinId="5"/>
    <cellStyle name="Percent 2" xfId="38" xr:uid="{5AEC185E-F5EA-4F50-A49D-517A2102406D}"/>
    <cellStyle name="Percent 3" xfId="39" xr:uid="{D4ED3521-ABDB-4819-866B-117040420CC5}"/>
    <cellStyle name="เครื่องหมายจุลภาค_Biogas production UASB1,2008" xfId="40" xr:uid="{D0C602A1-C2D2-4352-9A7D-79A147C682AA}"/>
    <cellStyle name="เซลล์ตรวจสอบ" xfId="41" xr:uid="{B0FAEA70-1C86-4E61-806B-7E18B44068AD}"/>
    <cellStyle name="เซลล์ที่มีการเชื่อมโยง" xfId="42" xr:uid="{2D1028E6-769F-4CB8-AD10-1EAD2A23AB2C}"/>
    <cellStyle name="แย่" xfId="43" xr:uid="{62EF489C-09DB-4087-A496-025089413EA7}"/>
    <cellStyle name="แสดงผล" xfId="44" xr:uid="{1B09645D-7515-4635-BEA2-6A3E48CEDEDC}"/>
    <cellStyle name="การคำนวณ" xfId="45" xr:uid="{2FD1B1F4-2426-4849-92EB-B76335D39C08}"/>
    <cellStyle name="ข้อความเตือน" xfId="46" xr:uid="{1634BD6D-BE89-47A5-A88C-A0F00B35D52F}"/>
    <cellStyle name="ข้อความอธิบาย" xfId="47" xr:uid="{92F90A2B-72A1-46FB-B3B5-38EC8DD12F32}"/>
    <cellStyle name="ชื่อเรื่อง" xfId="48" xr:uid="{F3FACCD8-009A-45BC-B774-DBC6170DEC06}"/>
    <cellStyle name="ดี" xfId="49" xr:uid="{9B3E70D8-E06D-48C8-BBAD-CB858D5C35C8}"/>
    <cellStyle name="ปกติ 2" xfId="50" xr:uid="{7D1F9318-11D1-4A98-A2BD-BABF5D1583ED}"/>
    <cellStyle name="ปกติ_Biogas production UASB1,2008" xfId="51" xr:uid="{AEFCEBD9-4FB5-4CF6-824F-9F73E077123D}"/>
    <cellStyle name="ป้อนค่า" xfId="52" xr:uid="{BBEED4E9-70D7-4EEC-9C31-983F91E4BD27}"/>
    <cellStyle name="ปานกลาง" xfId="53" xr:uid="{23E64F86-E578-44F1-B9B4-4652DC9FB50C}"/>
    <cellStyle name="ผลรวม" xfId="54" xr:uid="{44BB98FC-1045-406D-AA13-3CBC6CCE5EDA}"/>
    <cellStyle name="ส่วนที่ถูกเน้น1" xfId="55" xr:uid="{1E190591-788B-433A-8C21-C950B144AF3B}"/>
    <cellStyle name="ส่วนที่ถูกเน้น2" xfId="56" xr:uid="{BDA7ACB6-060B-4CC0-995C-0DDFD420A1AB}"/>
    <cellStyle name="ส่วนที่ถูกเน้น3" xfId="57" xr:uid="{5A9C6B2A-E830-4054-A8D2-294EE97D3E06}"/>
    <cellStyle name="ส่วนที่ถูกเน้น4" xfId="58" xr:uid="{2EDDF462-E3E8-4D5D-B904-3BB3FCEA1D86}"/>
    <cellStyle name="ส่วนที่ถูกเน้น5" xfId="59" xr:uid="{C1BBA3E6-DCC8-447E-AB5C-E93B3F4799BE}"/>
    <cellStyle name="ส่วนที่ถูกเน้น6" xfId="60" xr:uid="{2D98B30D-4EBA-456E-912F-C5013E4118EC}"/>
    <cellStyle name="หมายเหตุ" xfId="61" xr:uid="{CF4583B4-BD72-4698-BADD-CD50E0E7501D}"/>
    <cellStyle name="หัวเรื่อง 1" xfId="62" xr:uid="{A560FE6D-CBCF-479B-B6B6-149316AD304A}"/>
    <cellStyle name="หัวเรื่อง 2" xfId="63" xr:uid="{C80CCF85-54F1-4860-B88C-341DDB739D67}"/>
    <cellStyle name="หัวเรื่อง 3" xfId="64" xr:uid="{6B6ED730-6AC6-4BAF-92BD-7E987012A5F2}"/>
    <cellStyle name="หัวเรื่อง 4" xfId="65" xr:uid="{B23D3531-48AE-412B-BB33-306A2C3FD26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microsoft.com/office/2017/10/relationships/person" Target="persons/perso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38</xdr:row>
      <xdr:rowOff>58614</xdr:rowOff>
    </xdr:from>
    <xdr:to>
      <xdr:col>4</xdr:col>
      <xdr:colOff>233177</xdr:colOff>
      <xdr:row>41</xdr:row>
      <xdr:rowOff>97447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157C0E0-DC14-4AEB-9260-C1958B4798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5692" y="8235460"/>
          <a:ext cx="3394222" cy="56637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68580</xdr:colOff>
      <xdr:row>2</xdr:row>
      <xdr:rowOff>42787</xdr:rowOff>
    </xdr:from>
    <xdr:to>
      <xdr:col>2</xdr:col>
      <xdr:colOff>1487805</xdr:colOff>
      <xdr:row>4</xdr:row>
      <xdr:rowOff>120307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8D24E00-5117-4A07-9211-72086C8080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4272" y="414018"/>
          <a:ext cx="1917456" cy="4292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</xdr:row>
      <xdr:rowOff>0</xdr:rowOff>
    </xdr:from>
    <xdr:to>
      <xdr:col>14</xdr:col>
      <xdr:colOff>485775</xdr:colOff>
      <xdr:row>20</xdr:row>
      <xdr:rowOff>144780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C84174D-7BD5-4320-8817-16DECF4818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65760"/>
          <a:ext cx="7800975" cy="3436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Author" id="{1012AA53-85FF-43EA-82CE-D91D31838D9C}" userId="Author" providerId="None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20" dT="2023-02-23T20:21:50.66" personId="{1012AA53-85FF-43EA-82CE-D91D31838D9C}" id="{C164A6A4-8A66-4C68-B586-57522776DF2A}">
    <text>Removed?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7.bin"/><Relationship Id="rId4" Type="http://schemas.microsoft.com/office/2017/10/relationships/threadedComment" Target="../threadedComments/threadedComment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184BCD-3B2C-4800-82D8-32701EF4F026}">
  <dimension ref="B2:D10"/>
  <sheetViews>
    <sheetView zoomScaleNormal="100" workbookViewId="0">
      <selection activeCell="C12" sqref="C12"/>
    </sheetView>
  </sheetViews>
  <sheetFormatPr defaultColWidth="8.54296875" defaultRowHeight="14"/>
  <cols>
    <col min="1" max="1" width="8.54296875" style="9"/>
    <col min="2" max="2" width="19.54296875" style="9" bestFit="1" customWidth="1"/>
    <col min="3" max="3" width="60.453125" style="9" bestFit="1" customWidth="1"/>
    <col min="4" max="16384" width="8.54296875" style="9"/>
  </cols>
  <sheetData>
    <row r="2" spans="2:4">
      <c r="B2" s="25" t="s">
        <v>15</v>
      </c>
      <c r="C2" s="14" t="s">
        <v>16</v>
      </c>
    </row>
    <row r="3" spans="2:4">
      <c r="B3" s="25" t="s">
        <v>40</v>
      </c>
      <c r="C3" s="26">
        <v>9047</v>
      </c>
    </row>
    <row r="4" spans="2:4">
      <c r="B4" s="25" t="s">
        <v>17</v>
      </c>
      <c r="C4" s="14" t="s">
        <v>18</v>
      </c>
    </row>
    <row r="5" spans="2:4">
      <c r="B5" s="25" t="s">
        <v>19</v>
      </c>
      <c r="C5" s="14" t="s">
        <v>20</v>
      </c>
    </row>
    <row r="6" spans="2:4">
      <c r="B6" s="25" t="s">
        <v>21</v>
      </c>
      <c r="C6" s="14" t="s">
        <v>24</v>
      </c>
    </row>
    <row r="7" spans="2:4">
      <c r="B7" s="25" t="s">
        <v>22</v>
      </c>
      <c r="C7" s="14" t="s">
        <v>23</v>
      </c>
    </row>
    <row r="8" spans="2:4">
      <c r="B8" s="25" t="s">
        <v>82</v>
      </c>
      <c r="C8" s="46">
        <v>45310</v>
      </c>
      <c r="D8" s="37"/>
    </row>
    <row r="9" spans="2:4">
      <c r="B9" s="25" t="s">
        <v>83</v>
      </c>
      <c r="C9" s="26">
        <v>3.3</v>
      </c>
      <c r="D9" s="37"/>
    </row>
    <row r="10" spans="2:4">
      <c r="B10" s="37"/>
      <c r="C10" s="37"/>
      <c r="D10" s="37"/>
    </row>
  </sheetData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2454B5-264B-4884-A27C-1A069755AAC2}">
  <dimension ref="A1:G10"/>
  <sheetViews>
    <sheetView zoomScale="115" zoomScaleNormal="115" workbookViewId="0">
      <selection activeCell="F10" sqref="F10"/>
    </sheetView>
  </sheetViews>
  <sheetFormatPr defaultRowHeight="14.5"/>
  <cols>
    <col min="1" max="1" width="25.453125" customWidth="1"/>
    <col min="2" max="2" width="15" customWidth="1"/>
    <col min="3" max="3" width="18.26953125" customWidth="1"/>
    <col min="4" max="6" width="21.54296875" customWidth="1"/>
    <col min="7" max="7" width="10.6328125" customWidth="1"/>
  </cols>
  <sheetData>
    <row r="1" spans="1:7">
      <c r="A1" s="72"/>
      <c r="B1" s="72"/>
      <c r="C1" s="72"/>
      <c r="D1" s="72"/>
      <c r="E1" s="72"/>
      <c r="G1" s="72"/>
    </row>
    <row r="2" spans="1:7" ht="29">
      <c r="A2" s="71" t="s">
        <v>84</v>
      </c>
      <c r="B2" s="71" t="s">
        <v>155</v>
      </c>
      <c r="C2" s="71" t="s">
        <v>158</v>
      </c>
      <c r="D2" s="108" t="s">
        <v>161</v>
      </c>
      <c r="E2" s="108" t="s">
        <v>160</v>
      </c>
      <c r="F2" s="108" t="s">
        <v>162</v>
      </c>
      <c r="G2" s="71" t="s">
        <v>159</v>
      </c>
    </row>
    <row r="3" spans="1:7">
      <c r="A3" s="107" t="s">
        <v>156</v>
      </c>
      <c r="B3" s="79">
        <f>'Baseline Emissions'!F15</f>
        <v>177238.59628200001</v>
      </c>
      <c r="C3" s="76">
        <f>'Baseline Emissions'!H15</f>
        <v>86173</v>
      </c>
      <c r="D3" s="79">
        <f>296100/2</f>
        <v>148050</v>
      </c>
      <c r="E3" s="79">
        <f>D3*(1+10%)</f>
        <v>162855</v>
      </c>
      <c r="F3" s="79">
        <f>E3*0.4862</f>
        <v>79180.10100000001</v>
      </c>
      <c r="G3" s="109">
        <f>(C3-F3)/C3</f>
        <v>8.1149536397711469E-2</v>
      </c>
    </row>
    <row r="4" spans="1:7">
      <c r="A4" s="107" t="s">
        <v>148</v>
      </c>
      <c r="B4" s="79">
        <f>'Baseline Emissions'!F28</f>
        <v>410198.553182</v>
      </c>
      <c r="C4" s="76">
        <f>'Baseline Emissions'!H28</f>
        <v>199438</v>
      </c>
      <c r="D4" s="72">
        <v>296100</v>
      </c>
      <c r="E4" s="79">
        <f>D4*(1+10%)</f>
        <v>325710</v>
      </c>
      <c r="F4" s="79">
        <f>E4*0.4862</f>
        <v>158360.20200000002</v>
      </c>
      <c r="G4" s="109">
        <f>(C4-F4)/C4</f>
        <v>0.20596775940392492</v>
      </c>
    </row>
    <row r="5" spans="1:7">
      <c r="A5" s="107" t="s">
        <v>157</v>
      </c>
      <c r="B5" s="79">
        <f>'Baseline Emissions'!F35</f>
        <v>198567.22353599998</v>
      </c>
      <c r="C5" s="76">
        <f>'Baseline Emissions'!H35</f>
        <v>96543</v>
      </c>
      <c r="D5" s="79">
        <f>296100/2</f>
        <v>148050</v>
      </c>
      <c r="E5" s="79">
        <f>D5*(1+10%)</f>
        <v>162855</v>
      </c>
      <c r="F5" s="79">
        <f>E5*0.4862</f>
        <v>79180.10100000001</v>
      </c>
      <c r="G5" s="109">
        <f>(C5-F5)/C5</f>
        <v>0.17984627575277329</v>
      </c>
    </row>
    <row r="6" spans="1:7">
      <c r="B6" s="105">
        <f>SUM(B3:B5)</f>
        <v>786004.37300000002</v>
      </c>
      <c r="C6" s="105">
        <f>SUM(C3:C5)</f>
        <v>382154</v>
      </c>
      <c r="F6" s="105">
        <f>SUM(F3:F5)</f>
        <v>316720.40400000004</v>
      </c>
    </row>
    <row r="8" spans="1:7">
      <c r="B8" s="106">
        <f>(B3-D3)/B3</f>
        <v>0.16468532754321044</v>
      </c>
    </row>
    <row r="9" spans="1:7">
      <c r="B9" s="106">
        <f>(B4-D4)/B4</f>
        <v>0.2781544505628129</v>
      </c>
    </row>
    <row r="10" spans="1:7">
      <c r="B10" s="106">
        <f>(B5-D5)/B5</f>
        <v>0.25440867146355234</v>
      </c>
    </row>
  </sheetData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A9AD70-9972-46D7-9C41-44C5C7BB83D3}">
  <dimension ref="B1:H46"/>
  <sheetViews>
    <sheetView topLeftCell="B22" zoomScale="70" zoomScaleNormal="70" workbookViewId="0">
      <selection activeCell="F38" sqref="F38"/>
    </sheetView>
  </sheetViews>
  <sheetFormatPr defaultColWidth="8.54296875" defaultRowHeight="14"/>
  <cols>
    <col min="1" max="1" width="8.54296875" style="9"/>
    <col min="2" max="2" width="7.453125" style="9" bestFit="1" customWidth="1"/>
    <col min="3" max="3" width="26.54296875" style="9" bestFit="1" customWidth="1"/>
    <col min="4" max="5" width="12.453125" style="9" bestFit="1" customWidth="1"/>
    <col min="6" max="6" width="76.54296875" style="9" bestFit="1" customWidth="1"/>
    <col min="7" max="7" width="45.54296875" style="9" bestFit="1" customWidth="1"/>
    <col min="8" max="8" width="22.54296875" style="9" bestFit="1" customWidth="1"/>
    <col min="9" max="16384" width="8.54296875" style="9"/>
  </cols>
  <sheetData>
    <row r="1" spans="2:8">
      <c r="B1" s="16"/>
      <c r="C1" s="16"/>
      <c r="D1" s="16"/>
      <c r="E1" s="16"/>
      <c r="F1" s="16"/>
      <c r="G1" s="16"/>
      <c r="H1" s="16"/>
    </row>
    <row r="2" spans="2:8" ht="15.5">
      <c r="B2" s="89" t="s">
        <v>25</v>
      </c>
      <c r="C2" s="89"/>
      <c r="D2" s="16"/>
      <c r="E2" s="16"/>
      <c r="F2" s="16"/>
      <c r="G2" s="16"/>
      <c r="H2" s="16"/>
    </row>
    <row r="3" spans="2:8">
      <c r="B3" s="16"/>
      <c r="C3" s="16"/>
      <c r="D3" s="16"/>
      <c r="E3" s="16"/>
      <c r="F3" s="16"/>
      <c r="G3" s="16"/>
      <c r="H3" s="16"/>
    </row>
    <row r="4" spans="2:8">
      <c r="B4" s="16"/>
      <c r="C4" s="16"/>
      <c r="D4" s="16"/>
      <c r="E4" s="16"/>
      <c r="F4" s="16"/>
      <c r="G4" s="16"/>
      <c r="H4" s="16"/>
    </row>
    <row r="5" spans="2:8">
      <c r="B5" s="16"/>
      <c r="C5" s="16"/>
      <c r="D5" s="16"/>
      <c r="E5" s="16"/>
      <c r="F5" s="16"/>
      <c r="G5" s="16"/>
      <c r="H5" s="16"/>
    </row>
    <row r="6" spans="2:8" ht="14.9" customHeight="1">
      <c r="D6" s="85" t="s">
        <v>84</v>
      </c>
      <c r="E6" s="86"/>
      <c r="F6" s="98" t="s">
        <v>35</v>
      </c>
      <c r="G6" s="101" t="s">
        <v>32</v>
      </c>
      <c r="H6" s="99" t="s">
        <v>36</v>
      </c>
    </row>
    <row r="7" spans="2:8">
      <c r="B7" s="16"/>
      <c r="C7" s="16"/>
      <c r="D7" s="87" t="s">
        <v>85</v>
      </c>
      <c r="E7" s="87" t="s">
        <v>86</v>
      </c>
      <c r="F7" s="98"/>
      <c r="G7" s="101"/>
      <c r="H7" s="99"/>
    </row>
    <row r="8" spans="2:8" ht="17">
      <c r="B8" s="16"/>
      <c r="C8" s="16"/>
      <c r="D8" s="88"/>
      <c r="E8" s="88"/>
      <c r="F8" s="17" t="s">
        <v>33</v>
      </c>
      <c r="G8" s="17" t="s">
        <v>51</v>
      </c>
      <c r="H8" s="18" t="s">
        <v>34</v>
      </c>
    </row>
    <row r="9" spans="2:8">
      <c r="B9" s="16"/>
      <c r="C9" s="16"/>
      <c r="D9" s="19">
        <v>43282</v>
      </c>
      <c r="E9" s="19">
        <v>43312</v>
      </c>
      <c r="F9" s="20">
        <f>'Electricity export and import'!O4</f>
        <v>17261.244000000002</v>
      </c>
      <c r="G9" s="21">
        <v>0.48620000000000002</v>
      </c>
      <c r="H9" s="22">
        <f>F9*G9</f>
        <v>8392.4168328000014</v>
      </c>
    </row>
    <row r="10" spans="2:8">
      <c r="B10" s="16"/>
      <c r="C10" s="16"/>
      <c r="D10" s="19">
        <v>43313</v>
      </c>
      <c r="E10" s="19">
        <v>43343</v>
      </c>
      <c r="F10" s="20">
        <f>'Electricity export and import'!O5</f>
        <v>35720.311000000002</v>
      </c>
      <c r="G10" s="23">
        <v>0.48620000000000002</v>
      </c>
      <c r="H10" s="22">
        <f t="shared" ref="H10:H34" si="0">F10*G10</f>
        <v>17367.215208200003</v>
      </c>
    </row>
    <row r="11" spans="2:8">
      <c r="B11" s="16"/>
      <c r="C11" s="16"/>
      <c r="D11" s="19">
        <v>43344</v>
      </c>
      <c r="E11" s="19">
        <v>43373</v>
      </c>
      <c r="F11" s="20">
        <f>'Electricity export and import'!O6</f>
        <v>33777.821000000004</v>
      </c>
      <c r="G11" s="23">
        <v>0.48620000000000002</v>
      </c>
      <c r="H11" s="22">
        <f t="shared" si="0"/>
        <v>16422.776570200003</v>
      </c>
    </row>
    <row r="12" spans="2:8">
      <c r="B12" s="16"/>
      <c r="C12" s="16"/>
      <c r="D12" s="19">
        <v>43374</v>
      </c>
      <c r="E12" s="19">
        <v>43404</v>
      </c>
      <c r="F12" s="20">
        <f>'Electricity export and import'!O7</f>
        <v>30668.231</v>
      </c>
      <c r="G12" s="23">
        <v>0.48620000000000002</v>
      </c>
      <c r="H12" s="22">
        <f t="shared" si="0"/>
        <v>14910.893912200001</v>
      </c>
    </row>
    <row r="13" spans="2:8">
      <c r="B13" s="16"/>
      <c r="C13" s="16"/>
      <c r="D13" s="19">
        <v>43405</v>
      </c>
      <c r="E13" s="19">
        <v>43434</v>
      </c>
      <c r="F13" s="20">
        <f>'Electricity export and import'!O8</f>
        <v>27533.715021999997</v>
      </c>
      <c r="G13" s="23">
        <v>0.48620000000000002</v>
      </c>
      <c r="H13" s="22">
        <f t="shared" si="0"/>
        <v>13386.892243696399</v>
      </c>
    </row>
    <row r="14" spans="2:8">
      <c r="B14" s="16"/>
      <c r="C14" s="16"/>
      <c r="D14" s="19">
        <v>43435</v>
      </c>
      <c r="E14" s="19">
        <v>43465</v>
      </c>
      <c r="F14" s="20">
        <f>'Electricity export and import'!O9</f>
        <v>32277.274260000002</v>
      </c>
      <c r="G14" s="23">
        <v>0.48620000000000002</v>
      </c>
      <c r="H14" s="22">
        <f t="shared" si="0"/>
        <v>15693.210745212002</v>
      </c>
    </row>
    <row r="15" spans="2:8">
      <c r="B15" s="16"/>
      <c r="C15" s="16"/>
      <c r="D15" s="84" t="s">
        <v>37</v>
      </c>
      <c r="E15" s="84"/>
      <c r="F15" s="48">
        <f>SUM(F9:F14)</f>
        <v>177238.59628200001</v>
      </c>
      <c r="G15" s="23"/>
      <c r="H15" s="63">
        <f>ROUNDDOWN(SUM(H9:H14), 0)</f>
        <v>86173</v>
      </c>
    </row>
    <row r="16" spans="2:8">
      <c r="B16" s="16"/>
      <c r="C16" s="16"/>
      <c r="D16" s="19">
        <v>43466</v>
      </c>
      <c r="E16" s="19">
        <v>43496</v>
      </c>
      <c r="F16" s="20">
        <f>'Electricity export and import'!O10</f>
        <v>35774.671240000003</v>
      </c>
      <c r="G16" s="23">
        <v>0.48620000000000002</v>
      </c>
      <c r="H16" s="22">
        <f t="shared" si="0"/>
        <v>17393.645156888004</v>
      </c>
    </row>
    <row r="17" spans="2:8">
      <c r="B17" s="16"/>
      <c r="C17" s="16"/>
      <c r="D17" s="19">
        <v>43497</v>
      </c>
      <c r="E17" s="19">
        <v>43524</v>
      </c>
      <c r="F17" s="20">
        <f>'Electricity export and import'!O11</f>
        <v>37702.211777999997</v>
      </c>
      <c r="G17" s="23">
        <v>0.48620000000000002</v>
      </c>
      <c r="H17" s="22">
        <f t="shared" si="0"/>
        <v>18330.815366463601</v>
      </c>
    </row>
    <row r="18" spans="2:8">
      <c r="B18" s="16"/>
      <c r="C18" s="52">
        <f>F15+F28+F35</f>
        <v>786004.37300000002</v>
      </c>
      <c r="D18" s="19">
        <v>43525</v>
      </c>
      <c r="E18" s="19">
        <v>43555</v>
      </c>
      <c r="F18" s="20">
        <f>'Electricity export and import'!O12</f>
        <v>44518.342594000002</v>
      </c>
      <c r="G18" s="23">
        <v>0.48620000000000002</v>
      </c>
      <c r="H18" s="22">
        <f t="shared" si="0"/>
        <v>21644.818169202801</v>
      </c>
    </row>
    <row r="19" spans="2:8">
      <c r="B19" s="16"/>
      <c r="C19" s="16"/>
      <c r="D19" s="19">
        <v>43556</v>
      </c>
      <c r="E19" s="19">
        <v>43585</v>
      </c>
      <c r="F19" s="20">
        <f>'Electricity export and import'!O13</f>
        <v>35016.056570000001</v>
      </c>
      <c r="G19" s="23">
        <v>0.48620000000000002</v>
      </c>
      <c r="H19" s="22">
        <f t="shared" si="0"/>
        <v>17024.806704334002</v>
      </c>
    </row>
    <row r="20" spans="2:8">
      <c r="B20" s="16"/>
      <c r="C20" s="16"/>
      <c r="D20" s="19">
        <v>43586</v>
      </c>
      <c r="E20" s="19">
        <v>43616</v>
      </c>
      <c r="F20" s="20">
        <f>'Electricity export and import'!O14</f>
        <v>37967.534</v>
      </c>
      <c r="G20" s="23">
        <v>0.48620000000000002</v>
      </c>
      <c r="H20" s="22">
        <f t="shared" si="0"/>
        <v>18459.8150308</v>
      </c>
    </row>
    <row r="21" spans="2:8">
      <c r="B21" s="16"/>
      <c r="C21" s="16"/>
      <c r="D21" s="19">
        <v>43617</v>
      </c>
      <c r="E21" s="19">
        <v>43646</v>
      </c>
      <c r="F21" s="20">
        <f>'Electricity export and import'!O15</f>
        <v>24355.342000000001</v>
      </c>
      <c r="G21" s="23">
        <v>0.48620000000000002</v>
      </c>
      <c r="H21" s="22">
        <f t="shared" si="0"/>
        <v>11841.567280400001</v>
      </c>
    </row>
    <row r="22" spans="2:8">
      <c r="B22" s="16"/>
      <c r="C22" s="16"/>
      <c r="D22" s="19">
        <v>43647</v>
      </c>
      <c r="E22" s="19">
        <v>43677</v>
      </c>
      <c r="F22" s="20">
        <f>'Electricity export and import'!O16</f>
        <v>27331.348000000002</v>
      </c>
      <c r="G22" s="23">
        <v>0.48620000000000002</v>
      </c>
      <c r="H22" s="22">
        <f t="shared" si="0"/>
        <v>13288.501397600001</v>
      </c>
    </row>
    <row r="23" spans="2:8">
      <c r="B23" s="16"/>
      <c r="C23" s="16"/>
      <c r="D23" s="19">
        <v>43678</v>
      </c>
      <c r="E23" s="19">
        <v>43708</v>
      </c>
      <c r="F23" s="20">
        <f>'Electricity export and import'!O17</f>
        <v>32709.93</v>
      </c>
      <c r="G23" s="23">
        <v>0.48620000000000002</v>
      </c>
      <c r="H23" s="22">
        <f t="shared" si="0"/>
        <v>15903.567966000001</v>
      </c>
    </row>
    <row r="24" spans="2:8">
      <c r="B24" s="16"/>
      <c r="C24" s="16"/>
      <c r="D24" s="19">
        <v>43709</v>
      </c>
      <c r="E24" s="19">
        <v>43738</v>
      </c>
      <c r="F24" s="20">
        <f>'Electricity export and import'!O18</f>
        <v>24203.454000000002</v>
      </c>
      <c r="G24" s="23">
        <v>0.48620000000000002</v>
      </c>
      <c r="H24" s="22">
        <f t="shared" si="0"/>
        <v>11767.719334800002</v>
      </c>
    </row>
    <row r="25" spans="2:8">
      <c r="B25" s="16"/>
      <c r="C25" s="16"/>
      <c r="D25" s="19">
        <v>43739</v>
      </c>
      <c r="E25" s="19">
        <v>43769</v>
      </c>
      <c r="F25" s="20">
        <f>'Electricity export and import'!O19</f>
        <v>23666.312999999998</v>
      </c>
      <c r="G25" s="23">
        <v>0.48620000000000002</v>
      </c>
      <c r="H25" s="22">
        <f t="shared" si="0"/>
        <v>11506.5613806</v>
      </c>
    </row>
    <row r="26" spans="2:8">
      <c r="B26" s="16"/>
      <c r="C26" s="16"/>
      <c r="D26" s="19">
        <v>43770</v>
      </c>
      <c r="E26" s="19">
        <v>43799</v>
      </c>
      <c r="F26" s="20">
        <f>'Electricity export and import'!O20</f>
        <v>41843.197</v>
      </c>
      <c r="G26" s="23">
        <v>0.48620000000000002</v>
      </c>
      <c r="H26" s="22">
        <f t="shared" si="0"/>
        <v>20344.162381400001</v>
      </c>
    </row>
    <row r="27" spans="2:8">
      <c r="B27" s="16"/>
      <c r="C27" s="16"/>
      <c r="D27" s="19">
        <v>43800</v>
      </c>
      <c r="E27" s="19">
        <v>43830</v>
      </c>
      <c r="F27" s="20">
        <f>'Electricity export and import'!O21</f>
        <v>45110.152999999998</v>
      </c>
      <c r="G27" s="23">
        <v>0.48620000000000002</v>
      </c>
      <c r="H27" s="22">
        <f t="shared" si="0"/>
        <v>21932.556388600002</v>
      </c>
    </row>
    <row r="28" spans="2:8">
      <c r="B28" s="16"/>
      <c r="C28" s="16"/>
      <c r="D28" s="84" t="s">
        <v>38</v>
      </c>
      <c r="E28" s="84"/>
      <c r="F28" s="48">
        <f>SUM(F16:F27)</f>
        <v>410198.553182</v>
      </c>
      <c r="G28" s="23"/>
      <c r="H28" s="63">
        <f>ROUNDDOWN(SUM(H16:H27),0)</f>
        <v>199438</v>
      </c>
    </row>
    <row r="29" spans="2:8">
      <c r="B29" s="16"/>
      <c r="C29" s="16"/>
      <c r="D29" s="19">
        <v>43831</v>
      </c>
      <c r="E29" s="19">
        <v>43861</v>
      </c>
      <c r="F29" s="20">
        <f>'Electricity export and import'!O22</f>
        <v>26697.946</v>
      </c>
      <c r="G29" s="23">
        <v>0.48620000000000002</v>
      </c>
      <c r="H29" s="22">
        <f t="shared" si="0"/>
        <v>12980.541345200001</v>
      </c>
    </row>
    <row r="30" spans="2:8">
      <c r="B30" s="16"/>
      <c r="C30" s="16"/>
      <c r="D30" s="19">
        <v>43862</v>
      </c>
      <c r="E30" s="19">
        <v>43890</v>
      </c>
      <c r="F30" s="20">
        <f>'Electricity export and import'!O23</f>
        <v>29642.920999999998</v>
      </c>
      <c r="G30" s="23">
        <v>0.48620000000000002</v>
      </c>
      <c r="H30" s="22">
        <f t="shared" si="0"/>
        <v>14412.388190199999</v>
      </c>
    </row>
    <row r="31" spans="2:8">
      <c r="B31" s="16"/>
      <c r="C31" s="16"/>
      <c r="D31" s="19">
        <v>43891</v>
      </c>
      <c r="E31" s="19">
        <v>43921</v>
      </c>
      <c r="F31" s="20">
        <f>'Electricity export and import'!O24</f>
        <v>34891.097999999998</v>
      </c>
      <c r="G31" s="23">
        <v>0.48620000000000002</v>
      </c>
      <c r="H31" s="22">
        <f t="shared" si="0"/>
        <v>16964.0518476</v>
      </c>
    </row>
    <row r="32" spans="2:8">
      <c r="B32" s="16"/>
      <c r="C32" s="16"/>
      <c r="D32" s="19">
        <v>43922</v>
      </c>
      <c r="E32" s="19">
        <v>43951</v>
      </c>
      <c r="F32" s="20">
        <f>'Electricity export and import'!O25</f>
        <v>38539.208531999997</v>
      </c>
      <c r="G32" s="23">
        <v>0.48620000000000002</v>
      </c>
      <c r="H32" s="22">
        <f t="shared" si="0"/>
        <v>18737.763188258399</v>
      </c>
    </row>
    <row r="33" spans="2:8">
      <c r="B33" s="16"/>
      <c r="C33" s="16"/>
      <c r="D33" s="19">
        <v>43952</v>
      </c>
      <c r="E33" s="19">
        <v>43982</v>
      </c>
      <c r="F33" s="20">
        <f>'Electricity export and import'!O26</f>
        <v>38862.361713999991</v>
      </c>
      <c r="G33" s="23">
        <v>0.48620000000000002</v>
      </c>
      <c r="H33" s="22">
        <f t="shared" si="0"/>
        <v>18894.880265346797</v>
      </c>
    </row>
    <row r="34" spans="2:8">
      <c r="B34" s="16"/>
      <c r="C34" s="16"/>
      <c r="D34" s="19">
        <v>43983</v>
      </c>
      <c r="E34" s="19">
        <v>44012</v>
      </c>
      <c r="F34" s="20">
        <f>'Electricity export and import'!O27</f>
        <v>29933.688289999998</v>
      </c>
      <c r="G34" s="23">
        <v>0.48620000000000002</v>
      </c>
      <c r="H34" s="22">
        <f t="shared" si="0"/>
        <v>14553.759246598</v>
      </c>
    </row>
    <row r="35" spans="2:8">
      <c r="B35" s="16"/>
      <c r="C35" s="16"/>
      <c r="D35" s="84" t="s">
        <v>39</v>
      </c>
      <c r="E35" s="84"/>
      <c r="F35" s="47">
        <f>SUM(F29:F34)</f>
        <v>198567.22353599998</v>
      </c>
      <c r="G35" s="23"/>
      <c r="H35" s="63">
        <f>ROUNDDOWN(SUM(H29:H34),0)</f>
        <v>96543</v>
      </c>
    </row>
    <row r="36" spans="2:8">
      <c r="B36" s="16"/>
      <c r="C36" s="16"/>
      <c r="D36" s="100"/>
      <c r="E36" s="100"/>
      <c r="F36" s="24"/>
      <c r="G36" s="24"/>
      <c r="H36" s="24"/>
    </row>
    <row r="37" spans="2:8">
      <c r="B37" s="16"/>
      <c r="C37" s="16"/>
      <c r="D37" s="5"/>
      <c r="E37" s="5"/>
      <c r="F37" s="6"/>
      <c r="G37" s="7"/>
      <c r="H37" s="6"/>
    </row>
    <row r="38" spans="2:8" ht="15.5">
      <c r="B38" s="89" t="s">
        <v>29</v>
      </c>
      <c r="C38" s="89"/>
      <c r="D38" s="16"/>
      <c r="E38" s="16"/>
      <c r="F38" s="16"/>
      <c r="G38" s="16"/>
      <c r="H38" s="16"/>
    </row>
    <row r="39" spans="2:8">
      <c r="B39" s="1"/>
      <c r="C39" s="1"/>
      <c r="D39" s="16"/>
      <c r="E39" s="16"/>
      <c r="F39" s="16"/>
      <c r="G39" s="16"/>
      <c r="H39" s="16"/>
    </row>
    <row r="40" spans="2:8">
      <c r="B40" s="16"/>
      <c r="C40" s="16"/>
      <c r="D40" s="16"/>
      <c r="E40" s="16"/>
      <c r="F40" s="3"/>
      <c r="G40" s="16"/>
      <c r="H40" s="16"/>
    </row>
    <row r="43" spans="2:8" ht="14.5" thickBot="1">
      <c r="B43" s="16"/>
      <c r="C43" s="16"/>
      <c r="D43" s="16"/>
      <c r="E43" s="16"/>
      <c r="F43" s="16"/>
    </row>
    <row r="44" spans="2:8">
      <c r="B44" s="90"/>
      <c r="C44" s="91"/>
      <c r="D44" s="2"/>
      <c r="E44" s="4" t="s">
        <v>30</v>
      </c>
    </row>
    <row r="45" spans="2:8">
      <c r="B45" s="92" t="s">
        <v>52</v>
      </c>
      <c r="C45" s="94" t="s">
        <v>27</v>
      </c>
      <c r="D45" s="96">
        <v>0.48620000000000002</v>
      </c>
      <c r="E45" s="82" t="s">
        <v>31</v>
      </c>
      <c r="G45" s="9">
        <v>143960</v>
      </c>
    </row>
    <row r="46" spans="2:8" ht="14.5" thickBot="1">
      <c r="B46" s="93"/>
      <c r="C46" s="95"/>
      <c r="D46" s="97"/>
      <c r="E46" s="83"/>
      <c r="G46" s="9">
        <f>G45*2</f>
        <v>287920</v>
      </c>
    </row>
  </sheetData>
  <mergeCells count="17">
    <mergeCell ref="B2:C2"/>
    <mergeCell ref="F6:F7"/>
    <mergeCell ref="H6:H7"/>
    <mergeCell ref="D36:E36"/>
    <mergeCell ref="D15:E15"/>
    <mergeCell ref="G6:G7"/>
    <mergeCell ref="B38:C38"/>
    <mergeCell ref="B44:C44"/>
    <mergeCell ref="B45:B46"/>
    <mergeCell ref="C45:C46"/>
    <mergeCell ref="D45:D46"/>
    <mergeCell ref="E45:E46"/>
    <mergeCell ref="D28:E28"/>
    <mergeCell ref="D35:E35"/>
    <mergeCell ref="D6:E6"/>
    <mergeCell ref="D7:D8"/>
    <mergeCell ref="E7:E8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8E1209-7208-4458-96DC-5A80D83BB710}">
  <dimension ref="A1"/>
  <sheetViews>
    <sheetView workbookViewId="0">
      <selection activeCell="R15" sqref="R15"/>
    </sheetView>
  </sheetViews>
  <sheetFormatPr defaultRowHeight="14.5"/>
  <sheetData/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1F772B-B38E-4B9E-A4AF-6468DD323A6E}">
  <dimension ref="F4:J38"/>
  <sheetViews>
    <sheetView tabSelected="1" topLeftCell="A31" zoomScaleNormal="100" workbookViewId="0">
      <selection activeCell="I38" sqref="I38"/>
    </sheetView>
  </sheetViews>
  <sheetFormatPr defaultColWidth="8.54296875" defaultRowHeight="14"/>
  <cols>
    <col min="1" max="5" width="8.54296875" style="9"/>
    <col min="6" max="6" width="30.1796875" style="9" customWidth="1"/>
    <col min="7" max="7" width="18" style="9" customWidth="1"/>
    <col min="8" max="8" width="17.54296875" style="9" customWidth="1"/>
    <col min="9" max="9" width="17.453125" style="9" customWidth="1"/>
    <col min="10" max="10" width="20.54296875" style="9" customWidth="1"/>
    <col min="11" max="16384" width="8.54296875" style="9"/>
  </cols>
  <sheetData>
    <row r="4" spans="6:10" ht="28">
      <c r="F4" s="102" t="s">
        <v>41</v>
      </c>
      <c r="G4" s="8" t="s">
        <v>28</v>
      </c>
      <c r="H4" s="8" t="s">
        <v>42</v>
      </c>
      <c r="I4" s="8" t="s">
        <v>43</v>
      </c>
      <c r="J4" s="8" t="s">
        <v>44</v>
      </c>
    </row>
    <row r="5" spans="6:10" ht="16">
      <c r="F5" s="102"/>
      <c r="G5" s="10" t="s">
        <v>46</v>
      </c>
      <c r="H5" s="10" t="s">
        <v>47</v>
      </c>
      <c r="I5" s="10" t="s">
        <v>45</v>
      </c>
      <c r="J5" s="10" t="s">
        <v>48</v>
      </c>
    </row>
    <row r="6" spans="6:10" ht="16">
      <c r="F6" s="102"/>
      <c r="G6" s="10" t="s">
        <v>49</v>
      </c>
      <c r="H6" s="10" t="s">
        <v>49</v>
      </c>
      <c r="I6" s="10" t="s">
        <v>49</v>
      </c>
      <c r="J6" s="10" t="s">
        <v>49</v>
      </c>
    </row>
    <row r="7" spans="6:10">
      <c r="F7" s="27" t="s">
        <v>53</v>
      </c>
      <c r="G7" s="11">
        <f>'Baseline Emissions'!H9</f>
        <v>8392.4168328000014</v>
      </c>
      <c r="H7" s="11">
        <v>0</v>
      </c>
      <c r="I7" s="11">
        <v>0</v>
      </c>
      <c r="J7" s="11">
        <f t="shared" ref="J7:J32" si="0">G7-H7-I7</f>
        <v>8392.4168328000014</v>
      </c>
    </row>
    <row r="8" spans="6:10">
      <c r="F8" s="27" t="s">
        <v>54</v>
      </c>
      <c r="G8" s="11">
        <f>'Baseline Emissions'!H10</f>
        <v>17367.215208200003</v>
      </c>
      <c r="H8" s="12">
        <v>0</v>
      </c>
      <c r="I8" s="12">
        <v>0</v>
      </c>
      <c r="J8" s="11">
        <f t="shared" si="0"/>
        <v>17367.215208200003</v>
      </c>
    </row>
    <row r="9" spans="6:10">
      <c r="F9" s="27" t="s">
        <v>55</v>
      </c>
      <c r="G9" s="11">
        <f>'Baseline Emissions'!H11</f>
        <v>16422.776570200003</v>
      </c>
      <c r="H9" s="12">
        <v>0</v>
      </c>
      <c r="I9" s="12">
        <v>0</v>
      </c>
      <c r="J9" s="11">
        <f t="shared" si="0"/>
        <v>16422.776570200003</v>
      </c>
    </row>
    <row r="10" spans="6:10">
      <c r="F10" s="27" t="s">
        <v>56</v>
      </c>
      <c r="G10" s="11">
        <f>'Baseline Emissions'!H12</f>
        <v>14910.893912200001</v>
      </c>
      <c r="H10" s="12">
        <v>0</v>
      </c>
      <c r="I10" s="12">
        <v>0</v>
      </c>
      <c r="J10" s="11">
        <f t="shared" si="0"/>
        <v>14910.893912200001</v>
      </c>
    </row>
    <row r="11" spans="6:10">
      <c r="F11" s="27" t="s">
        <v>57</v>
      </c>
      <c r="G11" s="11">
        <f>'Baseline Emissions'!H13</f>
        <v>13386.892243696399</v>
      </c>
      <c r="H11" s="12">
        <v>0</v>
      </c>
      <c r="I11" s="12">
        <v>0</v>
      </c>
      <c r="J11" s="11">
        <f t="shared" si="0"/>
        <v>13386.892243696399</v>
      </c>
    </row>
    <row r="12" spans="6:10">
      <c r="F12" s="27" t="s">
        <v>58</v>
      </c>
      <c r="G12" s="11">
        <f>'Baseline Emissions'!H14</f>
        <v>15693.210745212002</v>
      </c>
      <c r="H12" s="12">
        <v>0</v>
      </c>
      <c r="I12" s="12">
        <v>0</v>
      </c>
      <c r="J12" s="11">
        <f t="shared" si="0"/>
        <v>15693.210745212002</v>
      </c>
    </row>
    <row r="13" spans="6:10">
      <c r="F13" s="28" t="s">
        <v>37</v>
      </c>
      <c r="G13" s="49">
        <f>SUM(G7:G12)</f>
        <v>86173.405512308396</v>
      </c>
      <c r="H13" s="49">
        <f t="shared" ref="H13:I13" si="1">SUM(H7:H12)</f>
        <v>0</v>
      </c>
      <c r="I13" s="49">
        <f t="shared" si="1"/>
        <v>0</v>
      </c>
      <c r="J13" s="64">
        <f>ROUNDDOWN(SUM(J7:J12),0)</f>
        <v>86173</v>
      </c>
    </row>
    <row r="14" spans="6:10">
      <c r="F14" s="27" t="s">
        <v>59</v>
      </c>
      <c r="G14" s="11">
        <f>'Baseline Emissions'!H16</f>
        <v>17393.645156888004</v>
      </c>
      <c r="H14" s="12">
        <v>0</v>
      </c>
      <c r="I14" s="12">
        <v>0</v>
      </c>
      <c r="J14" s="11">
        <f t="shared" si="0"/>
        <v>17393.645156888004</v>
      </c>
    </row>
    <row r="15" spans="6:10">
      <c r="F15" s="27" t="s">
        <v>75</v>
      </c>
      <c r="G15" s="11">
        <f>'Baseline Emissions'!H17</f>
        <v>18330.815366463601</v>
      </c>
      <c r="H15" s="12">
        <v>0</v>
      </c>
      <c r="I15" s="12">
        <v>0</v>
      </c>
      <c r="J15" s="11">
        <f t="shared" si="0"/>
        <v>18330.815366463601</v>
      </c>
    </row>
    <row r="16" spans="6:10">
      <c r="F16" s="27" t="s">
        <v>60</v>
      </c>
      <c r="G16" s="11">
        <f>'Baseline Emissions'!H18</f>
        <v>21644.818169202801</v>
      </c>
      <c r="H16" s="12">
        <v>0</v>
      </c>
      <c r="I16" s="12">
        <v>0</v>
      </c>
      <c r="J16" s="11">
        <f t="shared" si="0"/>
        <v>21644.818169202801</v>
      </c>
    </row>
    <row r="17" spans="6:10">
      <c r="F17" s="27" t="s">
        <v>61</v>
      </c>
      <c r="G17" s="11">
        <f>'Baseline Emissions'!H19</f>
        <v>17024.806704334002</v>
      </c>
      <c r="H17" s="12">
        <v>0</v>
      </c>
      <c r="I17" s="12">
        <v>0</v>
      </c>
      <c r="J17" s="11">
        <f t="shared" si="0"/>
        <v>17024.806704334002</v>
      </c>
    </row>
    <row r="18" spans="6:10">
      <c r="F18" s="27" t="s">
        <v>62</v>
      </c>
      <c r="G18" s="11">
        <f>'Baseline Emissions'!H20</f>
        <v>18459.8150308</v>
      </c>
      <c r="H18" s="12">
        <v>0</v>
      </c>
      <c r="I18" s="12">
        <v>0</v>
      </c>
      <c r="J18" s="11">
        <f t="shared" si="0"/>
        <v>18459.8150308</v>
      </c>
    </row>
    <row r="19" spans="6:10">
      <c r="F19" s="27" t="s">
        <v>63</v>
      </c>
      <c r="G19" s="11">
        <f>'Baseline Emissions'!H21</f>
        <v>11841.567280400001</v>
      </c>
      <c r="H19" s="12">
        <v>0</v>
      </c>
      <c r="I19" s="12">
        <v>0</v>
      </c>
      <c r="J19" s="11">
        <f t="shared" si="0"/>
        <v>11841.567280400001</v>
      </c>
    </row>
    <row r="20" spans="6:10">
      <c r="F20" s="27" t="s">
        <v>64</v>
      </c>
      <c r="G20" s="11">
        <f>'Baseline Emissions'!H22</f>
        <v>13288.501397600001</v>
      </c>
      <c r="H20" s="12">
        <v>0</v>
      </c>
      <c r="I20" s="12">
        <v>0</v>
      </c>
      <c r="J20" s="11">
        <f t="shared" si="0"/>
        <v>13288.501397600001</v>
      </c>
    </row>
    <row r="21" spans="6:10">
      <c r="F21" s="27" t="s">
        <v>65</v>
      </c>
      <c r="G21" s="11">
        <f>'Baseline Emissions'!H23</f>
        <v>15903.567966000001</v>
      </c>
      <c r="H21" s="12">
        <v>0</v>
      </c>
      <c r="I21" s="12">
        <v>0</v>
      </c>
      <c r="J21" s="11">
        <f t="shared" si="0"/>
        <v>15903.567966000001</v>
      </c>
    </row>
    <row r="22" spans="6:10">
      <c r="F22" s="27" t="s">
        <v>66</v>
      </c>
      <c r="G22" s="11">
        <f>'Baseline Emissions'!H24</f>
        <v>11767.719334800002</v>
      </c>
      <c r="H22" s="12">
        <v>0</v>
      </c>
      <c r="I22" s="12">
        <v>0</v>
      </c>
      <c r="J22" s="11">
        <f t="shared" si="0"/>
        <v>11767.719334800002</v>
      </c>
    </row>
    <row r="23" spans="6:10">
      <c r="F23" s="27" t="s">
        <v>67</v>
      </c>
      <c r="G23" s="11">
        <f>'Baseline Emissions'!H25</f>
        <v>11506.5613806</v>
      </c>
      <c r="H23" s="12">
        <v>0</v>
      </c>
      <c r="I23" s="12">
        <v>0</v>
      </c>
      <c r="J23" s="11">
        <f t="shared" si="0"/>
        <v>11506.5613806</v>
      </c>
    </row>
    <row r="24" spans="6:10">
      <c r="F24" s="27" t="s">
        <v>68</v>
      </c>
      <c r="G24" s="11">
        <f>'Baseline Emissions'!H26</f>
        <v>20344.162381400001</v>
      </c>
      <c r="H24" s="12">
        <v>0</v>
      </c>
      <c r="I24" s="12">
        <v>0</v>
      </c>
      <c r="J24" s="11">
        <f t="shared" si="0"/>
        <v>20344.162381400001</v>
      </c>
    </row>
    <row r="25" spans="6:10">
      <c r="F25" s="27" t="s">
        <v>69</v>
      </c>
      <c r="G25" s="11">
        <f>'Baseline Emissions'!H27</f>
        <v>21932.556388600002</v>
      </c>
      <c r="H25" s="12">
        <v>0</v>
      </c>
      <c r="I25" s="12">
        <v>0</v>
      </c>
      <c r="J25" s="11">
        <f t="shared" si="0"/>
        <v>21932.556388600002</v>
      </c>
    </row>
    <row r="26" spans="6:10">
      <c r="F26" s="29" t="s">
        <v>38</v>
      </c>
      <c r="G26" s="49">
        <f>SUM(G14:G25)</f>
        <v>199438.53655708843</v>
      </c>
      <c r="H26" s="49">
        <f t="shared" ref="H26:I26" si="2">SUM(H14:H25)</f>
        <v>0</v>
      </c>
      <c r="I26" s="49">
        <f t="shared" si="2"/>
        <v>0</v>
      </c>
      <c r="J26" s="64">
        <f>ROUNDDOWN(SUM(J14:J25),0)</f>
        <v>199438</v>
      </c>
    </row>
    <row r="27" spans="6:10">
      <c r="F27" s="27" t="s">
        <v>70</v>
      </c>
      <c r="G27" s="11">
        <f>'Baseline Emissions'!H29</f>
        <v>12980.541345200001</v>
      </c>
      <c r="H27" s="12">
        <v>0</v>
      </c>
      <c r="I27" s="12">
        <v>0</v>
      </c>
      <c r="J27" s="11">
        <f t="shared" si="0"/>
        <v>12980.541345200001</v>
      </c>
    </row>
    <row r="28" spans="6:10">
      <c r="F28" s="27" t="s">
        <v>76</v>
      </c>
      <c r="G28" s="11">
        <f>'Baseline Emissions'!H30</f>
        <v>14412.388190199999</v>
      </c>
      <c r="H28" s="12">
        <v>0</v>
      </c>
      <c r="I28" s="12">
        <v>0</v>
      </c>
      <c r="J28" s="11">
        <f t="shared" si="0"/>
        <v>14412.388190199999</v>
      </c>
    </row>
    <row r="29" spans="6:10">
      <c r="F29" s="27" t="s">
        <v>71</v>
      </c>
      <c r="G29" s="11">
        <f>'Baseline Emissions'!H31</f>
        <v>16964.0518476</v>
      </c>
      <c r="H29" s="12">
        <v>0</v>
      </c>
      <c r="I29" s="12">
        <v>0</v>
      </c>
      <c r="J29" s="11">
        <f t="shared" si="0"/>
        <v>16964.0518476</v>
      </c>
    </row>
    <row r="30" spans="6:10">
      <c r="F30" s="27" t="s">
        <v>72</v>
      </c>
      <c r="G30" s="11">
        <f>'Baseline Emissions'!H32</f>
        <v>18737.763188258399</v>
      </c>
      <c r="H30" s="12">
        <v>0</v>
      </c>
      <c r="I30" s="12">
        <v>0</v>
      </c>
      <c r="J30" s="11">
        <f t="shared" si="0"/>
        <v>18737.763188258399</v>
      </c>
    </row>
    <row r="31" spans="6:10">
      <c r="F31" s="27" t="s">
        <v>73</v>
      </c>
      <c r="G31" s="11">
        <f>'Baseline Emissions'!H33</f>
        <v>18894.880265346797</v>
      </c>
      <c r="H31" s="12">
        <v>0</v>
      </c>
      <c r="I31" s="12">
        <v>0</v>
      </c>
      <c r="J31" s="11">
        <f t="shared" si="0"/>
        <v>18894.880265346797</v>
      </c>
    </row>
    <row r="32" spans="6:10">
      <c r="F32" s="27" t="s">
        <v>74</v>
      </c>
      <c r="G32" s="11">
        <f>'Baseline Emissions'!H34</f>
        <v>14553.759246598</v>
      </c>
      <c r="H32" s="12">
        <v>0</v>
      </c>
      <c r="I32" s="12">
        <v>0</v>
      </c>
      <c r="J32" s="11">
        <f t="shared" si="0"/>
        <v>14553.759246598</v>
      </c>
    </row>
    <row r="33" spans="6:10">
      <c r="F33" s="29" t="s">
        <v>39</v>
      </c>
      <c r="G33" s="49">
        <f>SUM(G27:G32)</f>
        <v>96543.3840832032</v>
      </c>
      <c r="H33" s="49">
        <f t="shared" ref="H33:I33" si="3">SUM(H27:H32)</f>
        <v>0</v>
      </c>
      <c r="I33" s="49">
        <f t="shared" si="3"/>
        <v>0</v>
      </c>
      <c r="J33" s="64">
        <f>ROUNDDOWN(SUM(J27:J32),0)</f>
        <v>96543</v>
      </c>
    </row>
    <row r="34" spans="6:10">
      <c r="F34" s="13" t="s">
        <v>50</v>
      </c>
      <c r="G34" s="49"/>
      <c r="H34" s="49"/>
      <c r="I34" s="49"/>
      <c r="J34" s="49">
        <f>ROUNDDOWN(J13+J26+J33,0)</f>
        <v>382154</v>
      </c>
    </row>
    <row r="35" spans="6:10">
      <c r="F35" s="14"/>
      <c r="G35" s="15"/>
      <c r="H35" s="15"/>
      <c r="I35" s="15"/>
      <c r="J35" s="15"/>
    </row>
    <row r="37" spans="6:10" ht="28">
      <c r="F37" s="110" t="s">
        <v>163</v>
      </c>
      <c r="G37" s="112">
        <f>J34</f>
        <v>382154</v>
      </c>
    </row>
    <row r="38" spans="6:10" ht="90" customHeight="1">
      <c r="F38" s="110" t="s">
        <v>164</v>
      </c>
      <c r="G38" s="111">
        <f>'Emission reduction Claimed'!F6</f>
        <v>316720.40400000004</v>
      </c>
    </row>
  </sheetData>
  <mergeCells count="1">
    <mergeCell ref="F4:F6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80B227-4A9D-4A4B-9327-CA2608D5F73F}">
  <dimension ref="A1:U30"/>
  <sheetViews>
    <sheetView topLeftCell="I1" zoomScale="76" zoomScaleNormal="60" workbookViewId="0">
      <selection activeCell="Q20" sqref="Q20"/>
    </sheetView>
  </sheetViews>
  <sheetFormatPr defaultColWidth="8.54296875" defaultRowHeight="14"/>
  <cols>
    <col min="1" max="1" width="8.54296875" style="9" customWidth="1"/>
    <col min="2" max="2" width="8.54296875" style="9"/>
    <col min="3" max="3" width="45.54296875" style="9" bestFit="1" customWidth="1"/>
    <col min="4" max="4" width="18" style="9" bestFit="1" customWidth="1"/>
    <col min="5" max="7" width="8.54296875" style="9"/>
    <col min="8" max="8" width="44" style="9" bestFit="1" customWidth="1"/>
    <col min="9" max="9" width="18" style="9" bestFit="1" customWidth="1"/>
    <col min="10" max="12" width="8.54296875" style="9"/>
    <col min="13" max="13" width="41.453125" style="9" bestFit="1" customWidth="1"/>
    <col min="14" max="14" width="45.54296875" style="9" bestFit="1" customWidth="1"/>
    <col min="15" max="15" width="31.453125" style="9" customWidth="1"/>
    <col min="16" max="16" width="8.54296875" style="9"/>
    <col min="17" max="17" width="12.54296875" style="9" customWidth="1"/>
    <col min="18" max="18" width="26.54296875" style="9" customWidth="1"/>
    <col min="19" max="19" width="8.54296875" style="9"/>
    <col min="20" max="20" width="26.453125" style="9" customWidth="1"/>
    <col min="21" max="21" width="34.54296875" style="9" customWidth="1"/>
    <col min="22" max="16384" width="8.54296875" style="9"/>
  </cols>
  <sheetData>
    <row r="1" spans="1:21" ht="22.4" customHeight="1"/>
    <row r="2" spans="1:21" ht="14.9" customHeight="1">
      <c r="A2" s="104" t="s">
        <v>26</v>
      </c>
      <c r="B2" s="104" t="s">
        <v>77</v>
      </c>
      <c r="C2" s="103" t="s">
        <v>78</v>
      </c>
      <c r="D2" s="103"/>
      <c r="E2" s="37"/>
      <c r="F2" s="104" t="s">
        <v>26</v>
      </c>
      <c r="G2" s="104" t="s">
        <v>0</v>
      </c>
      <c r="H2" s="103" t="s">
        <v>79</v>
      </c>
      <c r="I2" s="103"/>
      <c r="K2" s="104" t="s">
        <v>26</v>
      </c>
      <c r="L2" s="104" t="s">
        <v>0</v>
      </c>
      <c r="M2" s="103" t="s">
        <v>79</v>
      </c>
      <c r="N2" s="103" t="s">
        <v>78</v>
      </c>
      <c r="O2" s="25" t="s">
        <v>80</v>
      </c>
    </row>
    <row r="3" spans="1:21" ht="75" customHeight="1">
      <c r="A3" s="104"/>
      <c r="B3" s="104"/>
      <c r="C3" s="25" t="s">
        <v>87</v>
      </c>
      <c r="D3" s="39" t="s">
        <v>88</v>
      </c>
      <c r="E3" s="38"/>
      <c r="F3" s="104"/>
      <c r="G3" s="104"/>
      <c r="H3" s="25" t="s">
        <v>87</v>
      </c>
      <c r="I3" s="39" t="s">
        <v>88</v>
      </c>
      <c r="K3" s="104"/>
      <c r="L3" s="104"/>
      <c r="M3" s="103"/>
      <c r="N3" s="103"/>
      <c r="O3" s="13" t="s">
        <v>81</v>
      </c>
      <c r="Q3" s="40"/>
      <c r="R3" s="40"/>
      <c r="T3" s="31" t="s">
        <v>13</v>
      </c>
      <c r="U3" s="30" t="s">
        <v>14</v>
      </c>
    </row>
    <row r="4" spans="1:21">
      <c r="A4" s="104">
        <v>2018</v>
      </c>
      <c r="B4" s="14" t="s">
        <v>7</v>
      </c>
      <c r="C4" s="51">
        <v>56.616999999999997</v>
      </c>
      <c r="D4" s="33">
        <f>C4</f>
        <v>56.616999999999997</v>
      </c>
      <c r="F4" s="104">
        <v>2018</v>
      </c>
      <c r="G4" s="14" t="s">
        <v>7</v>
      </c>
      <c r="H4" s="51">
        <v>17317.861000000001</v>
      </c>
      <c r="I4" s="44">
        <f>H4</f>
        <v>17317.861000000001</v>
      </c>
      <c r="J4" s="34"/>
      <c r="K4" s="104">
        <v>2018</v>
      </c>
      <c r="L4" s="14" t="s">
        <v>7</v>
      </c>
      <c r="M4" s="44">
        <f>I4</f>
        <v>17317.861000000001</v>
      </c>
      <c r="N4" s="44">
        <f t="shared" ref="N4:N27" si="0">D4</f>
        <v>56.616999999999997</v>
      </c>
      <c r="O4" s="44">
        <f>M4-N4</f>
        <v>17261.244000000002</v>
      </c>
      <c r="Q4" s="41"/>
      <c r="R4" s="42"/>
      <c r="T4" s="15">
        <f>SUM(Q4:Q9)</f>
        <v>0</v>
      </c>
      <c r="U4" s="35">
        <f>T4*0.4862</f>
        <v>0</v>
      </c>
    </row>
    <row r="5" spans="1:21">
      <c r="A5" s="104"/>
      <c r="B5" s="14" t="s">
        <v>2</v>
      </c>
      <c r="C5" s="51">
        <v>76.813000000000002</v>
      </c>
      <c r="D5" s="33">
        <f>C5</f>
        <v>76.813000000000002</v>
      </c>
      <c r="F5" s="104"/>
      <c r="G5" s="14" t="s">
        <v>2</v>
      </c>
      <c r="H5" s="51">
        <v>35797.124000000003</v>
      </c>
      <c r="I5" s="44">
        <f>H5</f>
        <v>35797.124000000003</v>
      </c>
      <c r="K5" s="104"/>
      <c r="L5" s="14" t="s">
        <v>2</v>
      </c>
      <c r="M5" s="44">
        <f t="shared" ref="M5:M27" si="1">I5</f>
        <v>35797.124000000003</v>
      </c>
      <c r="N5" s="44">
        <f t="shared" si="0"/>
        <v>76.813000000000002</v>
      </c>
      <c r="O5" s="44">
        <f t="shared" ref="O5:O27" si="2">M5-N5</f>
        <v>35720.311000000002</v>
      </c>
      <c r="Q5" s="41"/>
      <c r="R5" s="42"/>
      <c r="T5" s="15">
        <f>SUM(Q10:Q21)</f>
        <v>0</v>
      </c>
      <c r="U5" s="35">
        <f>T5*0.4862</f>
        <v>0</v>
      </c>
    </row>
    <row r="6" spans="1:21">
      <c r="A6" s="104"/>
      <c r="B6" s="14" t="s">
        <v>3</v>
      </c>
      <c r="C6" s="51">
        <v>44.923999999999999</v>
      </c>
      <c r="D6" s="33">
        <f>C6</f>
        <v>44.923999999999999</v>
      </c>
      <c r="F6" s="104"/>
      <c r="G6" s="14" t="s">
        <v>3</v>
      </c>
      <c r="H6" s="51">
        <v>33822.745000000003</v>
      </c>
      <c r="I6" s="44">
        <f>H6</f>
        <v>33822.745000000003</v>
      </c>
      <c r="K6" s="104"/>
      <c r="L6" s="14" t="s">
        <v>3</v>
      </c>
      <c r="M6" s="44">
        <f t="shared" si="1"/>
        <v>33822.745000000003</v>
      </c>
      <c r="N6" s="44">
        <f t="shared" si="0"/>
        <v>44.923999999999999</v>
      </c>
      <c r="O6" s="44">
        <f t="shared" si="2"/>
        <v>33777.821000000004</v>
      </c>
      <c r="Q6" s="41"/>
      <c r="R6" s="42"/>
      <c r="T6" s="15">
        <f>SUM(Q22:Q27)</f>
        <v>0</v>
      </c>
      <c r="U6" s="35">
        <f>T6*0.4862</f>
        <v>0</v>
      </c>
    </row>
    <row r="7" spans="1:21">
      <c r="A7" s="104"/>
      <c r="B7" s="14" t="s">
        <v>4</v>
      </c>
      <c r="C7" s="51">
        <v>46.475000000000001</v>
      </c>
      <c r="D7" s="33">
        <f>C7</f>
        <v>46.475000000000001</v>
      </c>
      <c r="F7" s="104"/>
      <c r="G7" s="14" t="s">
        <v>4</v>
      </c>
      <c r="H7" s="51">
        <v>30714.705999999998</v>
      </c>
      <c r="I7" s="44">
        <f>H7</f>
        <v>30714.705999999998</v>
      </c>
      <c r="K7" s="104"/>
      <c r="L7" s="14" t="s">
        <v>4</v>
      </c>
      <c r="M7" s="44">
        <f t="shared" si="1"/>
        <v>30714.705999999998</v>
      </c>
      <c r="N7" s="44">
        <f t="shared" si="0"/>
        <v>46.475000000000001</v>
      </c>
      <c r="O7" s="44">
        <f t="shared" si="2"/>
        <v>30668.231</v>
      </c>
      <c r="Q7" s="41"/>
      <c r="R7" s="42"/>
      <c r="T7" s="15">
        <f>SUM(T4:T6)</f>
        <v>0</v>
      </c>
      <c r="U7" s="36">
        <f>SUM(U4:U6)</f>
        <v>0</v>
      </c>
    </row>
    <row r="8" spans="1:21">
      <c r="A8" s="104"/>
      <c r="B8" s="14" t="s">
        <v>5</v>
      </c>
      <c r="C8" s="51">
        <v>54.439</v>
      </c>
      <c r="D8" s="32">
        <f>C8*(1+0.2%)</f>
        <v>54.547877999999997</v>
      </c>
      <c r="F8" s="104"/>
      <c r="G8" s="14" t="s">
        <v>5</v>
      </c>
      <c r="H8" s="51">
        <v>27643.55</v>
      </c>
      <c r="I8" s="45">
        <f>H8*(1-0.2%)</f>
        <v>27588.262899999998</v>
      </c>
      <c r="K8" s="104"/>
      <c r="L8" s="14" t="s">
        <v>5</v>
      </c>
      <c r="M8" s="45">
        <f t="shared" si="1"/>
        <v>27588.262899999998</v>
      </c>
      <c r="N8" s="45">
        <f t="shared" si="0"/>
        <v>54.547877999999997</v>
      </c>
      <c r="O8" s="45">
        <f t="shared" si="2"/>
        <v>27533.715021999997</v>
      </c>
      <c r="Q8" s="41"/>
      <c r="R8" s="42"/>
    </row>
    <row r="9" spans="1:21">
      <c r="A9" s="104"/>
      <c r="B9" s="14" t="s">
        <v>8</v>
      </c>
      <c r="C9" s="51">
        <v>76.802000000000007</v>
      </c>
      <c r="D9" s="32">
        <f t="shared" ref="D9:D13" si="3">C9*(1+0.2%)</f>
        <v>76.955604000000008</v>
      </c>
      <c r="F9" s="104"/>
      <c r="G9" s="14" t="s">
        <v>8</v>
      </c>
      <c r="H9" s="51">
        <v>32419.067999999999</v>
      </c>
      <c r="I9" s="45">
        <f t="shared" ref="I9:I13" si="4">H9*(1-0.2%)</f>
        <v>32354.229864000001</v>
      </c>
      <c r="K9" s="104"/>
      <c r="L9" s="14" t="s">
        <v>8</v>
      </c>
      <c r="M9" s="45">
        <f t="shared" si="1"/>
        <v>32354.229864000001</v>
      </c>
      <c r="N9" s="45">
        <f t="shared" si="0"/>
        <v>76.955604000000008</v>
      </c>
      <c r="O9" s="45">
        <f t="shared" si="2"/>
        <v>32277.274260000002</v>
      </c>
      <c r="Q9" s="41"/>
      <c r="R9" s="42"/>
    </row>
    <row r="10" spans="1:21">
      <c r="A10" s="104">
        <v>2019</v>
      </c>
      <c r="B10" s="14" t="s">
        <v>6</v>
      </c>
      <c r="C10" s="51">
        <v>53.9</v>
      </c>
      <c r="D10" s="32">
        <f t="shared" si="3"/>
        <v>54.007799999999996</v>
      </c>
      <c r="F10" s="104">
        <v>2019</v>
      </c>
      <c r="G10" s="14" t="s">
        <v>6</v>
      </c>
      <c r="H10" s="51">
        <v>35900.480000000003</v>
      </c>
      <c r="I10" s="45">
        <f>H10*(1-0.2%)</f>
        <v>35828.679040000003</v>
      </c>
      <c r="K10" s="104">
        <v>2019</v>
      </c>
      <c r="L10" s="14" t="s">
        <v>6</v>
      </c>
      <c r="M10" s="45">
        <f t="shared" si="1"/>
        <v>35828.679040000003</v>
      </c>
      <c r="N10" s="45">
        <f t="shared" si="0"/>
        <v>54.007799999999996</v>
      </c>
      <c r="O10" s="45">
        <f t="shared" si="2"/>
        <v>35774.671240000003</v>
      </c>
      <c r="Q10" s="41"/>
      <c r="R10" s="42"/>
    </row>
    <row r="11" spans="1:21">
      <c r="A11" s="104"/>
      <c r="B11" s="14" t="s">
        <v>12</v>
      </c>
      <c r="C11" s="51">
        <v>67.287000000000006</v>
      </c>
      <c r="D11" s="32">
        <f t="shared" si="3"/>
        <v>67.421574000000007</v>
      </c>
      <c r="F11" s="104"/>
      <c r="G11" s="14" t="s">
        <v>12</v>
      </c>
      <c r="H11" s="51">
        <v>37845.324000000001</v>
      </c>
      <c r="I11" s="45">
        <f t="shared" si="4"/>
        <v>37769.633351999997</v>
      </c>
      <c r="K11" s="104"/>
      <c r="L11" s="14" t="s">
        <v>12</v>
      </c>
      <c r="M11" s="45">
        <f t="shared" si="1"/>
        <v>37769.633351999997</v>
      </c>
      <c r="N11" s="45">
        <f t="shared" si="0"/>
        <v>67.421574000000007</v>
      </c>
      <c r="O11" s="45">
        <f t="shared" si="2"/>
        <v>37702.211777999997</v>
      </c>
      <c r="Q11" s="41"/>
      <c r="R11" s="42"/>
    </row>
    <row r="12" spans="1:21">
      <c r="A12" s="104"/>
      <c r="B12" s="14" t="s">
        <v>9</v>
      </c>
      <c r="C12" s="51">
        <v>34.253999999999998</v>
      </c>
      <c r="D12" s="32">
        <f t="shared" si="3"/>
        <v>34.322507999999999</v>
      </c>
      <c r="F12" s="104"/>
      <c r="G12" s="14" t="s">
        <v>9</v>
      </c>
      <c r="H12" s="51">
        <v>44641.949000000001</v>
      </c>
      <c r="I12" s="45">
        <f t="shared" si="4"/>
        <v>44552.665101999999</v>
      </c>
      <c r="K12" s="104"/>
      <c r="L12" s="14" t="s">
        <v>9</v>
      </c>
      <c r="M12" s="45">
        <f t="shared" si="1"/>
        <v>44552.665101999999</v>
      </c>
      <c r="N12" s="45">
        <f t="shared" si="0"/>
        <v>34.322507999999999</v>
      </c>
      <c r="O12" s="45">
        <f t="shared" si="2"/>
        <v>44518.342594000002</v>
      </c>
      <c r="Q12" s="41"/>
      <c r="R12" s="42"/>
    </row>
    <row r="13" spans="1:21">
      <c r="A13" s="104"/>
      <c r="B13" s="14" t="s">
        <v>10</v>
      </c>
      <c r="C13" s="51">
        <v>54.384</v>
      </c>
      <c r="D13" s="32">
        <f t="shared" si="3"/>
        <v>54.492767999999998</v>
      </c>
      <c r="F13" s="104"/>
      <c r="G13" s="14" t="s">
        <v>10</v>
      </c>
      <c r="H13" s="51">
        <v>35140.830999999998</v>
      </c>
      <c r="I13" s="45">
        <f t="shared" si="4"/>
        <v>35070.549337999997</v>
      </c>
      <c r="K13" s="104"/>
      <c r="L13" s="14" t="s">
        <v>10</v>
      </c>
      <c r="M13" s="45">
        <f t="shared" si="1"/>
        <v>35070.549337999997</v>
      </c>
      <c r="N13" s="45">
        <f t="shared" si="0"/>
        <v>54.492767999999998</v>
      </c>
      <c r="O13" s="45">
        <f t="shared" si="2"/>
        <v>35016.056570000001</v>
      </c>
      <c r="Q13" s="41"/>
      <c r="R13" s="42"/>
    </row>
    <row r="14" spans="1:21">
      <c r="A14" s="104"/>
      <c r="B14" s="14" t="s">
        <v>11</v>
      </c>
      <c r="C14" s="51">
        <v>24.904</v>
      </c>
      <c r="D14" s="33">
        <f t="shared" ref="D14:D24" si="5">C14</f>
        <v>24.904</v>
      </c>
      <c r="F14" s="104"/>
      <c r="G14" s="14" t="s">
        <v>11</v>
      </c>
      <c r="H14" s="51">
        <v>37992.438000000002</v>
      </c>
      <c r="I14" s="44">
        <f t="shared" ref="I14:I24" si="6">H14</f>
        <v>37992.438000000002</v>
      </c>
      <c r="K14" s="104"/>
      <c r="L14" s="14" t="s">
        <v>11</v>
      </c>
      <c r="M14" s="44">
        <f t="shared" si="1"/>
        <v>37992.438000000002</v>
      </c>
      <c r="N14" s="44">
        <f t="shared" si="0"/>
        <v>24.904</v>
      </c>
      <c r="O14" s="44">
        <f t="shared" si="2"/>
        <v>37967.534</v>
      </c>
      <c r="Q14" s="41"/>
      <c r="R14" s="42"/>
    </row>
    <row r="15" spans="1:21">
      <c r="A15" s="104"/>
      <c r="B15" s="14" t="s">
        <v>1</v>
      </c>
      <c r="C15" s="51">
        <v>96.843999999999994</v>
      </c>
      <c r="D15" s="33">
        <f t="shared" si="5"/>
        <v>96.843999999999994</v>
      </c>
      <c r="F15" s="104"/>
      <c r="G15" s="14" t="s">
        <v>1</v>
      </c>
      <c r="H15" s="51">
        <v>24452.186000000002</v>
      </c>
      <c r="I15" s="44">
        <f t="shared" si="6"/>
        <v>24452.186000000002</v>
      </c>
      <c r="K15" s="104"/>
      <c r="L15" s="14" t="s">
        <v>1</v>
      </c>
      <c r="M15" s="44">
        <f t="shared" si="1"/>
        <v>24452.186000000002</v>
      </c>
      <c r="N15" s="44">
        <f t="shared" si="0"/>
        <v>96.843999999999994</v>
      </c>
      <c r="O15" s="44">
        <f t="shared" si="2"/>
        <v>24355.342000000001</v>
      </c>
      <c r="Q15" s="41"/>
      <c r="R15" s="42"/>
    </row>
    <row r="16" spans="1:21">
      <c r="A16" s="104"/>
      <c r="B16" s="14" t="s">
        <v>7</v>
      </c>
      <c r="C16" s="51">
        <v>60.137</v>
      </c>
      <c r="D16" s="33">
        <f t="shared" si="5"/>
        <v>60.137</v>
      </c>
      <c r="F16" s="104"/>
      <c r="G16" s="14" t="s">
        <v>7</v>
      </c>
      <c r="H16" s="51">
        <v>27391.485000000001</v>
      </c>
      <c r="I16" s="44">
        <f t="shared" si="6"/>
        <v>27391.485000000001</v>
      </c>
      <c r="K16" s="104"/>
      <c r="L16" s="14" t="s">
        <v>7</v>
      </c>
      <c r="M16" s="44">
        <f t="shared" si="1"/>
        <v>27391.485000000001</v>
      </c>
      <c r="N16" s="44">
        <f t="shared" si="0"/>
        <v>60.137</v>
      </c>
      <c r="O16" s="44">
        <f t="shared" si="2"/>
        <v>27331.348000000002</v>
      </c>
      <c r="Q16" s="41"/>
      <c r="R16" s="42"/>
    </row>
    <row r="17" spans="1:18">
      <c r="A17" s="104"/>
      <c r="B17" s="14" t="s">
        <v>2</v>
      </c>
      <c r="C17" s="51">
        <v>59.884</v>
      </c>
      <c r="D17" s="33">
        <f t="shared" si="5"/>
        <v>59.884</v>
      </c>
      <c r="F17" s="104"/>
      <c r="G17" s="14" t="s">
        <v>2</v>
      </c>
      <c r="H17" s="51">
        <v>32769.813999999998</v>
      </c>
      <c r="I17" s="44">
        <f t="shared" si="6"/>
        <v>32769.813999999998</v>
      </c>
      <c r="K17" s="104"/>
      <c r="L17" s="14" t="s">
        <v>2</v>
      </c>
      <c r="M17" s="44">
        <f t="shared" si="1"/>
        <v>32769.813999999998</v>
      </c>
      <c r="N17" s="44">
        <f t="shared" si="0"/>
        <v>59.884</v>
      </c>
      <c r="O17" s="44">
        <f t="shared" si="2"/>
        <v>32709.93</v>
      </c>
      <c r="Q17" s="41"/>
      <c r="R17" s="42"/>
    </row>
    <row r="18" spans="1:18">
      <c r="A18" s="104"/>
      <c r="B18" s="14" t="s">
        <v>3</v>
      </c>
      <c r="C18" s="51">
        <v>123.18899999999999</v>
      </c>
      <c r="D18" s="33">
        <f t="shared" si="5"/>
        <v>123.18899999999999</v>
      </c>
      <c r="F18" s="104"/>
      <c r="G18" s="14" t="s">
        <v>3</v>
      </c>
      <c r="H18" s="51">
        <v>24326.643</v>
      </c>
      <c r="I18" s="44">
        <f t="shared" si="6"/>
        <v>24326.643</v>
      </c>
      <c r="K18" s="104"/>
      <c r="L18" s="14" t="s">
        <v>3</v>
      </c>
      <c r="M18" s="44">
        <f t="shared" si="1"/>
        <v>24326.643</v>
      </c>
      <c r="N18" s="44">
        <f t="shared" si="0"/>
        <v>123.18899999999999</v>
      </c>
      <c r="O18" s="44">
        <f t="shared" si="2"/>
        <v>24203.454000000002</v>
      </c>
      <c r="Q18" s="41"/>
      <c r="R18" s="42"/>
    </row>
    <row r="19" spans="1:18">
      <c r="A19" s="104"/>
      <c r="B19" s="14" t="s">
        <v>4</v>
      </c>
      <c r="C19" s="51">
        <v>53.79</v>
      </c>
      <c r="D19" s="33">
        <f t="shared" si="5"/>
        <v>53.79</v>
      </c>
      <c r="F19" s="104"/>
      <c r="G19" s="14" t="s">
        <v>4</v>
      </c>
      <c r="H19" s="51">
        <v>23720.102999999999</v>
      </c>
      <c r="I19" s="44">
        <f t="shared" si="6"/>
        <v>23720.102999999999</v>
      </c>
      <c r="K19" s="104"/>
      <c r="L19" s="14" t="s">
        <v>4</v>
      </c>
      <c r="M19" s="44">
        <f t="shared" si="1"/>
        <v>23720.102999999999</v>
      </c>
      <c r="N19" s="44">
        <f t="shared" si="0"/>
        <v>53.79</v>
      </c>
      <c r="O19" s="44">
        <f t="shared" si="2"/>
        <v>23666.312999999998</v>
      </c>
      <c r="Q19" s="41"/>
      <c r="R19" s="42"/>
    </row>
    <row r="20" spans="1:18">
      <c r="A20" s="104"/>
      <c r="B20" s="14" t="s">
        <v>5</v>
      </c>
      <c r="C20" s="51">
        <v>4.8730000000000002</v>
      </c>
      <c r="D20" s="33">
        <f t="shared" si="5"/>
        <v>4.8730000000000002</v>
      </c>
      <c r="F20" s="104"/>
      <c r="G20" s="14" t="s">
        <v>5</v>
      </c>
      <c r="H20" s="51">
        <v>41848.07</v>
      </c>
      <c r="I20" s="44">
        <f t="shared" si="6"/>
        <v>41848.07</v>
      </c>
      <c r="K20" s="104"/>
      <c r="L20" s="14" t="s">
        <v>5</v>
      </c>
      <c r="M20" s="44">
        <f t="shared" si="1"/>
        <v>41848.07</v>
      </c>
      <c r="N20" s="44">
        <f t="shared" si="0"/>
        <v>4.8730000000000002</v>
      </c>
      <c r="O20" s="44">
        <f t="shared" si="2"/>
        <v>41843.197</v>
      </c>
      <c r="Q20" s="41"/>
      <c r="R20" s="42"/>
    </row>
    <row r="21" spans="1:18">
      <c r="A21" s="104"/>
      <c r="B21" s="14" t="s">
        <v>8</v>
      </c>
      <c r="C21" s="51">
        <v>22.462</v>
      </c>
      <c r="D21" s="33">
        <f t="shared" si="5"/>
        <v>22.462</v>
      </c>
      <c r="F21" s="104"/>
      <c r="G21" s="14" t="s">
        <v>8</v>
      </c>
      <c r="H21" s="51">
        <v>45132.614999999998</v>
      </c>
      <c r="I21" s="44">
        <f t="shared" si="6"/>
        <v>45132.614999999998</v>
      </c>
      <c r="K21" s="104"/>
      <c r="L21" s="14" t="s">
        <v>8</v>
      </c>
      <c r="M21" s="44">
        <f t="shared" si="1"/>
        <v>45132.614999999998</v>
      </c>
      <c r="N21" s="44">
        <f t="shared" si="0"/>
        <v>22.462</v>
      </c>
      <c r="O21" s="44">
        <f t="shared" si="2"/>
        <v>45110.152999999998</v>
      </c>
      <c r="Q21" s="41"/>
      <c r="R21" s="42"/>
    </row>
    <row r="22" spans="1:18">
      <c r="A22" s="104">
        <v>2020</v>
      </c>
      <c r="B22" s="14" t="s">
        <v>6</v>
      </c>
      <c r="C22" s="51">
        <v>55.835999999999999</v>
      </c>
      <c r="D22" s="33">
        <f t="shared" si="5"/>
        <v>55.835999999999999</v>
      </c>
      <c r="F22" s="104">
        <v>2020</v>
      </c>
      <c r="G22" s="14" t="s">
        <v>6</v>
      </c>
      <c r="H22" s="51">
        <v>26753.781999999999</v>
      </c>
      <c r="I22" s="44">
        <f t="shared" si="6"/>
        <v>26753.781999999999</v>
      </c>
      <c r="K22" s="104">
        <v>2020</v>
      </c>
      <c r="L22" s="14" t="s">
        <v>6</v>
      </c>
      <c r="M22" s="44">
        <f t="shared" si="1"/>
        <v>26753.781999999999</v>
      </c>
      <c r="N22" s="44">
        <f t="shared" si="0"/>
        <v>55.835999999999999</v>
      </c>
      <c r="O22" s="44">
        <f t="shared" si="2"/>
        <v>26697.946</v>
      </c>
      <c r="Q22" s="41"/>
      <c r="R22" s="42"/>
    </row>
    <row r="23" spans="1:18">
      <c r="A23" s="104"/>
      <c r="B23" s="14" t="s">
        <v>12</v>
      </c>
      <c r="C23" s="51">
        <v>72.930000000000007</v>
      </c>
      <c r="D23" s="33">
        <f t="shared" si="5"/>
        <v>72.930000000000007</v>
      </c>
      <c r="F23" s="104"/>
      <c r="G23" s="14" t="s">
        <v>12</v>
      </c>
      <c r="H23" s="51">
        <v>29715.850999999999</v>
      </c>
      <c r="I23" s="44">
        <f t="shared" si="6"/>
        <v>29715.850999999999</v>
      </c>
      <c r="K23" s="104"/>
      <c r="L23" s="14" t="s">
        <v>12</v>
      </c>
      <c r="M23" s="44">
        <f t="shared" si="1"/>
        <v>29715.850999999999</v>
      </c>
      <c r="N23" s="44">
        <f t="shared" si="0"/>
        <v>72.930000000000007</v>
      </c>
      <c r="O23" s="44">
        <f t="shared" si="2"/>
        <v>29642.920999999998</v>
      </c>
      <c r="Q23" s="41"/>
      <c r="R23" s="42"/>
    </row>
    <row r="24" spans="1:18">
      <c r="A24" s="104"/>
      <c r="B24" s="14" t="s">
        <v>9</v>
      </c>
      <c r="C24" s="51">
        <v>49.841000000000001</v>
      </c>
      <c r="D24" s="33">
        <f t="shared" si="5"/>
        <v>49.841000000000001</v>
      </c>
      <c r="F24" s="104"/>
      <c r="G24" s="14" t="s">
        <v>9</v>
      </c>
      <c r="H24" s="51">
        <v>34940.938999999998</v>
      </c>
      <c r="I24" s="44">
        <f t="shared" si="6"/>
        <v>34940.938999999998</v>
      </c>
      <c r="K24" s="104"/>
      <c r="L24" s="14" t="s">
        <v>9</v>
      </c>
      <c r="M24" s="44">
        <f t="shared" si="1"/>
        <v>34940.938999999998</v>
      </c>
      <c r="N24" s="44">
        <f t="shared" si="0"/>
        <v>49.841000000000001</v>
      </c>
      <c r="O24" s="44">
        <f t="shared" si="2"/>
        <v>34891.097999999998</v>
      </c>
      <c r="Q24" s="41"/>
      <c r="R24" s="42"/>
    </row>
    <row r="25" spans="1:18">
      <c r="A25" s="104"/>
      <c r="B25" s="14" t="s">
        <v>10</v>
      </c>
      <c r="C25" s="51">
        <v>23.1</v>
      </c>
      <c r="D25" s="32">
        <f>C25*(1+0.2%)</f>
        <v>23.1462</v>
      </c>
      <c r="F25" s="104"/>
      <c r="G25" s="14" t="s">
        <v>10</v>
      </c>
      <c r="H25" s="51">
        <v>38639.633999999998</v>
      </c>
      <c r="I25" s="45">
        <f>H25*(1-0.2%)</f>
        <v>38562.354732</v>
      </c>
      <c r="K25" s="104"/>
      <c r="L25" s="14" t="s">
        <v>10</v>
      </c>
      <c r="M25" s="45">
        <f t="shared" si="1"/>
        <v>38562.354732</v>
      </c>
      <c r="N25" s="45">
        <f t="shared" si="0"/>
        <v>23.1462</v>
      </c>
      <c r="O25" s="45">
        <f t="shared" si="2"/>
        <v>38539.208531999997</v>
      </c>
      <c r="Q25" s="41"/>
      <c r="R25" s="42"/>
    </row>
    <row r="26" spans="1:18">
      <c r="A26" s="104"/>
      <c r="B26" s="14" t="s">
        <v>11</v>
      </c>
      <c r="C26" s="51">
        <v>85.03</v>
      </c>
      <c r="D26" s="32">
        <f>C26*(1+0.2%)</f>
        <v>85.200060000000008</v>
      </c>
      <c r="F26" s="104"/>
      <c r="G26" s="14" t="s">
        <v>11</v>
      </c>
      <c r="H26" s="51">
        <v>39025.612999999998</v>
      </c>
      <c r="I26" s="45">
        <f>H26*(1-0.2%)</f>
        <v>38947.561773999994</v>
      </c>
      <c r="K26" s="104"/>
      <c r="L26" s="14" t="s">
        <v>11</v>
      </c>
      <c r="M26" s="45">
        <f t="shared" si="1"/>
        <v>38947.561773999994</v>
      </c>
      <c r="N26" s="45">
        <f t="shared" si="0"/>
        <v>85.200060000000008</v>
      </c>
      <c r="O26" s="45">
        <f t="shared" si="2"/>
        <v>38862.361713999991</v>
      </c>
      <c r="Q26" s="41"/>
      <c r="R26" s="42"/>
    </row>
    <row r="27" spans="1:18">
      <c r="A27" s="104"/>
      <c r="B27" s="14" t="s">
        <v>1</v>
      </c>
      <c r="C27" s="51">
        <v>58.222999999999999</v>
      </c>
      <c r="D27" s="32">
        <f>C27*(1+0.2%)</f>
        <v>58.339446000000002</v>
      </c>
      <c r="F27" s="104"/>
      <c r="G27" s="14" t="s">
        <v>1</v>
      </c>
      <c r="H27" s="51">
        <v>30052.132000000001</v>
      </c>
      <c r="I27" s="45">
        <f>H27*(1-0.2%)</f>
        <v>29992.027736</v>
      </c>
      <c r="K27" s="104"/>
      <c r="L27" s="14" t="s">
        <v>1</v>
      </c>
      <c r="M27" s="45">
        <f t="shared" si="1"/>
        <v>29992.027736</v>
      </c>
      <c r="N27" s="45">
        <f t="shared" si="0"/>
        <v>58.339446000000002</v>
      </c>
      <c r="O27" s="45">
        <f t="shared" si="2"/>
        <v>29933.688289999998</v>
      </c>
      <c r="Q27" s="41"/>
      <c r="R27" s="42"/>
    </row>
    <row r="28" spans="1:18">
      <c r="M28" s="41"/>
      <c r="N28" s="37" t="s">
        <v>90</v>
      </c>
      <c r="O28" s="50">
        <f>SUM(O4:O27)</f>
        <v>786004.37300000002</v>
      </c>
      <c r="Q28" s="41"/>
      <c r="R28" s="42"/>
    </row>
    <row r="30" spans="1:18">
      <c r="B30" s="43"/>
      <c r="C30" s="9" t="s">
        <v>89</v>
      </c>
    </row>
  </sheetData>
  <mergeCells count="19">
    <mergeCell ref="K10:K21"/>
    <mergeCell ref="K22:K27"/>
    <mergeCell ref="K2:K3"/>
    <mergeCell ref="L2:L3"/>
    <mergeCell ref="F10:F21"/>
    <mergeCell ref="F22:F27"/>
    <mergeCell ref="A4:A9"/>
    <mergeCell ref="A2:A3"/>
    <mergeCell ref="G2:G3"/>
    <mergeCell ref="A22:A27"/>
    <mergeCell ref="A10:A21"/>
    <mergeCell ref="B2:B3"/>
    <mergeCell ref="N2:N3"/>
    <mergeCell ref="C2:D2"/>
    <mergeCell ref="H2:I2"/>
    <mergeCell ref="F4:F9"/>
    <mergeCell ref="F2:F3"/>
    <mergeCell ref="M2:M3"/>
    <mergeCell ref="K4:K9"/>
  </mergeCells>
  <phoneticPr fontId="1" type="noConversion"/>
  <pageMargins left="0.7" right="0.7" top="0.75" bottom="0.75" header="0.3" footer="0.3"/>
  <pageSetup orientation="portrait" horizontalDpi="90" verticalDpi="9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A2A39F-DF4C-450B-821D-9B9DA4CE5247}">
  <dimension ref="B3:H17"/>
  <sheetViews>
    <sheetView topLeftCell="A10" workbookViewId="0">
      <selection activeCell="G9" sqref="G9"/>
    </sheetView>
  </sheetViews>
  <sheetFormatPr defaultRowHeight="14.5"/>
  <cols>
    <col min="2" max="2" width="34.453125" bestFit="1" customWidth="1"/>
    <col min="4" max="4" width="16.54296875" bestFit="1" customWidth="1"/>
    <col min="6" max="6" width="35.453125" bestFit="1" customWidth="1"/>
    <col min="7" max="7" width="9.81640625" customWidth="1"/>
  </cols>
  <sheetData>
    <row r="3" spans="2:8">
      <c r="B3" s="53" t="s">
        <v>114</v>
      </c>
      <c r="C3" s="53" t="s">
        <v>94</v>
      </c>
      <c r="D3" s="53" t="s">
        <v>30</v>
      </c>
      <c r="F3" s="53" t="s">
        <v>115</v>
      </c>
      <c r="G3" s="53" t="s">
        <v>94</v>
      </c>
      <c r="H3" s="53" t="s">
        <v>30</v>
      </c>
    </row>
    <row r="4" spans="2:8">
      <c r="B4" t="s">
        <v>116</v>
      </c>
      <c r="C4">
        <v>296100</v>
      </c>
      <c r="D4" t="s">
        <v>96</v>
      </c>
    </row>
    <row r="5" spans="2:8" ht="29">
      <c r="B5" s="57" t="s">
        <v>109</v>
      </c>
      <c r="C5">
        <v>2</v>
      </c>
      <c r="D5" t="s">
        <v>106</v>
      </c>
    </row>
    <row r="6" spans="2:8">
      <c r="B6" s="53" t="s">
        <v>117</v>
      </c>
      <c r="C6" s="53">
        <f>C4*C5</f>
        <v>592200</v>
      </c>
      <c r="D6" s="53" t="s">
        <v>96</v>
      </c>
      <c r="F6" s="53" t="s">
        <v>115</v>
      </c>
      <c r="G6" s="53">
        <v>786004.37</v>
      </c>
      <c r="H6" s="53" t="s">
        <v>96</v>
      </c>
    </row>
    <row r="12" spans="2:8">
      <c r="B12" s="53" t="s">
        <v>108</v>
      </c>
      <c r="C12" s="53" t="s">
        <v>94</v>
      </c>
      <c r="D12" s="53" t="s">
        <v>30</v>
      </c>
      <c r="F12" s="53" t="s">
        <v>104</v>
      </c>
      <c r="G12" s="53" t="s">
        <v>94</v>
      </c>
      <c r="H12" s="53" t="s">
        <v>30</v>
      </c>
    </row>
    <row r="13" spans="2:8">
      <c r="B13" t="s">
        <v>107</v>
      </c>
      <c r="C13">
        <v>143960</v>
      </c>
      <c r="D13" t="s">
        <v>105</v>
      </c>
    </row>
    <row r="14" spans="2:8" ht="29">
      <c r="B14" s="57" t="s">
        <v>109</v>
      </c>
      <c r="C14">
        <v>2</v>
      </c>
      <c r="D14" t="s">
        <v>106</v>
      </c>
      <c r="F14" s="57"/>
    </row>
    <row r="15" spans="2:8">
      <c r="B15" s="53" t="s">
        <v>112</v>
      </c>
      <c r="C15" s="53">
        <f>C13*C14</f>
        <v>287920</v>
      </c>
      <c r="D15" s="53" t="s">
        <v>110</v>
      </c>
      <c r="F15" s="53" t="s">
        <v>111</v>
      </c>
      <c r="G15" s="53">
        <v>382154</v>
      </c>
      <c r="H15" s="53" t="s">
        <v>110</v>
      </c>
    </row>
    <row r="17" spans="2:4" ht="29">
      <c r="B17" s="61" t="s">
        <v>113</v>
      </c>
      <c r="C17" s="62">
        <f>(G15-C15)/C15</f>
        <v>0.327292303417616</v>
      </c>
      <c r="D17" t="s">
        <v>118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FF4E82-E1EF-4B3E-942A-C1500FED0D60}">
  <dimension ref="A3:J28"/>
  <sheetViews>
    <sheetView topLeftCell="A4" workbookViewId="0">
      <selection activeCell="C31" sqref="C31"/>
    </sheetView>
  </sheetViews>
  <sheetFormatPr defaultRowHeight="14.5"/>
  <cols>
    <col min="2" max="2" width="56.54296875" bestFit="1" customWidth="1"/>
    <col min="3" max="3" width="21" bestFit="1" customWidth="1"/>
  </cols>
  <sheetData>
    <row r="3" spans="1:4">
      <c r="A3" s="53"/>
      <c r="B3" s="53" t="s">
        <v>99</v>
      </c>
      <c r="C3" s="53" t="s">
        <v>94</v>
      </c>
      <c r="D3" s="53" t="s">
        <v>30</v>
      </c>
    </row>
    <row r="4" spans="1:4">
      <c r="A4" s="53"/>
      <c r="B4" s="53"/>
      <c r="C4" s="53"/>
      <c r="D4" s="53"/>
    </row>
    <row r="5" spans="1:4">
      <c r="A5" s="53">
        <v>1</v>
      </c>
      <c r="B5" s="53" t="s">
        <v>98</v>
      </c>
      <c r="C5" s="53"/>
      <c r="D5" s="53"/>
    </row>
    <row r="6" spans="1:4">
      <c r="A6" s="53"/>
      <c r="B6" t="s">
        <v>91</v>
      </c>
      <c r="C6" s="54">
        <f>'Emission Reductions'!J34</f>
        <v>382154</v>
      </c>
      <c r="D6" t="s">
        <v>95</v>
      </c>
    </row>
    <row r="7" spans="1:4">
      <c r="A7" s="53"/>
      <c r="B7" t="s">
        <v>92</v>
      </c>
      <c r="C7" s="55">
        <v>0</v>
      </c>
      <c r="D7" t="s">
        <v>95</v>
      </c>
    </row>
    <row r="8" spans="1:4">
      <c r="A8" s="53"/>
      <c r="B8" t="s">
        <v>93</v>
      </c>
      <c r="C8" s="54">
        <f>C6</f>
        <v>382154</v>
      </c>
      <c r="D8" t="s">
        <v>95</v>
      </c>
    </row>
    <row r="9" spans="1:4">
      <c r="A9" s="53"/>
      <c r="B9" s="53"/>
      <c r="C9" s="55"/>
    </row>
    <row r="10" spans="1:4">
      <c r="A10" s="53">
        <v>2</v>
      </c>
      <c r="B10" s="53" t="s">
        <v>100</v>
      </c>
      <c r="C10" s="55"/>
    </row>
    <row r="11" spans="1:4">
      <c r="A11" s="53"/>
      <c r="B11" t="s">
        <v>91</v>
      </c>
      <c r="C11" s="55">
        <v>0</v>
      </c>
      <c r="D11" t="s">
        <v>96</v>
      </c>
    </row>
    <row r="12" spans="1:4">
      <c r="A12" s="53"/>
      <c r="B12" t="s">
        <v>92</v>
      </c>
      <c r="C12" s="56">
        <f>'Electricity export and import'!O28</f>
        <v>786004.37300000002</v>
      </c>
      <c r="D12" t="s">
        <v>96</v>
      </c>
    </row>
    <row r="13" spans="1:4">
      <c r="A13" s="53"/>
      <c r="B13" t="s">
        <v>93</v>
      </c>
      <c r="C13" s="56">
        <f>C12-C11</f>
        <v>786004.37300000002</v>
      </c>
      <c r="D13" t="s">
        <v>96</v>
      </c>
    </row>
    <row r="14" spans="1:4">
      <c r="A14" s="53"/>
      <c r="B14" s="53"/>
      <c r="C14" s="55"/>
    </row>
    <row r="15" spans="1:4">
      <c r="A15" s="53">
        <v>3</v>
      </c>
      <c r="B15" s="53" t="s">
        <v>101</v>
      </c>
      <c r="C15" s="55"/>
    </row>
    <row r="16" spans="1:4">
      <c r="A16" s="53"/>
      <c r="B16" t="s">
        <v>91</v>
      </c>
      <c r="C16" s="55">
        <v>0</v>
      </c>
    </row>
    <row r="17" spans="1:10">
      <c r="A17" s="53"/>
      <c r="B17" t="s">
        <v>92</v>
      </c>
      <c r="C17" s="56" t="s">
        <v>97</v>
      </c>
    </row>
    <row r="18" spans="1:10">
      <c r="A18" s="53"/>
      <c r="B18" t="s">
        <v>93</v>
      </c>
      <c r="C18" s="56" t="s">
        <v>97</v>
      </c>
    </row>
    <row r="19" spans="1:10">
      <c r="A19" s="53"/>
      <c r="B19" s="53"/>
      <c r="C19" s="55"/>
    </row>
    <row r="20" spans="1:10">
      <c r="A20" s="53">
        <v>4</v>
      </c>
      <c r="B20" s="58" t="s">
        <v>102</v>
      </c>
      <c r="C20" s="58"/>
      <c r="J20" s="53"/>
    </row>
    <row r="21" spans="1:10">
      <c r="A21" s="53"/>
      <c r="B21" s="59" t="s">
        <v>91</v>
      </c>
      <c r="C21" s="60">
        <v>0</v>
      </c>
    </row>
    <row r="22" spans="1:10">
      <c r="A22" s="53"/>
      <c r="B22" s="59" t="s">
        <v>92</v>
      </c>
      <c r="C22" s="60">
        <v>1</v>
      </c>
    </row>
    <row r="23" spans="1:10">
      <c r="A23" s="53"/>
      <c r="B23" s="59" t="s">
        <v>93</v>
      </c>
      <c r="C23" s="60">
        <f>C22-C21</f>
        <v>1</v>
      </c>
    </row>
    <row r="24" spans="1:10">
      <c r="A24" s="53"/>
      <c r="B24" s="53"/>
      <c r="C24" s="55"/>
    </row>
    <row r="25" spans="1:10">
      <c r="A25" s="53">
        <v>5</v>
      </c>
      <c r="B25" s="53" t="s">
        <v>103</v>
      </c>
      <c r="C25" s="55"/>
    </row>
    <row r="26" spans="1:10">
      <c r="A26" s="53"/>
      <c r="B26" t="s">
        <v>91</v>
      </c>
      <c r="C26" s="55">
        <v>0</v>
      </c>
    </row>
    <row r="27" spans="1:10">
      <c r="B27" t="s">
        <v>92</v>
      </c>
      <c r="C27" s="55">
        <v>2</v>
      </c>
    </row>
    <row r="28" spans="1:10">
      <c r="B28" t="s">
        <v>93</v>
      </c>
      <c r="C28" s="55">
        <f>C27-C26</f>
        <v>2</v>
      </c>
    </row>
  </sheetData>
  <pageMargins left="0.7" right="0.7" top="0.75" bottom="0.75" header="0.3" footer="0.3"/>
  <pageSetup paperSize="9" orientation="portrait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2BF409-9878-4930-9E60-5183D5D1C635}">
  <dimension ref="B3:H25"/>
  <sheetViews>
    <sheetView topLeftCell="B1" workbookViewId="0">
      <selection activeCell="J15" sqref="J15"/>
    </sheetView>
  </sheetViews>
  <sheetFormatPr defaultRowHeight="14.5"/>
  <cols>
    <col min="2" max="2" width="34.453125" bestFit="1" customWidth="1"/>
    <col min="4" max="4" width="16.54296875" bestFit="1" customWidth="1"/>
    <col min="6" max="6" width="35.453125" bestFit="1" customWidth="1"/>
    <col min="7" max="7" width="9.81640625" customWidth="1"/>
    <col min="8" max="8" width="34.54296875" customWidth="1"/>
  </cols>
  <sheetData>
    <row r="3" spans="2:8">
      <c r="B3" s="71" t="s">
        <v>114</v>
      </c>
      <c r="C3" s="71" t="s">
        <v>94</v>
      </c>
      <c r="D3" s="71" t="s">
        <v>30</v>
      </c>
      <c r="E3" s="72"/>
      <c r="F3" s="71" t="s">
        <v>115</v>
      </c>
      <c r="G3" s="71" t="s">
        <v>94</v>
      </c>
      <c r="H3" s="71" t="s">
        <v>30</v>
      </c>
    </row>
    <row r="4" spans="2:8">
      <c r="B4" s="72" t="s">
        <v>116</v>
      </c>
      <c r="C4" s="72">
        <v>296100</v>
      </c>
      <c r="D4" s="72" t="s">
        <v>96</v>
      </c>
      <c r="E4" s="72"/>
      <c r="F4" s="71" t="s">
        <v>115</v>
      </c>
      <c r="G4" s="71">
        <v>786004.37</v>
      </c>
      <c r="H4" s="71" t="s">
        <v>96</v>
      </c>
    </row>
    <row r="5" spans="2:8">
      <c r="B5" s="72"/>
      <c r="C5" s="72"/>
      <c r="D5" s="72"/>
      <c r="E5" s="72"/>
      <c r="F5" s="72"/>
      <c r="G5" s="71" t="s">
        <v>96</v>
      </c>
      <c r="H5" s="71" t="s">
        <v>150</v>
      </c>
    </row>
    <row r="6" spans="2:8">
      <c r="B6" s="72"/>
      <c r="C6" s="72"/>
      <c r="D6" s="72"/>
      <c r="E6" s="72"/>
      <c r="F6" s="72" t="s">
        <v>147</v>
      </c>
      <c r="G6" s="80">
        <f>'Baseline Emissions'!F15+94019.92</f>
        <v>271258.516282</v>
      </c>
      <c r="H6" s="81">
        <v>5.7799999999999997E-2</v>
      </c>
    </row>
    <row r="7" spans="2:8">
      <c r="B7" s="72"/>
      <c r="C7" s="72"/>
      <c r="D7" s="72"/>
      <c r="E7" s="72"/>
      <c r="F7" s="72" t="s">
        <v>148</v>
      </c>
      <c r="G7" s="80">
        <f>'Baseline Emissions'!F28</f>
        <v>410198.553182</v>
      </c>
      <c r="H7" s="81">
        <v>0.1201</v>
      </c>
    </row>
    <row r="8" spans="2:8">
      <c r="B8" s="72"/>
      <c r="C8" s="72"/>
      <c r="D8" s="72"/>
      <c r="E8" s="72"/>
      <c r="F8" s="72" t="s">
        <v>149</v>
      </c>
      <c r="G8" s="80">
        <f>'Baseline Emissions'!F35+195415</f>
        <v>393982.223536</v>
      </c>
      <c r="H8" s="81">
        <v>0.1138</v>
      </c>
    </row>
    <row r="9" spans="2:8">
      <c r="B9" s="72"/>
      <c r="C9" s="72"/>
      <c r="D9" s="72"/>
      <c r="E9" s="72"/>
      <c r="F9" s="71"/>
      <c r="G9" s="71"/>
      <c r="H9" s="71"/>
    </row>
    <row r="10" spans="2:8">
      <c r="B10" s="73" t="s">
        <v>139</v>
      </c>
      <c r="C10" s="74">
        <v>7.0499999999999993E-2</v>
      </c>
      <c r="D10" s="72"/>
      <c r="E10" s="72"/>
      <c r="F10" s="72" t="s">
        <v>144</v>
      </c>
      <c r="G10" s="78">
        <v>94019.92</v>
      </c>
      <c r="H10" s="72"/>
    </row>
    <row r="11" spans="2:8">
      <c r="B11" s="71"/>
      <c r="C11" s="71"/>
      <c r="D11" s="71"/>
      <c r="E11" s="72"/>
      <c r="F11" s="72" t="s">
        <v>145</v>
      </c>
      <c r="G11" s="79">
        <v>786004.37</v>
      </c>
      <c r="H11" s="72"/>
    </row>
    <row r="12" spans="2:8">
      <c r="B12" s="72" t="s">
        <v>140</v>
      </c>
      <c r="C12" s="75">
        <v>0.12</v>
      </c>
      <c r="D12" s="72"/>
      <c r="E12" s="72"/>
      <c r="F12" s="72" t="s">
        <v>146</v>
      </c>
      <c r="G12" s="79">
        <f>G10+G11</f>
        <v>880024.29</v>
      </c>
      <c r="H12" s="72"/>
    </row>
    <row r="13" spans="2:8">
      <c r="B13" s="72"/>
      <c r="C13" s="75"/>
      <c r="D13" s="72"/>
      <c r="E13" s="72"/>
      <c r="F13" s="72"/>
      <c r="G13" s="72"/>
      <c r="H13" s="72"/>
    </row>
    <row r="14" spans="2:8">
      <c r="B14" s="72"/>
      <c r="C14" s="72"/>
      <c r="D14" s="72"/>
      <c r="E14" s="72"/>
      <c r="F14" s="72" t="s">
        <v>138</v>
      </c>
      <c r="G14" s="76">
        <f>G25</f>
        <v>344644.70976394851</v>
      </c>
      <c r="H14" s="72"/>
    </row>
    <row r="15" spans="2:8">
      <c r="B15" s="72"/>
      <c r="C15" s="72"/>
      <c r="D15" s="72"/>
      <c r="E15" s="72"/>
      <c r="F15" s="72"/>
      <c r="G15" s="72"/>
      <c r="H15" s="72"/>
    </row>
    <row r="16" spans="2:8" ht="29">
      <c r="B16" s="72"/>
      <c r="C16" s="72"/>
      <c r="D16" s="72"/>
      <c r="E16" s="72"/>
      <c r="F16" s="72" t="s">
        <v>141</v>
      </c>
      <c r="G16" s="74">
        <v>9.3799999999999994E-2</v>
      </c>
      <c r="H16" s="73" t="s">
        <v>142</v>
      </c>
    </row>
    <row r="17" spans="2:8">
      <c r="B17" s="72"/>
      <c r="C17" s="72"/>
      <c r="D17" s="72"/>
      <c r="E17" s="72"/>
      <c r="F17" s="72"/>
      <c r="G17" s="72"/>
      <c r="H17" s="72"/>
    </row>
    <row r="18" spans="2:8">
      <c r="B18" s="53"/>
      <c r="C18" s="53"/>
      <c r="D18" s="53"/>
      <c r="F18" s="53"/>
      <c r="G18" s="53"/>
      <c r="H18" s="53"/>
    </row>
    <row r="20" spans="2:8">
      <c r="F20" s="57"/>
      <c r="G20" s="77">
        <v>43081</v>
      </c>
    </row>
    <row r="21" spans="2:8">
      <c r="B21" s="53"/>
      <c r="C21" s="53"/>
      <c r="D21" s="53"/>
      <c r="F21" s="53"/>
      <c r="G21" s="77">
        <v>44012</v>
      </c>
      <c r="H21" s="53"/>
    </row>
    <row r="22" spans="2:8">
      <c r="G22">
        <f>G21-G20</f>
        <v>931</v>
      </c>
    </row>
    <row r="23" spans="2:8">
      <c r="B23" s="61"/>
      <c r="C23" s="62"/>
      <c r="G23">
        <f>G22+1</f>
        <v>932</v>
      </c>
    </row>
    <row r="24" spans="2:8">
      <c r="G24">
        <f>880024.3</f>
        <v>880024.3</v>
      </c>
    </row>
    <row r="25" spans="2:8">
      <c r="F25" t="s">
        <v>143</v>
      </c>
      <c r="G25">
        <f>G24/932*365</f>
        <v>344644.70976394851</v>
      </c>
    </row>
  </sheetData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8BDF1F-0AFA-4C89-A939-057A5177C901}">
  <dimension ref="A1:D9"/>
  <sheetViews>
    <sheetView topLeftCell="A3" workbookViewId="0">
      <selection activeCell="F7" sqref="F7"/>
    </sheetView>
  </sheetViews>
  <sheetFormatPr defaultRowHeight="14.5"/>
  <cols>
    <col min="1" max="1" width="39.54296875" customWidth="1"/>
    <col min="2" max="2" width="21.54296875" customWidth="1"/>
    <col min="3" max="3" width="16.26953125" customWidth="1"/>
    <col min="4" max="4" width="22.54296875" customWidth="1"/>
  </cols>
  <sheetData>
    <row r="1" spans="1:4" ht="66" customHeight="1" thickBot="1">
      <c r="A1" s="65" t="s">
        <v>119</v>
      </c>
    </row>
    <row r="2" spans="1:4" ht="42" customHeight="1" thickBot="1">
      <c r="A2" s="70" t="s">
        <v>120</v>
      </c>
      <c r="B2" s="66" t="s">
        <v>121</v>
      </c>
      <c r="C2" s="66" t="s">
        <v>122</v>
      </c>
      <c r="D2" s="66" t="s">
        <v>123</v>
      </c>
    </row>
    <row r="3" spans="1:4" ht="22.5" customHeight="1" thickBot="1">
      <c r="A3" s="67" t="s">
        <v>124</v>
      </c>
      <c r="B3" s="69">
        <v>43265</v>
      </c>
      <c r="C3" s="68" t="s">
        <v>126</v>
      </c>
      <c r="D3" s="68" t="s">
        <v>136</v>
      </c>
    </row>
    <row r="4" spans="1:4" ht="42" customHeight="1" thickBot="1">
      <c r="A4" s="67" t="s">
        <v>151</v>
      </c>
      <c r="B4" s="68" t="s">
        <v>152</v>
      </c>
      <c r="C4" s="68" t="s">
        <v>126</v>
      </c>
      <c r="D4" s="68" t="s">
        <v>153</v>
      </c>
    </row>
    <row r="5" spans="1:4" ht="28.5" customHeight="1" thickBot="1">
      <c r="A5" s="67" t="s">
        <v>127</v>
      </c>
      <c r="B5" s="68" t="s">
        <v>154</v>
      </c>
      <c r="C5" s="68" t="s">
        <v>126</v>
      </c>
      <c r="D5" s="68" t="s">
        <v>125</v>
      </c>
    </row>
    <row r="6" spans="1:4" ht="42.65" customHeight="1" thickBot="1">
      <c r="A6" s="67" t="s">
        <v>134</v>
      </c>
      <c r="B6" s="68" t="s">
        <v>135</v>
      </c>
      <c r="C6" s="68" t="s">
        <v>126</v>
      </c>
      <c r="D6" s="68" t="s">
        <v>137</v>
      </c>
    </row>
    <row r="7" spans="1:4" ht="36" customHeight="1" thickBot="1">
      <c r="A7" s="67" t="s">
        <v>128</v>
      </c>
      <c r="B7" s="69">
        <v>44012</v>
      </c>
      <c r="C7" s="68" t="s">
        <v>126</v>
      </c>
      <c r="D7" s="68" t="s">
        <v>129</v>
      </c>
    </row>
    <row r="8" spans="1:4" ht="27.65" customHeight="1" thickBot="1">
      <c r="A8" s="67" t="s">
        <v>130</v>
      </c>
      <c r="B8" s="69">
        <v>44908</v>
      </c>
      <c r="C8" s="68" t="s">
        <v>131</v>
      </c>
      <c r="D8" s="68" t="s">
        <v>129</v>
      </c>
    </row>
    <row r="9" spans="1:4" ht="33.65" customHeight="1" thickBot="1">
      <c r="A9" s="67" t="s">
        <v>132</v>
      </c>
      <c r="B9" s="68" t="s">
        <v>133</v>
      </c>
      <c r="C9" s="68" t="s">
        <v>131</v>
      </c>
      <c r="D9" s="69">
        <v>44973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Cover</vt:lpstr>
      <vt:lpstr>Baseline Emissions</vt:lpstr>
      <vt:lpstr>Project Emissions</vt:lpstr>
      <vt:lpstr>Emission Reductions</vt:lpstr>
      <vt:lpstr>Electricity export and import</vt:lpstr>
      <vt:lpstr>ERs Comparison</vt:lpstr>
      <vt:lpstr>SDGs Calculation</vt:lpstr>
      <vt:lpstr>IRR Calculation</vt:lpstr>
      <vt:lpstr>Dates</vt:lpstr>
      <vt:lpstr>Emission reduction Claimed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Sharifah Alsunaid | AP</dc:creator>
  <cp:lastModifiedBy>Anushree Mishra</cp:lastModifiedBy>
  <dcterms:created xsi:type="dcterms:W3CDTF">2021-05-30T09:49:58Z</dcterms:created>
  <dcterms:modified xsi:type="dcterms:W3CDTF">2024-02-05T09:57:23Z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ad75432-c7bb-4d31-ae56-2de6bce9c75d_Enabled">
    <vt:lpwstr>True</vt:lpwstr>
  </property>
  <property fmtid="{D5CDD505-2E9C-101B-9397-08002B2CF9AE}" pid="3" name="MSIP_Label_3ad75432-c7bb-4d31-ae56-2de6bce9c75d_SiteId">
    <vt:lpwstr>058b28e4-6bda-479f-b7c3-5527c4b94031</vt:lpwstr>
  </property>
  <property fmtid="{D5CDD505-2E9C-101B-9397-08002B2CF9AE}" pid="4" name="MSIP_Label_3ad75432-c7bb-4d31-ae56-2de6bce9c75d_Owner">
    <vt:lpwstr>sh.alsunaid@acwapower.com</vt:lpwstr>
  </property>
  <property fmtid="{D5CDD505-2E9C-101B-9397-08002B2CF9AE}" pid="5" name="MSIP_Label_3ad75432-c7bb-4d31-ae56-2de6bce9c75d_SetDate">
    <vt:lpwstr>2021-05-30T11:12:34.9815872Z</vt:lpwstr>
  </property>
  <property fmtid="{D5CDD505-2E9C-101B-9397-08002B2CF9AE}" pid="6" name="MSIP_Label_3ad75432-c7bb-4d31-ae56-2de6bce9c75d_Name">
    <vt:lpwstr>Public</vt:lpwstr>
  </property>
  <property fmtid="{D5CDD505-2E9C-101B-9397-08002B2CF9AE}" pid="7" name="MSIP_Label_3ad75432-c7bb-4d31-ae56-2de6bce9c75d_Application">
    <vt:lpwstr>Microsoft Azure Information Protection</vt:lpwstr>
  </property>
  <property fmtid="{D5CDD505-2E9C-101B-9397-08002B2CF9AE}" pid="8" name="MSIP_Label_3ad75432-c7bb-4d31-ae56-2de6bce9c75d_ActionId">
    <vt:lpwstr>3fcec123-f95c-41f8-a404-536c52eaf15c</vt:lpwstr>
  </property>
  <property fmtid="{D5CDD505-2E9C-101B-9397-08002B2CF9AE}" pid="9" name="MSIP_Label_3ad75432-c7bb-4d31-ae56-2de6bce9c75d_Extended_MSFT_Method">
    <vt:lpwstr>Automatic</vt:lpwstr>
  </property>
  <property fmtid="{D5CDD505-2E9C-101B-9397-08002B2CF9AE}" pid="10" name="Sensitivity">
    <vt:lpwstr>Public</vt:lpwstr>
  </property>
</Properties>
</file>