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biofilicainvestimentos-my.sharepoint.com/personal/fileserver01_biofilica_com_br/Documents/Operações/01-REDD/04-gestao/13-Rio Juruena/00-Auditoria/2020-2021_valid-verif-vcs/02-final-val-ver/_retificação-safras/"/>
    </mc:Choice>
  </mc:AlternateContent>
  <xr:revisionPtr revIDLastSave="346" documentId="13_ncr:1_{211DBE9F-AD49-4EEC-B6F4-8654988C59B9}" xr6:coauthVersionLast="47" xr6:coauthVersionMax="47" xr10:uidLastSave="{81660F1D-F5B2-4438-92C8-5EC61F14C52A}"/>
  <bookViews>
    <workbookView minimized="1" xWindow="768" yWindow="768" windowWidth="17280" windowHeight="8880" tabRatio="912" firstSheet="17" activeTab="26" xr2:uid="{00000000-000D-0000-FFFF-FFFF00000000}"/>
  </bookViews>
  <sheets>
    <sheet name="Introduction" sheetId="1" r:id="rId1"/>
    <sheet name="Summary" sheetId="52" r:id="rId2"/>
    <sheet name="Lista suspensa" sheetId="55" state="hidden" r:id="rId3"/>
    <sheet name="Table 3" sheetId="2" r:id="rId4"/>
    <sheet name="Table 4" sheetId="3" r:id="rId5"/>
    <sheet name="Table 11" sheetId="54" r:id="rId6"/>
    <sheet name="Table_13" sheetId="20" r:id="rId7"/>
    <sheet name="Carbon stock" sheetId="22" r:id="rId8"/>
    <sheet name="Table 15" sheetId="23" r:id="rId9"/>
    <sheet name="Table 16" sheetId="24" r:id="rId10"/>
    <sheet name="Table 20" sheetId="56" r:id="rId11"/>
    <sheet name="Table 21" sheetId="57" r:id="rId12"/>
    <sheet name="Table 23" sheetId="58" r:id="rId13"/>
    <sheet name="Table 25a" sheetId="61" r:id="rId14"/>
    <sheet name="Table 25b" sheetId="60" r:id="rId15"/>
    <sheet name="Table 25d" sheetId="35" r:id="rId16"/>
    <sheet name="Table 25e-g" sheetId="62" r:id="rId17"/>
    <sheet name="Table 26b" sheetId="36" r:id="rId18"/>
    <sheet name="Table 26d" sheetId="37" r:id="rId19"/>
    <sheet name="Table 29" sheetId="40" r:id="rId20"/>
    <sheet name="Table 30b-c" sheetId="63" r:id="rId21"/>
    <sheet name="Table 31" sheetId="64" r:id="rId22"/>
    <sheet name="Table 32" sheetId="65" r:id="rId23"/>
    <sheet name="Table 33" sheetId="66" r:id="rId24"/>
    <sheet name="Table 35" sheetId="67" r:id="rId25"/>
    <sheet name="Table 36" sheetId="47" r:id="rId26"/>
    <sheet name="Summary net GHG ERs" sheetId="48" r:id="rId2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53" roundtripDataSignature="AMtx7mij5O3PkReW84uPrVRw09rmWCPamQ=="/>
    </ext>
  </extLst>
</workbook>
</file>

<file path=xl/calcChain.xml><?xml version="1.0" encoding="utf-8"?>
<calcChain xmlns="http://schemas.openxmlformats.org/spreadsheetml/2006/main">
  <c r="D8" i="48" l="1"/>
  <c r="E8" i="48"/>
  <c r="F8" i="48"/>
  <c r="G8" i="48"/>
  <c r="H8" i="48"/>
  <c r="J8" i="48"/>
  <c r="N8" i="48"/>
  <c r="O8" i="48"/>
  <c r="P8" i="48"/>
  <c r="O9" i="48"/>
  <c r="P9" i="48"/>
  <c r="N9" i="48"/>
  <c r="I8" i="48"/>
  <c r="D9" i="62" a="1"/>
  <c r="D9" i="62" s="1"/>
  <c r="O19" i="22" l="1"/>
  <c r="O18" i="22"/>
  <c r="H8" i="40" l="1" a="1"/>
  <c r="H8" i="40" s="1"/>
  <c r="J8" i="40" s="1"/>
  <c r="N11" i="57"/>
  <c r="L8" i="61"/>
  <c r="M8" i="61" s="1"/>
  <c r="K8" i="61"/>
  <c r="J8" i="61"/>
  <c r="I8" i="61"/>
  <c r="G5" i="56"/>
  <c r="D5" i="56" l="1"/>
  <c r="E8" i="63"/>
  <c r="E5" i="56"/>
  <c r="E9" i="62"/>
  <c r="C8" i="58"/>
  <c r="D18" i="58" s="1"/>
  <c r="E8" i="61"/>
  <c r="P10" i="61"/>
  <c r="Q10" i="61"/>
  <c r="P13" i="61"/>
  <c r="Q13" i="61"/>
  <c r="R13" i="61" l="1"/>
  <c r="R10" i="61"/>
  <c r="F8" i="36"/>
  <c r="T15" i="58"/>
  <c r="D8" i="60"/>
  <c r="I8" i="52"/>
  <c r="S15" i="58"/>
  <c r="R15" i="58"/>
  <c r="E8" i="60" l="1"/>
  <c r="Q5" i="61"/>
  <c r="E28" i="24"/>
  <c r="E27" i="24"/>
  <c r="E26" i="24"/>
  <c r="C29" i="24"/>
  <c r="E19" i="24"/>
  <c r="E20" i="24"/>
  <c r="E21" i="24"/>
  <c r="G25" i="22"/>
  <c r="J25" i="22"/>
  <c r="M25" i="22"/>
  <c r="I7" i="52" l="1"/>
  <c r="M7" i="65"/>
  <c r="L7" i="65"/>
  <c r="F8" i="66"/>
  <c r="J7" i="65"/>
  <c r="I7" i="65"/>
  <c r="H7" i="65"/>
  <c r="G7" i="65"/>
  <c r="P8" i="63"/>
  <c r="F8" i="60"/>
  <c r="G13" i="23"/>
  <c r="F5" i="56" s="1"/>
  <c r="F35" i="56" s="1"/>
  <c r="E13" i="23"/>
  <c r="E8" i="56" s="1"/>
  <c r="E38" i="56" s="1"/>
  <c r="C13" i="23"/>
  <c r="D35" i="56" s="1"/>
  <c r="P18" i="22"/>
  <c r="P25" i="22" s="1"/>
  <c r="AB4" i="47"/>
  <c r="G8" i="47"/>
  <c r="F8" i="63"/>
  <c r="Q8" i="63" s="1"/>
  <c r="I8" i="37"/>
  <c r="E8" i="37"/>
  <c r="F8" i="37"/>
  <c r="E8" i="36"/>
  <c r="W9" i="62"/>
  <c r="O9" i="62"/>
  <c r="V9" i="62"/>
  <c r="P9" i="62"/>
  <c r="R8" i="47" s="1"/>
  <c r="S8" i="47" s="1"/>
  <c r="P5" i="61"/>
  <c r="R5" i="61" s="1"/>
  <c r="E8" i="47"/>
  <c r="Q8" i="20"/>
  <c r="R8" i="20" s="1"/>
  <c r="D36" i="56"/>
  <c r="D37" i="56"/>
  <c r="D38" i="56"/>
  <c r="D39" i="56"/>
  <c r="D40" i="56"/>
  <c r="D41" i="56"/>
  <c r="D42" i="56"/>
  <c r="D43" i="56"/>
  <c r="D44" i="56"/>
  <c r="F20" i="24"/>
  <c r="F21" i="24"/>
  <c r="F19" i="24"/>
  <c r="F28" i="24"/>
  <c r="G28" i="24" s="1"/>
  <c r="F27" i="24"/>
  <c r="D28" i="24"/>
  <c r="C20" i="24" s="1"/>
  <c r="H14" i="23"/>
  <c r="J14" i="23"/>
  <c r="G8" i="20"/>
  <c r="H8" i="20" s="1"/>
  <c r="O8" i="54"/>
  <c r="R8" i="54"/>
  <c r="I8" i="54"/>
  <c r="F8" i="54"/>
  <c r="N15" i="60"/>
  <c r="N11" i="60"/>
  <c r="P6" i="60"/>
  <c r="L6" i="60"/>
  <c r="L15" i="60"/>
  <c r="L11" i="60"/>
  <c r="M11" i="60" s="1"/>
  <c r="W6" i="61"/>
  <c r="W5" i="61"/>
  <c r="C8" i="1"/>
  <c r="G8" i="54" l="1"/>
  <c r="I12" i="52"/>
  <c r="P8" i="54"/>
  <c r="I13" i="52"/>
  <c r="S8" i="63"/>
  <c r="R8" i="63"/>
  <c r="G8" i="63"/>
  <c r="O11" i="60"/>
  <c r="H27" i="24"/>
  <c r="I27" i="24" s="1"/>
  <c r="G27" i="24"/>
  <c r="F26" i="24"/>
  <c r="E29" i="24"/>
  <c r="H28" i="24"/>
  <c r="I28" i="24" s="1"/>
  <c r="I13" i="23"/>
  <c r="I14" i="23" s="1"/>
  <c r="E14" i="56"/>
  <c r="E44" i="56" s="1"/>
  <c r="E35" i="56"/>
  <c r="G35" i="56" s="1"/>
  <c r="E13" i="56"/>
  <c r="E43" i="56" s="1"/>
  <c r="E7" i="56"/>
  <c r="E37" i="56" s="1"/>
  <c r="E6" i="56"/>
  <c r="E36" i="56" s="1"/>
  <c r="E14" i="23"/>
  <c r="F8" i="56"/>
  <c r="F38" i="56" s="1"/>
  <c r="G38" i="56" s="1"/>
  <c r="F14" i="56"/>
  <c r="F44" i="56" s="1"/>
  <c r="F9" i="56"/>
  <c r="F39" i="56" s="1"/>
  <c r="G14" i="23"/>
  <c r="F7" i="56"/>
  <c r="F37" i="56" s="1"/>
  <c r="F6" i="56"/>
  <c r="F36" i="56" s="1"/>
  <c r="E10" i="56"/>
  <c r="E40" i="56" s="1"/>
  <c r="F12" i="56"/>
  <c r="F42" i="56" s="1"/>
  <c r="C14" i="23"/>
  <c r="E11" i="56"/>
  <c r="E41" i="56" s="1"/>
  <c r="F13" i="56"/>
  <c r="E9" i="56"/>
  <c r="E39" i="56" s="1"/>
  <c r="F11" i="56"/>
  <c r="E12" i="56"/>
  <c r="E42" i="56" s="1"/>
  <c r="F10" i="56"/>
  <c r="F40" i="56" s="1"/>
  <c r="D8" i="20"/>
  <c r="E8" i="20" s="1"/>
  <c r="N8" i="20"/>
  <c r="O8" i="20" s="1"/>
  <c r="K7" i="65"/>
  <c r="D8" i="67"/>
  <c r="E8" i="67" s="1"/>
  <c r="F8" i="35"/>
  <c r="G8" i="35" s="1"/>
  <c r="G8" i="60"/>
  <c r="J8" i="37"/>
  <c r="G8" i="37"/>
  <c r="G8" i="36"/>
  <c r="D27" i="24"/>
  <c r="C21" i="24" s="1"/>
  <c r="D26" i="24"/>
  <c r="G8" i="66"/>
  <c r="M15" i="60"/>
  <c r="O15" i="60" s="1"/>
  <c r="X5" i="61"/>
  <c r="D8" i="66" l="1"/>
  <c r="T8" i="63"/>
  <c r="AA5" i="61"/>
  <c r="D8" i="61" s="1"/>
  <c r="F8" i="61" s="1"/>
  <c r="G8" i="61" s="1"/>
  <c r="S13" i="61"/>
  <c r="S10" i="61"/>
  <c r="G37" i="56"/>
  <c r="G44" i="56"/>
  <c r="G7" i="56"/>
  <c r="H26" i="24"/>
  <c r="I26" i="24" s="1"/>
  <c r="G26" i="24"/>
  <c r="D29" i="24"/>
  <c r="F29" i="24"/>
  <c r="G36" i="56"/>
  <c r="G39" i="56"/>
  <c r="H39" i="56" s="1" a="1"/>
  <c r="H39" i="56" s="1"/>
  <c r="G42" i="56"/>
  <c r="G12" i="56"/>
  <c r="G8" i="56"/>
  <c r="G14" i="56"/>
  <c r="H36" i="56" a="1"/>
  <c r="H36" i="56" s="1"/>
  <c r="G6" i="56"/>
  <c r="G40" i="56"/>
  <c r="G10" i="56"/>
  <c r="H35" i="56" a="1"/>
  <c r="H35" i="56" s="1"/>
  <c r="H37" i="56" a="1"/>
  <c r="H37" i="56" s="1"/>
  <c r="G11" i="56"/>
  <c r="F41" i="56"/>
  <c r="G41" i="56" s="1"/>
  <c r="H41" i="56" s="1" a="1"/>
  <c r="H41" i="56" s="1"/>
  <c r="G9" i="56"/>
  <c r="H38" i="56" a="1"/>
  <c r="H38" i="56" s="1"/>
  <c r="G13" i="56"/>
  <c r="F43" i="56"/>
  <c r="G43" i="56" s="1"/>
  <c r="H44" i="56" a="1"/>
  <c r="H44" i="56" s="1"/>
  <c r="H50" i="56" a="1"/>
  <c r="H50" i="56" s="1"/>
  <c r="P8" i="20"/>
  <c r="F9" i="62"/>
  <c r="T9" i="62" s="1"/>
  <c r="X9" i="62" s="1"/>
  <c r="Y9" i="62" s="1"/>
  <c r="F8" i="20"/>
  <c r="H20" i="56" a="1"/>
  <c r="H20" i="56" s="1"/>
  <c r="K8" i="37"/>
  <c r="F8" i="40"/>
  <c r="G8" i="40" s="1"/>
  <c r="H7" i="56" a="1"/>
  <c r="H7" i="56" s="1"/>
  <c r="H5" i="56" a="1"/>
  <c r="H5" i="56" s="1"/>
  <c r="H29" i="24"/>
  <c r="C19" i="24"/>
  <c r="I11" i="52" l="1"/>
  <c r="J8" i="67"/>
  <c r="E8" i="66"/>
  <c r="H8" i="66"/>
  <c r="I8" i="66" s="1"/>
  <c r="I29" i="24"/>
  <c r="F22" i="24" s="1"/>
  <c r="G29" i="24"/>
  <c r="D32" i="22" s="1"/>
  <c r="H42" i="56" a="1"/>
  <c r="H42" i="56" s="1"/>
  <c r="H9" i="62"/>
  <c r="P8" i="47" s="1"/>
  <c r="Q8" i="47" s="1"/>
  <c r="H8" i="56" a="1"/>
  <c r="H8" i="56" s="1"/>
  <c r="H40" i="56" a="1"/>
  <c r="H40" i="56" s="1"/>
  <c r="H14" i="56" a="1"/>
  <c r="H14" i="56" s="1"/>
  <c r="H9" i="56" a="1"/>
  <c r="H9" i="56" s="1"/>
  <c r="H10" i="56" a="1"/>
  <c r="H10" i="56" s="1"/>
  <c r="H12" i="56" a="1"/>
  <c r="H12" i="56" s="1"/>
  <c r="H6" i="56" a="1"/>
  <c r="H6" i="56" s="1"/>
  <c r="G9" i="62"/>
  <c r="H43" i="56" a="1"/>
  <c r="H43" i="56" s="1"/>
  <c r="H11" i="56" a="1"/>
  <c r="H11" i="56" s="1"/>
  <c r="H13" i="56" a="1"/>
  <c r="H13" i="56" s="1"/>
  <c r="U9" i="62"/>
  <c r="C10" i="24"/>
  <c r="D8" i="35" l="1"/>
  <c r="J8" i="35" s="1"/>
  <c r="I14" i="52" s="1"/>
  <c r="G53" i="56"/>
  <c r="I9" i="52"/>
  <c r="J8" i="47"/>
  <c r="K8" i="47" s="1"/>
  <c r="E32" i="22"/>
  <c r="H53" i="56" a="1"/>
  <c r="H53" i="56" s="1"/>
  <c r="G55" i="56"/>
  <c r="G22" i="56"/>
  <c r="G28" i="56"/>
  <c r="G23" i="56"/>
  <c r="G26" i="56"/>
  <c r="G27" i="56"/>
  <c r="G51" i="56"/>
  <c r="G59" i="56"/>
  <c r="G54" i="56"/>
  <c r="G29" i="56"/>
  <c r="G57" i="56"/>
  <c r="G25" i="56"/>
  <c r="G52" i="56"/>
  <c r="G21" i="56"/>
  <c r="G58" i="56"/>
  <c r="G56" i="56"/>
  <c r="G24" i="56"/>
  <c r="H15" i="56" a="1"/>
  <c r="H15" i="56" s="1"/>
  <c r="H45" i="56" a="1"/>
  <c r="H45" i="56" s="1"/>
  <c r="H23" i="56" a="1"/>
  <c r="H23" i="56" s="1"/>
  <c r="E8" i="35" l="1"/>
  <c r="M8" i="40"/>
  <c r="H55" i="56" a="1"/>
  <c r="H55" i="56" s="1"/>
  <c r="H21" i="56" a="1"/>
  <c r="H21" i="56" s="1"/>
  <c r="H27" i="56" a="1"/>
  <c r="H27" i="56" s="1"/>
  <c r="H24" i="56" a="1"/>
  <c r="H24" i="56" s="1"/>
  <c r="H29" i="56" a="1"/>
  <c r="H29" i="56" s="1"/>
  <c r="H52" i="56" a="1"/>
  <c r="H52" i="56" s="1"/>
  <c r="H59" i="56" a="1"/>
  <c r="H59" i="56" s="1"/>
  <c r="H28" i="56" a="1"/>
  <c r="H28" i="56" s="1"/>
  <c r="H22" i="56" a="1"/>
  <c r="H22" i="56" s="1"/>
  <c r="H51" i="56" a="1"/>
  <c r="H51" i="56" s="1"/>
  <c r="H26" i="56" a="1"/>
  <c r="H26" i="56" s="1"/>
  <c r="H54" i="56" a="1"/>
  <c r="H54" i="56" s="1"/>
  <c r="H56" i="56" a="1"/>
  <c r="H56" i="56" s="1"/>
  <c r="H57" i="56" a="1"/>
  <c r="H57" i="56" s="1"/>
  <c r="H25" i="56" a="1"/>
  <c r="H25" i="56" s="1"/>
  <c r="H58" i="56" a="1"/>
  <c r="H58" i="56" s="1"/>
  <c r="S11" i="57" a="1"/>
  <c r="D11" i="57" a="1"/>
  <c r="D11" i="57" s="1"/>
  <c r="E11" i="57" s="1"/>
  <c r="F11" i="57" s="1"/>
  <c r="D8" i="40"/>
  <c r="K8" i="35"/>
  <c r="E8" i="40" l="1"/>
  <c r="H30" i="56" a="1"/>
  <c r="H30" i="56" s="1"/>
  <c r="H60" i="56" a="1"/>
  <c r="H60" i="56" s="1"/>
  <c r="S11" i="57"/>
  <c r="T11" i="57" s="1"/>
  <c r="U11" i="57" s="1"/>
  <c r="Y11" i="57" l="1" a="1"/>
  <c r="Y11" i="57" s="1"/>
  <c r="Z11" i="57" s="1"/>
  <c r="AA11" i="57" s="1"/>
  <c r="J11" i="57" a="1"/>
  <c r="J11" i="57" s="1"/>
  <c r="K11" i="57" s="1"/>
  <c r="AC11" i="57" l="1"/>
  <c r="AH11" i="57" s="1"/>
  <c r="L11" i="57"/>
  <c r="O11" i="57"/>
  <c r="AD11" i="57" l="1"/>
  <c r="I8" i="40"/>
  <c r="H8" i="67"/>
  <c r="AI11" i="57"/>
  <c r="K8" i="40" l="1"/>
  <c r="H8" i="47"/>
  <c r="L8" i="67"/>
  <c r="L8" i="47" s="1"/>
  <c r="F8" i="67"/>
  <c r="G8" i="67" l="1"/>
  <c r="N8" i="67"/>
  <c r="N8" i="47" s="1"/>
  <c r="O8" i="47" s="1"/>
  <c r="I8" i="47"/>
  <c r="M8" i="47"/>
  <c r="T8" i="47" l="1"/>
  <c r="U8" i="47" s="1"/>
  <c r="X8" i="47" l="1"/>
  <c r="V8" i="47" s="1"/>
  <c r="Y8" i="47" l="1"/>
  <c r="W8" i="47"/>
  <c r="I17" i="52" l="1"/>
  <c r="I10" i="52"/>
  <c r="I18" i="52"/>
  <c r="I15" i="5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Nayra Gomes Nicolau Dos Santos - Biofilica</author>
  </authors>
  <commentList>
    <comment ref="H8" authorId="0" shapeId="0" xr:uid="{8657C618-35F5-4D5A-98D0-6E712BD383AC}">
      <text>
        <r>
          <rPr>
            <sz val="9"/>
            <color indexed="81"/>
            <rFont val="Segoe UI"/>
            <family val="2"/>
          </rPr>
          <t>Unplanned deforestation occurred in the southern border of the project area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Nayra Gomes Nicolau Dos Santos - Biofilica</author>
  </authors>
  <commentList>
    <comment ref="L8" authorId="0" shapeId="0" xr:uid="{DC2178F2-C065-4FC2-A974-EED185DB9468}">
      <text>
        <r>
          <rPr>
            <sz val="9"/>
            <color indexed="81"/>
            <rFont val="Segoe UI"/>
            <family val="2"/>
          </rPr>
          <t>Essa fonte de emissões foi considerada insignificante no cenário do Projeto e, por isso, não devem ser monitoradas, conforme estabelecido na metodologia VM0015 (páginas 28 e 112)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<sst xmlns="http://schemas.openxmlformats.org/spreadsheetml/2006/main" count="1263" uniqueCount="552">
  <si>
    <t>Authors</t>
  </si>
  <si>
    <t>Nayra Gomes Nicolau dos Santos, Amana de Magalhaes Matos Obolari e Marcela Ferreira Gomes</t>
  </si>
  <si>
    <t>Data</t>
  </si>
  <si>
    <t>Project</t>
  </si>
  <si>
    <t>Juruena River REDD+</t>
  </si>
  <si>
    <t>Description</t>
  </si>
  <si>
    <r>
      <t xml:space="preserve">This worksheet contains technical information of monitoring and verification. The name of each worksheet follows the order of presentation of the tables in the </t>
    </r>
    <r>
      <rPr>
        <b/>
        <sz val="12"/>
        <rFont val="Calibri"/>
        <family val="2"/>
        <scheme val="minor"/>
      </rPr>
      <t>VCS Metodology VM0015, Version 1.1</t>
    </r>
  </si>
  <si>
    <t xml:space="preserve">Summary Monitoring Rio Juruena REDD+ Project </t>
  </si>
  <si>
    <t>Temporal Boundaries</t>
  </si>
  <si>
    <t>Project period (years)</t>
  </si>
  <si>
    <t>Start date of the project</t>
  </si>
  <si>
    <t>Monitoring Period</t>
  </si>
  <si>
    <t>12-Nov-2020  to  11-Nov-2021</t>
  </si>
  <si>
    <t>Year of first fixed baseline period</t>
  </si>
  <si>
    <t>Ex-post estimation of GHG emission reductions</t>
  </si>
  <si>
    <t>Expected deforestation in the baseline scenario (ha)</t>
  </si>
  <si>
    <r>
      <t>Average of carbon stock (tCO</t>
    </r>
    <r>
      <rPr>
        <vertAlign val="subscript"/>
        <sz val="10.5"/>
        <rFont val="Franklin Gothic Book"/>
        <family val="2"/>
      </rPr>
      <t>2</t>
    </r>
    <r>
      <rPr>
        <sz val="10.5"/>
        <rFont val="Franklin Gothic Book"/>
        <family val="2"/>
      </rPr>
      <t>e/ha)</t>
    </r>
  </si>
  <si>
    <r>
      <t>Emission factor of project (tCO</t>
    </r>
    <r>
      <rPr>
        <vertAlign val="subscript"/>
        <sz val="10.5"/>
        <rFont val="Franklin Gothic Book"/>
        <family val="2"/>
      </rPr>
      <t>2</t>
    </r>
    <r>
      <rPr>
        <sz val="10.5"/>
        <rFont val="Franklin Gothic Book"/>
        <family val="2"/>
      </rPr>
      <t>e/ha)</t>
    </r>
  </si>
  <si>
    <r>
      <t>Emissions in the project scenario (tCO</t>
    </r>
    <r>
      <rPr>
        <vertAlign val="subscript"/>
        <sz val="10.5"/>
        <rFont val="Franklin Gothic Book"/>
        <family val="2"/>
      </rPr>
      <t>2</t>
    </r>
    <r>
      <rPr>
        <sz val="10.5"/>
        <rFont val="Franklin Gothic Book"/>
        <family val="2"/>
      </rPr>
      <t>e)</t>
    </r>
  </si>
  <si>
    <t>Deforestation in Forest Management (ha)</t>
  </si>
  <si>
    <t>Unvoided Unplanned Deforestation in the PA (ha)</t>
  </si>
  <si>
    <t>Unvoided Unplanned Deforestation in the LK (ha)</t>
  </si>
  <si>
    <r>
      <t>Emissions of Forest Management (tCO</t>
    </r>
    <r>
      <rPr>
        <vertAlign val="subscript"/>
        <sz val="10.5"/>
        <rFont val="Franklin Gothic Book"/>
        <family val="2"/>
      </rPr>
      <t>2</t>
    </r>
    <r>
      <rPr>
        <sz val="10.5"/>
        <rFont val="Franklin Gothic Book"/>
        <family val="2"/>
      </rPr>
      <t>e)</t>
    </r>
  </si>
  <si>
    <r>
      <t>Net emissions reductions from the project (tCO</t>
    </r>
    <r>
      <rPr>
        <vertAlign val="subscript"/>
        <sz val="10.5"/>
        <rFont val="Franklin Gothic Book"/>
        <family val="2"/>
      </rPr>
      <t>2</t>
    </r>
    <r>
      <rPr>
        <sz val="10.5"/>
        <rFont val="Franklin Gothic Book"/>
        <family val="2"/>
      </rPr>
      <t>e)</t>
    </r>
  </si>
  <si>
    <t>Non-permanence risk (buffer)</t>
  </si>
  <si>
    <t>Credit in buffer</t>
  </si>
  <si>
    <t>Number of VCU</t>
  </si>
  <si>
    <t>Spatial limits (ha)</t>
  </si>
  <si>
    <t>Project area</t>
  </si>
  <si>
    <t>Leakage belt</t>
  </si>
  <si>
    <t>Leakage management area</t>
  </si>
  <si>
    <t>Reference region</t>
  </si>
  <si>
    <t>Select</t>
  </si>
  <si>
    <t>Jutaituba REDD+</t>
  </si>
  <si>
    <t>Tree: Included</t>
  </si>
  <si>
    <t xml:space="preserve">Jari Pará REDD+ </t>
  </si>
  <si>
    <t>Tree: Excluded</t>
  </si>
  <si>
    <t>Jari Amapá REDD+</t>
  </si>
  <si>
    <t>Non-Tree: Included</t>
  </si>
  <si>
    <t>Juruá REDD+</t>
  </si>
  <si>
    <t>Non-Tree: Excluded</t>
  </si>
  <si>
    <t>Seringal Rio Branco REDD+</t>
  </si>
  <si>
    <t>Included</t>
  </si>
  <si>
    <t>Ateles REDD+</t>
  </si>
  <si>
    <t>Excluded</t>
  </si>
  <si>
    <t>Tueré REDD+</t>
  </si>
  <si>
    <t>Ararajuba REDD+</t>
  </si>
  <si>
    <t>Panãma REDD+</t>
  </si>
  <si>
    <t>Manoa REDD+</t>
  </si>
  <si>
    <t>RESEX Rio Preto Jacundá REDD+</t>
  </si>
  <si>
    <t>Água Azul REDD+</t>
  </si>
  <si>
    <t>Carbon pools included or excluded within the boundary of the proposed AUD project activity</t>
  </si>
  <si>
    <t xml:space="preserve">Carbon pools </t>
  </si>
  <si>
    <t>Included / Excluded</t>
  </si>
  <si>
    <t xml:space="preserve">Justification / Explanation of choice </t>
  </si>
  <si>
    <t>Above-ground</t>
  </si>
  <si>
    <t xml:space="preserve">Carbon stock change in this pool is always significant </t>
  </si>
  <si>
    <t>No existence of perennial crops as final class in carbon stocks estimates</t>
  </si>
  <si>
    <t>Below-ground</t>
  </si>
  <si>
    <t xml:space="preserve">Stock change in this pool is significant </t>
  </si>
  <si>
    <t>Dead wood</t>
  </si>
  <si>
    <t>Excluded for simplification. In the baseline scenario, dead wood is not removed and/or used before the deforestation, as it is often in the process of decomposition in the forest, being left to burn in the baseline case. Therefore, not accounting for this carbon pool is conservative, as it does not consider GHG emissions from deforestation and burning in the baseline.</t>
  </si>
  <si>
    <t>Harvested wood products</t>
  </si>
  <si>
    <t>Stock change in this pool is not considered in baseline and project scenarios. This is conservative as project scenario includes logging through a sustainable forest management plan, and the amount of timber harvested in the baseline scenario is lower than the project scenario.</t>
  </si>
  <si>
    <t>Litter</t>
  </si>
  <si>
    <t>Excluded as it does not lead to a significant over-estimation of the net anthropogenic GHG emission reductions of the AUD project activity. This exclusion is conservative.</t>
  </si>
  <si>
    <t>Soil organic carbon</t>
  </si>
  <si>
    <t>Recommended when forests are converted to cropland. Not to be measured in conversions to pasture grasses and perennial crop according to VCS Methodology Requirements, 4.2.</t>
  </si>
  <si>
    <t>Sources and GHG included or excluded within the boundary of the proposed 
AUD project activity</t>
  </si>
  <si>
    <t>Source</t>
  </si>
  <si>
    <t>Gas</t>
  </si>
  <si>
    <t>Justification / Explanation of choice</t>
  </si>
  <si>
    <t>Baseline scenario</t>
  </si>
  <si>
    <t>Biomass burning</t>
  </si>
  <si>
    <r>
      <t>CO</t>
    </r>
    <r>
      <rPr>
        <vertAlign val="subscript"/>
        <sz val="10.5"/>
        <color rgb="FF000000"/>
        <rFont val="Franklin Gothic Book"/>
        <family val="2"/>
      </rPr>
      <t>2</t>
    </r>
  </si>
  <si>
    <t>Excluded as recommended by the applied methodology. Counted as carbon stock change.</t>
  </si>
  <si>
    <r>
      <t>CH</t>
    </r>
    <r>
      <rPr>
        <vertAlign val="subscript"/>
        <sz val="10.5"/>
        <color rgb="FF000000"/>
        <rFont val="Franklin Gothic Book"/>
        <family val="2"/>
      </rPr>
      <t>4</t>
    </r>
  </si>
  <si>
    <t>Included as non-CO2 emissions from biomass burning in the baseline scenario, according to the methodology.</t>
  </si>
  <si>
    <r>
      <t>N</t>
    </r>
    <r>
      <rPr>
        <vertAlign val="subscript"/>
        <sz val="10.5"/>
        <color rgb="FF000000"/>
        <rFont val="Franklin Gothic Book"/>
        <family val="2"/>
      </rPr>
      <t>2</t>
    </r>
    <r>
      <rPr>
        <sz val="10.5"/>
        <color rgb="FF000000"/>
        <rFont val="Franklin Gothic Book"/>
        <family val="2"/>
      </rPr>
      <t>O</t>
    </r>
  </si>
  <si>
    <t>Other</t>
  </si>
  <si>
    <t>No other GHG gases were considered in this project activity.</t>
  </si>
  <si>
    <t>Livestock emissions</t>
  </si>
  <si>
    <t>Not a significant source</t>
  </si>
  <si>
    <t>Excluded for simplification. This is conservative.</t>
  </si>
  <si>
    <t>Project scenario</t>
  </si>
  <si>
    <t>No biomass burning increase is predicted to occur in the project scenario compared to the baseline case. Therefore considered insignificant.</t>
  </si>
  <si>
    <t>Excluded, according to methodology VM0015, version 1.1 (pages 28 and 29), as they are not significant (they account for less than 5% of the total GHG benefits generated)</t>
  </si>
  <si>
    <t>Included as non-CO2 emissions from livestock in the leakage management area</t>
  </si>
  <si>
    <t>Table 11b.  Annual areas deforested per forest class icl within the project area</t>
  </si>
  <si>
    <t>Table 11c.  Annual areas deforested per forest class icl within the leakage belt</t>
  </si>
  <si>
    <t>Area deforested per florest class icl within the project area</t>
  </si>
  <si>
    <t>Total monitored deforestation in the project area</t>
  </si>
  <si>
    <t>Total baseline deforestation in the project area</t>
  </si>
  <si>
    <t>Area deforested per florest class icl within the leakage belt</t>
  </si>
  <si>
    <t>Total monitored deforestation in the leakage belt</t>
  </si>
  <si>
    <t>Total baseline deforestation in the leakage belt</t>
  </si>
  <si>
    <t>IDicl</t>
  </si>
  <si>
    <t>annual ABSLPAt (ha)</t>
  </si>
  <si>
    <t>ABSLPA cumulative  (ha)</t>
  </si>
  <si>
    <t>annual ABSLLKt (ha)</t>
  </si>
  <si>
    <t>ABSLLKt  cumulative  (ha)</t>
  </si>
  <si>
    <t>annual ABSLLKt  (ha)</t>
  </si>
  <si>
    <t>Name</t>
  </si>
  <si>
    <t>Estrato 1</t>
  </si>
  <si>
    <t>Estrato 2</t>
  </si>
  <si>
    <t>Initial</t>
  </si>
  <si>
    <t>Final</t>
  </si>
  <si>
    <t>ha</t>
  </si>
  <si>
    <t>13b. Annual areas deforested in each zone within the project area monitored</t>
  </si>
  <si>
    <t>13c. Annual areas deforested in each zone within the leakage belt monitored</t>
  </si>
  <si>
    <t>Area established after deforestation 
per zone within the project area</t>
  </si>
  <si>
    <t>Area established after deforestation 
per zone within the leakage belt</t>
  </si>
  <si>
    <t>IDz</t>
  </si>
  <si>
    <r>
      <t>ABSLPA</t>
    </r>
    <r>
      <rPr>
        <b/>
        <i/>
        <vertAlign val="subscript"/>
        <sz val="10.5"/>
        <color theme="0"/>
        <rFont val="Franklin Gothic Book"/>
        <family val="2"/>
      </rPr>
      <t>t</t>
    </r>
  </si>
  <si>
    <t>ABSLPA</t>
  </si>
  <si>
    <r>
      <t>ABSLLK</t>
    </r>
    <r>
      <rPr>
        <b/>
        <i/>
        <vertAlign val="subscript"/>
        <sz val="10"/>
        <color rgb="FFFFFFFF"/>
        <rFont val="Calibri"/>
        <family val="2"/>
      </rPr>
      <t>t</t>
    </r>
  </si>
  <si>
    <t>ABSLLK</t>
  </si>
  <si>
    <t>Zone 1</t>
  </si>
  <si>
    <t>annual</t>
  </si>
  <si>
    <t>cumulative</t>
  </si>
  <si>
    <t>REFERENCE REGION</t>
  </si>
  <si>
    <t xml:space="preserve"> Source</t>
  </si>
  <si>
    <t>Forest class</t>
  </si>
  <si>
    <t>% of the RR</t>
  </si>
  <si>
    <t>Aboveground*</t>
  </si>
  <si>
    <t>Belowground**</t>
  </si>
  <si>
    <t>Dead Wood</t>
  </si>
  <si>
    <t>TOTAL</t>
  </si>
  <si>
    <r>
      <t xml:space="preserve"> Biomass   (Mg ha</t>
    </r>
    <r>
      <rPr>
        <b/>
        <vertAlign val="superscript"/>
        <sz val="10.5"/>
        <color theme="0"/>
        <rFont val="Franklin Gothic Book"/>
        <family val="2"/>
      </rPr>
      <t>-1</t>
    </r>
    <r>
      <rPr>
        <b/>
        <sz val="10.5"/>
        <color theme="0"/>
        <rFont val="Franklin Gothic Book"/>
        <family val="2"/>
      </rPr>
      <t>)</t>
    </r>
  </si>
  <si>
    <t>Biomass to Carbon (tC/ha)</t>
  </si>
  <si>
    <r>
      <t>Cab</t>
    </r>
    <r>
      <rPr>
        <b/>
        <vertAlign val="subscript"/>
        <sz val="10.5"/>
        <color theme="0"/>
        <rFont val="Franklin Gothic Book"/>
        <family val="2"/>
      </rPr>
      <t>icl</t>
    </r>
    <r>
      <rPr>
        <b/>
        <sz val="10.5"/>
        <color theme="0"/>
        <rFont val="Franklin Gothic Book"/>
        <family val="2"/>
      </rPr>
      <t xml:space="preserve">
(tCO2e/ha) </t>
    </r>
  </si>
  <si>
    <r>
      <t xml:space="preserve"> Biomass  (Mg ha</t>
    </r>
    <r>
      <rPr>
        <b/>
        <vertAlign val="superscript"/>
        <sz val="10.5"/>
        <color theme="0"/>
        <rFont val="Franklin Gothic Book"/>
        <family val="2"/>
      </rPr>
      <t>-1</t>
    </r>
    <r>
      <rPr>
        <b/>
        <sz val="10.5"/>
        <color theme="0"/>
        <rFont val="Franklin Gothic Book"/>
        <family val="2"/>
      </rPr>
      <t>)</t>
    </r>
  </si>
  <si>
    <r>
      <t>Cbb</t>
    </r>
    <r>
      <rPr>
        <b/>
        <vertAlign val="subscript"/>
        <sz val="10.5"/>
        <color theme="0"/>
        <rFont val="Franklin Gothic Book"/>
        <family val="2"/>
      </rPr>
      <t>icl</t>
    </r>
    <r>
      <rPr>
        <b/>
        <sz val="10.5"/>
        <color theme="0"/>
        <rFont val="Franklin Gothic Book"/>
        <family val="2"/>
      </rPr>
      <t xml:space="preserve"> (tCO2e/ha)  </t>
    </r>
  </si>
  <si>
    <r>
      <t>Cdw</t>
    </r>
    <r>
      <rPr>
        <b/>
        <vertAlign val="subscript"/>
        <sz val="10.5"/>
        <color theme="0"/>
        <rFont val="Franklin Gothic Book"/>
        <family val="2"/>
      </rPr>
      <t>icl</t>
    </r>
    <r>
      <rPr>
        <b/>
        <sz val="10.5"/>
        <color theme="0"/>
        <rFont val="Franklin Gothic Book"/>
        <family val="2"/>
      </rPr>
      <t xml:space="preserve"> (tCO2e/ha) </t>
    </r>
  </si>
  <si>
    <r>
      <t>Total biomass (Mg ha</t>
    </r>
    <r>
      <rPr>
        <b/>
        <vertAlign val="superscript"/>
        <sz val="10.5"/>
        <color theme="0"/>
        <rFont val="Franklin Gothic Book"/>
        <family val="2"/>
      </rPr>
      <t>-1</t>
    </r>
    <r>
      <rPr>
        <b/>
        <sz val="10.5"/>
        <color theme="0"/>
        <rFont val="Franklin Gothic Book"/>
        <family val="2"/>
      </rPr>
      <t>)</t>
    </r>
  </si>
  <si>
    <r>
      <t>Ctot</t>
    </r>
    <r>
      <rPr>
        <b/>
        <vertAlign val="subscript"/>
        <sz val="10.5"/>
        <color theme="0"/>
        <rFont val="Franklin Gothic Book"/>
        <family val="2"/>
      </rPr>
      <t>icl</t>
    </r>
    <r>
      <rPr>
        <b/>
        <sz val="10.5"/>
        <color theme="0"/>
        <rFont val="Franklin Gothic Book"/>
        <family val="2"/>
      </rPr>
      <t xml:space="preserve"> (tCO2e/ha)</t>
    </r>
  </si>
  <si>
    <t xml:space="preserve"> RR Vegetation type</t>
  </si>
  <si>
    <t>Area (ha)</t>
  </si>
  <si>
    <t>FAO</t>
  </si>
  <si>
    <t>Dense Alluvial Tropical Rainforest</t>
  </si>
  <si>
    <t>Higuchi</t>
  </si>
  <si>
    <t>Dense Submontane Tropical Rainforest</t>
  </si>
  <si>
    <t>Dense Tropical Rainforest</t>
  </si>
  <si>
    <t>Open Submontane Tropical Rainforest</t>
  </si>
  <si>
    <t>Open Tropical Rainforest</t>
  </si>
  <si>
    <t>Seasonal Forest Savanna</t>
  </si>
  <si>
    <t>Seasonal treed Savanna</t>
  </si>
  <si>
    <t>Seasonal deciduous submontane forest</t>
  </si>
  <si>
    <t>Mg - megagrama</t>
  </si>
  <si>
    <t>PROJECT AREA</t>
  </si>
  <si>
    <t>% of the PA</t>
  </si>
  <si>
    <t>PA Vegetation type</t>
  </si>
  <si>
    <t>Literature</t>
  </si>
  <si>
    <t>LB Vegetation type</t>
  </si>
  <si>
    <t>% of the LB (%)</t>
  </si>
  <si>
    <t>LEAKAGE BELT</t>
  </si>
  <si>
    <t>% of the LB</t>
  </si>
  <si>
    <t>Non-forest vegetation</t>
  </si>
  <si>
    <t>Carbon**** (tC/ha)</t>
  </si>
  <si>
    <r>
      <t>Ctot</t>
    </r>
    <r>
      <rPr>
        <b/>
        <vertAlign val="subscript"/>
        <sz val="10.5"/>
        <color theme="0"/>
        <rFont val="Franklin Gothic Book"/>
        <family val="2"/>
      </rPr>
      <t>fcl</t>
    </r>
    <r>
      <rPr>
        <b/>
        <sz val="10.5"/>
        <color theme="0"/>
        <rFont val="Franklin Gothic Book"/>
        <family val="2"/>
      </rPr>
      <t xml:space="preserve">
(tCO2e/ha)   </t>
    </r>
  </si>
  <si>
    <t>Anthropic areas in equilibrium (post-deforestation class)</t>
  </si>
  <si>
    <t>Conversion Factors***</t>
  </si>
  <si>
    <t>Biomass to Carbon</t>
  </si>
  <si>
    <r>
      <t>C to CO</t>
    </r>
    <r>
      <rPr>
        <vertAlign val="subscript"/>
        <sz val="10.5"/>
        <color theme="1"/>
        <rFont val="Franklin Gothic Book"/>
        <family val="2"/>
      </rPr>
      <t>2</t>
    </r>
  </si>
  <si>
    <t>*For dense tropical and dense submontane forests:
HIGUCHI, Francisco Gasparetto. Dinâmica de volume e biomassa da floresta de terra firme do Amazonas. 2015. 201 f. Tese (Doutorado) - Curso de Engenharia Florestal, Setor de Ciências Agrárias, Universidade Federal do Paraná, Curitiba, 2015. Available at: https://acervodigital.ufpr.br/bitstream/handle/1884/41822/R%20-%20T%20-%20FRANCISCO%20GASPARETTO%20HIGUCHI.pdf?sequence=1&amp;isAllowed=y. Last visited on: November/24/2021.
For other vegetation types:
FAO, Food and Agriculture Organization of the United Nations. Global Forest Resources Assessment 2020, Report, Rome, 2020. Available at: https://snif.florestal.gov.br/pt-br/ultimas-noticias/659-avaliacao-global-do-recursos-florestais-fra-2020. Last visited on: November/24/2021.</t>
  </si>
  <si>
    <r>
      <rPr>
        <b/>
        <sz val="10.5"/>
        <color theme="1"/>
        <rFont val="Franklin Gothic Book"/>
        <family val="2"/>
      </rPr>
      <t>Following the VM00015 Methodology requirements, the LU/LC maps have been developed using satellite images through MapBiomas’ classification, which identifies forest, non-forest vegetation, anthropic uses (categorized as deforestation) and hydrography (lakes and rivers). For these maps, the accuracy assessment has been conducted, which meets the methodology requirements</t>
    </r>
    <r>
      <rPr>
        <sz val="10.5"/>
        <color theme="1"/>
        <rFont val="Franklin Gothic Book"/>
        <family val="2"/>
      </rPr>
      <t>. 
Furthermore</t>
    </r>
    <r>
      <rPr>
        <b/>
        <sz val="10.5"/>
        <color theme="1"/>
        <rFont val="Franklin Gothic Book"/>
        <family val="2"/>
      </rPr>
      <t>, the official map for all vegetation types of the country, which was elaborated by IBGE (Brazilian Institute of Geography and Statistics), was used to check the vegetation types present within the RR, PA and LK</t>
    </r>
    <r>
      <rPr>
        <sz val="10.5"/>
        <color theme="1"/>
        <rFont val="Franklin Gothic Book"/>
        <family val="2"/>
      </rPr>
      <t xml:space="preserve">. The vegetation type map was created by IBGE considering several aspects that are able to differentiate one type of vegetation to the other, such as species composition, elevation and climate variation, soil type, among others.
</t>
    </r>
  </si>
  <si>
    <t>**Table 2. Root to shoot ratios (Modified by GOFC-GOLD, 2008) from table 4.4 in IPCC GL AFOLU. VM0015, pg 141</t>
  </si>
  <si>
    <t>***IPCC, 2003. Good practice guidance for land use, land-use change and forestry. Kanagawa: IGES, 2003. Available at: http://www.ipcc-nggip.iges.or.jp/public/gpglulucf/gpglulucf.html</t>
  </si>
  <si>
    <r>
      <t xml:space="preserve">****FEARNSIDE, Philip M. Amazonian deforestation and global warming: carbon stocks in vegetation replacing Brazil's Amazon forest. </t>
    </r>
    <r>
      <rPr>
        <b/>
        <sz val="10.5"/>
        <color theme="1"/>
        <rFont val="Franklin Gothic Book"/>
        <family val="2"/>
      </rPr>
      <t xml:space="preserve">Forest Ecology And Management, </t>
    </r>
    <r>
      <rPr>
        <sz val="10.5"/>
        <color theme="1"/>
        <rFont val="Franklin Gothic Book"/>
        <family val="2"/>
      </rPr>
      <t>Manaus, v. 80, p.21-34, 1996</t>
    </r>
  </si>
  <si>
    <t>Table 15. Carbon stocks per hectare of initial forest classes icl existing in the project area and leakage belt</t>
  </si>
  <si>
    <t>If the uncertainty of the total average carbon stock (Ctotcl) of a class cl is less than 10% of the average value, the average carbon stock value can be used.</t>
  </si>
  <si>
    <t>Table 15.a. Estimated values</t>
  </si>
  <si>
    <r>
      <t xml:space="preserve">Initial forest class </t>
    </r>
    <r>
      <rPr>
        <b/>
        <i/>
        <sz val="10.5"/>
        <color theme="0"/>
        <rFont val="Franklin Gothic Book"/>
        <family val="2"/>
      </rPr>
      <t>icl</t>
    </r>
  </si>
  <si>
    <t>Boundaries</t>
  </si>
  <si>
    <t>Average carbon stock 90% CI</t>
  </si>
  <si>
    <t>Exemplo: Forest - Open Submontane Tropical Rainforest</t>
  </si>
  <si>
    <r>
      <t>ID</t>
    </r>
    <r>
      <rPr>
        <b/>
        <vertAlign val="subscript"/>
        <sz val="10.5"/>
        <color theme="0"/>
        <rFont val="Franklin Gothic Book"/>
        <family val="2"/>
      </rPr>
      <t>icl</t>
    </r>
  </si>
  <si>
    <r>
      <t>Cab</t>
    </r>
    <r>
      <rPr>
        <b/>
        <vertAlign val="subscript"/>
        <sz val="10.5"/>
        <color theme="0"/>
        <rFont val="Franklin Gothic Book"/>
        <family val="2"/>
      </rPr>
      <t>icl</t>
    </r>
  </si>
  <si>
    <r>
      <t>Cbb</t>
    </r>
    <r>
      <rPr>
        <b/>
        <vertAlign val="subscript"/>
        <sz val="10.5"/>
        <color theme="0"/>
        <rFont val="Franklin Gothic Book"/>
        <family val="2"/>
      </rPr>
      <t>icl</t>
    </r>
  </si>
  <si>
    <r>
      <t>Cdw</t>
    </r>
    <r>
      <rPr>
        <b/>
        <vertAlign val="subscript"/>
        <sz val="10.5"/>
        <color theme="0"/>
        <rFont val="Franklin Gothic Book"/>
        <family val="2"/>
      </rPr>
      <t>icl</t>
    </r>
  </si>
  <si>
    <r>
      <t>Ctot</t>
    </r>
    <r>
      <rPr>
        <b/>
        <vertAlign val="subscript"/>
        <sz val="10.5"/>
        <color theme="0"/>
        <rFont val="Franklin Gothic Book"/>
        <family val="2"/>
      </rPr>
      <t>icl</t>
    </r>
  </si>
  <si>
    <t xml:space="preserve">C stock </t>
  </si>
  <si>
    <t>±90% CI</t>
  </si>
  <si>
    <t>tCO2e/ha</t>
  </si>
  <si>
    <t>Project Area</t>
  </si>
  <si>
    <t>Leakage Belt</t>
  </si>
  <si>
    <t>Table 15.b. Values to be used after discounts for uncertainties</t>
  </si>
  <si>
    <t>Table 16. Long-term (20-years) average carbon stocks per hectare of post-deforestation LU/LC classes present in the reference region</t>
  </si>
  <si>
    <r>
      <t xml:space="preserve">Post deforestation class </t>
    </r>
    <r>
      <rPr>
        <b/>
        <i/>
        <sz val="10.5"/>
        <color theme="0"/>
        <rFont val="Franklin Gothic Book"/>
        <family val="2"/>
      </rPr>
      <t>fcl</t>
    </r>
  </si>
  <si>
    <t>Anthropic vegetation in Equilibrium</t>
  </si>
  <si>
    <r>
      <t>ID</t>
    </r>
    <r>
      <rPr>
        <b/>
        <vertAlign val="subscript"/>
        <sz val="10.5"/>
        <color theme="0"/>
        <rFont val="Franklin Gothic Book"/>
        <family val="2"/>
      </rPr>
      <t>fcl</t>
    </r>
  </si>
  <si>
    <t>Average carbon stock per hectare ±90% CI</t>
  </si>
  <si>
    <r>
      <t>Ctot</t>
    </r>
    <r>
      <rPr>
        <b/>
        <vertAlign val="subscript"/>
        <sz val="10.5"/>
        <color theme="0"/>
        <rFont val="Franklin Gothic Book"/>
        <family val="2"/>
      </rPr>
      <t>fcl</t>
    </r>
  </si>
  <si>
    <r>
      <t>tCO</t>
    </r>
    <r>
      <rPr>
        <b/>
        <vertAlign val="subscript"/>
        <sz val="10.5"/>
        <color theme="0"/>
        <rFont val="Franklin Gothic Book"/>
        <family val="2"/>
      </rPr>
      <t>2</t>
    </r>
    <r>
      <rPr>
        <b/>
        <sz val="10.5"/>
        <color theme="0"/>
        <rFont val="Franklin Gothic Book"/>
        <family val="2"/>
      </rPr>
      <t>e/ha</t>
    </r>
  </si>
  <si>
    <t>The average classification of post-deforestation land-uses within the reference region during the historical reference period was conducted through MapBiomas, which is detailed below. Therefore, almost 90% of the post-deforestation land uses within the reference region is composed by pasturelands.</t>
  </si>
  <si>
    <t>Post-deforestation stock Summary (ton/hectare)</t>
  </si>
  <si>
    <t>Class</t>
  </si>
  <si>
    <t>%</t>
  </si>
  <si>
    <t>Biomass</t>
  </si>
  <si>
    <t>Carbon</t>
  </si>
  <si>
    <t>Pasture</t>
  </si>
  <si>
    <t>Secondary Forests</t>
  </si>
  <si>
    <t>Agriculture</t>
  </si>
  <si>
    <t>Total</t>
  </si>
  <si>
    <t>Reference Region</t>
  </si>
  <si>
    <t>Land Use</t>
  </si>
  <si>
    <t>Area (%)</t>
  </si>
  <si>
    <t xml:space="preserve">Carbon </t>
  </si>
  <si>
    <t>tC/ha</t>
  </si>
  <si>
    <t>tCO2e</t>
  </si>
  <si>
    <t>Pasturelands</t>
  </si>
  <si>
    <t>Methodological explanation for calculating carbon stock post-deforestation</t>
  </si>
  <si>
    <r>
      <t>According to a study by Wandelli and Fearnside 2015: "a 6-year-old secondary vegetation stand resulting from slash-and-burn agriculture has an aerial biomass of 50.3 Mg ha-1 (i.e. a growth rate of 8.4 Mg ha-1 year-1), while a stand of the same age originating from pasture areas has an aerial biomass of 31.1 Mg ha-1 (i.e. a growth rate of 5.2 Mg ha-1 year-1)."_x000B_So 50.3 would be secondary vegetation from agriculture and 31.1 from pasture.</t>
    </r>
    <r>
      <rPr>
        <b/>
        <i/>
        <sz val="10"/>
        <color theme="1"/>
        <rFont val="Franklin Gothic Book"/>
        <family val="2"/>
      </rPr>
      <t xml:space="preserve"> However, since the secondary vegetation accounts for less than 1% of this project, it has been excluded from the analysis</t>
    </r>
  </si>
  <si>
    <t>Example: Average  carbon stocks of pastureland, agriculture and other land uses available at National GHG Emissions Communication of Brazil to the UNFCCC (2019) &lt;https://www.gov.br/mcti/pt-br/acompanhe-o-mcti/sirene/publicacoes/comunicacoes-nacionais-do-brasil-a-unfccc/arquivos/3tcn_volume_3.pdf&gt;</t>
  </si>
  <si>
    <t xml:space="preserve">Example: Average carbon stock in aboveground biomass in secondary forest is 19 tC/ha. Available at &lt;Pereira, Izaura Cristina Nunes. Estoque de biomassa e carbono florestal em unidades de paisagem na Amazônia: uma análise a partir da abordagem metodológica. Universidade Federal do Pará, , Belém, 2013. Available at: &lt;https://ppgdstu.propesp.ufpa.br/ARQUIVOS/teses/TESES/2013/IZAURA%20CRISTINA%20NUNES%20PEREIRA.pdf&gt;. Belowground biomass was estimated through the root-to-shoot ratio from the applied methodology. </t>
  </si>
  <si>
    <r>
      <t xml:space="preserve">Table 20.a. Carbon stock change factors for </t>
    </r>
    <r>
      <rPr>
        <b/>
        <sz val="10.5"/>
        <rFont val="Franklin Gothic Book"/>
        <family val="2"/>
      </rPr>
      <t>initial forest classes</t>
    </r>
    <r>
      <rPr>
        <sz val="10.5"/>
        <rFont val="Franklin Gothic Book"/>
        <family val="2"/>
      </rPr>
      <t xml:space="preserve"> icl (Method 1, Project Area)</t>
    </r>
  </si>
  <si>
    <t>Year after deforestation</t>
  </si>
  <si>
    <r>
      <t>ΔCab</t>
    </r>
    <r>
      <rPr>
        <b/>
        <i/>
        <vertAlign val="subscript"/>
        <sz val="10.5"/>
        <color theme="0"/>
        <rFont val="Franklin Gothic Book"/>
        <family val="2"/>
      </rPr>
      <t>icl,t</t>
    </r>
  </si>
  <si>
    <r>
      <t>ΔCbb</t>
    </r>
    <r>
      <rPr>
        <b/>
        <i/>
        <vertAlign val="subscript"/>
        <sz val="10.5"/>
        <color theme="0"/>
        <rFont val="Franklin Gothic Book"/>
        <family val="2"/>
      </rPr>
      <t>icl,t</t>
    </r>
  </si>
  <si>
    <r>
      <t>ΔCdw</t>
    </r>
    <r>
      <rPr>
        <b/>
        <i/>
        <vertAlign val="subscript"/>
        <sz val="10.5"/>
        <color theme="0"/>
        <rFont val="Franklin Gothic Book"/>
        <family val="2"/>
      </rPr>
      <t>icl,t</t>
    </r>
  </si>
  <si>
    <r>
      <t>ΔCtot</t>
    </r>
    <r>
      <rPr>
        <b/>
        <i/>
        <vertAlign val="subscript"/>
        <sz val="10.5"/>
        <color theme="0"/>
        <rFont val="Franklin Gothic Book"/>
        <family val="2"/>
      </rPr>
      <t>cl,t</t>
    </r>
  </si>
  <si>
    <r>
      <t>ABSLPA * Cp</t>
    </r>
    <r>
      <rPr>
        <b/>
        <vertAlign val="subscript"/>
        <sz val="10.5"/>
        <color theme="0"/>
        <rFont val="Franklin Gothic Book"/>
        <family val="2"/>
      </rPr>
      <t>icl, 1</t>
    </r>
  </si>
  <si>
    <t>t*</t>
  </si>
  <si>
    <t>t*+1</t>
  </si>
  <si>
    <t>t*+2</t>
  </si>
  <si>
    <t>t*+3</t>
  </si>
  <si>
    <t>t*+4</t>
  </si>
  <si>
    <t>t*+5</t>
  </si>
  <si>
    <t>t*+6</t>
  </si>
  <si>
    <t>t*+7</t>
  </si>
  <si>
    <t>t*+8</t>
  </si>
  <si>
    <t>t*+9</t>
  </si>
  <si>
    <t>Total emissions</t>
  </si>
  <si>
    <r>
      <t xml:space="preserve">Table 20.b. Carbon stock change factors for </t>
    </r>
    <r>
      <rPr>
        <b/>
        <sz val="10.5"/>
        <rFont val="Franklin Gothic Book"/>
        <family val="2"/>
      </rPr>
      <t>final classes</t>
    </r>
    <r>
      <rPr>
        <sz val="10.5"/>
        <rFont val="Franklin Gothic Book"/>
        <family val="2"/>
      </rPr>
      <t xml:space="preserve"> fcl or zones z (Method 1, Project Area)</t>
    </r>
  </si>
  <si>
    <r>
      <t>ΔCtot</t>
    </r>
    <r>
      <rPr>
        <b/>
        <vertAlign val="subscript"/>
        <sz val="10.5"/>
        <color theme="0"/>
        <rFont val="Franklin Gothic Book"/>
        <family val="2"/>
      </rPr>
      <t>f</t>
    </r>
    <r>
      <rPr>
        <b/>
        <i/>
        <vertAlign val="subscript"/>
        <sz val="10.5"/>
        <color theme="0"/>
        <rFont val="Franklin Gothic Book"/>
        <family val="2"/>
      </rPr>
      <t>cl,t</t>
    </r>
  </si>
  <si>
    <r>
      <t xml:space="preserve">Table 20.c. Carbon stock change factors for </t>
    </r>
    <r>
      <rPr>
        <b/>
        <sz val="10.5"/>
        <rFont val="Franklin Gothic Book"/>
        <family val="2"/>
      </rPr>
      <t>initial forest classes</t>
    </r>
    <r>
      <rPr>
        <sz val="10.5"/>
        <rFont val="Franklin Gothic Book"/>
        <family val="2"/>
      </rPr>
      <t xml:space="preserve"> icl (Method 1, Leakage Belt)</t>
    </r>
  </si>
  <si>
    <r>
      <t>ABSLLK * Cp</t>
    </r>
    <r>
      <rPr>
        <b/>
        <vertAlign val="subscript"/>
        <sz val="10.5"/>
        <color theme="0"/>
        <rFont val="Franklin Gothic Book"/>
        <family val="2"/>
      </rPr>
      <t>icl,1</t>
    </r>
  </si>
  <si>
    <r>
      <t xml:space="preserve">Table 20.d. Carbon stock change factors for </t>
    </r>
    <r>
      <rPr>
        <b/>
        <sz val="10.5"/>
        <rFont val="Franklin Gothic Book"/>
        <family val="2"/>
      </rPr>
      <t>final classes</t>
    </r>
    <r>
      <rPr>
        <sz val="10.5"/>
        <rFont val="Franklin Gothic Book"/>
        <family val="2"/>
      </rPr>
      <t xml:space="preserve"> fcl or zones z (Method 1, Leakage Belt)</t>
    </r>
  </si>
  <si>
    <t>Tables 21.b. Ex-post carbon stock change in the project area</t>
  </si>
  <si>
    <t>Tables 21.c. Ex-post carbon stock change in the leakage belt area</t>
  </si>
  <si>
    <t xml:space="preserve">Total Net leakage </t>
  </si>
  <si>
    <r>
      <t xml:space="preserve">Carbon stock changes per initial forest class </t>
    </r>
    <r>
      <rPr>
        <b/>
        <i/>
        <sz val="10.5"/>
        <color theme="0"/>
        <rFont val="Franklin Gothic Book"/>
        <family val="2"/>
      </rPr>
      <t>icl</t>
    </r>
  </si>
  <si>
    <t>Total carbon stock change of initial forest class in the project area</t>
  </si>
  <si>
    <t>Carbon stock changes per post-deforestation zone z</t>
  </si>
  <si>
    <t>Total carbon stock change of post-deforestation zones in the project area</t>
  </si>
  <si>
    <t>Total net carbon stock change of the project area</t>
  </si>
  <si>
    <t>Total carbon stock change of initial forest class in the leakage belt area</t>
  </si>
  <si>
    <t>Total carbon stock change of post-deforestation zones in leakage belt area</t>
  </si>
  <si>
    <t>Total net carbon stock change of the leakage belt area</t>
  </si>
  <si>
    <r>
      <t xml:space="preserve">Total </t>
    </r>
    <r>
      <rPr>
        <b/>
        <u/>
        <sz val="10.5"/>
        <color theme="0"/>
        <rFont val="Franklin Gothic Book"/>
        <family val="2"/>
      </rPr>
      <t>baseline</t>
    </r>
    <r>
      <rPr>
        <b/>
        <sz val="10.5"/>
        <color theme="0"/>
        <rFont val="Franklin Gothic Book"/>
        <family val="2"/>
      </rPr>
      <t xml:space="preserve"> net carbon stock change of the leakage belt area</t>
    </r>
  </si>
  <si>
    <t>Total ex-post Leakage</t>
  </si>
  <si>
    <r>
      <t>ID</t>
    </r>
    <r>
      <rPr>
        <b/>
        <vertAlign val="subscript"/>
        <sz val="10.5"/>
        <color theme="0"/>
        <rFont val="Franklin Gothic Book"/>
        <family val="2"/>
      </rPr>
      <t>icl</t>
    </r>
    <r>
      <rPr>
        <b/>
        <sz val="10.5"/>
        <color theme="0"/>
        <rFont val="Franklin Gothic Book"/>
        <family val="2"/>
      </rPr>
      <t>&gt;</t>
    </r>
  </si>
  <si>
    <r>
      <t>ΔCBSLPA</t>
    </r>
    <r>
      <rPr>
        <b/>
        <i/>
        <vertAlign val="subscript"/>
        <sz val="10.5"/>
        <color theme="0"/>
        <rFont val="Franklin Gothic Book"/>
        <family val="2"/>
      </rPr>
      <t>icl,t</t>
    </r>
  </si>
  <si>
    <r>
      <t>ΔCBSLPA</t>
    </r>
    <r>
      <rPr>
        <b/>
        <i/>
        <vertAlign val="subscript"/>
        <sz val="10.5"/>
        <color theme="0"/>
        <rFont val="Franklin Gothic Book"/>
        <family val="2"/>
      </rPr>
      <t>icl</t>
    </r>
  </si>
  <si>
    <r>
      <t>ID</t>
    </r>
    <r>
      <rPr>
        <b/>
        <vertAlign val="subscript"/>
        <sz val="10.5"/>
        <color theme="0"/>
        <rFont val="Franklin Gothic Book"/>
        <family val="2"/>
      </rPr>
      <t>iz</t>
    </r>
    <r>
      <rPr>
        <b/>
        <sz val="10.5"/>
        <color theme="0"/>
        <rFont val="Franklin Gothic Book"/>
        <family val="2"/>
      </rPr>
      <t>&gt;</t>
    </r>
  </si>
  <si>
    <r>
      <t>ΔCBSLPA</t>
    </r>
    <r>
      <rPr>
        <b/>
        <i/>
        <vertAlign val="subscript"/>
        <sz val="10.5"/>
        <color theme="0"/>
        <rFont val="Franklin Gothic Book"/>
        <family val="2"/>
      </rPr>
      <t>z,t</t>
    </r>
  </si>
  <si>
    <r>
      <t>ΔCBSLPA</t>
    </r>
    <r>
      <rPr>
        <b/>
        <i/>
        <vertAlign val="subscript"/>
        <sz val="10.5"/>
        <color theme="0"/>
        <rFont val="Franklin Gothic Book"/>
        <family val="2"/>
      </rPr>
      <t>z</t>
    </r>
  </si>
  <si>
    <r>
      <t>ΔCBSLPA</t>
    </r>
    <r>
      <rPr>
        <b/>
        <i/>
        <vertAlign val="subscript"/>
        <sz val="10.5"/>
        <color theme="0"/>
        <rFont val="Franklin Gothic Book"/>
        <family val="2"/>
      </rPr>
      <t>t</t>
    </r>
  </si>
  <si>
    <t>ΔCBSLPA</t>
  </si>
  <si>
    <r>
      <t>ΔCBSLLK</t>
    </r>
    <r>
      <rPr>
        <b/>
        <i/>
        <vertAlign val="subscript"/>
        <sz val="10.5"/>
        <color theme="0"/>
        <rFont val="Franklin Gothic Book"/>
        <family val="2"/>
      </rPr>
      <t>icl,t</t>
    </r>
  </si>
  <si>
    <r>
      <t>ΔCBSLLK</t>
    </r>
    <r>
      <rPr>
        <b/>
        <i/>
        <vertAlign val="subscript"/>
        <sz val="10.5"/>
        <color theme="0"/>
        <rFont val="Franklin Gothic Book"/>
        <family val="2"/>
      </rPr>
      <t>icl</t>
    </r>
  </si>
  <si>
    <r>
      <t>ΔCBSLLK</t>
    </r>
    <r>
      <rPr>
        <b/>
        <i/>
        <vertAlign val="subscript"/>
        <sz val="10.5"/>
        <color theme="0"/>
        <rFont val="Franklin Gothic Book"/>
        <family val="2"/>
      </rPr>
      <t>z,t</t>
    </r>
  </si>
  <si>
    <r>
      <t>ΔCBSLLK</t>
    </r>
    <r>
      <rPr>
        <b/>
        <i/>
        <vertAlign val="subscript"/>
        <sz val="10.5"/>
        <color theme="0"/>
        <rFont val="Franklin Gothic Book"/>
        <family val="2"/>
      </rPr>
      <t>z</t>
    </r>
  </si>
  <si>
    <r>
      <t>ΔCBSLLK</t>
    </r>
    <r>
      <rPr>
        <b/>
        <i/>
        <vertAlign val="subscript"/>
        <sz val="10.5"/>
        <color theme="0"/>
        <rFont val="Franklin Gothic Book"/>
        <family val="2"/>
      </rPr>
      <t>t</t>
    </r>
  </si>
  <si>
    <t>ΔCBSLLK</t>
  </si>
  <si>
    <t>ΔCBSLLKt</t>
  </si>
  <si>
    <t>Name&gt;</t>
  </si>
  <si>
    <t>Forest</t>
  </si>
  <si>
    <r>
      <t xml:space="preserve">Project Year </t>
    </r>
    <r>
      <rPr>
        <b/>
        <i/>
        <sz val="10.5"/>
        <color theme="0"/>
        <rFont val="Franklin Gothic Book"/>
        <family val="2"/>
      </rPr>
      <t>t</t>
    </r>
  </si>
  <si>
    <r>
      <t>tCO</t>
    </r>
    <r>
      <rPr>
        <b/>
        <vertAlign val="subscript"/>
        <sz val="10.5"/>
        <color theme="0"/>
        <rFont val="Franklin Gothic Book"/>
        <family val="2"/>
      </rPr>
      <t>2</t>
    </r>
    <r>
      <rPr>
        <b/>
        <sz val="10.5"/>
        <color theme="0"/>
        <rFont val="Franklin Gothic Book"/>
        <family val="2"/>
      </rPr>
      <t>-e</t>
    </r>
  </si>
  <si>
    <t>tCO2-e</t>
  </si>
  <si>
    <t>Table 23. Parameters used to calculate non-CO2 emissions from forest fires</t>
  </si>
  <si>
    <t>Calculation of Fburnt</t>
  </si>
  <si>
    <t>Initial Forest Class</t>
  </si>
  <si>
    <t>Parameters</t>
  </si>
  <si>
    <t>Period</t>
  </si>
  <si>
    <t>Deforestation (ha)</t>
  </si>
  <si>
    <t>By Fire (ha)</t>
  </si>
  <si>
    <t>Proportion of deforestation by Fire</t>
  </si>
  <si>
    <r>
      <t>Fburnt</t>
    </r>
    <r>
      <rPr>
        <b/>
        <vertAlign val="subscript"/>
        <sz val="10.5"/>
        <color theme="0"/>
        <rFont val="Franklin Gothic Book"/>
        <family val="2"/>
      </rPr>
      <t>icl</t>
    </r>
  </si>
  <si>
    <t>Cab</t>
  </si>
  <si>
    <r>
      <t>Pburnt</t>
    </r>
    <r>
      <rPr>
        <b/>
        <vertAlign val="subscript"/>
        <sz val="10.5"/>
        <color theme="0"/>
        <rFont val="Franklin Gothic Book"/>
        <family val="2"/>
      </rPr>
      <t>ab,icl</t>
    </r>
  </si>
  <si>
    <r>
      <t>CE</t>
    </r>
    <r>
      <rPr>
        <b/>
        <vertAlign val="subscript"/>
        <sz val="10.5"/>
        <color theme="0"/>
        <rFont val="Franklin Gothic Book"/>
        <family val="2"/>
      </rPr>
      <t>ab,icl</t>
    </r>
  </si>
  <si>
    <t>ECO2-ab</t>
  </si>
  <si>
    <t>EBBCO2-tot</t>
  </si>
  <si>
    <r>
      <t>EBBN2O</t>
    </r>
    <r>
      <rPr>
        <b/>
        <vertAlign val="subscript"/>
        <sz val="10.5"/>
        <color theme="0"/>
        <rFont val="Franklin Gothic Book"/>
        <family val="2"/>
      </rPr>
      <t>icl</t>
    </r>
  </si>
  <si>
    <r>
      <t>EBBCH4</t>
    </r>
    <r>
      <rPr>
        <b/>
        <vertAlign val="subscript"/>
        <sz val="10.5"/>
        <color theme="0"/>
        <rFont val="Franklin Gothic Book"/>
        <family val="2"/>
      </rPr>
      <t>icl</t>
    </r>
  </si>
  <si>
    <r>
      <t>EBBtot</t>
    </r>
    <r>
      <rPr>
        <b/>
        <vertAlign val="subscript"/>
        <sz val="10.5"/>
        <color theme="0"/>
        <rFont val="Franklin Gothic Book"/>
        <family val="2"/>
      </rPr>
      <t>icl</t>
    </r>
  </si>
  <si>
    <t>IDcl</t>
  </si>
  <si>
    <t xml:space="preserve">tCO2e/ha </t>
  </si>
  <si>
    <r>
      <t>EBB</t>
    </r>
    <r>
      <rPr>
        <vertAlign val="subscript"/>
        <sz val="10.5"/>
        <color theme="1"/>
        <rFont val="Franklin Gothic Book"/>
        <family val="2"/>
      </rPr>
      <t>toticl,t</t>
    </r>
    <r>
      <rPr>
        <sz val="10.5"/>
        <color theme="1"/>
        <rFont val="Franklin Gothic Book"/>
        <family val="2"/>
      </rPr>
      <t xml:space="preserve"> = EBB</t>
    </r>
    <r>
      <rPr>
        <vertAlign val="subscript"/>
        <sz val="10.5"/>
        <color theme="1"/>
        <rFont val="Franklin Gothic Book"/>
        <family val="2"/>
      </rPr>
      <t>N2Oicl,t</t>
    </r>
    <r>
      <rPr>
        <sz val="10.5"/>
        <color theme="1"/>
        <rFont val="Franklin Gothic Book"/>
        <family val="2"/>
      </rPr>
      <t xml:space="preserve"> + EBB</t>
    </r>
    <r>
      <rPr>
        <vertAlign val="subscript"/>
        <sz val="10.5"/>
        <color theme="1"/>
        <rFont val="Franklin Gothic Book"/>
        <family val="2"/>
      </rPr>
      <t>CH4icl,t</t>
    </r>
  </si>
  <si>
    <r>
      <t>EBB</t>
    </r>
    <r>
      <rPr>
        <vertAlign val="subscript"/>
        <sz val="10.5"/>
        <color theme="1"/>
        <rFont val="Franklin Gothic Book"/>
        <family val="2"/>
      </rPr>
      <t>N2Oicl,t</t>
    </r>
    <r>
      <rPr>
        <sz val="10.5"/>
        <color theme="1"/>
        <rFont val="Franklin Gothic Book"/>
        <family val="2"/>
      </rPr>
      <t xml:space="preserve"> = EBB</t>
    </r>
    <r>
      <rPr>
        <vertAlign val="subscript"/>
        <sz val="10.5"/>
        <color theme="1"/>
        <rFont val="Franklin Gothic Book"/>
        <family val="2"/>
      </rPr>
      <t>CO2icl,t</t>
    </r>
    <r>
      <rPr>
        <sz val="10.5"/>
        <color theme="1"/>
        <rFont val="Franklin Gothic Book"/>
        <family val="2"/>
      </rPr>
      <t xml:space="preserve"> * 12/44 * NCR * ER</t>
    </r>
    <r>
      <rPr>
        <vertAlign val="subscript"/>
        <sz val="10.5"/>
        <color theme="1"/>
        <rFont val="Franklin Gothic Book"/>
        <family val="2"/>
      </rPr>
      <t>N2O</t>
    </r>
    <r>
      <rPr>
        <sz val="10.5"/>
        <color theme="1"/>
        <rFont val="Franklin Gothic Book"/>
        <family val="2"/>
      </rPr>
      <t xml:space="preserve"> * 44/28 * GWP</t>
    </r>
    <r>
      <rPr>
        <vertAlign val="subscript"/>
        <sz val="10.5"/>
        <color theme="1"/>
        <rFont val="Franklin Gothic Book"/>
        <family val="2"/>
      </rPr>
      <t>N2O</t>
    </r>
  </si>
  <si>
    <r>
      <t>EBB</t>
    </r>
    <r>
      <rPr>
        <vertAlign val="subscript"/>
        <sz val="10.5"/>
        <color theme="1"/>
        <rFont val="Franklin Gothic Book"/>
        <family val="2"/>
      </rPr>
      <t>CH4icl,t</t>
    </r>
    <r>
      <rPr>
        <sz val="10.5"/>
        <color theme="1"/>
        <rFont val="Franklin Gothic Book"/>
        <family val="2"/>
      </rPr>
      <t xml:space="preserve"> = EBB</t>
    </r>
    <r>
      <rPr>
        <vertAlign val="subscript"/>
        <sz val="10.5"/>
        <color theme="1"/>
        <rFont val="Franklin Gothic Book"/>
        <family val="2"/>
      </rPr>
      <t>CO2icl,t</t>
    </r>
    <r>
      <rPr>
        <sz val="10.5"/>
        <color theme="1"/>
        <rFont val="Franklin Gothic Book"/>
        <family val="2"/>
      </rPr>
      <t xml:space="preserve"> * 12/44 * ER</t>
    </r>
    <r>
      <rPr>
        <vertAlign val="subscript"/>
        <sz val="10.5"/>
        <color theme="1"/>
        <rFont val="Franklin Gothic Book"/>
        <family val="2"/>
      </rPr>
      <t xml:space="preserve">CH4 </t>
    </r>
    <r>
      <rPr>
        <sz val="10.5"/>
        <color theme="1"/>
        <rFont val="Franklin Gothic Book"/>
        <family val="2"/>
      </rPr>
      <t>* 16/12 * GWP</t>
    </r>
    <r>
      <rPr>
        <vertAlign val="subscript"/>
        <sz val="10.5"/>
        <color theme="1"/>
        <rFont val="Franklin Gothic Book"/>
        <family val="2"/>
      </rPr>
      <t>CH4</t>
    </r>
  </si>
  <si>
    <r>
      <t>EBB</t>
    </r>
    <r>
      <rPr>
        <vertAlign val="subscript"/>
        <sz val="10.5"/>
        <color theme="1"/>
        <rFont val="Franklin Gothic Book"/>
        <family val="2"/>
      </rPr>
      <t>CO2icl,t</t>
    </r>
    <r>
      <rPr>
        <sz val="10.5"/>
        <color theme="1"/>
        <rFont val="Franklin Gothic Book"/>
        <family val="2"/>
      </rPr>
      <t xml:space="preserve"> = Fburnt</t>
    </r>
    <r>
      <rPr>
        <vertAlign val="subscript"/>
        <sz val="10.5"/>
        <color theme="1"/>
        <rFont val="Franklin Gothic Book"/>
        <family val="2"/>
      </rPr>
      <t>icl</t>
    </r>
    <r>
      <rPr>
        <sz val="10.5"/>
        <color theme="1"/>
        <rFont val="Franklin Gothic Book"/>
        <family val="2"/>
      </rPr>
      <t xml:space="preserve"> * ∑(C</t>
    </r>
    <r>
      <rPr>
        <vertAlign val="subscript"/>
        <sz val="10.5"/>
        <color theme="1"/>
        <rFont val="Franklin Gothic Book"/>
        <family val="2"/>
      </rPr>
      <t>picl,t</t>
    </r>
    <r>
      <rPr>
        <sz val="10.5"/>
        <color theme="1"/>
        <rFont val="Franklin Gothic Book"/>
        <family val="2"/>
      </rPr>
      <t xml:space="preserve"> * Pburnt</t>
    </r>
    <r>
      <rPr>
        <vertAlign val="subscript"/>
        <sz val="10.5"/>
        <color theme="1"/>
        <rFont val="Franklin Gothic Book"/>
        <family val="2"/>
      </rPr>
      <t>p,icl</t>
    </r>
    <r>
      <rPr>
        <sz val="10.5"/>
        <color theme="1"/>
        <rFont val="Franklin Gothic Book"/>
        <family val="2"/>
      </rPr>
      <t xml:space="preserve"> * CE</t>
    </r>
    <r>
      <rPr>
        <vertAlign val="subscript"/>
        <sz val="10.5"/>
        <color theme="1"/>
        <rFont val="Franklin Gothic Book"/>
        <family val="2"/>
      </rPr>
      <t>p,icl</t>
    </r>
    <r>
      <rPr>
        <sz val="10.5"/>
        <color theme="1"/>
        <rFont val="Franklin Gothic Book"/>
        <family val="2"/>
      </rPr>
      <t>)</t>
    </r>
  </si>
  <si>
    <r>
      <t>EBB</t>
    </r>
    <r>
      <rPr>
        <vertAlign val="subscript"/>
        <sz val="10.5"/>
        <color theme="1"/>
        <rFont val="Franklin Gothic Book"/>
        <family val="2"/>
      </rPr>
      <t>CO2icl,t</t>
    </r>
  </si>
  <si>
    <r>
      <t>tCO</t>
    </r>
    <r>
      <rPr>
        <vertAlign val="subscript"/>
        <sz val="10.5"/>
        <color theme="1"/>
        <rFont val="Franklin Gothic Book"/>
        <family val="2"/>
      </rPr>
      <t>2</t>
    </r>
    <r>
      <rPr>
        <sz val="10.5"/>
        <color theme="1"/>
        <rFont val="Franklin Gothic Book"/>
        <family val="2"/>
      </rPr>
      <t>e/ha</t>
    </r>
  </si>
  <si>
    <r>
      <t>EBB</t>
    </r>
    <r>
      <rPr>
        <vertAlign val="subscript"/>
        <sz val="10.5"/>
        <color theme="1"/>
        <rFont val="Franklin Gothic Book"/>
        <family val="2"/>
      </rPr>
      <t>CH4icl,t</t>
    </r>
  </si>
  <si>
    <r>
      <t>EBB</t>
    </r>
    <r>
      <rPr>
        <vertAlign val="subscript"/>
        <sz val="10.5"/>
        <color theme="1"/>
        <rFont val="Franklin Gothic Book"/>
        <family val="2"/>
      </rPr>
      <t>N2Oicl,t</t>
    </r>
  </si>
  <si>
    <r>
      <t>EBB</t>
    </r>
    <r>
      <rPr>
        <vertAlign val="subscript"/>
        <sz val="10.5"/>
        <color theme="1"/>
        <rFont val="Franklin Gothic Book"/>
        <family val="2"/>
      </rPr>
      <t>toticl,t</t>
    </r>
  </si>
  <si>
    <t>Table 25.a. Ex post carbon stock decrease due to planned deforestation in the project area</t>
  </si>
  <si>
    <t>Forest management infrastructure</t>
  </si>
  <si>
    <r>
      <t xml:space="preserve">Project year </t>
    </r>
    <r>
      <rPr>
        <b/>
        <i/>
        <sz val="10.5"/>
        <color theme="0"/>
        <rFont val="Franklin Gothic Book"/>
        <family val="2"/>
      </rPr>
      <t>t</t>
    </r>
  </si>
  <si>
    <t>Areas of planned deforestation x Carbon stock change (decrease) in the project area</t>
  </si>
  <si>
    <t>Total carbon stock decrease due to planned deforestation</t>
  </si>
  <si>
    <t>Areas of unplanned deforestation x Carbon stock change (decrease) in the project area</t>
  </si>
  <si>
    <t>Total carbon stock decrease due to unplanned deforestation</t>
  </si>
  <si>
    <t>Total carbon stock decrease due to planned and unplanned deforestation</t>
  </si>
  <si>
    <t>Start</t>
  </si>
  <si>
    <t>End</t>
  </si>
  <si>
    <t>Total period (days)</t>
  </si>
  <si>
    <t>APU</t>
  </si>
  <si>
    <t>Road type</t>
  </si>
  <si>
    <t>Road length (m)</t>
  </si>
  <si>
    <t>Road width (m)</t>
  </si>
  <si>
    <t>Road (area cleared, in ha)</t>
  </si>
  <si>
    <t>Total road (area cleared, in ha)</t>
  </si>
  <si>
    <t>Nº of Wood decks</t>
  </si>
  <si>
    <t>Total wood decks (area cleared, in ha)</t>
  </si>
  <si>
    <t>Total area cleared, in ha</t>
  </si>
  <si>
    <t>IDcl = 1
Forest</t>
  </si>
  <si>
    <t>Tico Tico</t>
  </si>
  <si>
    <t>Primary</t>
  </si>
  <si>
    <r>
      <t>APDPA</t>
    </r>
    <r>
      <rPr>
        <b/>
        <vertAlign val="subscript"/>
        <sz val="10.5"/>
        <color theme="0"/>
        <rFont val="Franklin Gothic Book"/>
        <family val="2"/>
      </rPr>
      <t>icl,t</t>
    </r>
  </si>
  <si>
    <r>
      <t>Ctot</t>
    </r>
    <r>
      <rPr>
        <b/>
        <vertAlign val="subscript"/>
        <sz val="10.5"/>
        <color theme="0"/>
        <rFont val="Franklin Gothic Book"/>
        <family val="2"/>
      </rPr>
      <t>icl,t</t>
    </r>
  </si>
  <si>
    <r>
      <t>ΔCPDdPA</t>
    </r>
    <r>
      <rPr>
        <b/>
        <vertAlign val="subscript"/>
        <sz val="10.5"/>
        <color theme="0"/>
        <rFont val="Franklin Gothic Book"/>
        <family val="2"/>
      </rPr>
      <t>t</t>
    </r>
  </si>
  <si>
    <t>ΔCPDdPA</t>
  </si>
  <si>
    <t>AUDPAicl,t</t>
  </si>
  <si>
    <t>Ctoticl,t</t>
  </si>
  <si>
    <t>ΔCUDdPAt</t>
  </si>
  <si>
    <t>ΔCUDdPA</t>
  </si>
  <si>
    <t>Secondary</t>
  </si>
  <si>
    <r>
      <t>tCO</t>
    </r>
    <r>
      <rPr>
        <b/>
        <vertAlign val="subscript"/>
        <sz val="10.5"/>
        <color theme="0"/>
        <rFont val="Franklin Gothic Book"/>
        <family val="2"/>
      </rPr>
      <t>2</t>
    </r>
    <r>
      <rPr>
        <b/>
        <sz val="10.5"/>
        <color theme="0"/>
        <rFont val="Franklin Gothic Book"/>
        <family val="2"/>
      </rPr>
      <t>e</t>
    </r>
  </si>
  <si>
    <t>Monitoring period in 2020</t>
  </si>
  <si>
    <t>Estimated total road (area cleared, ha)</t>
  </si>
  <si>
    <t>Wood decks (area cleared, ha)</t>
  </si>
  <si>
    <t>Monitoring period in 2021</t>
  </si>
  <si>
    <t>Estimated road (area cleared, ha)</t>
  </si>
  <si>
    <r>
      <t>Sources for calculating the APDPA</t>
    </r>
    <r>
      <rPr>
        <sz val="9"/>
        <color rgb="FF000000"/>
        <rFont val="Franklin Gothic Book"/>
        <family val="2"/>
      </rPr>
      <t xml:space="preserve">icl,t </t>
    </r>
    <r>
      <rPr>
        <sz val="10.5"/>
        <color rgb="FF000000"/>
        <rFont val="Franklin Gothic Book"/>
        <family val="2"/>
      </rPr>
      <t>parameter</t>
    </r>
  </si>
  <si>
    <t>Table 25.b. Ex post carbon stock decrease due to planned logging activities in the project area</t>
  </si>
  <si>
    <t>Logging activities data</t>
  </si>
  <si>
    <t>Areas of planned logging activities x Carbon stock change (decrease) in the project area</t>
  </si>
  <si>
    <t>Total carbon stock decrease due to planned logging activities</t>
  </si>
  <si>
    <t>Average harvesting intensity</t>
  </si>
  <si>
    <t>m³</t>
  </si>
  <si>
    <t>m³/ha</t>
  </si>
  <si>
    <r>
      <t>APLPA</t>
    </r>
    <r>
      <rPr>
        <b/>
        <vertAlign val="subscript"/>
        <sz val="10.5"/>
        <color theme="0"/>
        <rFont val="Franklin Gothic Book"/>
        <family val="2"/>
      </rPr>
      <t>icl,t</t>
    </r>
  </si>
  <si>
    <r>
      <t>ΔCLd</t>
    </r>
    <r>
      <rPr>
        <b/>
        <vertAlign val="subscript"/>
        <sz val="10.5"/>
        <color theme="0"/>
        <rFont val="Franklin Gothic Book"/>
        <family val="2"/>
      </rPr>
      <t>icl,t</t>
    </r>
  </si>
  <si>
    <r>
      <t>ΔCPLdPA</t>
    </r>
    <r>
      <rPr>
        <b/>
        <vertAlign val="subscript"/>
        <sz val="10.5"/>
        <color theme="0"/>
        <rFont val="Franklin Gothic Book"/>
        <family val="2"/>
      </rPr>
      <t>t</t>
    </r>
  </si>
  <si>
    <t>ΔCPLdPA</t>
  </si>
  <si>
    <t>Example: Tico Tico</t>
  </si>
  <si>
    <t>Harvesting intensity</t>
  </si>
  <si>
    <t>Logging Damage Factor</t>
  </si>
  <si>
    <t>Average carbon stock change due to logging activities</t>
  </si>
  <si>
    <t>Estimated volume (m³)</t>
  </si>
  <si>
    <t>tC/m³</t>
  </si>
  <si>
    <t>m³/m³</t>
  </si>
  <si>
    <r>
      <t xml:space="preserve">Sources for calculating the </t>
    </r>
    <r>
      <rPr>
        <i/>
        <sz val="11"/>
        <color rgb="FF000000"/>
        <rFont val="Franklin Gothic Book"/>
        <family val="2"/>
      </rPr>
      <t>APLPA</t>
    </r>
    <r>
      <rPr>
        <i/>
        <sz val="9"/>
        <color rgb="FF000000"/>
        <rFont val="Franklin Gothic Book"/>
        <family val="2"/>
      </rPr>
      <t>icl,t</t>
    </r>
    <r>
      <rPr>
        <sz val="9"/>
        <color rgb="FF000000"/>
        <rFont val="Franklin Gothic Book"/>
        <family val="2"/>
      </rPr>
      <t xml:space="preserve"> </t>
    </r>
    <r>
      <rPr>
        <sz val="10.5"/>
        <color rgb="FF000000"/>
        <rFont val="Franklin Gothic Book"/>
        <family val="2"/>
      </rPr>
      <t>and</t>
    </r>
    <r>
      <rPr>
        <i/>
        <sz val="9"/>
        <color rgb="FF000000"/>
        <rFont val="Franklin Gothic Book"/>
        <family val="2"/>
      </rPr>
      <t xml:space="preserve"> </t>
    </r>
    <r>
      <rPr>
        <i/>
        <sz val="11"/>
        <color rgb="FF000000"/>
        <rFont val="Franklin Gothic Book"/>
        <family val="2"/>
      </rPr>
      <t>ΔCLd</t>
    </r>
    <r>
      <rPr>
        <i/>
        <sz val="9"/>
        <color rgb="FF000000"/>
        <rFont val="Franklin Gothic Book"/>
        <family val="2"/>
      </rPr>
      <t xml:space="preserve">icl,t </t>
    </r>
    <r>
      <rPr>
        <sz val="9"/>
        <color rgb="FF000000"/>
        <rFont val="Franklin Gothic Book"/>
        <family val="2"/>
      </rPr>
      <t xml:space="preserve"> </t>
    </r>
    <r>
      <rPr>
        <sz val="10.5"/>
        <color rgb="FF000000"/>
        <rFont val="Franklin Gothic Book"/>
        <family val="2"/>
      </rPr>
      <t>parameter</t>
    </r>
  </si>
  <si>
    <t>Table 25.d. Total ex post carbon stock decrease due to planned activities in the project area</t>
  </si>
  <si>
    <t>Total carbon stock decrease due to planned fuel-wood and charcoal activities</t>
  </si>
  <si>
    <t>Total carbon stock decrease due to planned activities</t>
  </si>
  <si>
    <r>
      <t>ΔCPFdPA</t>
    </r>
    <r>
      <rPr>
        <b/>
        <vertAlign val="subscript"/>
        <sz val="10.5"/>
        <color theme="0"/>
        <rFont val="Franklin Gothic Book"/>
        <family val="2"/>
      </rPr>
      <t>t</t>
    </r>
  </si>
  <si>
    <t>ΔCPFdPA</t>
  </si>
  <si>
    <r>
      <t>ΔCPAdPA</t>
    </r>
    <r>
      <rPr>
        <b/>
        <vertAlign val="subscript"/>
        <sz val="10.5"/>
        <color theme="0"/>
        <rFont val="Franklin Gothic Book"/>
        <family val="2"/>
      </rPr>
      <t>t</t>
    </r>
  </si>
  <si>
    <t>ΔCPAdPA</t>
  </si>
  <si>
    <r>
      <t xml:space="preserve">Table 25.e Ex post actual </t>
    </r>
    <r>
      <rPr>
        <u/>
        <sz val="11"/>
        <color rgb="FF000000"/>
        <rFont val="Calibri"/>
        <family val="2"/>
        <scheme val="minor"/>
      </rPr>
      <t>carbon stock decrease</t>
    </r>
    <r>
      <rPr>
        <sz val="11"/>
        <color rgb="FF000000"/>
        <rFont val="Calibri"/>
        <family val="2"/>
        <scheme val="minor"/>
      </rPr>
      <t xml:space="preserve"> due to forest fires in the project area</t>
    </r>
  </si>
  <si>
    <t>Table 25.f Ex post carbon stock decrease due to catastrophic events in the project area</t>
  </si>
  <si>
    <t>Table 25.g Total ex post carbon stock decrease due to forest fires and catastrophic events</t>
  </si>
  <si>
    <t>Areas affected by forest fires x Carbon stock change (decrease)</t>
  </si>
  <si>
    <t>Total carbon stock decrease due to catastrophic events</t>
  </si>
  <si>
    <t>Significance</t>
  </si>
  <si>
    <r>
      <t xml:space="preserve">Project Year </t>
    </r>
    <r>
      <rPr>
        <b/>
        <i/>
        <sz val="11"/>
        <color theme="0"/>
        <rFont val="Calibri"/>
        <family val="2"/>
        <scheme val="minor"/>
      </rPr>
      <t>t</t>
    </r>
  </si>
  <si>
    <t>Areas affected by catastrophic events x Carbon stock change (decrease)</t>
  </si>
  <si>
    <t>Project Year t</t>
  </si>
  <si>
    <t>Total carbon stock decrease due to forest fires</t>
  </si>
  <si>
    <t>Total carbon stock decrease due to forest fires and catastrophic events</t>
  </si>
  <si>
    <r>
      <t>ID</t>
    </r>
    <r>
      <rPr>
        <b/>
        <vertAlign val="subscript"/>
        <sz val="10.5"/>
        <color theme="0"/>
        <rFont val="Franklin Gothic Book"/>
        <family val="2"/>
      </rPr>
      <t xml:space="preserve">cl </t>
    </r>
    <r>
      <rPr>
        <b/>
        <sz val="10.5"/>
        <color theme="0"/>
        <rFont val="Franklin Gothic Book"/>
        <family val="2"/>
      </rPr>
      <t>=</t>
    </r>
  </si>
  <si>
    <t>cummulative</t>
  </si>
  <si>
    <r>
      <t>ID</t>
    </r>
    <r>
      <rPr>
        <b/>
        <vertAlign val="subscript"/>
        <sz val="11"/>
        <color theme="0"/>
        <rFont val="Calibri"/>
        <family val="2"/>
        <scheme val="minor"/>
      </rPr>
      <t xml:space="preserve">cl </t>
    </r>
    <r>
      <rPr>
        <b/>
        <sz val="11"/>
        <color theme="0"/>
        <rFont val="Calibri"/>
        <family val="2"/>
        <scheme val="minor"/>
      </rPr>
      <t>=</t>
    </r>
  </si>
  <si>
    <r>
      <t>AUFPA</t>
    </r>
    <r>
      <rPr>
        <b/>
        <i/>
        <vertAlign val="subscript"/>
        <sz val="10.5"/>
        <color theme="0"/>
        <rFont val="Franklin Gothic Book"/>
        <family val="2"/>
      </rPr>
      <t>icl,t</t>
    </r>
  </si>
  <si>
    <r>
      <t>ΔCtot</t>
    </r>
    <r>
      <rPr>
        <b/>
        <i/>
        <vertAlign val="subscript"/>
        <sz val="10.5"/>
        <color theme="0"/>
        <rFont val="Franklin Gothic Book"/>
        <family val="2"/>
      </rPr>
      <t>icl,t</t>
    </r>
  </si>
  <si>
    <t>ΔCUFdPAt</t>
  </si>
  <si>
    <t>ΔCUFdFA</t>
  </si>
  <si>
    <r>
      <t>APDPA</t>
    </r>
    <r>
      <rPr>
        <b/>
        <i/>
        <vertAlign val="subscript"/>
        <sz val="11"/>
        <color theme="0"/>
        <rFont val="Calibri"/>
        <family val="2"/>
        <scheme val="minor"/>
      </rPr>
      <t>icl,t</t>
    </r>
  </si>
  <si>
    <r>
      <t>ΔCtot</t>
    </r>
    <r>
      <rPr>
        <b/>
        <i/>
        <vertAlign val="subscript"/>
        <sz val="11"/>
        <color theme="0"/>
        <rFont val="Calibri"/>
        <family val="2"/>
        <scheme val="minor"/>
      </rPr>
      <t>icl,t</t>
    </r>
  </si>
  <si>
    <t>ΔCUCdPAt</t>
  </si>
  <si>
    <t>Δ CUCdPAt</t>
  </si>
  <si>
    <t>Δ CFCdPAt</t>
  </si>
  <si>
    <r>
      <t>tCO</t>
    </r>
    <r>
      <rPr>
        <b/>
        <vertAlign val="subscript"/>
        <sz val="10.5"/>
        <color theme="0"/>
        <rFont val="Franklin Gothic Book"/>
        <family val="2"/>
      </rPr>
      <t>2</t>
    </r>
    <r>
      <rPr>
        <b/>
        <sz val="10.5"/>
        <color theme="0"/>
        <rFont val="Franklin Gothic Book"/>
        <family val="2"/>
      </rPr>
      <t>e ha</t>
    </r>
    <r>
      <rPr>
        <b/>
        <vertAlign val="superscript"/>
        <sz val="10.5"/>
        <color theme="0"/>
        <rFont val="Franklin Gothic Book"/>
        <family val="2"/>
      </rPr>
      <t>-1</t>
    </r>
  </si>
  <si>
    <r>
      <t>tCO</t>
    </r>
    <r>
      <rPr>
        <b/>
        <vertAlign val="subscript"/>
        <sz val="11"/>
        <color theme="0"/>
        <rFont val="Calibri"/>
        <family val="2"/>
        <scheme val="minor"/>
      </rPr>
      <t>2</t>
    </r>
    <r>
      <rPr>
        <b/>
        <sz val="11"/>
        <color theme="0"/>
        <rFont val="Calibri"/>
        <family val="2"/>
        <scheme val="minor"/>
      </rPr>
      <t>e ha</t>
    </r>
    <r>
      <rPr>
        <b/>
        <vertAlign val="superscript"/>
        <sz val="11"/>
        <color theme="0"/>
        <rFont val="Calibri"/>
        <family val="2"/>
        <scheme val="minor"/>
      </rPr>
      <t>-1</t>
    </r>
  </si>
  <si>
    <r>
      <t>tCO</t>
    </r>
    <r>
      <rPr>
        <b/>
        <vertAlign val="subscript"/>
        <sz val="11"/>
        <color theme="0"/>
        <rFont val="Calibri"/>
        <family val="2"/>
        <scheme val="minor"/>
      </rPr>
      <t>2</t>
    </r>
    <r>
      <rPr>
        <b/>
        <sz val="11"/>
        <color theme="0"/>
        <rFont val="Calibri"/>
        <family val="2"/>
        <scheme val="minor"/>
      </rPr>
      <t>e</t>
    </r>
  </si>
  <si>
    <t>Table 26.b. Ex post estimated carbon stock increase following planned logging activities in the project area</t>
  </si>
  <si>
    <t>Areas of planned logging activities x Carbon stock change (increase up to maximum long-term average)</t>
  </si>
  <si>
    <t>Total carbon stock increase due to planned logging activities</t>
  </si>
  <si>
    <t>Average annual increment of managed forest</t>
  </si>
  <si>
    <t>m³/ha/year</t>
  </si>
  <si>
    <t>tCO2e/ha/year</t>
  </si>
  <si>
    <r>
      <t>ΔCLi</t>
    </r>
    <r>
      <rPr>
        <b/>
        <vertAlign val="subscript"/>
        <sz val="10.5"/>
        <color theme="0"/>
        <rFont val="Franklin Gothic Book"/>
        <family val="2"/>
      </rPr>
      <t>icl,t</t>
    </r>
  </si>
  <si>
    <r>
      <t>ΔCPLiPA</t>
    </r>
    <r>
      <rPr>
        <b/>
        <vertAlign val="subscript"/>
        <sz val="10.5"/>
        <color theme="0"/>
        <rFont val="Franklin Gothic Book"/>
        <family val="2"/>
      </rPr>
      <t>t</t>
    </r>
  </si>
  <si>
    <t>ΔCPLiPA</t>
  </si>
  <si>
    <t>Table 26.d. Total ex post estimated carbon stock increase due to planned activities in the project area</t>
  </si>
  <si>
    <t>Total carbon stock increase due to growth without harvest</t>
  </si>
  <si>
    <t>Total carbon stock increase due to planned fuel-wood and charcoal activities</t>
  </si>
  <si>
    <t>Total carbon stock increase due to planned activities</t>
  </si>
  <si>
    <r>
      <t>ΔCPNiPA</t>
    </r>
    <r>
      <rPr>
        <b/>
        <vertAlign val="subscript"/>
        <sz val="10.5"/>
        <color theme="0"/>
        <rFont val="Franklin Gothic Book"/>
        <family val="2"/>
      </rPr>
      <t>t</t>
    </r>
  </si>
  <si>
    <t>ΔCPNiPA</t>
  </si>
  <si>
    <r>
      <t>ΔCPFiPA</t>
    </r>
    <r>
      <rPr>
        <b/>
        <vertAlign val="subscript"/>
        <sz val="10.5"/>
        <color theme="0"/>
        <rFont val="Franklin Gothic Book"/>
        <family val="2"/>
      </rPr>
      <t>t</t>
    </r>
  </si>
  <si>
    <t>ΔCPFiPA</t>
  </si>
  <si>
    <r>
      <t>ΔCPAiPA</t>
    </r>
    <r>
      <rPr>
        <b/>
        <vertAlign val="subscript"/>
        <sz val="10.5"/>
        <color theme="0"/>
        <rFont val="Franklin Gothic Book"/>
        <family val="2"/>
      </rPr>
      <t>t</t>
    </r>
  </si>
  <si>
    <t>ΔCPAiPA</t>
  </si>
  <si>
    <t>Table 29.  Total ex post estimated actual net changes in carbon stocks and emissions of GHG gases in the project area.</t>
  </si>
  <si>
    <r>
      <t xml:space="preserve">Total </t>
    </r>
    <r>
      <rPr>
        <b/>
        <i/>
        <sz val="10.5"/>
        <color theme="0"/>
        <rFont val="Franklin Gothic Book"/>
        <family val="2"/>
      </rPr>
      <t>ex post</t>
    </r>
    <r>
      <rPr>
        <b/>
        <sz val="10.5"/>
        <color theme="0"/>
        <rFont val="Franklin Gothic Book"/>
        <family val="2"/>
      </rPr>
      <t xml:space="preserve"> carbon stock decrease due to planned activities</t>
    </r>
  </si>
  <si>
    <r>
      <t xml:space="preserve">Total </t>
    </r>
    <r>
      <rPr>
        <b/>
        <i/>
        <sz val="10.5"/>
        <color theme="0"/>
        <rFont val="Franklin Gothic Book"/>
        <family val="2"/>
      </rPr>
      <t>ex post</t>
    </r>
    <r>
      <rPr>
        <b/>
        <sz val="10.5"/>
        <color theme="0"/>
        <rFont val="Franklin Gothic Book"/>
        <family val="2"/>
      </rPr>
      <t xml:space="preserve"> carbon stock increase due to planned activities</t>
    </r>
  </si>
  <si>
    <r>
      <t xml:space="preserve">Total </t>
    </r>
    <r>
      <rPr>
        <b/>
        <i/>
        <sz val="10.5"/>
        <color theme="0"/>
        <rFont val="Franklin Gothic Book"/>
        <family val="2"/>
      </rPr>
      <t>ex post</t>
    </r>
    <r>
      <rPr>
        <b/>
        <sz val="10.5"/>
        <color theme="0"/>
        <rFont val="Franklin Gothic Book"/>
        <family val="2"/>
      </rPr>
      <t xml:space="preserve"> carbon stock decrease due to unavoided unplanned deforestation</t>
    </r>
  </si>
  <si>
    <r>
      <t xml:space="preserve">Total </t>
    </r>
    <r>
      <rPr>
        <b/>
        <i/>
        <sz val="10.5"/>
        <color theme="0"/>
        <rFont val="Franklin Gothic Book"/>
        <family val="2"/>
      </rPr>
      <t>ex post</t>
    </r>
    <r>
      <rPr>
        <b/>
        <sz val="10.5"/>
        <color theme="0"/>
        <rFont val="Franklin Gothic Book"/>
        <family val="2"/>
      </rPr>
      <t xml:space="preserve"> carbon stock change</t>
    </r>
  </si>
  <si>
    <r>
      <t xml:space="preserve">Total </t>
    </r>
    <r>
      <rPr>
        <b/>
        <i/>
        <sz val="10.5"/>
        <color theme="0"/>
        <rFont val="Franklin Gothic Book"/>
        <family val="2"/>
      </rPr>
      <t>ex post</t>
    </r>
    <r>
      <rPr>
        <b/>
        <sz val="10.5"/>
        <color theme="0"/>
        <rFont val="Franklin Gothic Book"/>
        <family val="2"/>
      </rPr>
      <t xml:space="preserve"> estimated actual non-CO</t>
    </r>
    <r>
      <rPr>
        <b/>
        <vertAlign val="subscript"/>
        <sz val="10.5"/>
        <color theme="0"/>
        <rFont val="Franklin Gothic Book"/>
        <family val="2"/>
      </rPr>
      <t>2</t>
    </r>
    <r>
      <rPr>
        <b/>
        <sz val="10.5"/>
        <color theme="0"/>
        <rFont val="Franklin Gothic Book"/>
        <family val="2"/>
      </rPr>
      <t xml:space="preserve"> emissions from forest fires in the project area</t>
    </r>
  </si>
  <si>
    <r>
      <t>ΔCUDdPA</t>
    </r>
    <r>
      <rPr>
        <b/>
        <vertAlign val="subscript"/>
        <sz val="10.5"/>
        <color theme="0"/>
        <rFont val="Franklin Gothic Book"/>
        <family val="2"/>
      </rPr>
      <t>t</t>
    </r>
  </si>
  <si>
    <r>
      <t>ΔCPSPA</t>
    </r>
    <r>
      <rPr>
        <b/>
        <vertAlign val="subscript"/>
        <sz val="10.5"/>
        <color theme="0"/>
        <rFont val="Franklin Gothic Book"/>
        <family val="2"/>
      </rPr>
      <t>t</t>
    </r>
  </si>
  <si>
    <t>ΔCPSPA</t>
  </si>
  <si>
    <r>
      <t>EBBPSPA</t>
    </r>
    <r>
      <rPr>
        <b/>
        <vertAlign val="subscript"/>
        <sz val="10.5"/>
        <color theme="0"/>
        <rFont val="Franklin Gothic Book"/>
        <family val="2"/>
      </rPr>
      <t>t</t>
    </r>
  </si>
  <si>
    <t>EBBPSPA</t>
  </si>
  <si>
    <t>Table 30b. Ex post carbon stock change in leakage management areas</t>
  </si>
  <si>
    <t>Table 30.c. Ex post net carbon stock change in leakage management areas</t>
  </si>
  <si>
    <t>Project year</t>
  </si>
  <si>
    <t>Carbon stock changes in leakage management area in the project case</t>
  </si>
  <si>
    <t>Mean annual increment (MAI)
Amazon rainforest</t>
  </si>
  <si>
    <t>Total carbon stock change in the baseline case</t>
  </si>
  <si>
    <t>Total carbon stock change in the project case</t>
  </si>
  <si>
    <t>Net carbon stock change due to leakage prevention measures</t>
  </si>
  <si>
    <t>tC/ha/y</t>
  </si>
  <si>
    <t>cumulatve</t>
  </si>
  <si>
    <t>APSLKfcl,t</t>
  </si>
  <si>
    <r>
      <t>Ctot</t>
    </r>
    <r>
      <rPr>
        <b/>
        <vertAlign val="subscript"/>
        <sz val="10.5"/>
        <color theme="0"/>
        <rFont val="Franklin Gothic Book"/>
        <family val="2"/>
      </rPr>
      <t>fcl,t</t>
    </r>
  </si>
  <si>
    <t>ΔCPSLKt</t>
  </si>
  <si>
    <t>ΔCPSLK</t>
  </si>
  <si>
    <t>tCO2e/ha/y</t>
  </si>
  <si>
    <r>
      <t>ΔCBSLLK</t>
    </r>
    <r>
      <rPr>
        <b/>
        <vertAlign val="subscript"/>
        <sz val="10.5"/>
        <color theme="0"/>
        <rFont val="Franklin Gothic Book"/>
        <family val="2"/>
      </rPr>
      <t>t</t>
    </r>
  </si>
  <si>
    <r>
      <t>ΔCPSLK</t>
    </r>
    <r>
      <rPr>
        <b/>
        <vertAlign val="subscript"/>
        <sz val="10.5"/>
        <color theme="0"/>
        <rFont val="Franklin Gothic Book"/>
        <family val="2"/>
      </rPr>
      <t>t</t>
    </r>
  </si>
  <si>
    <r>
      <t>ΔCLPMLK</t>
    </r>
    <r>
      <rPr>
        <b/>
        <vertAlign val="subscript"/>
        <sz val="10.5"/>
        <color theme="0"/>
        <rFont val="Franklin Gothic Book"/>
        <family val="2"/>
      </rPr>
      <t>t</t>
    </r>
  </si>
  <si>
    <t>ΔCLPMLK</t>
  </si>
  <si>
    <t>tCO2e/ha/day</t>
  </si>
  <si>
    <t xml:space="preserve">Table 31. Parameters used for the ex post estimation of GHG emissions from grazing activities </t>
  </si>
  <si>
    <t>Parameter</t>
  </si>
  <si>
    <t>Values used for calculations</t>
  </si>
  <si>
    <t>Unit</t>
  </si>
  <si>
    <t>EF1</t>
  </si>
  <si>
    <t>kg CH4 head-1 yr-1</t>
  </si>
  <si>
    <t>Enteric CH4 emission factor for the livestock group</t>
  </si>
  <si>
    <t>EF2</t>
  </si>
  <si>
    <t>Manure management CH4 emission factor for the livestock group</t>
  </si>
  <si>
    <t>EF3</t>
  </si>
  <si>
    <t>kg N2O-N (kg N-1 ) head-1 yr-1</t>
  </si>
  <si>
    <t>Emission factor for N2O emissions from manure management for the livestock group</t>
  </si>
  <si>
    <t>EF4</t>
  </si>
  <si>
    <t>kg N2O-N (kg NH3-N and NOx-N emitted)-1 head-1 yr-1</t>
  </si>
  <si>
    <t>Emission factor for N2O emissions from atmospheric deposition of forage-sourced nitrogen on soils and water surfaces</t>
  </si>
  <si>
    <t>DBI</t>
  </si>
  <si>
    <t>-</t>
  </si>
  <si>
    <t>kg d.m. head-1 day-1</t>
  </si>
  <si>
    <t>Daily biomass intake</t>
  </si>
  <si>
    <t>Nex</t>
  </si>
  <si>
    <t>kg N head-1 yr-1</t>
  </si>
  <si>
    <t>Annual average N excretion per livestock head</t>
  </si>
  <si>
    <t>Fracgas</t>
  </si>
  <si>
    <t>kg NH3-N and NOx-N emitted (Kg N)-1</t>
  </si>
  <si>
    <t>Fraction of managed livestock manure nitrogen that volatilizes as NH3 and NOx in the manure management phase</t>
  </si>
  <si>
    <t xml:space="preserve">Table 32. Ex post estimation of leakage emissions above the baseline from grazing animals in leakage management areas
</t>
  </si>
  <si>
    <t>Value</t>
  </si>
  <si>
    <t xml:space="preserve">Afforage </t>
  </si>
  <si>
    <t>Pforage</t>
  </si>
  <si>
    <t>Population</t>
  </si>
  <si>
    <r>
      <t>ECH4ferm</t>
    </r>
    <r>
      <rPr>
        <b/>
        <i/>
        <sz val="10.5"/>
        <color theme="0"/>
        <rFont val="Franklin Gothic Book"/>
        <family val="2"/>
      </rPr>
      <t>t</t>
    </r>
  </si>
  <si>
    <r>
      <t>ECH4man</t>
    </r>
    <r>
      <rPr>
        <b/>
        <i/>
        <sz val="10.5"/>
        <color theme="0"/>
        <rFont val="Franklin Gothic Book"/>
        <family val="2"/>
      </rPr>
      <t>t</t>
    </r>
  </si>
  <si>
    <r>
      <t>EdirN2Oman</t>
    </r>
    <r>
      <rPr>
        <b/>
        <i/>
        <sz val="10.5"/>
        <color theme="0"/>
        <rFont val="Franklin Gothic Book"/>
        <family val="2"/>
      </rPr>
      <t>t</t>
    </r>
  </si>
  <si>
    <r>
      <t>EindN2Oman</t>
    </r>
    <r>
      <rPr>
        <b/>
        <i/>
        <sz val="10.5"/>
        <color theme="0"/>
        <rFont val="Franklin Gothic Book"/>
        <family val="2"/>
      </rPr>
      <t>t</t>
    </r>
  </si>
  <si>
    <r>
      <t>EN2Oman</t>
    </r>
    <r>
      <rPr>
        <b/>
        <i/>
        <sz val="10.5"/>
        <color theme="0"/>
        <rFont val="Franklin Gothic Book"/>
        <family val="2"/>
      </rPr>
      <t>t</t>
    </r>
  </si>
  <si>
    <r>
      <t>EgLk</t>
    </r>
    <r>
      <rPr>
        <b/>
        <i/>
        <sz val="10.5"/>
        <color theme="0"/>
        <rFont val="Franklin Gothic Book"/>
        <family val="2"/>
      </rPr>
      <t>t</t>
    </r>
  </si>
  <si>
    <r>
      <t>EgLK</t>
    </r>
    <r>
      <rPr>
        <b/>
        <i/>
        <sz val="10.5"/>
        <color theme="0"/>
        <rFont val="Franklin Gothic Book"/>
        <family val="2"/>
      </rPr>
      <t>t</t>
    </r>
  </si>
  <si>
    <t>kg.CH4.head</t>
  </si>
  <si>
    <t>head</t>
  </si>
  <si>
    <t>kgd.m.yr</t>
  </si>
  <si>
    <t>Nr Heads</t>
  </si>
  <si>
    <t>kg.head</t>
  </si>
  <si>
    <t>kg.N2O.head</t>
  </si>
  <si>
    <t>GWPCH4</t>
  </si>
  <si>
    <t>GWPN20</t>
  </si>
  <si>
    <t>Cotriguaçu</t>
  </si>
  <si>
    <t>Cattle heads</t>
  </si>
  <si>
    <t>Increase rate</t>
  </si>
  <si>
    <t>Cotriguaçu area (ha)</t>
  </si>
  <si>
    <t>heads</t>
  </si>
  <si>
    <t>heads/ha</t>
  </si>
  <si>
    <t>LMA area (ha)</t>
  </si>
  <si>
    <t>LMA</t>
  </si>
  <si>
    <t>Average</t>
  </si>
  <si>
    <t xml:space="preserve">Table 33. Ex post estimation of net carbon stock changes and GHG emissions from leakage prevention activities
</t>
  </si>
  <si>
    <t>Carbon stock decrease due to leakage prevention measures</t>
  </si>
  <si>
    <r>
      <t xml:space="preserve">Total </t>
    </r>
    <r>
      <rPr>
        <b/>
        <i/>
        <sz val="10.5"/>
        <color theme="0"/>
        <rFont val="Franklin Gothic Book"/>
        <family val="2"/>
      </rPr>
      <t>ex post</t>
    </r>
    <r>
      <rPr>
        <b/>
        <sz val="10.5"/>
        <color theme="0"/>
        <rFont val="Franklin Gothic Book"/>
        <family val="2"/>
      </rPr>
      <t xml:space="preserve"> GHG emissions from increased grazing activities</t>
    </r>
  </si>
  <si>
    <r>
      <t xml:space="preserve">Total </t>
    </r>
    <r>
      <rPr>
        <b/>
        <i/>
        <sz val="10.5"/>
        <color theme="0"/>
        <rFont val="Franklin Gothic Book"/>
        <family val="2"/>
      </rPr>
      <t>ex post</t>
    </r>
    <r>
      <rPr>
        <b/>
        <sz val="10.5"/>
        <color theme="0"/>
        <rFont val="Franklin Gothic Book"/>
        <family val="2"/>
      </rPr>
      <t xml:space="preserve"> increase in GHG emissions due to leakage prevention measures</t>
    </r>
  </si>
  <si>
    <r>
      <t>∆CLPMLK</t>
    </r>
    <r>
      <rPr>
        <b/>
        <vertAlign val="subscript"/>
        <sz val="10.5"/>
        <color theme="0"/>
        <rFont val="Franklin Gothic Book"/>
        <family val="2"/>
      </rPr>
      <t>t</t>
    </r>
  </si>
  <si>
    <t>∆CLPMLK</t>
  </si>
  <si>
    <r>
      <t>EgLK</t>
    </r>
    <r>
      <rPr>
        <b/>
        <vertAlign val="subscript"/>
        <sz val="10.5"/>
        <color theme="0"/>
        <rFont val="Franklin Gothic Book"/>
        <family val="2"/>
      </rPr>
      <t>t</t>
    </r>
  </si>
  <si>
    <t>EgLK</t>
  </si>
  <si>
    <r>
      <t>ELPMLK</t>
    </r>
    <r>
      <rPr>
        <b/>
        <vertAlign val="subscript"/>
        <sz val="10.5"/>
        <color theme="0"/>
        <rFont val="Franklin Gothic Book"/>
        <family val="2"/>
      </rPr>
      <t>t</t>
    </r>
  </si>
  <si>
    <t>ELPMLK</t>
  </si>
  <si>
    <t>Table 35. Total ex post estimated leakage</t>
  </si>
  <si>
    <t>Total ex post GHG emissions from increased grazing activities</t>
  </si>
  <si>
    <t>Total ex post increase in GHG emissions due to displaced forest fires</t>
  </si>
  <si>
    <t>Total ex post decrease in carbon stocks due to displaced deforestation</t>
  </si>
  <si>
    <t xml:space="preserve">Total net carbon stock change due to leakage </t>
  </si>
  <si>
    <t>Total net increase in emissions due to leakage</t>
  </si>
  <si>
    <r>
      <t>EADLK</t>
    </r>
    <r>
      <rPr>
        <b/>
        <vertAlign val="subscript"/>
        <sz val="10.5"/>
        <color theme="0"/>
        <rFont val="Franklin Gothic Book"/>
        <family val="2"/>
      </rPr>
      <t>t</t>
    </r>
  </si>
  <si>
    <t>EADLK</t>
  </si>
  <si>
    <r>
      <t>∆CADLK</t>
    </r>
    <r>
      <rPr>
        <b/>
        <vertAlign val="subscript"/>
        <sz val="10.5"/>
        <color theme="0"/>
        <rFont val="Franklin Gothic Book"/>
        <family val="2"/>
      </rPr>
      <t>t</t>
    </r>
  </si>
  <si>
    <t>∆CADLK</t>
  </si>
  <si>
    <r>
      <t>∆CLK</t>
    </r>
    <r>
      <rPr>
        <b/>
        <vertAlign val="subscript"/>
        <sz val="10.5"/>
        <color theme="0"/>
        <rFont val="Franklin Gothic Book"/>
        <family val="2"/>
      </rPr>
      <t>t</t>
    </r>
  </si>
  <si>
    <t>∆CLK</t>
  </si>
  <si>
    <r>
      <t>ELK</t>
    </r>
    <r>
      <rPr>
        <b/>
        <vertAlign val="subscript"/>
        <sz val="10.5"/>
        <color theme="0"/>
        <rFont val="Franklin Gothic Book"/>
        <family val="2"/>
      </rPr>
      <t>t</t>
    </r>
  </si>
  <si>
    <t>ELK</t>
  </si>
  <si>
    <r>
      <t>Table 36.  Ex post estimated net anthropogenic GHG emission reductions (ΔREDDt) and Verified Carbon Units (VCU</t>
    </r>
    <r>
      <rPr>
        <vertAlign val="subscript"/>
        <sz val="10.5"/>
        <color rgb="FF000000"/>
        <rFont val="Franklin Gothic Book"/>
        <family val="2"/>
      </rPr>
      <t>t</t>
    </r>
    <r>
      <rPr>
        <sz val="10.5"/>
        <color rgb="FF000000"/>
        <rFont val="Franklin Gothic Book"/>
        <family val="2"/>
      </rPr>
      <t>)</t>
    </r>
  </si>
  <si>
    <t>Baseline carbon stock changes</t>
  </si>
  <si>
    <t>Baseline GHG emissions from biomass burning</t>
  </si>
  <si>
    <t>Ex post project carbon stock changes</t>
  </si>
  <si>
    <t>Ex post project GHG emissions from biomass burning</t>
  </si>
  <si>
    <t>Ex post leakage carbon stock changes</t>
  </si>
  <si>
    <t>Ex post leakage GHG emissions</t>
  </si>
  <si>
    <t>Ex post net anthropogenic GHG emission reductions</t>
  </si>
  <si>
    <t xml:space="preserve">Ex post VCUs tradable </t>
  </si>
  <si>
    <t>Ex post buffer credits</t>
  </si>
  <si>
    <r>
      <t>ΔCBSLPA</t>
    </r>
    <r>
      <rPr>
        <b/>
        <vertAlign val="subscript"/>
        <sz val="10.5"/>
        <color theme="0"/>
        <rFont val="Franklin Gothic Book"/>
        <family val="2"/>
      </rPr>
      <t>t</t>
    </r>
  </si>
  <si>
    <r>
      <t>EBBBSLPA</t>
    </r>
    <r>
      <rPr>
        <b/>
        <vertAlign val="subscript"/>
        <sz val="10.5"/>
        <color theme="0"/>
        <rFont val="Franklin Gothic Book"/>
        <family val="2"/>
      </rPr>
      <t>t</t>
    </r>
  </si>
  <si>
    <t>EBBBSLPA</t>
  </si>
  <si>
    <r>
      <t>ΔCLK</t>
    </r>
    <r>
      <rPr>
        <b/>
        <vertAlign val="subscript"/>
        <sz val="10.5"/>
        <color theme="0"/>
        <rFont val="Franklin Gothic Book"/>
        <family val="2"/>
      </rPr>
      <t>t</t>
    </r>
  </si>
  <si>
    <t>ΔCLK</t>
  </si>
  <si>
    <r>
      <t>ΔREDD</t>
    </r>
    <r>
      <rPr>
        <b/>
        <vertAlign val="subscript"/>
        <sz val="10.5"/>
        <color theme="0"/>
        <rFont val="Franklin Gothic Book"/>
        <family val="2"/>
      </rPr>
      <t>t</t>
    </r>
  </si>
  <si>
    <t>ΔREDD</t>
  </si>
  <si>
    <r>
      <t>VCU</t>
    </r>
    <r>
      <rPr>
        <b/>
        <vertAlign val="subscript"/>
        <sz val="10.5"/>
        <color theme="0"/>
        <rFont val="Franklin Gothic Book"/>
        <family val="2"/>
      </rPr>
      <t>t</t>
    </r>
  </si>
  <si>
    <t>VCU</t>
  </si>
  <si>
    <r>
      <t>VBC</t>
    </r>
    <r>
      <rPr>
        <b/>
        <vertAlign val="subscript"/>
        <sz val="10.5"/>
        <color theme="0"/>
        <rFont val="Franklin Gothic Book"/>
        <family val="2"/>
      </rPr>
      <t>t</t>
    </r>
  </si>
  <si>
    <t>VBC</t>
  </si>
  <si>
    <r>
      <t>Summary of net GHG Emission Reductions and Removals (</t>
    </r>
    <r>
      <rPr>
        <b/>
        <sz val="10.5"/>
        <color rgb="FF000000"/>
        <rFont val="Franklin Gothic Book"/>
        <family val="2"/>
      </rPr>
      <t>MR table</t>
    </r>
    <r>
      <rPr>
        <sz val="10.5"/>
        <color rgb="FF000000"/>
        <rFont val="Franklin Gothic Book"/>
        <family val="2"/>
      </rPr>
      <t>)</t>
    </r>
  </si>
  <si>
    <t>Vintage period</t>
  </si>
  <si>
    <r>
      <t>Baseline emissions (tCO</t>
    </r>
    <r>
      <rPr>
        <b/>
        <vertAlign val="subscript"/>
        <sz val="10.5"/>
        <color rgb="FFFFFFFF"/>
        <rFont val="Franklin Gothic Book"/>
        <family val="2"/>
      </rPr>
      <t>2</t>
    </r>
    <r>
      <rPr>
        <b/>
        <sz val="10.5"/>
        <color rgb="FFFFFFFF"/>
        <rFont val="Franklin Gothic Book"/>
        <family val="2"/>
      </rPr>
      <t>e)</t>
    </r>
  </si>
  <si>
    <r>
      <t>Project emissions (tCO</t>
    </r>
    <r>
      <rPr>
        <b/>
        <vertAlign val="subscript"/>
        <sz val="10.5"/>
        <color rgb="FFFFFFFF"/>
        <rFont val="Franklin Gothic Book"/>
        <family val="2"/>
      </rPr>
      <t>2</t>
    </r>
    <r>
      <rPr>
        <b/>
        <sz val="10.5"/>
        <color rgb="FFFFFFFF"/>
        <rFont val="Franklin Gothic Book"/>
        <family val="2"/>
      </rPr>
      <t>e)</t>
    </r>
  </si>
  <si>
    <r>
      <t>Leakage emissions (tCO</t>
    </r>
    <r>
      <rPr>
        <b/>
        <vertAlign val="subscript"/>
        <sz val="10.5"/>
        <color rgb="FFFFFFFF"/>
        <rFont val="Franklin Gothic Book"/>
        <family val="2"/>
      </rPr>
      <t>2</t>
    </r>
    <r>
      <rPr>
        <b/>
        <sz val="10.5"/>
        <color rgb="FFFFFFFF"/>
        <rFont val="Franklin Gothic Book"/>
        <family val="2"/>
      </rPr>
      <t>e)</t>
    </r>
  </si>
  <si>
    <r>
      <t>Buffer pool allocation (tCO</t>
    </r>
    <r>
      <rPr>
        <b/>
        <vertAlign val="subscript"/>
        <sz val="10.5"/>
        <color rgb="FFFFFFFF"/>
        <rFont val="Franklin Gothic Book"/>
        <family val="2"/>
      </rPr>
      <t>2</t>
    </r>
    <r>
      <rPr>
        <b/>
        <sz val="10.5"/>
        <color rgb="FFFFFFFF"/>
        <rFont val="Franklin Gothic Book"/>
        <family val="2"/>
      </rPr>
      <t>e)</t>
    </r>
  </si>
  <si>
    <t>Reductions VCUs (tCO2e)</t>
  </si>
  <si>
    <t>Removals VCUs (tCO2e)</t>
  </si>
  <si>
    <r>
      <t>Total VCU issuance (tCO</t>
    </r>
    <r>
      <rPr>
        <b/>
        <vertAlign val="subscript"/>
        <sz val="10.5"/>
        <color rgb="FFFFFFFF"/>
        <rFont val="Franklin Gothic Book"/>
        <family val="2"/>
      </rPr>
      <t>2</t>
    </r>
    <r>
      <rPr>
        <b/>
        <sz val="10.5"/>
        <color rgb="FFFFFFFF"/>
        <rFont val="Franklin Gothic Book"/>
        <family val="2"/>
      </rPr>
      <t>e)</t>
    </r>
  </si>
  <si>
    <t>Ex ante net anthropogenic GHG emission reductions</t>
  </si>
  <si>
    <t>Annual tradable VCUs - tCO2e</t>
  </si>
  <si>
    <t>Total estimated ERs</t>
  </si>
  <si>
    <t>Average annual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</si>
</sst>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000"/>
    <numFmt numFmtId="166" formatCode="0.000"/>
    <numFmt numFmtId="167" formatCode="_-* #,##0.00_-;\-* #,##0.00_-;_-* &quot;-&quot;??_-;_-@"/>
    <numFmt numFmtId="168" formatCode="[$-416]d\ \ mmmm\,\ yyyy;@"/>
    <numFmt numFmtId="169" formatCode="[$-9]dd\-mmm\-yyyy;@"/>
    <numFmt numFmtId="170" formatCode="0.0%"/>
    <numFmt numFmtId="171" formatCode="#,##0.00_ ;\-#,##0.00\ "/>
  </numFmts>
  <fonts count="8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5"/>
      <color theme="1"/>
      <name val="Franklin Gothic Book"/>
      <family val="2"/>
    </font>
    <font>
      <b/>
      <sz val="10.5"/>
      <color rgb="FF000000"/>
      <name val="Franklin Gothic Book"/>
      <family val="2"/>
    </font>
    <font>
      <sz val="10.5"/>
      <color rgb="FF000000"/>
      <name val="Franklin Gothic Book"/>
      <family val="2"/>
    </font>
    <font>
      <b/>
      <sz val="10.5"/>
      <color theme="0"/>
      <name val="Franklin Gothic Book"/>
      <family val="2"/>
    </font>
    <font>
      <sz val="10.5"/>
      <name val="Franklin Gothic Book"/>
      <family val="2"/>
    </font>
    <font>
      <vertAlign val="subscript"/>
      <sz val="10.5"/>
      <color rgb="FF000000"/>
      <name val="Franklin Gothic Book"/>
      <family val="2"/>
    </font>
    <font>
      <b/>
      <sz val="10.5"/>
      <color theme="1"/>
      <name val="Franklin Gothic Book"/>
      <family val="2"/>
    </font>
    <font>
      <sz val="10.5"/>
      <color theme="0"/>
      <name val="Franklin Gothic Book"/>
      <family val="2"/>
    </font>
    <font>
      <b/>
      <vertAlign val="superscript"/>
      <sz val="10.5"/>
      <color theme="0"/>
      <name val="Franklin Gothic Book"/>
      <family val="2"/>
    </font>
    <font>
      <b/>
      <sz val="10.5"/>
      <name val="Franklin Gothic Book"/>
      <family val="2"/>
    </font>
    <font>
      <b/>
      <vertAlign val="subscript"/>
      <sz val="10.5"/>
      <color theme="0"/>
      <name val="Franklin Gothic Book"/>
      <family val="2"/>
    </font>
    <font>
      <b/>
      <i/>
      <sz val="10.5"/>
      <color theme="0"/>
      <name val="Franklin Gothic Book"/>
      <family val="2"/>
    </font>
    <font>
      <b/>
      <i/>
      <sz val="10.5"/>
      <color rgb="FF000000"/>
      <name val="Franklin Gothic Book"/>
      <family val="2"/>
    </font>
    <font>
      <b/>
      <i/>
      <vertAlign val="subscript"/>
      <sz val="10.5"/>
      <color theme="0"/>
      <name val="Franklin Gothic Book"/>
      <family val="2"/>
    </font>
    <font>
      <vertAlign val="subscript"/>
      <sz val="10.5"/>
      <color theme="1"/>
      <name val="Franklin Gothic Book"/>
      <family val="2"/>
    </font>
    <font>
      <b/>
      <i/>
      <sz val="10.5"/>
      <color rgb="FFFFFFFF"/>
      <name val="Franklin Gothic Book"/>
      <family val="2"/>
    </font>
    <font>
      <b/>
      <sz val="10.5"/>
      <color rgb="FFFFFFFF"/>
      <name val="Franklin Gothic Book"/>
      <family val="2"/>
    </font>
    <font>
      <sz val="11"/>
      <name val="Franklin Gothic Book"/>
      <family val="2"/>
    </font>
    <font>
      <sz val="10.5"/>
      <color rgb="FF222222"/>
      <name val="Franklin Gothic Book"/>
      <family val="2"/>
    </font>
    <font>
      <i/>
      <sz val="10.5"/>
      <color theme="1"/>
      <name val="Franklin Gothic Book"/>
      <family val="2"/>
    </font>
    <font>
      <b/>
      <vertAlign val="subscript"/>
      <sz val="10.5"/>
      <color rgb="FFFFFFFF"/>
      <name val="Franklin Gothic Book"/>
      <family val="2"/>
    </font>
    <font>
      <sz val="10"/>
      <color theme="1"/>
      <name val="Franklin Gothic Book"/>
      <family val="2"/>
    </font>
    <font>
      <b/>
      <sz val="10"/>
      <color theme="0"/>
      <name val="Franklin Gothic Book"/>
      <family val="2"/>
    </font>
    <font>
      <sz val="11"/>
      <color theme="1"/>
      <name val="Calibri"/>
      <family val="2"/>
      <scheme val="minor"/>
    </font>
    <font>
      <sz val="10.5"/>
      <color theme="1"/>
      <name val="Calibri"/>
      <family val="2"/>
      <scheme val="minor"/>
    </font>
    <font>
      <b/>
      <sz val="10.5"/>
      <color rgb="FF222222"/>
      <name val="Franklin Gothic Book"/>
      <family val="2"/>
    </font>
    <font>
      <sz val="11"/>
      <color theme="1"/>
      <name val="Calibri"/>
      <family val="2"/>
      <scheme val="minor"/>
    </font>
    <font>
      <b/>
      <sz val="20"/>
      <color rgb="FFA79423"/>
      <name val="Calibri"/>
      <family val="2"/>
      <scheme val="minor"/>
    </font>
    <font>
      <b/>
      <sz val="12"/>
      <name val="Calibri"/>
      <family val="2"/>
      <scheme val="minor"/>
    </font>
    <font>
      <sz val="12"/>
      <name val="Calibri"/>
      <family val="2"/>
      <scheme val="minor"/>
    </font>
    <font>
      <i/>
      <sz val="12"/>
      <name val="Calibri"/>
      <family val="2"/>
      <scheme val="minor"/>
    </font>
    <font>
      <b/>
      <sz val="16"/>
      <color theme="0"/>
      <name val="Franklin Gothic Book"/>
      <family val="2"/>
    </font>
    <font>
      <b/>
      <sz val="16"/>
      <color rgb="FFA79423"/>
      <name val="Calibri"/>
      <family val="2"/>
      <scheme val="minor"/>
    </font>
    <font>
      <vertAlign val="subscript"/>
      <sz val="10.5"/>
      <name val="Franklin Gothic Book"/>
      <family val="2"/>
    </font>
    <font>
      <i/>
      <sz val="10.5"/>
      <color theme="0"/>
      <name val="Franklin Gothic Book"/>
      <family val="2"/>
    </font>
    <font>
      <sz val="10.5"/>
      <color rgb="FF0C421F"/>
      <name val="Franklin Gothic Book"/>
      <family val="2"/>
    </font>
    <font>
      <b/>
      <sz val="10.5"/>
      <color rgb="FF0C421F"/>
      <name val="Calibri"/>
      <family val="2"/>
      <scheme val="minor"/>
    </font>
    <font>
      <sz val="10.5"/>
      <color rgb="FF0C421F"/>
      <name val="Calibri"/>
      <family val="2"/>
      <scheme val="minor"/>
    </font>
    <font>
      <b/>
      <sz val="10.5"/>
      <color rgb="FF0C421F"/>
      <name val="Franklin Gothic Book"/>
      <family val="2"/>
    </font>
    <font>
      <sz val="10.5"/>
      <color indexed="8"/>
      <name val="Franklin Gothic Book"/>
      <family val="2"/>
    </font>
    <font>
      <sz val="11"/>
      <color theme="1"/>
      <name val="Franklin Gothic Book"/>
      <family val="2"/>
    </font>
    <font>
      <b/>
      <u/>
      <sz val="10.5"/>
      <color theme="0"/>
      <name val="Franklin Gothic Book"/>
      <family val="2"/>
    </font>
    <font>
      <sz val="10.5"/>
      <color rgb="FF000000"/>
      <name val="Calibri"/>
      <family val="2"/>
      <scheme val="minor"/>
    </font>
    <font>
      <sz val="10.5"/>
      <color rgb="FFA6A6A6"/>
      <name val="Franklin Gothic Book"/>
      <family val="2"/>
    </font>
    <font>
      <sz val="11"/>
      <color theme="1"/>
      <name val="Arial"/>
      <family val="2"/>
    </font>
    <font>
      <sz val="10"/>
      <color theme="0"/>
      <name val="Franklin Gothic Book"/>
      <family val="2"/>
    </font>
    <font>
      <b/>
      <sz val="11"/>
      <color theme="0"/>
      <name val="Calibri"/>
      <family val="2"/>
      <scheme val="minor"/>
    </font>
    <font>
      <sz val="10.5"/>
      <color rgb="FFFF0000"/>
      <name val="Franklin Gothic Book"/>
      <family val="2"/>
    </font>
    <font>
      <sz val="9"/>
      <color rgb="FF000000"/>
      <name val="Franklin Gothic Book"/>
      <family val="2"/>
    </font>
    <font>
      <i/>
      <sz val="11"/>
      <color rgb="FF000000"/>
      <name val="Franklin Gothic Book"/>
      <family val="2"/>
    </font>
    <font>
      <i/>
      <sz val="9"/>
      <color rgb="FF000000"/>
      <name val="Franklin Gothic Book"/>
      <family val="2"/>
    </font>
    <font>
      <b/>
      <sz val="11"/>
      <color theme="0"/>
      <name val="Franklin Gothic Book"/>
      <family val="2"/>
    </font>
    <font>
      <sz val="11"/>
      <color rgb="FF000000"/>
      <name val="Calibri"/>
      <family val="2"/>
      <scheme val="minor"/>
    </font>
    <font>
      <u/>
      <sz val="11"/>
      <color rgb="FF000000"/>
      <name val="Calibri"/>
      <family val="2"/>
      <scheme val="minor"/>
    </font>
    <font>
      <sz val="11"/>
      <color rgb="FF08421F"/>
      <name val="Calibri"/>
      <family val="2"/>
      <scheme val="minor"/>
    </font>
    <font>
      <b/>
      <i/>
      <sz val="11"/>
      <color theme="0"/>
      <name val="Calibri"/>
      <family val="2"/>
      <scheme val="minor"/>
    </font>
    <font>
      <b/>
      <vertAlign val="subscript"/>
      <sz val="11"/>
      <color theme="0"/>
      <name val="Calibri"/>
      <family val="2"/>
      <scheme val="minor"/>
    </font>
    <font>
      <b/>
      <i/>
      <vertAlign val="subscript"/>
      <sz val="11"/>
      <color theme="0"/>
      <name val="Calibri"/>
      <family val="2"/>
      <scheme val="minor"/>
    </font>
    <font>
      <b/>
      <vertAlign val="superscript"/>
      <sz val="11"/>
      <color theme="0"/>
      <name val="Calibri"/>
      <family val="2"/>
      <scheme val="minor"/>
    </font>
    <font>
      <b/>
      <sz val="10.5"/>
      <color theme="0"/>
      <name val="Arial"/>
      <family val="2"/>
    </font>
    <font>
      <sz val="11"/>
      <color rgb="FFFF0000"/>
      <name val="Calibri"/>
      <family val="2"/>
      <scheme val="minor"/>
    </font>
    <font>
      <sz val="10.5"/>
      <color rgb="FF242424"/>
      <name val="Franklin Gothic Book"/>
      <family val="2"/>
    </font>
    <font>
      <i/>
      <sz val="10.5"/>
      <color rgb="FF000000"/>
      <name val="Franklin Gothic Book"/>
      <family val="2"/>
    </font>
    <font>
      <b/>
      <sz val="10"/>
      <color theme="1"/>
      <name val="Franklin Gothic Book"/>
      <family val="2"/>
    </font>
    <font>
      <i/>
      <sz val="10"/>
      <color theme="1"/>
      <name val="Franklin Gothic Book"/>
      <family val="2"/>
    </font>
    <font>
      <b/>
      <i/>
      <sz val="10"/>
      <color theme="1"/>
      <name val="Franklin Gothic Book"/>
      <family val="2"/>
    </font>
    <font>
      <sz val="10"/>
      <color theme="1"/>
      <name val="Calibri"/>
      <family val="2"/>
      <scheme val="minor"/>
    </font>
    <font>
      <sz val="8"/>
      <name val="Calibri"/>
      <family val="2"/>
      <scheme val="minor"/>
    </font>
    <font>
      <i/>
      <sz val="10.5"/>
      <name val="Franklin Gothic Book"/>
      <family val="2"/>
    </font>
    <font>
      <sz val="10"/>
      <name val="Franklin Gothic Book"/>
      <family val="2"/>
    </font>
    <font>
      <sz val="11"/>
      <name val="Calibri"/>
      <family val="2"/>
      <scheme val="minor"/>
    </font>
    <font>
      <b/>
      <sz val="10.5"/>
      <color rgb="FF000000"/>
      <name val="Franklin Gothic Book"/>
    </font>
    <font>
      <sz val="10.5"/>
      <color rgb="FF000000"/>
      <name val="Franklin Gothic Book"/>
    </font>
    <font>
      <b/>
      <sz val="10.5"/>
      <color theme="0"/>
      <name val="Franklin Gothic Book"/>
    </font>
    <font>
      <sz val="10.5"/>
      <color theme="1"/>
      <name val="Franklin Gothic Book"/>
    </font>
    <font>
      <b/>
      <i/>
      <vertAlign val="subscript"/>
      <sz val="10"/>
      <color rgb="FFFFFFFF"/>
      <name val="Calibri"/>
      <family val="2"/>
    </font>
    <font>
      <b/>
      <sz val="11"/>
      <color rgb="FF000000"/>
      <name val="Franklin Gothic Book"/>
      <family val="2"/>
    </font>
    <font>
      <sz val="11"/>
      <color theme="0"/>
      <name val="Calibri"/>
      <family val="2"/>
      <scheme val="minor"/>
    </font>
    <font>
      <sz val="9"/>
      <color indexed="81"/>
      <name val="Segoe UI"/>
      <family val="2"/>
    </font>
  </fonts>
  <fills count="24">
    <fill>
      <patternFill patternType="none"/>
    </fill>
    <fill>
      <patternFill patternType="gray125"/>
    </fill>
    <fill>
      <patternFill patternType="solid">
        <fgColor theme="0"/>
        <bgColor theme="0"/>
      </patternFill>
    </fill>
    <fill>
      <patternFill patternType="solid">
        <fgColor rgb="FF2B3957"/>
        <bgColor rgb="FF2B3957"/>
      </patternFill>
    </fill>
    <fill>
      <patternFill patternType="solid">
        <fgColor rgb="FFF2F2F2"/>
        <bgColor rgb="FFF2F2F2"/>
      </patternFill>
    </fill>
    <fill>
      <patternFill patternType="solid">
        <fgColor rgb="FFF2F2F2"/>
        <bgColor indexed="64"/>
      </patternFill>
    </fill>
    <fill>
      <patternFill patternType="solid">
        <fgColor rgb="FFF2F2F2"/>
        <bgColor theme="0"/>
      </patternFill>
    </fill>
    <fill>
      <patternFill patternType="solid">
        <fgColor rgb="FF2B3957"/>
        <bgColor indexed="64"/>
      </patternFill>
    </fill>
    <fill>
      <patternFill patternType="solid">
        <fgColor rgb="FF2B3957"/>
        <bgColor rgb="FF2F3553"/>
      </patternFill>
    </fill>
    <fill>
      <patternFill patternType="solid">
        <fgColor rgb="FF2B3957"/>
        <bgColor theme="0"/>
      </patternFill>
    </fill>
    <fill>
      <patternFill patternType="solid">
        <fgColor rgb="FF2B3957"/>
        <bgColor rgb="FFF2F2F2"/>
      </patternFill>
    </fill>
    <fill>
      <patternFill patternType="solid">
        <fgColor rgb="FF2B3957"/>
        <bgColor rgb="FFFFFFFF"/>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2" tint="-4.9989318521683403E-2"/>
        <bgColor indexed="64"/>
      </patternFill>
    </fill>
    <fill>
      <patternFill patternType="solid">
        <fgColor rgb="FFF2F2F2"/>
        <bgColor rgb="FF2F3553"/>
      </patternFill>
    </fill>
    <fill>
      <patternFill patternType="solid">
        <fgColor rgb="FFF2F2F2"/>
        <bgColor rgb="FF000000"/>
      </patternFill>
    </fill>
    <fill>
      <patternFill patternType="solid">
        <fgColor theme="0"/>
        <bgColor rgb="FF2F3553"/>
      </patternFill>
    </fill>
    <fill>
      <patternFill patternType="solid">
        <fgColor theme="0"/>
        <bgColor rgb="FFF2F2F2"/>
      </patternFill>
    </fill>
    <fill>
      <patternFill patternType="solid">
        <fgColor theme="0"/>
        <bgColor rgb="FF2B3957"/>
      </patternFill>
    </fill>
    <fill>
      <patternFill patternType="solid">
        <fgColor rgb="FF2B3957"/>
        <bgColor rgb="FF000000"/>
      </patternFill>
    </fill>
    <fill>
      <patternFill patternType="solid">
        <fgColor rgb="FFFFFFFF"/>
        <bgColor rgb="FF000000"/>
      </patternFill>
    </fill>
    <fill>
      <patternFill patternType="solid">
        <fgColor theme="0"/>
        <bgColor rgb="FF000000"/>
      </patternFill>
    </fill>
  </fills>
  <borders count="66">
    <border>
      <left/>
      <right/>
      <top/>
      <bottom/>
      <diagonal/>
    </border>
    <border>
      <left/>
      <right/>
      <top/>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style="medium">
        <color theme="0"/>
      </bottom>
      <diagonal/>
    </border>
    <border>
      <left style="medium">
        <color theme="0"/>
      </left>
      <right style="medium">
        <color theme="0"/>
      </right>
      <top style="medium">
        <color theme="0"/>
      </top>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top style="medium">
        <color theme="0"/>
      </top>
      <bottom style="medium">
        <color theme="0"/>
      </bottom>
      <diagonal/>
    </border>
    <border>
      <left/>
      <right/>
      <top style="medium">
        <color theme="0"/>
      </top>
      <bottom style="thin">
        <color theme="0"/>
      </bottom>
      <diagonal/>
    </border>
    <border>
      <left/>
      <right style="thin">
        <color theme="0"/>
      </right>
      <top style="thin">
        <color theme="0"/>
      </top>
      <bottom/>
      <diagonal/>
    </border>
    <border>
      <left style="medium">
        <color theme="0"/>
      </left>
      <right style="thin">
        <color theme="0"/>
      </right>
      <top style="medium">
        <color theme="0"/>
      </top>
      <bottom style="medium">
        <color theme="0"/>
      </bottom>
      <diagonal/>
    </border>
    <border>
      <left style="thin">
        <color theme="0"/>
      </left>
      <right style="thin">
        <color theme="0"/>
      </right>
      <top style="medium">
        <color theme="0"/>
      </top>
      <bottom style="medium">
        <color theme="0"/>
      </bottom>
      <diagonal/>
    </border>
    <border>
      <left style="thin">
        <color theme="0"/>
      </left>
      <right style="thin">
        <color theme="0"/>
      </right>
      <top style="medium">
        <color theme="0"/>
      </top>
      <bottom style="thin">
        <color theme="0"/>
      </bottom>
      <diagonal/>
    </border>
    <border>
      <left/>
      <right style="thin">
        <color theme="0"/>
      </right>
      <top style="medium">
        <color theme="0"/>
      </top>
      <bottom style="thin">
        <color theme="0"/>
      </bottom>
      <diagonal/>
    </border>
    <border>
      <left/>
      <right style="thin">
        <color theme="0"/>
      </right>
      <top/>
      <bottom style="thin">
        <color theme="0"/>
      </bottom>
      <diagonal/>
    </border>
    <border>
      <left style="medium">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style="thin">
        <color theme="0"/>
      </left>
      <right/>
      <top style="medium">
        <color theme="0"/>
      </top>
      <bottom style="medium">
        <color theme="0"/>
      </bottom>
      <diagonal/>
    </border>
    <border>
      <left/>
      <right style="thin">
        <color theme="0"/>
      </right>
      <top style="medium">
        <color theme="0"/>
      </top>
      <bottom style="medium">
        <color theme="0"/>
      </bottom>
      <diagonal/>
    </border>
    <border>
      <left style="thin">
        <color theme="0"/>
      </left>
      <right/>
      <top style="medium">
        <color theme="0"/>
      </top>
      <bottom style="thin">
        <color theme="0"/>
      </bottom>
      <diagonal/>
    </border>
    <border>
      <left style="medium">
        <color theme="0"/>
      </left>
      <right/>
      <top style="thin">
        <color theme="0"/>
      </top>
      <bottom style="thin">
        <color theme="0"/>
      </bottom>
      <diagonal/>
    </border>
    <border>
      <left/>
      <right/>
      <top style="thin">
        <color indexed="64"/>
      </top>
      <bottom style="thin">
        <color indexed="64"/>
      </bottom>
      <diagonal/>
    </border>
    <border>
      <left/>
      <right style="medium">
        <color theme="0"/>
      </right>
      <top style="thin">
        <color theme="0"/>
      </top>
      <bottom style="thin">
        <color theme="0"/>
      </bottom>
      <diagonal/>
    </border>
    <border>
      <left/>
      <right style="medium">
        <color theme="0"/>
      </right>
      <top style="medium">
        <color theme="0"/>
      </top>
      <bottom style="thin">
        <color theme="0"/>
      </bottom>
      <diagonal/>
    </border>
    <border>
      <left style="medium">
        <color theme="0"/>
      </left>
      <right/>
      <top style="medium">
        <color theme="0"/>
      </top>
      <bottom style="thin">
        <color theme="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rgb="FFFFFFFF"/>
      </left>
      <right style="thin">
        <color rgb="FFFFFFFF"/>
      </right>
      <top style="thin">
        <color rgb="FFFFFFFF"/>
      </top>
      <bottom style="thin">
        <color rgb="FFFFFFFF"/>
      </bottom>
      <diagonal/>
    </border>
    <border>
      <left/>
      <right style="medium">
        <color theme="0"/>
      </right>
      <top/>
      <bottom/>
      <diagonal/>
    </border>
    <border>
      <left/>
      <right/>
      <top style="thin">
        <color theme="0"/>
      </top>
      <bottom/>
      <diagonal/>
    </border>
    <border>
      <left style="thin">
        <color theme="0"/>
      </left>
      <right/>
      <top style="thin">
        <color theme="0"/>
      </top>
      <bottom/>
      <diagonal/>
    </border>
    <border>
      <left style="medium">
        <color theme="0"/>
      </left>
      <right/>
      <top style="thin">
        <color theme="0"/>
      </top>
      <bottom/>
      <diagonal/>
    </border>
    <border>
      <left/>
      <right style="medium">
        <color theme="0"/>
      </right>
      <top style="thin">
        <color theme="0"/>
      </top>
      <bottom/>
      <diagonal/>
    </border>
    <border>
      <left style="thin">
        <color rgb="FFFFFFFF"/>
      </left>
      <right style="thin">
        <color rgb="FFFFFFFF"/>
      </right>
      <top style="medium">
        <color rgb="FFFFFFFF"/>
      </top>
      <bottom style="medium">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s>
  <cellStyleXfs count="8">
    <xf numFmtId="0" fontId="0" fillId="0" borderId="0"/>
    <xf numFmtId="9" fontId="28" fillId="0" borderId="0" applyFont="0" applyFill="0" applyBorder="0" applyAlignment="0" applyProtection="0"/>
    <xf numFmtId="0" fontId="4" fillId="0" borderId="1"/>
    <xf numFmtId="9" fontId="4" fillId="0" borderId="1" applyFont="0" applyFill="0" applyBorder="0" applyAlignment="0" applyProtection="0"/>
    <xf numFmtId="0" fontId="3" fillId="0" borderId="1"/>
    <xf numFmtId="43" fontId="31" fillId="0" borderId="0" applyFont="0" applyFill="0" applyBorder="0" applyAlignment="0" applyProtection="0"/>
    <xf numFmtId="0" fontId="2" fillId="0" borderId="1"/>
    <xf numFmtId="9" fontId="1" fillId="0" borderId="1" applyFont="0" applyFill="0" applyBorder="0" applyAlignment="0" applyProtection="0"/>
  </cellStyleXfs>
  <cellXfs count="587">
    <xf numFmtId="0" fontId="0" fillId="0" borderId="0" xfId="0"/>
    <xf numFmtId="0" fontId="6" fillId="0" borderId="0" xfId="0" applyFont="1"/>
    <xf numFmtId="0" fontId="7" fillId="0" borderId="0" xfId="0" applyFont="1"/>
    <xf numFmtId="0" fontId="5" fillId="0" borderId="0" xfId="0" applyFont="1"/>
    <xf numFmtId="0" fontId="8" fillId="3" borderId="4" xfId="0" applyFont="1" applyFill="1" applyBorder="1" applyAlignment="1">
      <alignment horizontal="center" vertical="center"/>
    </xf>
    <xf numFmtId="0" fontId="8" fillId="3" borderId="2"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xf>
    <xf numFmtId="0" fontId="8" fillId="3" borderId="2" xfId="0" applyFont="1" applyFill="1" applyBorder="1" applyAlignment="1">
      <alignment horizontal="center" vertical="center" wrapText="1"/>
    </xf>
    <xf numFmtId="0" fontId="5" fillId="2" borderId="1" xfId="0" applyFont="1" applyFill="1" applyBorder="1"/>
    <xf numFmtId="0" fontId="9" fillId="0" borderId="1" xfId="0" applyFont="1" applyBorder="1"/>
    <xf numFmtId="0" fontId="5" fillId="6" borderId="8" xfId="0" applyFont="1" applyFill="1" applyBorder="1" applyAlignment="1">
      <alignment horizontal="center" vertical="center"/>
    </xf>
    <xf numFmtId="0" fontId="5" fillId="5" borderId="8" xfId="0" applyFont="1" applyFill="1" applyBorder="1" applyAlignment="1">
      <alignment horizontal="center" vertical="center"/>
    </xf>
    <xf numFmtId="0" fontId="5" fillId="4" borderId="8" xfId="0" applyFont="1" applyFill="1" applyBorder="1" applyAlignment="1">
      <alignment horizontal="left" vertical="center" wrapText="1"/>
    </xf>
    <xf numFmtId="4" fontId="7" fillId="4" borderId="8" xfId="0" applyNumberFormat="1" applyFont="1" applyFill="1" applyBorder="1" applyAlignment="1">
      <alignment horizontal="center" vertical="center"/>
    </xf>
    <xf numFmtId="4" fontId="5" fillId="2" borderId="1" xfId="0" applyNumberFormat="1" applyFont="1" applyFill="1" applyBorder="1"/>
    <xf numFmtId="0" fontId="5" fillId="4" borderId="8"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8" xfId="0" applyFont="1" applyFill="1" applyBorder="1" applyAlignment="1">
      <alignment horizontal="center" vertical="center" wrapText="1"/>
    </xf>
    <xf numFmtId="0" fontId="5" fillId="0" borderId="1" xfId="0" applyFont="1" applyBorder="1"/>
    <xf numFmtId="0" fontId="11" fillId="0" borderId="0" xfId="0" applyFont="1"/>
    <xf numFmtId="4" fontId="5" fillId="4" borderId="8" xfId="0" applyNumberFormat="1" applyFont="1" applyFill="1" applyBorder="1" applyAlignment="1">
      <alignment horizontal="center" vertical="center"/>
    </xf>
    <xf numFmtId="0" fontId="8" fillId="8" borderId="8" xfId="0" applyFont="1" applyFill="1" applyBorder="1" applyAlignment="1">
      <alignment horizontal="center" vertical="center"/>
    </xf>
    <xf numFmtId="0" fontId="8" fillId="8" borderId="8"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4" borderId="8" xfId="0" applyFont="1" applyFill="1" applyBorder="1" applyAlignment="1">
      <alignment horizontal="center" vertical="center" wrapText="1"/>
    </xf>
    <xf numFmtId="0" fontId="8" fillId="8" borderId="11" xfId="0" applyFont="1" applyFill="1" applyBorder="1" applyAlignment="1">
      <alignment horizontal="center" vertical="center" wrapText="1"/>
    </xf>
    <xf numFmtId="0" fontId="8" fillId="8" borderId="11" xfId="0" applyFont="1" applyFill="1" applyBorder="1" applyAlignment="1">
      <alignment horizontal="center" vertical="center"/>
    </xf>
    <xf numFmtId="0" fontId="16" fillId="3" borderId="15" xfId="0" applyFont="1" applyFill="1" applyBorder="1" applyAlignment="1">
      <alignment horizontal="center" vertical="center"/>
    </xf>
    <xf numFmtId="0" fontId="16" fillId="3" borderId="16"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16" xfId="0" applyFont="1" applyFill="1" applyBorder="1" applyAlignment="1">
      <alignment horizontal="center" vertical="center"/>
    </xf>
    <xf numFmtId="4" fontId="5" fillId="4" borderId="15" xfId="0" applyNumberFormat="1" applyFont="1" applyFill="1" applyBorder="1" applyAlignment="1">
      <alignment horizontal="center" vertical="center"/>
    </xf>
    <xf numFmtId="4" fontId="5" fillId="4" borderId="16" xfId="0" applyNumberFormat="1" applyFont="1" applyFill="1" applyBorder="1" applyAlignment="1">
      <alignment horizontal="center" vertical="center"/>
    </xf>
    <xf numFmtId="0" fontId="6" fillId="5" borderId="16" xfId="0" applyFont="1" applyFill="1" applyBorder="1" applyAlignment="1">
      <alignment horizontal="center" vertical="center"/>
    </xf>
    <xf numFmtId="2" fontId="5" fillId="4" borderId="8" xfId="0" applyNumberFormat="1" applyFont="1" applyFill="1" applyBorder="1" applyAlignment="1">
      <alignment horizontal="center" vertical="center"/>
    </xf>
    <xf numFmtId="0" fontId="5" fillId="4" borderId="8" xfId="0" applyFont="1" applyFill="1" applyBorder="1" applyAlignment="1">
      <alignment horizontal="left" vertical="center"/>
    </xf>
    <xf numFmtId="0" fontId="8" fillId="0" borderId="0" xfId="0" applyFont="1" applyAlignment="1">
      <alignment horizontal="center" vertical="center"/>
    </xf>
    <xf numFmtId="4" fontId="5" fillId="0" borderId="0" xfId="0" applyNumberFormat="1" applyFont="1" applyAlignment="1">
      <alignment horizontal="center" vertical="center"/>
    </xf>
    <xf numFmtId="0" fontId="8" fillId="0" borderId="0" xfId="0" applyFont="1" applyAlignment="1">
      <alignment horizontal="center" vertical="center" wrapText="1"/>
    </xf>
    <xf numFmtId="0" fontId="8" fillId="8" borderId="8" xfId="0" applyFont="1" applyFill="1" applyBorder="1" applyAlignment="1">
      <alignment horizontal="center"/>
    </xf>
    <xf numFmtId="0" fontId="8" fillId="8" borderId="2" xfId="0" applyFont="1" applyFill="1" applyBorder="1" applyAlignment="1">
      <alignment horizontal="center" vertical="center"/>
    </xf>
    <xf numFmtId="0" fontId="8" fillId="8" borderId="19" xfId="0" applyFont="1" applyFill="1" applyBorder="1" applyAlignment="1">
      <alignment horizontal="center" vertical="center"/>
    </xf>
    <xf numFmtId="0" fontId="8" fillId="8" borderId="12" xfId="0" applyFont="1" applyFill="1" applyBorder="1" applyAlignment="1">
      <alignment horizontal="center" vertical="center"/>
    </xf>
    <xf numFmtId="4" fontId="5" fillId="4" borderId="20" xfId="0" quotePrefix="1" applyNumberFormat="1" applyFont="1" applyFill="1" applyBorder="1" applyAlignment="1">
      <alignment horizontal="center" vertical="center"/>
    </xf>
    <xf numFmtId="4" fontId="5" fillId="4" borderId="21" xfId="0" quotePrefix="1" applyNumberFormat="1" applyFont="1" applyFill="1" applyBorder="1" applyAlignment="1">
      <alignment horizontal="center" vertical="center"/>
    </xf>
    <xf numFmtId="2" fontId="5" fillId="4" borderId="21" xfId="0" quotePrefix="1" applyNumberFormat="1" applyFont="1" applyFill="1" applyBorder="1" applyAlignment="1">
      <alignment horizontal="center" vertical="center"/>
    </xf>
    <xf numFmtId="4" fontId="5" fillId="4" borderId="21" xfId="0" applyNumberFormat="1" applyFont="1" applyFill="1" applyBorder="1" applyAlignment="1">
      <alignment horizontal="center" vertical="center"/>
    </xf>
    <xf numFmtId="4" fontId="5" fillId="4" borderId="20" xfId="0" applyNumberFormat="1" applyFont="1" applyFill="1" applyBorder="1" applyAlignment="1">
      <alignment horizontal="center" vertical="center"/>
    </xf>
    <xf numFmtId="4" fontId="5" fillId="4" borderId="23" xfId="0" applyNumberFormat="1" applyFont="1" applyFill="1" applyBorder="1" applyAlignment="1">
      <alignment horizontal="center" vertical="center"/>
    </xf>
    <xf numFmtId="4" fontId="5" fillId="4" borderId="22" xfId="0" applyNumberFormat="1" applyFont="1" applyFill="1" applyBorder="1" applyAlignment="1">
      <alignment horizontal="center" vertical="center"/>
    </xf>
    <xf numFmtId="4" fontId="5" fillId="4" borderId="22" xfId="0" quotePrefix="1" applyNumberFormat="1" applyFont="1" applyFill="1" applyBorder="1" applyAlignment="1">
      <alignment horizontal="center" vertical="center"/>
    </xf>
    <xf numFmtId="0" fontId="8" fillId="8" borderId="24" xfId="0" applyFont="1" applyFill="1" applyBorder="1" applyAlignment="1">
      <alignment horizontal="center" vertical="center"/>
    </xf>
    <xf numFmtId="0" fontId="8" fillId="8" borderId="25" xfId="0" applyFont="1" applyFill="1" applyBorder="1" applyAlignment="1">
      <alignment vertical="center"/>
    </xf>
    <xf numFmtId="0" fontId="8" fillId="8" borderId="15" xfId="0" applyFont="1" applyFill="1" applyBorder="1" applyAlignment="1">
      <alignment vertical="center"/>
    </xf>
    <xf numFmtId="4" fontId="5" fillId="5" borderId="8" xfId="0" applyNumberFormat="1" applyFont="1" applyFill="1" applyBorder="1" applyAlignment="1">
      <alignment horizontal="center" vertical="center"/>
    </xf>
    <xf numFmtId="2" fontId="5" fillId="5" borderId="8" xfId="0" applyNumberFormat="1" applyFont="1" applyFill="1" applyBorder="1" applyAlignment="1">
      <alignment horizontal="center" vertical="center"/>
    </xf>
    <xf numFmtId="3" fontId="5" fillId="0" borderId="0" xfId="0" applyNumberFormat="1" applyFont="1"/>
    <xf numFmtId="9" fontId="5" fillId="4" borderId="8" xfId="0" applyNumberFormat="1" applyFont="1" applyFill="1" applyBorder="1" applyAlignment="1">
      <alignment horizontal="center" vertical="center"/>
    </xf>
    <xf numFmtId="0" fontId="5" fillId="5" borderId="1" xfId="0" applyFont="1" applyFill="1" applyBorder="1"/>
    <xf numFmtId="0" fontId="5" fillId="0" borderId="0" xfId="0" applyFont="1" applyAlignment="1">
      <alignment horizontal="center" vertical="center"/>
    </xf>
    <xf numFmtId="0" fontId="5" fillId="5" borderId="8" xfId="0" applyFont="1" applyFill="1" applyBorder="1" applyAlignment="1">
      <alignment horizontal="center" vertical="center" wrapText="1"/>
    </xf>
    <xf numFmtId="0" fontId="8" fillId="7" borderId="8" xfId="0" applyFont="1" applyFill="1" applyBorder="1"/>
    <xf numFmtId="0" fontId="5" fillId="6" borderId="8" xfId="0" applyFont="1" applyFill="1" applyBorder="1" applyAlignment="1">
      <alignment horizontal="left" vertical="center"/>
    </xf>
    <xf numFmtId="0" fontId="6" fillId="0" borderId="0" xfId="0" applyFont="1" applyAlignment="1">
      <alignment vertical="center"/>
    </xf>
    <xf numFmtId="4" fontId="5" fillId="4" borderId="14" xfId="0" applyNumberFormat="1" applyFont="1" applyFill="1" applyBorder="1" applyAlignment="1">
      <alignment horizontal="center" vertical="center"/>
    </xf>
    <xf numFmtId="0" fontId="8" fillId="3" borderId="8" xfId="0" applyFont="1" applyFill="1" applyBorder="1" applyAlignment="1">
      <alignment horizontal="center"/>
    </xf>
    <xf numFmtId="0" fontId="24" fillId="5" borderId="8" xfId="0" applyFont="1" applyFill="1" applyBorder="1" applyAlignment="1">
      <alignment horizontal="center"/>
    </xf>
    <xf numFmtId="0" fontId="5" fillId="5" borderId="8" xfId="0" applyFont="1" applyFill="1" applyBorder="1" applyAlignment="1">
      <alignment horizontal="center"/>
    </xf>
    <xf numFmtId="167" fontId="5" fillId="0" borderId="0" xfId="0" applyNumberFormat="1" applyFont="1"/>
    <xf numFmtId="9" fontId="5" fillId="0" borderId="0" xfId="0" applyNumberFormat="1" applyFont="1"/>
    <xf numFmtId="3" fontId="8" fillId="10" borderId="8" xfId="0" applyNumberFormat="1" applyFont="1" applyFill="1" applyBorder="1" applyAlignment="1">
      <alignment horizontal="center" vertical="center"/>
    </xf>
    <xf numFmtId="0" fontId="22" fillId="0" borderId="0" xfId="0" applyFont="1"/>
    <xf numFmtId="2" fontId="5" fillId="2" borderId="1" xfId="0" applyNumberFormat="1" applyFont="1" applyFill="1" applyBorder="1" applyAlignment="1">
      <alignment horizontal="center" vertical="center"/>
    </xf>
    <xf numFmtId="0" fontId="8" fillId="8" borderId="5" xfId="0" applyFont="1" applyFill="1" applyBorder="1" applyAlignment="1">
      <alignment vertical="center"/>
    </xf>
    <xf numFmtId="0" fontId="8" fillId="8" borderId="17" xfId="0" applyFont="1" applyFill="1" applyBorder="1" applyAlignment="1">
      <alignment vertical="center"/>
    </xf>
    <xf numFmtId="0" fontId="8" fillId="8" borderId="20" xfId="0" applyFont="1" applyFill="1" applyBorder="1" applyAlignment="1">
      <alignment vertical="center"/>
    </xf>
    <xf numFmtId="0" fontId="29" fillId="0" borderId="0" xfId="0" applyFont="1"/>
    <xf numFmtId="4" fontId="23" fillId="5" borderId="8" xfId="0" applyNumberFormat="1" applyFont="1" applyFill="1" applyBorder="1" applyAlignment="1">
      <alignment horizontal="center" vertical="center"/>
    </xf>
    <xf numFmtId="9" fontId="7" fillId="5" borderId="8" xfId="0" applyNumberFormat="1" applyFont="1" applyFill="1" applyBorder="1" applyAlignment="1">
      <alignment horizontal="center" vertical="center"/>
    </xf>
    <xf numFmtId="9" fontId="5" fillId="4" borderId="8" xfId="1" applyFont="1" applyFill="1" applyBorder="1" applyAlignment="1">
      <alignment horizontal="center" vertical="center"/>
    </xf>
    <xf numFmtId="0" fontId="8" fillId="11" borderId="8" xfId="0" applyFont="1" applyFill="1" applyBorder="1" applyAlignment="1">
      <alignment horizontal="center" vertical="center" wrapText="1"/>
    </xf>
    <xf numFmtId="4" fontId="30" fillId="5" borderId="8" xfId="0" applyNumberFormat="1" applyFont="1" applyFill="1" applyBorder="1" applyAlignment="1">
      <alignment horizontal="center" vertical="center"/>
    </xf>
    <xf numFmtId="9" fontId="6" fillId="5" borderId="8" xfId="0" applyNumberFormat="1" applyFont="1" applyFill="1" applyBorder="1" applyAlignment="1">
      <alignment horizontal="center" vertical="center"/>
    </xf>
    <xf numFmtId="9" fontId="30" fillId="5" borderId="8" xfId="1" applyFont="1" applyFill="1" applyBorder="1" applyAlignment="1">
      <alignment horizontal="center" vertical="center"/>
    </xf>
    <xf numFmtId="0" fontId="26" fillId="12" borderId="0" xfId="0" applyFont="1" applyFill="1"/>
    <xf numFmtId="0" fontId="11" fillId="2" borderId="1" xfId="0" applyFont="1" applyFill="1" applyBorder="1" applyAlignment="1">
      <alignment horizontal="left" vertical="center"/>
    </xf>
    <xf numFmtId="4" fontId="5" fillId="2" borderId="1" xfId="0" applyNumberFormat="1" applyFont="1" applyFill="1" applyBorder="1" applyAlignment="1">
      <alignment horizontal="center" vertical="center"/>
    </xf>
    <xf numFmtId="0" fontId="11" fillId="2" borderId="1" xfId="0" applyFont="1" applyFill="1" applyBorder="1" applyAlignment="1">
      <alignment vertical="center"/>
    </xf>
    <xf numFmtId="0" fontId="5" fillId="2" borderId="1" xfId="0" applyFont="1" applyFill="1" applyBorder="1" applyAlignment="1">
      <alignment vertical="center"/>
    </xf>
    <xf numFmtId="0" fontId="5" fillId="2" borderId="1" xfId="0" applyFont="1" applyFill="1" applyBorder="1" applyAlignment="1">
      <alignment vertical="center" wrapText="1"/>
    </xf>
    <xf numFmtId="0" fontId="33" fillId="15" borderId="46" xfId="0" applyFont="1" applyFill="1" applyBorder="1"/>
    <xf numFmtId="0" fontId="0" fillId="15" borderId="0" xfId="0" applyFill="1"/>
    <xf numFmtId="0" fontId="5" fillId="2" borderId="1" xfId="0" applyFont="1" applyFill="1" applyBorder="1" applyAlignment="1">
      <alignment wrapText="1"/>
    </xf>
    <xf numFmtId="0" fontId="12" fillId="9" borderId="8"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8" fillId="10" borderId="4" xfId="0" applyFont="1" applyFill="1" applyBorder="1" applyAlignment="1">
      <alignment horizontal="center" vertical="center"/>
    </xf>
    <xf numFmtId="0" fontId="8" fillId="0" borderId="8" xfId="0" applyFont="1" applyBorder="1" applyAlignment="1">
      <alignment horizontal="center" vertical="center"/>
    </xf>
    <xf numFmtId="0" fontId="8" fillId="0" borderId="8" xfId="0" applyFont="1" applyBorder="1" applyAlignment="1">
      <alignment horizontal="center" vertical="center" wrapText="1"/>
    </xf>
    <xf numFmtId="0" fontId="12" fillId="0" borderId="8" xfId="0" applyFont="1" applyBorder="1" applyAlignment="1">
      <alignment horizontal="center" vertical="center" wrapText="1"/>
    </xf>
    <xf numFmtId="4" fontId="23" fillId="0" borderId="8" xfId="0" applyNumberFormat="1" applyFont="1" applyBorder="1" applyAlignment="1">
      <alignment horizontal="center" vertical="center"/>
    </xf>
    <xf numFmtId="9" fontId="7" fillId="0" borderId="8" xfId="0" applyNumberFormat="1" applyFont="1" applyBorder="1" applyAlignment="1">
      <alignment horizontal="center" vertical="center"/>
    </xf>
    <xf numFmtId="0" fontId="5" fillId="9" borderId="8" xfId="0" applyFont="1" applyFill="1" applyBorder="1" applyAlignment="1">
      <alignment wrapText="1"/>
    </xf>
    <xf numFmtId="0" fontId="5" fillId="0" borderId="0" xfId="0" applyFont="1" applyAlignment="1">
      <alignment wrapText="1"/>
    </xf>
    <xf numFmtId="4" fontId="5" fillId="4" borderId="8" xfId="0"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0" fontId="8" fillId="3" borderId="9" xfId="0" applyFont="1" applyFill="1" applyBorder="1" applyAlignment="1">
      <alignment horizontal="center" vertical="center"/>
    </xf>
    <xf numFmtId="0" fontId="0" fillId="12" borderId="0" xfId="0" applyFill="1"/>
    <xf numFmtId="0" fontId="8" fillId="18" borderId="8" xfId="0" applyFont="1" applyFill="1" applyBorder="1" applyAlignment="1">
      <alignment horizontal="center" vertical="center"/>
    </xf>
    <xf numFmtId="4" fontId="5" fillId="19" borderId="8" xfId="0" applyNumberFormat="1" applyFont="1" applyFill="1" applyBorder="1" applyAlignment="1">
      <alignment horizontal="center" vertical="center"/>
    </xf>
    <xf numFmtId="0" fontId="6" fillId="2" borderId="1" xfId="0" applyFont="1" applyFill="1" applyBorder="1" applyAlignment="1">
      <alignment horizontal="left" vertical="center"/>
    </xf>
    <xf numFmtId="3" fontId="6" fillId="4" borderId="8" xfId="0" applyNumberFormat="1" applyFont="1" applyFill="1" applyBorder="1" applyAlignment="1">
      <alignment horizontal="center" vertical="center" wrapText="1"/>
    </xf>
    <xf numFmtId="0" fontId="8" fillId="18" borderId="8" xfId="0" applyFont="1" applyFill="1" applyBorder="1" applyAlignment="1">
      <alignment horizontal="center" vertical="center" wrapText="1"/>
    </xf>
    <xf numFmtId="3" fontId="6" fillId="19" borderId="8" xfId="0" applyNumberFormat="1" applyFont="1" applyFill="1" applyBorder="1" applyAlignment="1">
      <alignment horizontal="center" vertical="center" wrapText="1"/>
    </xf>
    <xf numFmtId="0" fontId="0" fillId="0" borderId="0" xfId="0" applyAlignment="1">
      <alignment horizontal="center" vertical="center"/>
    </xf>
    <xf numFmtId="0" fontId="5" fillId="12" borderId="1" xfId="0" applyFont="1" applyFill="1" applyBorder="1"/>
    <xf numFmtId="0" fontId="24" fillId="0" borderId="0" xfId="0" applyFont="1"/>
    <xf numFmtId="0" fontId="8" fillId="8" borderId="30" xfId="0" applyFont="1" applyFill="1" applyBorder="1" applyAlignment="1">
      <alignment vertical="center"/>
    </xf>
    <xf numFmtId="0" fontId="8" fillId="8" borderId="31" xfId="0" applyFont="1" applyFill="1" applyBorder="1" applyAlignment="1">
      <alignment vertical="center"/>
    </xf>
    <xf numFmtId="169" fontId="9" fillId="16" borderId="15" xfId="0" applyNumberFormat="1" applyFont="1" applyFill="1" applyBorder="1" applyAlignment="1">
      <alignment horizontal="center" vertical="center" wrapText="1"/>
    </xf>
    <xf numFmtId="0" fontId="39" fillId="8" borderId="11" xfId="0" applyFont="1" applyFill="1" applyBorder="1" applyAlignment="1">
      <alignment vertical="center" wrapText="1"/>
    </xf>
    <xf numFmtId="0" fontId="39" fillId="8" borderId="8" xfId="0" applyFont="1" applyFill="1" applyBorder="1" applyAlignment="1">
      <alignment vertical="center" wrapText="1"/>
    </xf>
    <xf numFmtId="0" fontId="39" fillId="11" borderId="8" xfId="0" applyFont="1" applyFill="1" applyBorder="1" applyAlignment="1">
      <alignment horizontal="center" vertical="center" wrapText="1"/>
    </xf>
    <xf numFmtId="0" fontId="5" fillId="12" borderId="0" xfId="0" applyFont="1" applyFill="1"/>
    <xf numFmtId="0" fontId="8" fillId="3" borderId="11" xfId="0" applyFont="1" applyFill="1" applyBorder="1" applyAlignment="1">
      <alignment horizontal="center" vertical="center"/>
    </xf>
    <xf numFmtId="0" fontId="39" fillId="9" borderId="8" xfId="0" applyFont="1" applyFill="1" applyBorder="1" applyAlignment="1">
      <alignment horizontal="center" vertical="center" wrapText="1"/>
    </xf>
    <xf numFmtId="0" fontId="39" fillId="8" borderId="11" xfId="0" applyFont="1" applyFill="1" applyBorder="1" applyAlignment="1">
      <alignment horizontal="center" vertical="center" wrapText="1"/>
    </xf>
    <xf numFmtId="0" fontId="7" fillId="22" borderId="1" xfId="0" applyFont="1" applyFill="1" applyBorder="1"/>
    <xf numFmtId="0" fontId="41" fillId="0" borderId="1" xfId="0" applyFont="1" applyBorder="1" applyAlignment="1">
      <alignment vertical="center"/>
    </xf>
    <xf numFmtId="0" fontId="8" fillId="21" borderId="8" xfId="0" applyFont="1" applyFill="1" applyBorder="1" applyAlignment="1">
      <alignment horizontal="center" vertical="center"/>
    </xf>
    <xf numFmtId="0" fontId="42" fillId="0" borderId="1" xfId="0" applyFont="1" applyBorder="1" applyAlignment="1">
      <alignment vertical="center"/>
    </xf>
    <xf numFmtId="9" fontId="40" fillId="17" borderId="8" xfId="0" applyNumberFormat="1" applyFont="1" applyFill="1" applyBorder="1" applyAlignment="1">
      <alignment vertical="center"/>
    </xf>
    <xf numFmtId="43" fontId="40" fillId="17" borderId="8" xfId="0" applyNumberFormat="1" applyFont="1" applyFill="1" applyBorder="1" applyAlignment="1">
      <alignment vertical="center"/>
    </xf>
    <xf numFmtId="43" fontId="43" fillId="17" borderId="8" xfId="0" applyNumberFormat="1" applyFont="1" applyFill="1" applyBorder="1" applyAlignment="1">
      <alignment vertical="center"/>
    </xf>
    <xf numFmtId="0" fontId="8" fillId="7" borderId="8" xfId="0" applyFont="1" applyFill="1" applyBorder="1" applyAlignment="1">
      <alignment vertical="center"/>
    </xf>
    <xf numFmtId="0" fontId="8" fillId="7" borderId="8" xfId="0" applyFont="1" applyFill="1" applyBorder="1" applyAlignment="1">
      <alignment horizontal="center" vertical="center" wrapText="1"/>
    </xf>
    <xf numFmtId="0" fontId="8" fillId="7" borderId="8" xfId="0" applyFont="1" applyFill="1" applyBorder="1" applyAlignment="1">
      <alignment vertical="center" wrapText="1"/>
    </xf>
    <xf numFmtId="43" fontId="44" fillId="13" borderId="8" xfId="5" applyFont="1" applyFill="1" applyBorder="1" applyAlignment="1">
      <alignment vertical="center"/>
    </xf>
    <xf numFmtId="10" fontId="44" fillId="13" borderId="8" xfId="1" applyNumberFormat="1" applyFont="1" applyFill="1" applyBorder="1" applyAlignment="1">
      <alignment vertical="center"/>
    </xf>
    <xf numFmtId="0" fontId="8" fillId="7" borderId="9" xfId="0" applyFont="1" applyFill="1" applyBorder="1" applyAlignment="1">
      <alignment vertical="center" wrapText="1"/>
    </xf>
    <xf numFmtId="10" fontId="44" fillId="13" borderId="10" xfId="1" applyNumberFormat="1" applyFont="1" applyFill="1" applyBorder="1" applyAlignment="1">
      <alignment vertical="center"/>
    </xf>
    <xf numFmtId="0" fontId="9" fillId="22" borderId="1" xfId="0" applyFont="1" applyFill="1" applyBorder="1"/>
    <xf numFmtId="0" fontId="8" fillId="21" borderId="8" xfId="0" applyFont="1" applyFill="1" applyBorder="1" applyAlignment="1">
      <alignment horizontal="center" vertical="center" wrapText="1"/>
    </xf>
    <xf numFmtId="0" fontId="9" fillId="17" borderId="8" xfId="0" applyFont="1" applyFill="1" applyBorder="1" applyAlignment="1">
      <alignment horizontal="center" vertical="center"/>
    </xf>
    <xf numFmtId="0" fontId="9" fillId="17" borderId="8" xfId="0" applyFont="1" applyFill="1" applyBorder="1" applyAlignment="1">
      <alignment horizontal="center"/>
    </xf>
    <xf numFmtId="4" fontId="9" fillId="17" borderId="8" xfId="0" applyNumberFormat="1" applyFont="1" applyFill="1" applyBorder="1" applyAlignment="1">
      <alignment horizontal="center"/>
    </xf>
    <xf numFmtId="0" fontId="7" fillId="22" borderId="1" xfId="0" applyFont="1" applyFill="1" applyBorder="1" applyAlignment="1">
      <alignment horizontal="center"/>
    </xf>
    <xf numFmtId="169" fontId="9" fillId="16" borderId="8" xfId="0" applyNumberFormat="1" applyFont="1" applyFill="1" applyBorder="1" applyAlignment="1">
      <alignment horizontal="center" vertical="center" wrapText="1"/>
    </xf>
    <xf numFmtId="4" fontId="9" fillId="17" borderId="8" xfId="0" applyNumberFormat="1" applyFont="1" applyFill="1" applyBorder="1" applyAlignment="1">
      <alignment horizontal="center" vertical="center"/>
    </xf>
    <xf numFmtId="0" fontId="40" fillId="17" borderId="8" xfId="0" applyFont="1" applyFill="1" applyBorder="1" applyAlignment="1">
      <alignment horizontal="center" vertical="center"/>
    </xf>
    <xf numFmtId="4" fontId="40" fillId="17" borderId="8" xfId="0" applyNumberFormat="1" applyFont="1" applyFill="1" applyBorder="1" applyAlignment="1">
      <alignment horizontal="center" vertical="center"/>
    </xf>
    <xf numFmtId="0" fontId="16" fillId="21" borderId="8" xfId="0" applyFont="1" applyFill="1" applyBorder="1" applyAlignment="1">
      <alignment horizontal="center" vertical="center"/>
    </xf>
    <xf numFmtId="0" fontId="9" fillId="23" borderId="1" xfId="0" applyFont="1" applyFill="1" applyBorder="1"/>
    <xf numFmtId="0" fontId="7" fillId="23" borderId="1" xfId="0" applyFont="1" applyFill="1" applyBorder="1"/>
    <xf numFmtId="0" fontId="7" fillId="23" borderId="1" xfId="0" applyFont="1" applyFill="1" applyBorder="1" applyAlignment="1">
      <alignment horizontal="center"/>
    </xf>
    <xf numFmtId="0" fontId="5" fillId="12" borderId="0" xfId="0" applyFont="1" applyFill="1" applyAlignment="1">
      <alignment horizontal="center" vertical="center"/>
    </xf>
    <xf numFmtId="0" fontId="7" fillId="23" borderId="1" xfId="0" applyFont="1" applyFill="1" applyBorder="1" applyAlignment="1">
      <alignment horizontal="center" vertical="center"/>
    </xf>
    <xf numFmtId="0" fontId="7" fillId="22" borderId="1" xfId="0" applyFont="1" applyFill="1" applyBorder="1" applyAlignment="1">
      <alignment horizontal="center" vertical="center"/>
    </xf>
    <xf numFmtId="0" fontId="8" fillId="21" borderId="8" xfId="0" applyFont="1" applyFill="1" applyBorder="1" applyAlignment="1">
      <alignment horizontal="center"/>
    </xf>
    <xf numFmtId="0" fontId="43" fillId="17" borderId="8" xfId="0" applyFont="1" applyFill="1" applyBorder="1" applyAlignment="1">
      <alignment horizontal="center" vertical="center"/>
    </xf>
    <xf numFmtId="3" fontId="8" fillId="21" borderId="8" xfId="0" applyNumberFormat="1" applyFont="1" applyFill="1" applyBorder="1" applyAlignment="1">
      <alignment horizontal="center" vertical="center" wrapText="1"/>
    </xf>
    <xf numFmtId="0" fontId="47" fillId="12" borderId="1" xfId="0" applyFont="1" applyFill="1" applyBorder="1"/>
    <xf numFmtId="0" fontId="7" fillId="12" borderId="1" xfId="0" applyFont="1" applyFill="1" applyBorder="1"/>
    <xf numFmtId="0" fontId="7" fillId="12" borderId="27" xfId="0" applyFont="1" applyFill="1" applyBorder="1"/>
    <xf numFmtId="0" fontId="8" fillId="21" borderId="8" xfId="0" applyFont="1" applyFill="1" applyBorder="1" applyAlignment="1">
      <alignment horizontal="right" vertical="center"/>
    </xf>
    <xf numFmtId="10" fontId="48" fillId="17" borderId="8" xfId="0" applyNumberFormat="1" applyFont="1" applyFill="1" applyBorder="1" applyAlignment="1">
      <alignment horizontal="center" vertical="center"/>
    </xf>
    <xf numFmtId="0" fontId="27" fillId="7" borderId="8" xfId="0" applyFont="1" applyFill="1" applyBorder="1" applyAlignment="1">
      <alignment horizontal="center" vertical="center"/>
    </xf>
    <xf numFmtId="4" fontId="26" fillId="5" borderId="8" xfId="0" applyNumberFormat="1" applyFont="1" applyFill="1" applyBorder="1" applyAlignment="1">
      <alignment horizontal="center" vertical="center"/>
    </xf>
    <xf numFmtId="4" fontId="26" fillId="5" borderId="8" xfId="0" applyNumberFormat="1" applyFont="1" applyFill="1" applyBorder="1" applyAlignment="1">
      <alignment vertical="center"/>
    </xf>
    <xf numFmtId="0" fontId="5" fillId="12" borderId="0" xfId="0" applyFont="1" applyFill="1" applyAlignment="1">
      <alignment horizontal="left" vertical="center"/>
    </xf>
    <xf numFmtId="4" fontId="5" fillId="12" borderId="0" xfId="0" applyNumberFormat="1" applyFont="1" applyFill="1" applyAlignment="1">
      <alignment horizontal="center" vertical="center"/>
    </xf>
    <xf numFmtId="0" fontId="27" fillId="12" borderId="1" xfId="0" applyFont="1" applyFill="1" applyBorder="1" applyAlignment="1">
      <alignment horizontal="center" vertical="center" wrapText="1"/>
    </xf>
    <xf numFmtId="0" fontId="27" fillId="12" borderId="1" xfId="0" applyFont="1" applyFill="1" applyBorder="1" applyAlignment="1">
      <alignment horizontal="center" vertical="center"/>
    </xf>
    <xf numFmtId="165" fontId="45" fillId="12" borderId="1" xfId="0" applyNumberFormat="1" applyFont="1" applyFill="1" applyBorder="1" applyAlignment="1">
      <alignment vertical="center"/>
    </xf>
    <xf numFmtId="165" fontId="45" fillId="12" borderId="1" xfId="0" applyNumberFormat="1" applyFont="1" applyFill="1" applyBorder="1" applyAlignment="1">
      <alignment horizontal="center" vertical="center"/>
    </xf>
    <xf numFmtId="0" fontId="45" fillId="12" borderId="1" xfId="0" applyFont="1" applyFill="1" applyBorder="1" applyAlignment="1">
      <alignment horizontal="center" vertical="center"/>
    </xf>
    <xf numFmtId="0" fontId="12" fillId="7" borderId="8" xfId="0" applyFont="1" applyFill="1" applyBorder="1" applyAlignment="1">
      <alignment horizontal="center" vertical="center" wrapText="1"/>
    </xf>
    <xf numFmtId="0" fontId="0" fillId="12" borderId="1" xfId="0" applyFill="1" applyBorder="1"/>
    <xf numFmtId="0" fontId="0" fillId="12" borderId="38" xfId="0" applyFill="1" applyBorder="1"/>
    <xf numFmtId="0" fontId="0" fillId="12" borderId="39" xfId="0" applyFill="1" applyBorder="1"/>
    <xf numFmtId="0" fontId="0" fillId="12" borderId="41" xfId="0" applyFill="1" applyBorder="1"/>
    <xf numFmtId="0" fontId="5" fillId="12" borderId="38" xfId="0" applyFont="1" applyFill="1" applyBorder="1" applyAlignment="1">
      <alignment horizontal="center" vertical="center"/>
    </xf>
    <xf numFmtId="0" fontId="5" fillId="12" borderId="41" xfId="0" applyFont="1" applyFill="1" applyBorder="1" applyAlignment="1">
      <alignment horizontal="center" vertical="center"/>
    </xf>
    <xf numFmtId="4" fontId="5" fillId="12" borderId="41" xfId="0" applyNumberFormat="1" applyFont="1" applyFill="1" applyBorder="1" applyAlignment="1">
      <alignment horizontal="center" vertical="center"/>
    </xf>
    <xf numFmtId="4" fontId="45" fillId="12" borderId="1" xfId="0" applyNumberFormat="1" applyFont="1" applyFill="1" applyBorder="1" applyAlignment="1">
      <alignment vertical="center"/>
    </xf>
    <xf numFmtId="0" fontId="5" fillId="12" borderId="41" xfId="0" applyFont="1" applyFill="1" applyBorder="1"/>
    <xf numFmtId="0" fontId="27" fillId="12" borderId="41" xfId="0" applyFont="1" applyFill="1" applyBorder="1" applyAlignment="1">
      <alignment horizontal="center" vertical="center" wrapText="1"/>
    </xf>
    <xf numFmtId="0" fontId="27" fillId="12" borderId="41" xfId="0" applyFont="1" applyFill="1" applyBorder="1" applyAlignment="1">
      <alignment horizontal="center" vertical="center"/>
    </xf>
    <xf numFmtId="165" fontId="45" fillId="12" borderId="41" xfId="0" applyNumberFormat="1" applyFont="1" applyFill="1" applyBorder="1" applyAlignment="1">
      <alignment vertical="center"/>
    </xf>
    <xf numFmtId="165" fontId="45" fillId="12" borderId="41" xfId="0" applyNumberFormat="1" applyFont="1" applyFill="1" applyBorder="1" applyAlignment="1">
      <alignment horizontal="center" vertical="center"/>
    </xf>
    <xf numFmtId="0" fontId="47" fillId="12" borderId="1" xfId="0" applyFont="1" applyFill="1" applyBorder="1" applyAlignment="1">
      <alignment horizontal="center" vertical="center"/>
    </xf>
    <xf numFmtId="0" fontId="0" fillId="0" borderId="1" xfId="0" applyBorder="1"/>
    <xf numFmtId="4" fontId="26" fillId="5" borderId="14" xfId="0" applyNumberFormat="1" applyFont="1" applyFill="1" applyBorder="1" applyAlignment="1">
      <alignment horizontal="center" vertical="center"/>
    </xf>
    <xf numFmtId="4" fontId="26" fillId="5" borderId="14" xfId="0" applyNumberFormat="1" applyFont="1" applyFill="1" applyBorder="1" applyAlignment="1">
      <alignment vertical="center"/>
    </xf>
    <xf numFmtId="0" fontId="27" fillId="12" borderId="10" xfId="0" applyFont="1" applyFill="1" applyBorder="1" applyAlignment="1">
      <alignment vertical="center"/>
    </xf>
    <xf numFmtId="2" fontId="45" fillId="12" borderId="1" xfId="0" applyNumberFormat="1" applyFont="1" applyFill="1" applyBorder="1" applyAlignment="1">
      <alignment vertical="center"/>
    </xf>
    <xf numFmtId="0" fontId="50" fillId="7" borderId="12" xfId="0" applyFont="1" applyFill="1" applyBorder="1" applyAlignment="1">
      <alignment horizontal="center" vertical="center" wrapText="1"/>
    </xf>
    <xf numFmtId="0" fontId="27" fillId="12" borderId="11" xfId="0" applyFont="1" applyFill="1" applyBorder="1" applyAlignment="1">
      <alignment horizontal="center" vertical="center"/>
    </xf>
    <xf numFmtId="0" fontId="26" fillId="12" borderId="11" xfId="0" applyFont="1" applyFill="1" applyBorder="1" applyAlignment="1">
      <alignment horizontal="center" vertical="center"/>
    </xf>
    <xf numFmtId="0" fontId="8" fillId="3" borderId="8" xfId="0" applyFont="1" applyFill="1" applyBorder="1" applyAlignment="1">
      <alignment vertical="center" wrapText="1"/>
    </xf>
    <xf numFmtId="0" fontId="5" fillId="0" borderId="0" xfId="0" applyFont="1" applyAlignment="1">
      <alignment horizontal="left" vertical="center"/>
    </xf>
    <xf numFmtId="0" fontId="7" fillId="0" borderId="0" xfId="0" applyFont="1" applyAlignment="1">
      <alignment vertical="center"/>
    </xf>
    <xf numFmtId="0" fontId="51" fillId="21" borderId="8" xfId="0" applyFont="1" applyFill="1" applyBorder="1" applyAlignment="1">
      <alignment horizontal="center" vertical="center" wrapText="1"/>
    </xf>
    <xf numFmtId="0" fontId="51" fillId="21" borderId="8" xfId="0" applyFont="1" applyFill="1" applyBorder="1" applyAlignment="1">
      <alignment horizontal="right" vertical="center"/>
    </xf>
    <xf numFmtId="0" fontId="51" fillId="21" borderId="8" xfId="0" applyFont="1" applyFill="1" applyBorder="1" applyAlignment="1">
      <alignment horizontal="center" vertical="center"/>
    </xf>
    <xf numFmtId="0" fontId="57" fillId="12" borderId="1" xfId="0" applyFont="1" applyFill="1" applyBorder="1"/>
    <xf numFmtId="0" fontId="64" fillId="12" borderId="1" xfId="2" applyFont="1" applyFill="1" applyAlignment="1">
      <alignment vertical="center" wrapText="1"/>
    </xf>
    <xf numFmtId="0" fontId="8" fillId="7" borderId="8" xfId="2" applyFont="1" applyFill="1" applyBorder="1" applyAlignment="1">
      <alignment horizontal="center" vertical="center"/>
    </xf>
    <xf numFmtId="4" fontId="5" fillId="5" borderId="8" xfId="2" applyNumberFormat="1" applyFont="1" applyFill="1" applyBorder="1" applyAlignment="1">
      <alignment horizontal="center" vertical="center"/>
    </xf>
    <xf numFmtId="0" fontId="5" fillId="5" borderId="8" xfId="6" applyFont="1" applyFill="1" applyBorder="1"/>
    <xf numFmtId="0" fontId="49" fillId="12" borderId="1" xfId="2" applyFont="1" applyFill="1"/>
    <xf numFmtId="0" fontId="7" fillId="2" borderId="1" xfId="0" applyFont="1" applyFill="1" applyBorder="1"/>
    <xf numFmtId="0" fontId="44" fillId="12" borderId="1" xfId="2" applyFont="1" applyFill="1"/>
    <xf numFmtId="0" fontId="5" fillId="12" borderId="0" xfId="0" applyFont="1" applyFill="1" applyAlignment="1">
      <alignment vertical="center"/>
    </xf>
    <xf numFmtId="0" fontId="7" fillId="12" borderId="0" xfId="0" applyFont="1" applyFill="1"/>
    <xf numFmtId="4" fontId="9" fillId="4" borderId="8" xfId="0" applyNumberFormat="1" applyFont="1" applyFill="1" applyBorder="1" applyAlignment="1">
      <alignment horizontal="center" vertical="center"/>
    </xf>
    <xf numFmtId="0" fontId="50" fillId="7" borderId="14" xfId="0" applyFont="1" applyFill="1" applyBorder="1" applyAlignment="1">
      <alignment horizontal="center" vertical="center" wrapText="1"/>
    </xf>
    <xf numFmtId="43" fontId="44" fillId="13" borderId="60" xfId="5" applyFont="1" applyFill="1" applyBorder="1" applyAlignment="1">
      <alignment vertical="center"/>
    </xf>
    <xf numFmtId="0" fontId="8" fillId="12" borderId="60" xfId="0" applyFont="1" applyFill="1" applyBorder="1" applyAlignment="1">
      <alignment vertical="center" wrapText="1"/>
    </xf>
    <xf numFmtId="0" fontId="8" fillId="12" borderId="59" xfId="0" applyFont="1" applyFill="1" applyBorder="1" applyAlignment="1">
      <alignment vertical="center" wrapText="1"/>
    </xf>
    <xf numFmtId="0" fontId="8" fillId="12" borderId="19" xfId="0" applyFont="1" applyFill="1" applyBorder="1" applyAlignment="1">
      <alignment vertical="center" wrapText="1"/>
    </xf>
    <xf numFmtId="0" fontId="7" fillId="23" borderId="0" xfId="0" applyFont="1" applyFill="1"/>
    <xf numFmtId="0" fontId="7" fillId="12" borderId="1" xfId="0" applyFont="1" applyFill="1" applyBorder="1" applyAlignment="1">
      <alignment horizontal="left" vertical="center"/>
    </xf>
    <xf numFmtId="4" fontId="5" fillId="4" borderId="1" xfId="0" applyNumberFormat="1" applyFont="1" applyFill="1" applyBorder="1" applyAlignment="1">
      <alignment vertical="center"/>
    </xf>
    <xf numFmtId="2" fontId="9" fillId="17" borderId="8" xfId="0" applyNumberFormat="1" applyFont="1" applyFill="1" applyBorder="1" applyAlignment="1">
      <alignment horizontal="center"/>
    </xf>
    <xf numFmtId="2" fontId="7" fillId="23" borderId="1" xfId="0" applyNumberFormat="1" applyFont="1" applyFill="1" applyBorder="1"/>
    <xf numFmtId="2" fontId="7" fillId="22" borderId="1" xfId="0" applyNumberFormat="1" applyFont="1" applyFill="1" applyBorder="1"/>
    <xf numFmtId="2" fontId="0" fillId="0" borderId="0" xfId="0" applyNumberFormat="1"/>
    <xf numFmtId="2" fontId="9" fillId="17" borderId="8" xfId="0" applyNumberFormat="1" applyFont="1" applyFill="1" applyBorder="1" applyAlignment="1">
      <alignment horizontal="center" vertical="center"/>
    </xf>
    <xf numFmtId="4" fontId="8" fillId="21" borderId="8" xfId="0" applyNumberFormat="1" applyFont="1" applyFill="1" applyBorder="1" applyAlignment="1">
      <alignment horizontal="center" vertical="center"/>
    </xf>
    <xf numFmtId="4" fontId="0" fillId="0" borderId="0" xfId="0" applyNumberFormat="1"/>
    <xf numFmtId="2" fontId="9" fillId="17" borderId="9" xfId="0" applyNumberFormat="1" applyFont="1" applyFill="1" applyBorder="1" applyAlignment="1">
      <alignment horizontal="center"/>
    </xf>
    <xf numFmtId="0" fontId="0" fillId="5" borderId="8" xfId="0" applyFill="1" applyBorder="1"/>
    <xf numFmtId="4" fontId="9" fillId="17" borderId="11" xfId="0" applyNumberFormat="1" applyFont="1" applyFill="1" applyBorder="1" applyAlignment="1">
      <alignment horizontal="center"/>
    </xf>
    <xf numFmtId="0" fontId="9" fillId="22" borderId="1" xfId="0" applyFont="1" applyFill="1" applyBorder="1" applyAlignment="1">
      <alignment horizontal="center" vertical="center"/>
    </xf>
    <xf numFmtId="2" fontId="5" fillId="12" borderId="0" xfId="0" applyNumberFormat="1" applyFont="1" applyFill="1"/>
    <xf numFmtId="2" fontId="9" fillId="23" borderId="1" xfId="0" applyNumberFormat="1" applyFont="1" applyFill="1" applyBorder="1"/>
    <xf numFmtId="2" fontId="8" fillId="21" borderId="8" xfId="0" applyNumberFormat="1" applyFont="1" applyFill="1" applyBorder="1" applyAlignment="1">
      <alignment horizontal="center"/>
    </xf>
    <xf numFmtId="2" fontId="66" fillId="5" borderId="8" xfId="0" applyNumberFormat="1" applyFont="1" applyFill="1" applyBorder="1" applyAlignment="1">
      <alignment horizontal="center" vertical="center"/>
    </xf>
    <xf numFmtId="2" fontId="5" fillId="0" borderId="0" xfId="0" applyNumberFormat="1" applyFont="1"/>
    <xf numFmtId="4" fontId="7" fillId="4" borderId="8" xfId="0" applyNumberFormat="1" applyFont="1" applyFill="1" applyBorder="1" applyAlignment="1">
      <alignment horizontal="center" vertical="center" wrapText="1"/>
    </xf>
    <xf numFmtId="4" fontId="7" fillId="5" borderId="8" xfId="0" applyNumberFormat="1" applyFont="1" applyFill="1" applyBorder="1" applyAlignment="1">
      <alignment horizontal="center" vertical="center"/>
    </xf>
    <xf numFmtId="0" fontId="8" fillId="7" borderId="12" xfId="0" applyFont="1" applyFill="1" applyBorder="1" applyAlignment="1">
      <alignment horizontal="center" vertical="center" wrapText="1"/>
    </xf>
    <xf numFmtId="2" fontId="5" fillId="5" borderId="0" xfId="0" applyNumberFormat="1" applyFont="1" applyFill="1" applyAlignment="1">
      <alignment horizontal="center" vertical="center"/>
    </xf>
    <xf numFmtId="0" fontId="68" fillId="12" borderId="0" xfId="0" applyFont="1" applyFill="1"/>
    <xf numFmtId="2" fontId="65" fillId="17" borderId="8" xfId="0" applyNumberFormat="1" applyFont="1" applyFill="1" applyBorder="1" applyAlignment="1">
      <alignment horizontal="center" vertical="center"/>
    </xf>
    <xf numFmtId="2" fontId="59" fillId="17" borderId="8" xfId="0" applyNumberFormat="1" applyFont="1" applyFill="1" applyBorder="1" applyAlignment="1">
      <alignment horizontal="center" vertical="center"/>
    </xf>
    <xf numFmtId="0" fontId="71" fillId="12" borderId="1" xfId="0" applyFont="1" applyFill="1" applyBorder="1"/>
    <xf numFmtId="0" fontId="45" fillId="12" borderId="39" xfId="0" applyFont="1" applyFill="1" applyBorder="1"/>
    <xf numFmtId="0" fontId="24" fillId="5" borderId="8" xfId="0" applyFont="1" applyFill="1" applyBorder="1" applyAlignment="1">
      <alignment horizontal="center" vertical="center"/>
    </xf>
    <xf numFmtId="3" fontId="5" fillId="5" borderId="8" xfId="0" applyNumberFormat="1" applyFont="1" applyFill="1" applyBorder="1" applyAlignment="1">
      <alignment horizontal="center" vertical="center"/>
    </xf>
    <xf numFmtId="0" fontId="8" fillId="20" borderId="8" xfId="0" applyFont="1" applyFill="1" applyBorder="1" applyAlignment="1">
      <alignment horizontal="center" vertical="center"/>
    </xf>
    <xf numFmtId="0" fontId="24" fillId="12" borderId="8" xfId="0" applyFont="1" applyFill="1" applyBorder="1" applyAlignment="1">
      <alignment horizontal="center" vertical="center"/>
    </xf>
    <xf numFmtId="0" fontId="5" fillId="12" borderId="8" xfId="0" applyFont="1" applyFill="1" applyBorder="1" applyAlignment="1">
      <alignment horizontal="center" vertical="center"/>
    </xf>
    <xf numFmtId="3" fontId="5" fillId="12" borderId="8" xfId="0" applyNumberFormat="1" applyFont="1" applyFill="1" applyBorder="1" applyAlignment="1">
      <alignment horizontal="center" vertical="center"/>
    </xf>
    <xf numFmtId="0" fontId="8" fillId="12" borderId="8" xfId="0" applyFont="1" applyFill="1" applyBorder="1"/>
    <xf numFmtId="3" fontId="5" fillId="12" borderId="8" xfId="0" applyNumberFormat="1" applyFont="1" applyFill="1" applyBorder="1" applyAlignment="1">
      <alignment horizontal="center"/>
    </xf>
    <xf numFmtId="0" fontId="5" fillId="12" borderId="8" xfId="0" applyFont="1" applyFill="1" applyBorder="1"/>
    <xf numFmtId="3" fontId="9" fillId="15" borderId="8" xfId="0" applyNumberFormat="1" applyFont="1" applyFill="1" applyBorder="1" applyAlignment="1">
      <alignment horizontal="center"/>
    </xf>
    <xf numFmtId="9" fontId="9" fillId="15" borderId="8" xfId="1" applyFont="1" applyFill="1" applyBorder="1" applyAlignment="1">
      <alignment horizontal="center"/>
    </xf>
    <xf numFmtId="4" fontId="52" fillId="4" borderId="8" xfId="0" applyNumberFormat="1" applyFont="1" applyFill="1" applyBorder="1" applyAlignment="1">
      <alignment horizontal="center" vertical="center" wrapText="1"/>
    </xf>
    <xf numFmtId="0" fontId="7" fillId="4" borderId="57" xfId="0" applyFont="1" applyFill="1" applyBorder="1" applyAlignment="1">
      <alignment horizontal="center" vertical="center"/>
    </xf>
    <xf numFmtId="0" fontId="7" fillId="4" borderId="63" xfId="0" applyFont="1" applyFill="1" applyBorder="1" applyAlignment="1">
      <alignment horizontal="center" vertical="center"/>
    </xf>
    <xf numFmtId="4" fontId="9" fillId="4" borderId="8" xfId="0" applyNumberFormat="1" applyFont="1" applyFill="1" applyBorder="1" applyAlignment="1">
      <alignment horizontal="center" vertical="center" wrapText="1"/>
    </xf>
    <xf numFmtId="4" fontId="9" fillId="4" borderId="20" xfId="0" applyNumberFormat="1" applyFont="1" applyFill="1" applyBorder="1" applyAlignment="1">
      <alignment horizontal="center" vertical="center"/>
    </xf>
    <xf numFmtId="0" fontId="21" fillId="21" borderId="57" xfId="0" applyFont="1" applyFill="1" applyBorder="1" applyAlignment="1">
      <alignment horizontal="center" vertical="center" wrapText="1"/>
    </xf>
    <xf numFmtId="9" fontId="40" fillId="17" borderId="8" xfId="1" applyFont="1" applyFill="1" applyBorder="1" applyAlignment="1">
      <alignment horizontal="center" vertical="center"/>
    </xf>
    <xf numFmtId="170" fontId="8" fillId="21" borderId="8" xfId="1" applyNumberFormat="1" applyFont="1" applyFill="1" applyBorder="1" applyAlignment="1">
      <alignment horizontal="center" vertical="center" wrapText="1"/>
    </xf>
    <xf numFmtId="0" fontId="0" fillId="12" borderId="0" xfId="0" applyFill="1" applyAlignment="1">
      <alignment horizontal="center" vertical="center"/>
    </xf>
    <xf numFmtId="4" fontId="9" fillId="15" borderId="8" xfId="0" applyNumberFormat="1" applyFont="1" applyFill="1" applyBorder="1" applyAlignment="1">
      <alignment horizontal="center"/>
    </xf>
    <xf numFmtId="0" fontId="21" fillId="21" borderId="64" xfId="0" applyFont="1" applyFill="1" applyBorder="1" applyAlignment="1">
      <alignment horizontal="center" vertical="center" wrapText="1"/>
    </xf>
    <xf numFmtId="0" fontId="1" fillId="12" borderId="39" xfId="0" applyFont="1" applyFill="1" applyBorder="1"/>
    <xf numFmtId="0" fontId="6" fillId="12" borderId="1" xfId="0" applyFont="1" applyFill="1" applyBorder="1" applyAlignment="1">
      <alignment horizontal="center" vertical="center"/>
    </xf>
    <xf numFmtId="0" fontId="6" fillId="12" borderId="1" xfId="0" applyFont="1" applyFill="1" applyBorder="1" applyAlignment="1">
      <alignment horizontal="left" vertical="center"/>
    </xf>
    <xf numFmtId="2" fontId="74" fillId="5" borderId="8" xfId="0" applyNumberFormat="1" applyFont="1" applyFill="1" applyBorder="1" applyAlignment="1">
      <alignment horizontal="center" vertical="center"/>
    </xf>
    <xf numFmtId="0" fontId="73" fillId="5" borderId="8" xfId="0" applyFont="1" applyFill="1" applyBorder="1" applyAlignment="1">
      <alignment horizontal="center" vertical="center"/>
    </xf>
    <xf numFmtId="4" fontId="74" fillId="5" borderId="8" xfId="0" applyNumberFormat="1" applyFont="1" applyFill="1" applyBorder="1" applyAlignment="1">
      <alignment horizontal="center" vertical="center"/>
    </xf>
    <xf numFmtId="0" fontId="27" fillId="7" borderId="12" xfId="0" applyFont="1" applyFill="1" applyBorder="1" applyAlignment="1">
      <alignment horizontal="center" vertical="center" wrapText="1"/>
    </xf>
    <xf numFmtId="0" fontId="56" fillId="7" borderId="12" xfId="0" applyFont="1" applyFill="1" applyBorder="1" applyAlignment="1">
      <alignment horizontal="center" vertical="center"/>
    </xf>
    <xf numFmtId="0" fontId="27" fillId="7" borderId="14" xfId="0" applyFont="1" applyFill="1" applyBorder="1" applyAlignment="1">
      <alignment horizontal="center" vertical="center" wrapText="1"/>
    </xf>
    <xf numFmtId="0" fontId="56" fillId="7" borderId="14" xfId="0" applyFont="1" applyFill="1" applyBorder="1" applyAlignment="1">
      <alignment horizontal="center" vertical="center"/>
    </xf>
    <xf numFmtId="2" fontId="75" fillId="17" borderId="8" xfId="0" applyNumberFormat="1" applyFont="1" applyFill="1" applyBorder="1" applyAlignment="1">
      <alignment horizontal="center" vertical="center"/>
    </xf>
    <xf numFmtId="4" fontId="9" fillId="13" borderId="8" xfId="2" applyNumberFormat="1" applyFont="1" applyFill="1" applyBorder="1" applyAlignment="1">
      <alignment horizontal="center" vertical="center"/>
    </xf>
    <xf numFmtId="0" fontId="9" fillId="5" borderId="8" xfId="6" applyFont="1" applyFill="1" applyBorder="1"/>
    <xf numFmtId="2" fontId="9" fillId="5" borderId="8" xfId="6" applyNumberFormat="1" applyFont="1" applyFill="1" applyBorder="1"/>
    <xf numFmtId="3" fontId="9" fillId="4" borderId="8" xfId="0" applyNumberFormat="1" applyFont="1" applyFill="1" applyBorder="1" applyAlignment="1">
      <alignment horizontal="center" vertical="center"/>
    </xf>
    <xf numFmtId="3" fontId="9" fillId="5" borderId="8" xfId="0" applyNumberFormat="1" applyFont="1" applyFill="1" applyBorder="1" applyAlignment="1">
      <alignment horizontal="center"/>
    </xf>
    <xf numFmtId="0" fontId="9" fillId="4" borderId="8" xfId="0" applyFont="1" applyFill="1" applyBorder="1" applyAlignment="1">
      <alignment horizontal="center"/>
    </xf>
    <xf numFmtId="10" fontId="9" fillId="4" borderId="8" xfId="0" applyNumberFormat="1" applyFont="1" applyFill="1" applyBorder="1" applyAlignment="1">
      <alignment horizontal="center"/>
    </xf>
    <xf numFmtId="3" fontId="14" fillId="4" borderId="8" xfId="0" applyNumberFormat="1" applyFont="1" applyFill="1" applyBorder="1" applyAlignment="1">
      <alignment horizontal="center"/>
    </xf>
    <xf numFmtId="10" fontId="14" fillId="4" borderId="8" xfId="0" applyNumberFormat="1" applyFont="1" applyFill="1" applyBorder="1" applyAlignment="1">
      <alignment horizontal="center"/>
    </xf>
    <xf numFmtId="4" fontId="9" fillId="5" borderId="8" xfId="0" applyNumberFormat="1" applyFont="1" applyFill="1" applyBorder="1" applyAlignment="1">
      <alignment horizontal="center" vertical="center"/>
    </xf>
    <xf numFmtId="166" fontId="9" fillId="5" borderId="8" xfId="0" applyNumberFormat="1" applyFont="1" applyFill="1" applyBorder="1" applyAlignment="1">
      <alignment horizontal="center" vertical="center"/>
    </xf>
    <xf numFmtId="0" fontId="9" fillId="5" borderId="8" xfId="0" applyFont="1" applyFill="1" applyBorder="1" applyAlignment="1">
      <alignment horizontal="center" vertical="center"/>
    </xf>
    <xf numFmtId="1" fontId="9" fillId="5" borderId="8" xfId="0" applyNumberFormat="1" applyFont="1" applyFill="1" applyBorder="1" applyAlignment="1">
      <alignment horizontal="center" vertical="center"/>
    </xf>
    <xf numFmtId="0" fontId="9" fillId="4" borderId="8" xfId="0" applyFont="1" applyFill="1" applyBorder="1" applyAlignment="1">
      <alignment horizontal="center" vertical="center"/>
    </xf>
    <xf numFmtId="164" fontId="9" fillId="4" borderId="8" xfId="0" applyNumberFormat="1" applyFont="1" applyFill="1" applyBorder="1" applyAlignment="1">
      <alignment horizontal="center" vertical="center"/>
    </xf>
    <xf numFmtId="0" fontId="76" fillId="0" borderId="0" xfId="0" applyFont="1"/>
    <xf numFmtId="0" fontId="77" fillId="0" borderId="0" xfId="0" applyFont="1"/>
    <xf numFmtId="0" fontId="79" fillId="4" borderId="8" xfId="0" applyFont="1" applyFill="1" applyBorder="1" applyAlignment="1">
      <alignment horizontal="center" vertical="center"/>
    </xf>
    <xf numFmtId="3" fontId="79" fillId="4" borderId="8" xfId="0" applyNumberFormat="1" applyFont="1" applyFill="1" applyBorder="1" applyAlignment="1">
      <alignment horizontal="center" vertical="center" wrapText="1"/>
    </xf>
    <xf numFmtId="10" fontId="79" fillId="4" borderId="8" xfId="0" applyNumberFormat="1" applyFont="1" applyFill="1" applyBorder="1" applyAlignment="1">
      <alignment horizontal="center" vertical="center"/>
    </xf>
    <xf numFmtId="2" fontId="79" fillId="4" borderId="8" xfId="0" applyNumberFormat="1" applyFont="1" applyFill="1" applyBorder="1" applyAlignment="1">
      <alignment horizontal="center" vertical="center"/>
    </xf>
    <xf numFmtId="9" fontId="79" fillId="4" borderId="8" xfId="0" applyNumberFormat="1" applyFont="1" applyFill="1" applyBorder="1" applyAlignment="1">
      <alignment horizontal="center" vertical="center"/>
    </xf>
    <xf numFmtId="171" fontId="79" fillId="4" borderId="8" xfId="0" applyNumberFormat="1" applyFont="1" applyFill="1" applyBorder="1" applyAlignment="1">
      <alignment horizontal="center" vertical="center"/>
    </xf>
    <xf numFmtId="0" fontId="79" fillId="2" borderId="0" xfId="0" applyFont="1" applyFill="1" applyAlignment="1">
      <alignment horizontal="center" vertical="center"/>
    </xf>
    <xf numFmtId="3" fontId="79" fillId="2" borderId="0" xfId="0" applyNumberFormat="1" applyFont="1" applyFill="1" applyAlignment="1">
      <alignment horizontal="center" vertical="center" wrapText="1"/>
    </xf>
    <xf numFmtId="9" fontId="79" fillId="2" borderId="0" xfId="0" applyNumberFormat="1" applyFont="1" applyFill="1" applyAlignment="1">
      <alignment horizontal="center" vertical="center"/>
    </xf>
    <xf numFmtId="2" fontId="79" fillId="2" borderId="0" xfId="0" applyNumberFormat="1" applyFont="1" applyFill="1" applyAlignment="1">
      <alignment horizontal="center" vertical="center"/>
    </xf>
    <xf numFmtId="171" fontId="79" fillId="2" borderId="0" xfId="0" applyNumberFormat="1" applyFont="1" applyFill="1" applyAlignment="1">
      <alignment horizontal="center" vertical="center"/>
    </xf>
    <xf numFmtId="0" fontId="79" fillId="5" borderId="26" xfId="0" applyFont="1" applyFill="1" applyBorder="1"/>
    <xf numFmtId="0" fontId="79" fillId="5" borderId="0" xfId="0" applyFont="1" applyFill="1"/>
    <xf numFmtId="0" fontId="77" fillId="5" borderId="0" xfId="0" applyFont="1" applyFill="1"/>
    <xf numFmtId="0" fontId="77" fillId="5" borderId="27" xfId="0" applyFont="1" applyFill="1" applyBorder="1"/>
    <xf numFmtId="0" fontId="79" fillId="0" borderId="0" xfId="0" applyFont="1"/>
    <xf numFmtId="0" fontId="79" fillId="5" borderId="26" xfId="0" applyFont="1" applyFill="1" applyBorder="1" applyAlignment="1">
      <alignment horizontal="center" vertical="center"/>
    </xf>
    <xf numFmtId="171" fontId="79" fillId="5" borderId="0" xfId="0" applyNumberFormat="1" applyFont="1" applyFill="1" applyAlignment="1">
      <alignment horizontal="center" vertical="center"/>
    </xf>
    <xf numFmtId="0" fontId="79" fillId="5" borderId="0" xfId="0" applyFont="1" applyFill="1" applyAlignment="1">
      <alignment horizontal="center" vertical="center"/>
    </xf>
    <xf numFmtId="2" fontId="79" fillId="5" borderId="0" xfId="0" applyNumberFormat="1" applyFont="1" applyFill="1" applyAlignment="1">
      <alignment horizontal="center" vertical="center"/>
    </xf>
    <xf numFmtId="0" fontId="79" fillId="5" borderId="28" xfId="0" applyFont="1" applyFill="1" applyBorder="1" applyAlignment="1">
      <alignment horizontal="center" vertical="center"/>
    </xf>
    <xf numFmtId="2" fontId="79" fillId="5" borderId="29" xfId="0" applyNumberFormat="1" applyFont="1" applyFill="1" applyBorder="1" applyAlignment="1">
      <alignment horizontal="center" vertical="center"/>
    </xf>
    <xf numFmtId="0" fontId="79" fillId="5" borderId="29" xfId="0" applyFont="1" applyFill="1" applyBorder="1" applyAlignment="1">
      <alignment horizontal="center" vertical="center"/>
    </xf>
    <xf numFmtId="0" fontId="77" fillId="5" borderId="29" xfId="0" applyFont="1" applyFill="1" applyBorder="1"/>
    <xf numFmtId="0" fontId="77" fillId="5" borderId="24" xfId="0" applyFont="1" applyFill="1" applyBorder="1"/>
    <xf numFmtId="0" fontId="67" fillId="0" borderId="0" xfId="0" applyFont="1" applyAlignment="1">
      <alignment vertical="center" wrapText="1"/>
    </xf>
    <xf numFmtId="0" fontId="78" fillId="3" borderId="8" xfId="0" applyFont="1" applyFill="1" applyBorder="1" applyAlignment="1">
      <alignment horizontal="center" vertical="center" textRotation="90" wrapText="1"/>
    </xf>
    <xf numFmtId="0" fontId="20" fillId="3" borderId="65" xfId="0" applyFont="1" applyFill="1" applyBorder="1" applyAlignment="1">
      <alignment horizontal="center" vertical="center" wrapText="1"/>
    </xf>
    <xf numFmtId="0" fontId="7" fillId="17" borderId="57" xfId="0" applyFont="1" applyFill="1" applyBorder="1" applyAlignment="1">
      <alignment horizontal="center" vertical="center"/>
    </xf>
    <xf numFmtId="2" fontId="7" fillId="5" borderId="8" xfId="0" applyNumberFormat="1" applyFont="1" applyFill="1" applyBorder="1" applyAlignment="1">
      <alignment horizontal="center" vertical="center"/>
    </xf>
    <xf numFmtId="4" fontId="7" fillId="5" borderId="9" xfId="0" applyNumberFormat="1" applyFont="1" applyFill="1" applyBorder="1" applyAlignment="1">
      <alignment horizontal="center" vertical="center"/>
    </xf>
    <xf numFmtId="0" fontId="12" fillId="0" borderId="0" xfId="0" applyFont="1"/>
    <xf numFmtId="0" fontId="82" fillId="0" borderId="0" xfId="0" applyFont="1"/>
    <xf numFmtId="169" fontId="9" fillId="16" borderId="59" xfId="0" applyNumberFormat="1" applyFont="1" applyFill="1" applyBorder="1" applyAlignment="1">
      <alignment horizontal="center" vertical="center" wrapText="1"/>
    </xf>
    <xf numFmtId="4" fontId="5" fillId="0" borderId="0" xfId="0" applyNumberFormat="1" applyFont="1"/>
    <xf numFmtId="4" fontId="8" fillId="10" borderId="8" xfId="0" applyNumberFormat="1" applyFont="1" applyFill="1" applyBorder="1" applyAlignment="1">
      <alignment horizontal="center" vertical="center" wrapText="1"/>
    </xf>
    <xf numFmtId="0" fontId="32" fillId="7" borderId="38" xfId="0" applyFont="1" applyFill="1" applyBorder="1" applyAlignment="1">
      <alignment horizontal="center" vertical="center" wrapText="1"/>
    </xf>
    <xf numFmtId="0" fontId="32" fillId="7" borderId="39" xfId="0" applyFont="1" applyFill="1" applyBorder="1" applyAlignment="1">
      <alignment horizontal="center" vertical="center" wrapText="1"/>
    </xf>
    <xf numFmtId="0" fontId="32" fillId="7" borderId="40" xfId="0" applyFont="1" applyFill="1" applyBorder="1" applyAlignment="1">
      <alignment horizontal="center" vertical="center" wrapText="1"/>
    </xf>
    <xf numFmtId="0" fontId="33" fillId="15" borderId="41" xfId="0" applyFont="1" applyFill="1" applyBorder="1" applyAlignment="1">
      <alignment horizontal="left" vertical="center"/>
    </xf>
    <xf numFmtId="0" fontId="33" fillId="15" borderId="43" xfId="0" applyFont="1" applyFill="1" applyBorder="1" applyAlignment="1">
      <alignment horizontal="left" vertical="center"/>
    </xf>
    <xf numFmtId="0" fontId="35" fillId="15" borderId="0" xfId="0" applyFont="1" applyFill="1" applyAlignment="1">
      <alignment horizontal="left" vertical="center" wrapText="1"/>
    </xf>
    <xf numFmtId="0" fontId="34" fillId="15" borderId="0" xfId="0" applyFont="1" applyFill="1" applyAlignment="1">
      <alignment horizontal="left" vertical="center" wrapText="1"/>
    </xf>
    <xf numFmtId="0" fontId="34" fillId="15" borderId="42" xfId="0" applyFont="1" applyFill="1" applyBorder="1" applyAlignment="1">
      <alignment horizontal="left" vertical="center" wrapText="1"/>
    </xf>
    <xf numFmtId="0" fontId="34" fillId="15" borderId="44" xfId="0" applyFont="1" applyFill="1" applyBorder="1" applyAlignment="1">
      <alignment horizontal="left" vertical="center" wrapText="1"/>
    </xf>
    <xf numFmtId="0" fontId="34" fillId="15" borderId="45" xfId="0" applyFont="1" applyFill="1" applyBorder="1" applyAlignment="1">
      <alignment horizontal="left" vertical="center" wrapText="1"/>
    </xf>
    <xf numFmtId="168" fontId="34" fillId="15" borderId="34" xfId="0" applyNumberFormat="1" applyFont="1" applyFill="1" applyBorder="1" applyAlignment="1">
      <alignment horizontal="left" vertical="center"/>
    </xf>
    <xf numFmtId="168" fontId="34" fillId="15" borderId="47" xfId="0" applyNumberFormat="1" applyFont="1" applyFill="1" applyBorder="1" applyAlignment="1">
      <alignment horizontal="left" vertical="center"/>
    </xf>
    <xf numFmtId="0" fontId="34" fillId="15" borderId="4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1" xfId="0" applyFont="1" applyFill="1" applyBorder="1" applyAlignment="1">
      <alignment horizontal="center" vertical="center" wrapText="1"/>
    </xf>
    <xf numFmtId="0" fontId="34" fillId="15" borderId="42" xfId="0" applyFont="1" applyFill="1" applyBorder="1" applyAlignment="1">
      <alignment horizontal="center" vertical="center" wrapText="1"/>
    </xf>
    <xf numFmtId="0" fontId="34" fillId="15" borderId="52" xfId="0" applyFont="1" applyFill="1" applyBorder="1" applyAlignment="1">
      <alignment horizontal="center" vertical="center" wrapText="1"/>
    </xf>
    <xf numFmtId="0" fontId="34" fillId="15" borderId="53" xfId="0" applyFont="1" applyFill="1" applyBorder="1" applyAlignment="1">
      <alignment horizontal="center" vertical="center" wrapText="1"/>
    </xf>
    <xf numFmtId="0" fontId="33" fillId="15" borderId="48" xfId="0" applyFont="1" applyFill="1" applyBorder="1" applyAlignment="1">
      <alignment horizontal="center" vertical="center"/>
    </xf>
    <xf numFmtId="0" fontId="33" fillId="15" borderId="41" xfId="0" applyFont="1" applyFill="1" applyBorder="1" applyAlignment="1">
      <alignment horizontal="center" vertical="center"/>
    </xf>
    <xf numFmtId="0" fontId="33" fillId="15" borderId="51" xfId="0" applyFont="1" applyFill="1" applyBorder="1" applyAlignment="1">
      <alignment horizontal="center" vertical="center"/>
    </xf>
    <xf numFmtId="0" fontId="9" fillId="15" borderId="8" xfId="0" applyFont="1" applyFill="1" applyBorder="1" applyAlignment="1">
      <alignment horizontal="left" vertical="center"/>
    </xf>
    <xf numFmtId="0" fontId="36" fillId="7" borderId="8" xfId="0" applyFont="1" applyFill="1" applyBorder="1" applyAlignment="1">
      <alignment horizontal="center" vertical="center" wrapText="1"/>
    </xf>
    <xf numFmtId="0" fontId="37" fillId="7" borderId="8" xfId="0" applyFont="1" applyFill="1" applyBorder="1" applyAlignment="1">
      <alignment horizontal="center" vertical="center" wrapText="1"/>
    </xf>
    <xf numFmtId="0" fontId="14" fillId="15" borderId="8" xfId="0" applyFont="1" applyFill="1" applyBorder="1" applyAlignment="1">
      <alignment horizontal="center" vertical="center" textRotation="90" wrapText="1"/>
    </xf>
    <xf numFmtId="0" fontId="14" fillId="15" borderId="12" xfId="0" applyFont="1" applyFill="1" applyBorder="1" applyAlignment="1">
      <alignment horizontal="center" vertical="center" textRotation="90" wrapText="1"/>
    </xf>
    <xf numFmtId="0" fontId="14" fillId="15" borderId="13" xfId="0" applyFont="1" applyFill="1" applyBorder="1" applyAlignment="1">
      <alignment horizontal="center" vertical="center" textRotation="90" wrapText="1"/>
    </xf>
    <xf numFmtId="0" fontId="14" fillId="15" borderId="14" xfId="0" applyFont="1" applyFill="1" applyBorder="1" applyAlignment="1">
      <alignment horizontal="center" vertical="center" textRotation="90" wrapText="1"/>
    </xf>
    <xf numFmtId="0" fontId="7" fillId="4" borderId="4" xfId="0" applyFont="1" applyFill="1" applyBorder="1" applyAlignment="1">
      <alignment horizontal="center" vertical="center"/>
    </xf>
    <xf numFmtId="0" fontId="9" fillId="5" borderId="3" xfId="0" applyFont="1" applyFill="1" applyBorder="1"/>
    <xf numFmtId="0" fontId="6" fillId="4" borderId="4" xfId="0" applyFont="1" applyFill="1" applyBorder="1" applyAlignment="1">
      <alignment horizontal="center" vertical="center" textRotation="90"/>
    </xf>
    <xf numFmtId="0" fontId="9" fillId="5" borderId="7" xfId="0" applyFont="1" applyFill="1" applyBorder="1"/>
    <xf numFmtId="0" fontId="7" fillId="4" borderId="4" xfId="0" applyFont="1" applyFill="1" applyBorder="1" applyAlignment="1">
      <alignment horizontal="center" vertical="center" wrapText="1"/>
    </xf>
    <xf numFmtId="0" fontId="6" fillId="0" borderId="0" xfId="0" applyFont="1" applyAlignment="1">
      <alignment horizontal="left" vertical="center"/>
    </xf>
    <xf numFmtId="0" fontId="5" fillId="0" borderId="0" xfId="0" applyFont="1"/>
    <xf numFmtId="0" fontId="8" fillId="3" borderId="5" xfId="0" applyFont="1" applyFill="1" applyBorder="1" applyAlignment="1">
      <alignment horizontal="center" vertical="center"/>
    </xf>
    <xf numFmtId="0" fontId="9" fillId="7" borderId="6" xfId="0" applyFont="1" applyFill="1" applyBorder="1"/>
    <xf numFmtId="0" fontId="8" fillId="8" borderId="29" xfId="0" applyFont="1" applyFill="1" applyBorder="1" applyAlignment="1">
      <alignment horizontal="center" vertical="center" wrapText="1"/>
    </xf>
    <xf numFmtId="0" fontId="8" fillId="8" borderId="24" xfId="0" applyFont="1" applyFill="1" applyBorder="1" applyAlignment="1">
      <alignment horizontal="center" vertical="center" wrapText="1"/>
    </xf>
    <xf numFmtId="0" fontId="8" fillId="8" borderId="9" xfId="0" applyFont="1" applyFill="1" applyBorder="1" applyAlignment="1">
      <alignment horizontal="center" vertical="center"/>
    </xf>
    <xf numFmtId="0" fontId="8" fillId="8" borderId="11" xfId="0" applyFont="1" applyFill="1" applyBorder="1" applyAlignment="1">
      <alignment horizontal="center" vertical="center"/>
    </xf>
    <xf numFmtId="0" fontId="16" fillId="8" borderId="9" xfId="0" applyFont="1" applyFill="1" applyBorder="1" applyAlignment="1">
      <alignment horizontal="center"/>
    </xf>
    <xf numFmtId="0" fontId="16" fillId="8" borderId="11" xfId="0" applyFont="1" applyFill="1" applyBorder="1" applyAlignment="1">
      <alignment horizontal="center"/>
    </xf>
    <xf numFmtId="0" fontId="8" fillId="8" borderId="9"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8" fillId="8" borderId="11"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8" fillId="8" borderId="14"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33" xfId="0" applyFont="1" applyFill="1" applyBorder="1" applyAlignment="1">
      <alignment horizontal="center" vertical="center"/>
    </xf>
    <xf numFmtId="0" fontId="8" fillId="3" borderId="11" xfId="0" applyFont="1" applyFill="1" applyBorder="1" applyAlignment="1">
      <alignment horizontal="center" vertical="center"/>
    </xf>
    <xf numFmtId="0" fontId="16" fillId="3" borderId="1" xfId="0" applyFont="1" applyFill="1" applyBorder="1" applyAlignment="1">
      <alignment horizontal="center" vertical="center"/>
    </xf>
    <xf numFmtId="0" fontId="16" fillId="3" borderId="27"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58" xfId="0" applyFont="1" applyFill="1" applyBorder="1" applyAlignment="1">
      <alignment horizontal="center" vertical="center" wrapText="1"/>
    </xf>
    <xf numFmtId="0" fontId="16" fillId="3" borderId="33" xfId="0" applyFont="1" applyFill="1" applyBorder="1" applyAlignment="1">
      <alignment horizontal="center" vertical="center"/>
    </xf>
    <xf numFmtId="0" fontId="16" fillId="3" borderId="11" xfId="0" applyFont="1" applyFill="1" applyBorder="1" applyAlignment="1">
      <alignment horizontal="center" vertical="center"/>
    </xf>
    <xf numFmtId="0" fontId="8" fillId="3" borderId="18" xfId="0" applyFont="1" applyFill="1" applyBorder="1" applyAlignment="1">
      <alignment horizontal="center" vertical="center" wrapText="1"/>
    </xf>
    <xf numFmtId="0" fontId="5" fillId="4" borderId="38" xfId="0" applyFont="1" applyFill="1" applyBorder="1" applyAlignment="1">
      <alignment horizontal="left" vertical="center" wrapText="1"/>
    </xf>
    <xf numFmtId="0" fontId="5" fillId="4" borderId="39" xfId="0" applyFont="1" applyFill="1" applyBorder="1" applyAlignment="1">
      <alignment horizontal="left" vertical="center" wrapText="1"/>
    </xf>
    <xf numFmtId="0" fontId="5" fillId="4" borderId="40" xfId="0" applyFont="1" applyFill="1" applyBorder="1" applyAlignment="1">
      <alignment horizontal="left" vertical="center" wrapText="1"/>
    </xf>
    <xf numFmtId="0" fontId="5" fillId="4" borderId="51" xfId="0" applyFont="1" applyFill="1" applyBorder="1" applyAlignment="1">
      <alignment horizontal="left" vertical="center" wrapText="1"/>
    </xf>
    <xf numFmtId="0" fontId="5" fillId="4" borderId="52" xfId="0" applyFont="1" applyFill="1" applyBorder="1" applyAlignment="1">
      <alignment horizontal="left" vertical="center" wrapText="1"/>
    </xf>
    <xf numFmtId="0" fontId="5" fillId="4" borderId="53" xfId="0" applyFont="1" applyFill="1" applyBorder="1" applyAlignment="1">
      <alignment horizontal="left" vertical="center" wrapText="1"/>
    </xf>
    <xf numFmtId="0" fontId="8" fillId="9" borderId="8" xfId="0" applyFont="1" applyFill="1" applyBorder="1" applyAlignment="1">
      <alignment horizontal="center" vertical="center" wrapText="1"/>
    </xf>
    <xf numFmtId="0" fontId="8" fillId="8" borderId="12" xfId="0" applyFont="1" applyFill="1" applyBorder="1" applyAlignment="1">
      <alignment horizontal="center" vertical="center"/>
    </xf>
    <xf numFmtId="0" fontId="8" fillId="8" borderId="14" xfId="0" applyFont="1" applyFill="1" applyBorder="1" applyAlignment="1">
      <alignment horizontal="center" vertical="center"/>
    </xf>
    <xf numFmtId="0" fontId="8" fillId="8" borderId="10" xfId="0" applyFont="1" applyFill="1" applyBorder="1" applyAlignment="1">
      <alignment horizontal="center" vertical="center"/>
    </xf>
    <xf numFmtId="0" fontId="8" fillId="9" borderId="9" xfId="0" applyFont="1" applyFill="1" applyBorder="1" applyAlignment="1">
      <alignment horizontal="center" vertical="center"/>
    </xf>
    <xf numFmtId="0" fontId="8" fillId="9" borderId="10" xfId="0" applyFont="1" applyFill="1" applyBorder="1" applyAlignment="1">
      <alignment horizontal="center" vertical="center"/>
    </xf>
    <xf numFmtId="0" fontId="8" fillId="9" borderId="11" xfId="0" applyFont="1" applyFill="1" applyBorder="1" applyAlignment="1">
      <alignment horizontal="center" vertical="center"/>
    </xf>
    <xf numFmtId="0" fontId="5" fillId="6" borderId="38" xfId="0" applyFont="1" applyFill="1" applyBorder="1" applyAlignment="1">
      <alignment horizontal="center" vertical="center" wrapText="1"/>
    </xf>
    <xf numFmtId="0" fontId="5" fillId="6" borderId="39"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5" fillId="6" borderId="4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42" xfId="0" applyFont="1" applyFill="1" applyBorder="1" applyAlignment="1">
      <alignment horizontal="center" vertical="center" wrapText="1"/>
    </xf>
    <xf numFmtId="0" fontId="5" fillId="6" borderId="51" xfId="0" applyFont="1" applyFill="1" applyBorder="1" applyAlignment="1">
      <alignment horizontal="center" vertical="center" wrapText="1"/>
    </xf>
    <xf numFmtId="0" fontId="5" fillId="6" borderId="52"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4" borderId="54" xfId="0" applyFont="1" applyFill="1" applyBorder="1" applyAlignment="1">
      <alignment horizontal="left" vertical="center" wrapText="1"/>
    </xf>
    <xf numFmtId="0" fontId="5" fillId="4" borderId="55" xfId="0" applyFont="1" applyFill="1" applyBorder="1" applyAlignment="1">
      <alignment horizontal="left" vertical="center" wrapText="1"/>
    </xf>
    <xf numFmtId="0" fontId="5" fillId="4" borderId="56" xfId="0" applyFont="1" applyFill="1" applyBorder="1" applyAlignment="1">
      <alignment horizontal="left" vertical="center" wrapText="1"/>
    </xf>
    <xf numFmtId="0" fontId="8" fillId="8" borderId="33"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1" xfId="0" applyFont="1" applyFill="1" applyBorder="1" applyAlignment="1">
      <alignment horizontal="center" vertical="center"/>
    </xf>
    <xf numFmtId="0" fontId="8" fillId="20" borderId="9" xfId="0" applyFont="1" applyFill="1" applyBorder="1" applyAlignment="1">
      <alignment horizontal="center" vertical="center"/>
    </xf>
    <xf numFmtId="0" fontId="8" fillId="20" borderId="10" xfId="0" applyFont="1" applyFill="1" applyBorder="1" applyAlignment="1">
      <alignment horizontal="center" vertical="center"/>
    </xf>
    <xf numFmtId="0" fontId="8" fillId="20" borderId="11" xfId="0" applyFont="1" applyFill="1" applyBorder="1" applyAlignment="1">
      <alignment horizontal="center" vertical="center"/>
    </xf>
    <xf numFmtId="0" fontId="8" fillId="8" borderId="4"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8" fillId="8" borderId="3"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11" xfId="0" applyFont="1" applyFill="1" applyBorder="1" applyAlignment="1">
      <alignment horizontal="center" vertical="center"/>
    </xf>
    <xf numFmtId="0" fontId="8" fillId="8" borderId="37" xfId="0" applyFont="1" applyFill="1" applyBorder="1" applyAlignment="1">
      <alignment horizontal="center" vertical="center"/>
    </xf>
    <xf numFmtId="0" fontId="8" fillId="8" borderId="18" xfId="0" applyFont="1" applyFill="1" applyBorder="1" applyAlignment="1">
      <alignment horizontal="center" vertical="center"/>
    </xf>
    <xf numFmtId="3" fontId="6" fillId="0" borderId="0" xfId="0" applyNumberFormat="1" applyFont="1" applyAlignment="1">
      <alignment horizontal="center" vertical="center"/>
    </xf>
    <xf numFmtId="0" fontId="6" fillId="0" borderId="0" xfId="0" applyFont="1" applyAlignment="1">
      <alignment horizontal="center" vertical="center"/>
    </xf>
    <xf numFmtId="0" fontId="17" fillId="4" borderId="32"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6" fillId="4" borderId="23" xfId="0" applyFont="1" applyFill="1" applyBorder="1" applyAlignment="1">
      <alignment horizontal="center" vertical="center" wrapText="1"/>
    </xf>
    <xf numFmtId="0" fontId="8" fillId="0" borderId="0" xfId="0" applyFont="1" applyAlignment="1">
      <alignment horizontal="center" vertical="center"/>
    </xf>
    <xf numFmtId="0" fontId="20" fillId="20" borderId="9" xfId="0" applyFont="1" applyFill="1" applyBorder="1" applyAlignment="1">
      <alignment horizontal="center" vertical="center"/>
    </xf>
    <xf numFmtId="0" fontId="20" fillId="20" borderId="10" xfId="0" applyFont="1" applyFill="1" applyBorder="1" applyAlignment="1">
      <alignment horizontal="center" vertical="center"/>
    </xf>
    <xf numFmtId="0" fontId="20" fillId="20" borderId="11" xfId="0" applyFont="1" applyFill="1" applyBorder="1" applyAlignment="1">
      <alignment horizontal="center" vertical="center"/>
    </xf>
    <xf numFmtId="0" fontId="8" fillId="0" borderId="26" xfId="0" applyFont="1" applyBorder="1" applyAlignment="1">
      <alignment horizontal="center" vertical="center"/>
    </xf>
    <xf numFmtId="0" fontId="8" fillId="0" borderId="1" xfId="0" applyFont="1" applyBorder="1" applyAlignment="1">
      <alignment horizontal="center" vertical="center"/>
    </xf>
    <xf numFmtId="0" fontId="8" fillId="8" borderId="6" xfId="0" applyFont="1" applyFill="1" applyBorder="1" applyAlignment="1">
      <alignment horizontal="center" vertical="center"/>
    </xf>
    <xf numFmtId="0" fontId="6" fillId="4" borderId="32" xfId="0" applyFont="1" applyFill="1" applyBorder="1" applyAlignment="1">
      <alignment horizontal="center" vertical="center"/>
    </xf>
    <xf numFmtId="0" fontId="6" fillId="4" borderId="36" xfId="0" applyFont="1" applyFill="1" applyBorder="1" applyAlignment="1">
      <alignment horizontal="center" vertical="center"/>
    </xf>
    <xf numFmtId="0" fontId="6" fillId="4" borderId="35" xfId="0" applyFont="1" applyFill="1" applyBorder="1" applyAlignment="1">
      <alignment horizontal="center" vertical="center"/>
    </xf>
    <xf numFmtId="0" fontId="8" fillId="8" borderId="35" xfId="0" applyFont="1" applyFill="1" applyBorder="1" applyAlignment="1">
      <alignment horizontal="center" vertical="center"/>
    </xf>
    <xf numFmtId="0" fontId="69" fillId="14" borderId="1" xfId="0" applyFont="1" applyFill="1" applyBorder="1" applyAlignment="1">
      <alignment horizontal="left" vertical="center" wrapText="1"/>
    </xf>
    <xf numFmtId="0" fontId="8" fillId="8" borderId="61" xfId="0" applyFont="1" applyFill="1" applyBorder="1" applyAlignment="1">
      <alignment horizontal="center" vertical="center"/>
    </xf>
    <xf numFmtId="0" fontId="8" fillId="8" borderId="59" xfId="0" applyFont="1" applyFill="1" applyBorder="1" applyAlignment="1">
      <alignment horizontal="center" vertical="center"/>
    </xf>
    <xf numFmtId="0" fontId="8" fillId="8" borderId="62" xfId="0" applyFont="1" applyFill="1" applyBorder="1" applyAlignment="1">
      <alignment horizontal="center" vertical="center"/>
    </xf>
    <xf numFmtId="0" fontId="5" fillId="5" borderId="0" xfId="0" applyFont="1" applyFill="1" applyAlignment="1">
      <alignment horizontal="left" vertical="center" wrapText="1"/>
    </xf>
    <xf numFmtId="0" fontId="8" fillId="21" borderId="8" xfId="0" applyFont="1" applyFill="1" applyBorder="1" applyAlignment="1">
      <alignment horizontal="center" vertical="center"/>
    </xf>
    <xf numFmtId="0" fontId="8" fillId="21" borderId="9" xfId="0" applyFont="1" applyFill="1" applyBorder="1" applyAlignment="1">
      <alignment horizontal="center" vertical="center"/>
    </xf>
    <xf numFmtId="0" fontId="8" fillId="21" borderId="10" xfId="0" applyFont="1" applyFill="1" applyBorder="1" applyAlignment="1">
      <alignment horizontal="center" vertical="center"/>
    </xf>
    <xf numFmtId="0" fontId="8" fillId="21" borderId="11" xfId="0" applyFont="1" applyFill="1" applyBorder="1" applyAlignment="1">
      <alignment horizontal="center" vertical="center"/>
    </xf>
    <xf numFmtId="0" fontId="5" fillId="0" borderId="0" xfId="0" applyFont="1" applyAlignment="1">
      <alignment horizontal="left" vertical="center" wrapText="1"/>
    </xf>
    <xf numFmtId="0" fontId="8" fillId="7" borderId="28" xfId="0" applyFont="1" applyFill="1" applyBorder="1" applyAlignment="1">
      <alignment horizontal="center" vertical="center"/>
    </xf>
    <xf numFmtId="0" fontId="8" fillId="7" borderId="29" xfId="0" applyFont="1" applyFill="1" applyBorder="1" applyAlignment="1">
      <alignment horizontal="center" vertical="center"/>
    </xf>
    <xf numFmtId="0" fontId="69" fillId="14" borderId="1" xfId="0" applyFont="1" applyFill="1" applyBorder="1" applyAlignment="1">
      <alignment horizontal="center" vertical="center" wrapText="1"/>
    </xf>
    <xf numFmtId="0" fontId="8" fillId="21" borderId="8" xfId="0" applyFont="1" applyFill="1" applyBorder="1" applyAlignment="1">
      <alignment horizontal="center" vertical="center" wrapText="1"/>
    </xf>
    <xf numFmtId="4" fontId="8" fillId="21" borderId="8" xfId="0" applyNumberFormat="1" applyFont="1" applyFill="1" applyBorder="1" applyAlignment="1">
      <alignment horizontal="center" vertical="center"/>
    </xf>
    <xf numFmtId="2" fontId="8" fillId="21" borderId="8" xfId="0" applyNumberFormat="1" applyFont="1" applyFill="1" applyBorder="1" applyAlignment="1">
      <alignment horizontal="center" vertical="center"/>
    </xf>
    <xf numFmtId="0" fontId="8" fillId="21" borderId="14" xfId="0" applyFont="1" applyFill="1" applyBorder="1" applyAlignment="1">
      <alignment horizontal="center" vertical="center"/>
    </xf>
    <xf numFmtId="2" fontId="8" fillId="21" borderId="12" xfId="0" applyNumberFormat="1" applyFont="1" applyFill="1" applyBorder="1" applyAlignment="1">
      <alignment horizontal="center" vertical="center"/>
    </xf>
    <xf numFmtId="2" fontId="8" fillId="21" borderId="14" xfId="0" applyNumberFormat="1" applyFont="1" applyFill="1" applyBorder="1" applyAlignment="1">
      <alignment horizontal="center" vertical="center"/>
    </xf>
    <xf numFmtId="0" fontId="8" fillId="21" borderId="12" xfId="0" applyFont="1" applyFill="1" applyBorder="1" applyAlignment="1">
      <alignment horizontal="center" vertical="center"/>
    </xf>
    <xf numFmtId="0" fontId="9" fillId="23" borderId="0" xfId="0" applyFont="1" applyFill="1"/>
    <xf numFmtId="0" fontId="7" fillId="23" borderId="0" xfId="0" applyFont="1" applyFill="1"/>
    <xf numFmtId="0" fontId="7" fillId="23" borderId="1" xfId="0" applyFont="1" applyFill="1" applyBorder="1"/>
    <xf numFmtId="0" fontId="8" fillId="21" borderId="8" xfId="0" applyFont="1" applyFill="1" applyBorder="1" applyAlignment="1">
      <alignment horizontal="center" wrapText="1"/>
    </xf>
    <xf numFmtId="0" fontId="16" fillId="21" borderId="8" xfId="0" applyFont="1" applyFill="1" applyBorder="1" applyAlignment="1">
      <alignment horizontal="center" vertical="center" wrapText="1"/>
    </xf>
    <xf numFmtId="2" fontId="8" fillId="21" borderId="8" xfId="0" applyNumberFormat="1" applyFont="1" applyFill="1" applyBorder="1" applyAlignment="1">
      <alignment horizontal="center" wrapText="1"/>
    </xf>
    <xf numFmtId="3" fontId="78" fillId="7" borderId="9" xfId="0" applyNumberFormat="1" applyFont="1" applyFill="1" applyBorder="1" applyAlignment="1">
      <alignment horizontal="center"/>
    </xf>
    <xf numFmtId="3" fontId="78" fillId="7" borderId="10" xfId="0" applyNumberFormat="1" applyFont="1" applyFill="1" applyBorder="1" applyAlignment="1">
      <alignment horizontal="center"/>
    </xf>
    <xf numFmtId="3" fontId="78" fillId="7" borderId="11" xfId="0" applyNumberFormat="1" applyFont="1" applyFill="1" applyBorder="1" applyAlignment="1">
      <alignment horizontal="center"/>
    </xf>
    <xf numFmtId="0" fontId="6" fillId="12" borderId="1" xfId="0" applyFont="1" applyFill="1" applyBorder="1" applyAlignment="1">
      <alignment horizontal="center"/>
    </xf>
    <xf numFmtId="0" fontId="78" fillId="3" borderId="60" xfId="0" applyFont="1" applyFill="1" applyBorder="1" applyAlignment="1">
      <alignment horizontal="center" vertical="center"/>
    </xf>
    <xf numFmtId="0" fontId="78" fillId="3" borderId="19" xfId="0" applyFont="1" applyFill="1" applyBorder="1" applyAlignment="1">
      <alignment horizontal="center" vertical="center"/>
    </xf>
    <xf numFmtId="0" fontId="78" fillId="3" borderId="28" xfId="0" applyFont="1" applyFill="1" applyBorder="1" applyAlignment="1">
      <alignment horizontal="center" vertical="center"/>
    </xf>
    <xf numFmtId="0" fontId="78" fillId="3" borderId="24" xfId="0" applyFont="1" applyFill="1" applyBorder="1" applyAlignment="1">
      <alignment horizontal="center" vertical="center"/>
    </xf>
    <xf numFmtId="0" fontId="78" fillId="3" borderId="9" xfId="0" applyFont="1" applyFill="1" applyBorder="1" applyAlignment="1">
      <alignment horizontal="center" vertical="center"/>
    </xf>
    <xf numFmtId="0" fontId="78" fillId="3" borderId="10" xfId="0" applyFont="1" applyFill="1" applyBorder="1" applyAlignment="1">
      <alignment horizontal="center" vertical="center"/>
    </xf>
    <xf numFmtId="0" fontId="78" fillId="3" borderId="11" xfId="0" applyFont="1" applyFill="1" applyBorder="1" applyAlignment="1">
      <alignment horizontal="center" vertical="center"/>
    </xf>
    <xf numFmtId="0" fontId="78" fillId="3" borderId="12" xfId="0" applyFont="1" applyFill="1" applyBorder="1" applyAlignment="1">
      <alignment horizontal="center" vertical="center" textRotation="90"/>
    </xf>
    <xf numFmtId="0" fontId="78" fillId="3" borderId="14" xfId="0" applyFont="1" applyFill="1" applyBorder="1" applyAlignment="1">
      <alignment horizontal="center" vertical="center" textRotation="90"/>
    </xf>
    <xf numFmtId="0" fontId="0" fillId="0" borderId="0" xfId="0"/>
    <xf numFmtId="0" fontId="78" fillId="3" borderId="12" xfId="0" applyFont="1" applyFill="1" applyBorder="1" applyAlignment="1">
      <alignment horizontal="center" vertical="center"/>
    </xf>
    <xf numFmtId="0" fontId="78" fillId="3" borderId="14" xfId="0" applyFont="1" applyFill="1" applyBorder="1" applyAlignment="1">
      <alignment horizontal="center" vertical="center"/>
    </xf>
    <xf numFmtId="0" fontId="7" fillId="5" borderId="12" xfId="0" applyFont="1" applyFill="1" applyBorder="1" applyAlignment="1">
      <alignment horizontal="center" vertical="center"/>
    </xf>
    <xf numFmtId="0" fontId="7" fillId="5" borderId="14" xfId="0" applyFont="1" applyFill="1" applyBorder="1" applyAlignment="1">
      <alignment horizontal="center" vertical="center"/>
    </xf>
    <xf numFmtId="4" fontId="81" fillId="5" borderId="12" xfId="0" applyNumberFormat="1" applyFont="1" applyFill="1" applyBorder="1" applyAlignment="1">
      <alignment horizontal="center" vertical="center"/>
    </xf>
    <xf numFmtId="4" fontId="81" fillId="5" borderId="14" xfId="0" applyNumberFormat="1" applyFont="1" applyFill="1" applyBorder="1" applyAlignment="1">
      <alignment horizontal="center" vertical="center"/>
    </xf>
    <xf numFmtId="0" fontId="8" fillId="3" borderId="9" xfId="0" applyFont="1" applyFill="1" applyBorder="1" applyAlignment="1">
      <alignment horizontal="center" vertical="center" wrapText="1"/>
    </xf>
    <xf numFmtId="0" fontId="8" fillId="3" borderId="11" xfId="0" applyFont="1" applyFill="1" applyBorder="1" applyAlignment="1">
      <alignment horizontal="center" vertical="center" wrapText="1"/>
    </xf>
    <xf numFmtId="4" fontId="5" fillId="4" borderId="60" xfId="0" applyNumberFormat="1" applyFont="1" applyFill="1" applyBorder="1" applyAlignment="1">
      <alignment horizontal="center" vertical="center"/>
      <extLst>
        <ext xmlns:xfpb="http://schemas.microsoft.com/office/spreadsheetml/2022/featurepropertybag" uri="{C7286773-470A-42A8-94C5-96B5CB345126}">
          <xfpb:xfComplement i="0"/>
        </ext>
      </extLst>
    </xf>
    <xf numFmtId="4" fontId="5" fillId="4" borderId="26" xfId="0" applyNumberFormat="1" applyFont="1" applyFill="1" applyBorder="1" applyAlignment="1">
      <alignment horizontal="center" vertical="center"/>
      <extLst>
        <ext xmlns:xfpb="http://schemas.microsoft.com/office/spreadsheetml/2022/featurepropertybag" uri="{C7286773-470A-42A8-94C5-96B5CB345126}">
          <xfpb:xfComplement i="0"/>
        </ext>
      </extLst>
    </xf>
    <xf numFmtId="4" fontId="5" fillId="4" borderId="12" xfId="0" applyNumberFormat="1" applyFont="1" applyFill="1" applyBorder="1" applyAlignment="1">
      <alignment horizontal="center" vertical="center"/>
    </xf>
    <xf numFmtId="4" fontId="5" fillId="4" borderId="14" xfId="0" applyNumberFormat="1" applyFont="1" applyFill="1" applyBorder="1" applyAlignment="1">
      <alignment horizontal="center" vertical="center"/>
    </xf>
    <xf numFmtId="4" fontId="5" fillId="4" borderId="59" xfId="0" applyNumberFormat="1" applyFont="1" applyFill="1" applyBorder="1" applyAlignment="1">
      <alignment horizontal="center" vertical="center"/>
    </xf>
    <xf numFmtId="4" fontId="5" fillId="4" borderId="0" xfId="0" applyNumberFormat="1" applyFont="1" applyFill="1" applyAlignment="1">
      <alignment horizontal="center" vertical="center"/>
    </xf>
    <xf numFmtId="0" fontId="8" fillId="3" borderId="12"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59" xfId="0" applyFont="1" applyFill="1" applyBorder="1" applyAlignment="1">
      <alignment horizontal="center" vertical="center"/>
    </xf>
    <xf numFmtId="0" fontId="8" fillId="3" borderId="0" xfId="0" applyFont="1" applyFill="1" applyAlignment="1">
      <alignment horizontal="center" vertical="center"/>
    </xf>
    <xf numFmtId="0" fontId="8" fillId="3" borderId="8" xfId="0" applyFont="1" applyFill="1" applyBorder="1" applyAlignment="1">
      <alignment horizontal="center" vertical="center" wrapText="1"/>
    </xf>
    <xf numFmtId="4" fontId="7" fillId="5" borderId="19" xfId="0" applyNumberFormat="1" applyFont="1" applyFill="1" applyBorder="1" applyAlignment="1">
      <alignment horizontal="center" vertical="center"/>
    </xf>
    <xf numFmtId="4" fontId="7" fillId="5" borderId="24" xfId="0" applyNumberFormat="1" applyFont="1" applyFill="1" applyBorder="1" applyAlignment="1">
      <alignment horizontal="center" vertical="center"/>
    </xf>
    <xf numFmtId="169" fontId="9" fillId="16" borderId="59" xfId="0" applyNumberFormat="1" applyFont="1" applyFill="1" applyBorder="1" applyAlignment="1">
      <alignment horizontal="center" vertical="center" wrapText="1"/>
    </xf>
    <xf numFmtId="169" fontId="9" fillId="16" borderId="29" xfId="0" applyNumberFormat="1" applyFont="1" applyFill="1" applyBorder="1" applyAlignment="1">
      <alignment horizontal="center" vertical="center" wrapText="1"/>
    </xf>
    <xf numFmtId="0" fontId="5" fillId="5" borderId="19" xfId="0" applyFont="1" applyFill="1" applyBorder="1" applyAlignment="1">
      <alignment horizontal="center" vertical="center"/>
    </xf>
    <xf numFmtId="0" fontId="5" fillId="5" borderId="24" xfId="0" applyFont="1" applyFill="1" applyBorder="1" applyAlignment="1">
      <alignment horizontal="center" vertical="center"/>
    </xf>
    <xf numFmtId="4" fontId="7" fillId="5" borderId="12" xfId="0" applyNumberFormat="1" applyFont="1" applyFill="1" applyBorder="1" applyAlignment="1">
      <alignment horizontal="center" vertical="center"/>
    </xf>
    <xf numFmtId="4" fontId="7" fillId="5" borderId="14" xfId="0" applyNumberFormat="1" applyFont="1" applyFill="1" applyBorder="1" applyAlignment="1">
      <alignment horizontal="center" vertical="center"/>
    </xf>
    <xf numFmtId="0" fontId="8" fillId="7" borderId="9" xfId="0" applyFont="1" applyFill="1" applyBorder="1" applyAlignment="1">
      <alignment horizontal="center" vertical="center"/>
    </xf>
    <xf numFmtId="0" fontId="8" fillId="7" borderId="10" xfId="0" applyFont="1" applyFill="1" applyBorder="1" applyAlignment="1">
      <alignment horizontal="center" vertical="center"/>
    </xf>
    <xf numFmtId="0" fontId="8" fillId="7" borderId="11" xfId="0" applyFont="1" applyFill="1" applyBorder="1" applyAlignment="1">
      <alignment horizontal="center" vertical="center"/>
    </xf>
    <xf numFmtId="0" fontId="27" fillId="7" borderId="9" xfId="0" applyFont="1" applyFill="1" applyBorder="1" applyAlignment="1">
      <alignment horizontal="center" vertical="center"/>
    </xf>
    <xf numFmtId="0" fontId="27" fillId="7" borderId="10" xfId="0" applyFont="1" applyFill="1" applyBorder="1" applyAlignment="1">
      <alignment horizontal="center" vertical="center"/>
    </xf>
    <xf numFmtId="0" fontId="12" fillId="7" borderId="9" xfId="0" applyFont="1" applyFill="1" applyBorder="1" applyAlignment="1">
      <alignment horizontal="center" vertical="center" wrapText="1"/>
    </xf>
    <xf numFmtId="0" fontId="12" fillId="7" borderId="10"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27" fillId="7" borderId="28" xfId="0" applyFont="1" applyFill="1" applyBorder="1" applyAlignment="1">
      <alignment horizontal="center" vertical="center"/>
    </xf>
    <xf numFmtId="0" fontId="27" fillId="7" borderId="29" xfId="0" applyFont="1" applyFill="1" applyBorder="1" applyAlignment="1">
      <alignment horizontal="center" vertical="center"/>
    </xf>
    <xf numFmtId="0" fontId="8" fillId="3" borderId="60" xfId="0" applyFont="1" applyFill="1" applyBorder="1" applyAlignment="1">
      <alignment horizontal="center" vertical="center" wrapText="1"/>
    </xf>
    <xf numFmtId="0" fontId="8" fillId="3" borderId="19"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27" fillId="7" borderId="11" xfId="0" applyFont="1" applyFill="1" applyBorder="1" applyAlignment="1">
      <alignment horizontal="center" vertical="center"/>
    </xf>
    <xf numFmtId="0" fontId="51" fillId="21" borderId="8" xfId="0" applyFont="1" applyFill="1" applyBorder="1" applyAlignment="1">
      <alignment horizontal="center" vertical="center" wrapText="1"/>
    </xf>
    <xf numFmtId="0" fontId="51" fillId="21" borderId="60" xfId="0" applyFont="1" applyFill="1" applyBorder="1" applyAlignment="1">
      <alignment horizontal="center" vertical="center" wrapText="1"/>
    </xf>
    <xf numFmtId="0" fontId="51" fillId="21" borderId="19" xfId="0" applyFont="1" applyFill="1" applyBorder="1" applyAlignment="1">
      <alignment horizontal="center" vertical="center" wrapText="1"/>
    </xf>
    <xf numFmtId="0" fontId="51" fillId="21" borderId="26" xfId="0" applyFont="1" applyFill="1" applyBorder="1" applyAlignment="1">
      <alignment horizontal="center" vertical="center" wrapText="1"/>
    </xf>
    <xf numFmtId="0" fontId="51" fillId="21" borderId="27" xfId="0" applyFont="1" applyFill="1" applyBorder="1" applyAlignment="1">
      <alignment horizontal="center" vertical="center" wrapText="1"/>
    </xf>
    <xf numFmtId="0" fontId="51" fillId="21" borderId="28" xfId="0" applyFont="1" applyFill="1" applyBorder="1" applyAlignment="1">
      <alignment horizontal="center" vertical="center" wrapText="1"/>
    </xf>
    <xf numFmtId="0" fontId="51" fillId="21" borderId="24" xfId="0" applyFont="1" applyFill="1" applyBorder="1" applyAlignment="1">
      <alignment horizontal="center" vertical="center" wrapText="1"/>
    </xf>
    <xf numFmtId="0" fontId="57" fillId="12" borderId="29" xfId="0" applyFont="1" applyFill="1" applyBorder="1" applyAlignment="1">
      <alignment horizontal="left" wrapText="1"/>
    </xf>
    <xf numFmtId="0" fontId="57" fillId="12" borderId="1" xfId="0" applyFont="1" applyFill="1" applyBorder="1" applyAlignment="1">
      <alignment horizontal="center" wrapText="1"/>
    </xf>
    <xf numFmtId="0" fontId="57" fillId="12" borderId="1" xfId="0" applyFont="1" applyFill="1" applyBorder="1" applyAlignment="1">
      <alignment horizontal="left" wrapText="1"/>
    </xf>
    <xf numFmtId="0" fontId="12" fillId="2" borderId="8" xfId="0" applyFont="1" applyFill="1" applyBorder="1" applyAlignment="1">
      <alignment horizontal="center" vertical="center"/>
    </xf>
    <xf numFmtId="0" fontId="5" fillId="19" borderId="59" xfId="0" applyFont="1" applyFill="1" applyBorder="1" applyAlignment="1">
      <alignment horizontal="center" vertical="center"/>
    </xf>
    <xf numFmtId="0" fontId="5" fillId="19" borderId="19" xfId="0" applyFont="1" applyFill="1" applyBorder="1" applyAlignment="1">
      <alignment horizontal="center" vertical="center"/>
    </xf>
    <xf numFmtId="0" fontId="9" fillId="7" borderId="8" xfId="0" applyFont="1" applyFill="1" applyBorder="1"/>
    <xf numFmtId="0" fontId="8" fillId="20" borderId="8" xfId="0" applyFont="1" applyFill="1" applyBorder="1" applyAlignment="1">
      <alignment horizontal="center" vertical="center" wrapText="1"/>
    </xf>
    <xf numFmtId="0" fontId="8" fillId="8" borderId="8" xfId="0" applyFont="1" applyFill="1" applyBorder="1" applyAlignment="1">
      <alignment horizontal="center" vertical="center" wrapText="1"/>
    </xf>
    <xf numFmtId="0" fontId="9" fillId="7" borderId="12" xfId="0" applyFont="1" applyFill="1" applyBorder="1"/>
    <xf numFmtId="0" fontId="8" fillId="7" borderId="8" xfId="2" applyFont="1" applyFill="1" applyBorder="1" applyAlignment="1">
      <alignment horizontal="center" vertical="center" wrapText="1"/>
    </xf>
    <xf numFmtId="0" fontId="8" fillId="8" borderId="8" xfId="0" applyFont="1" applyFill="1" applyBorder="1" applyAlignment="1">
      <alignment horizontal="center" vertical="center"/>
    </xf>
    <xf numFmtId="0" fontId="8" fillId="7" borderId="9" xfId="2" applyFont="1" applyFill="1" applyBorder="1" applyAlignment="1">
      <alignment horizontal="center" vertical="center" wrapText="1"/>
    </xf>
    <xf numFmtId="0" fontId="8" fillId="7" borderId="10" xfId="2" applyFont="1" applyFill="1" applyBorder="1" applyAlignment="1">
      <alignment horizontal="center" vertical="center" wrapText="1"/>
    </xf>
    <xf numFmtId="0" fontId="8" fillId="7" borderId="11" xfId="2" applyFont="1" applyFill="1" applyBorder="1" applyAlignment="1">
      <alignment horizontal="center" vertical="center" wrapText="1"/>
    </xf>
    <xf numFmtId="0" fontId="8" fillId="7" borderId="9" xfId="6" applyFont="1" applyFill="1" applyBorder="1" applyAlignment="1">
      <alignment horizontal="center" vertical="center" wrapText="1"/>
    </xf>
    <xf numFmtId="0" fontId="8" fillId="7" borderId="11" xfId="6"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3" borderId="27" xfId="0" applyFont="1" applyFill="1" applyBorder="1" applyAlignment="1">
      <alignment horizontal="center" vertical="center"/>
    </xf>
    <xf numFmtId="0" fontId="9" fillId="7" borderId="9" xfId="0" applyFont="1" applyFill="1" applyBorder="1"/>
    <xf numFmtId="0" fontId="8" fillId="21" borderId="9" xfId="0" applyFont="1" applyFill="1" applyBorder="1" applyAlignment="1">
      <alignment horizontal="center" vertical="center" wrapText="1"/>
    </xf>
    <xf numFmtId="0" fontId="8" fillId="21" borderId="11"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10" borderId="9" xfId="0" applyFont="1" applyFill="1" applyBorder="1" applyAlignment="1">
      <alignment horizontal="center" vertical="center"/>
    </xf>
    <xf numFmtId="0" fontId="8" fillId="10" borderId="11" xfId="0" applyFont="1" applyFill="1" applyBorder="1" applyAlignment="1">
      <alignment horizontal="center" vertical="center"/>
    </xf>
    <xf numFmtId="0" fontId="21" fillId="3" borderId="29" xfId="0" applyFont="1" applyFill="1" applyBorder="1" applyAlignment="1">
      <alignment horizontal="center" vertical="center" wrapText="1"/>
    </xf>
    <xf numFmtId="0" fontId="21" fillId="3" borderId="24"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8" fillId="10" borderId="59" xfId="0" applyFont="1" applyFill="1" applyBorder="1" applyAlignment="1">
      <alignment horizontal="center" vertical="center" wrapText="1"/>
    </xf>
    <xf numFmtId="0" fontId="8" fillId="10" borderId="19"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3" borderId="27" xfId="0" applyFont="1" applyFill="1" applyBorder="1" applyAlignment="1">
      <alignment horizontal="center" vertical="center" wrapText="1"/>
    </xf>
    <xf numFmtId="3" fontId="8" fillId="10" borderId="8" xfId="0" applyNumberFormat="1" applyFont="1" applyFill="1" applyBorder="1" applyAlignment="1">
      <alignment horizontal="center" vertical="center" wrapText="1"/>
    </xf>
  </cellXfs>
  <cellStyles count="8">
    <cellStyle name="Normal" xfId="0" builtinId="0"/>
    <cellStyle name="Normal 2" xfId="2" xr:uid="{0D2BF21A-8703-4C97-A6A0-1D6E9D0F6F92}"/>
    <cellStyle name="Normal 3" xfId="4" xr:uid="{7E047FDD-395F-4FE8-A5BE-58DFAB8B0906}"/>
    <cellStyle name="Normal 6" xfId="6" xr:uid="{78565D89-8B81-4AF6-9A70-8B0D3564D93F}"/>
    <cellStyle name="Porcentagem" xfId="1" builtinId="5"/>
    <cellStyle name="Porcentagem 2" xfId="3" xr:uid="{C582E439-D5EF-46F1-9D1D-64A2E9C8E9A9}"/>
    <cellStyle name="Porcentagem 4" xfId="7" xr:uid="{CAEF4F46-18C9-495C-B817-80EAF8729088}"/>
    <cellStyle name="Vírgula" xfId="5" builtinId="3"/>
  </cellStyles>
  <dxfs count="0"/>
  <tableStyles count="0" defaultTableStyle="TableStyleMedium2" defaultPivotStyle="PivotStyleLight16"/>
  <colors>
    <mruColors>
      <color rgb="FFF2F2F2"/>
      <color rgb="FF2B39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54" Type="http://schemas.openxmlformats.org/officeDocument/2006/relationships/theme" Target="theme/theme1.xml"/><Relationship Id="rId62"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3" Type="http://customschemas.google.com/relationships/workbookmetadata" Target="metadata"/><Relationship Id="rId58"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57" Type="http://schemas.openxmlformats.org/officeDocument/2006/relationships/sheetMetadata" Target="metadata.xml"/><Relationship Id="rId61"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6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56"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590550</xdr:colOff>
      <xdr:row>1</xdr:row>
      <xdr:rowOff>0</xdr:rowOff>
    </xdr:from>
    <xdr:to>
      <xdr:col>4</xdr:col>
      <xdr:colOff>295275</xdr:colOff>
      <xdr:row>3</xdr:row>
      <xdr:rowOff>131004</xdr:rowOff>
    </xdr:to>
    <xdr:pic>
      <xdr:nvPicPr>
        <xdr:cNvPr id="3" name="Imagem 2">
          <a:extLst>
            <a:ext uri="{FF2B5EF4-FFF2-40B4-BE49-F238E27FC236}">
              <a16:creationId xmlns:a16="http://schemas.microsoft.com/office/drawing/2014/main" id="{F436DFCD-F6B7-480B-98B5-E3C00C9E18B2}"/>
            </a:ext>
          </a:extLst>
        </xdr:cNvPr>
        <xdr:cNvPicPr>
          <a:picLocks noChangeAspect="1"/>
        </xdr:cNvPicPr>
      </xdr:nvPicPr>
      <xdr:blipFill rotWithShape="1">
        <a:blip xmlns:r="http://schemas.openxmlformats.org/officeDocument/2006/relationships" r:embed="rId1"/>
        <a:srcRect t="30770" b="30986"/>
        <a:stretch/>
      </xdr:blipFill>
      <xdr:spPr>
        <a:xfrm>
          <a:off x="590550" y="561975"/>
          <a:ext cx="2381250" cy="531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17</xdr:col>
      <xdr:colOff>257175</xdr:colOff>
      <xdr:row>11</xdr:row>
      <xdr:rowOff>0</xdr:rowOff>
    </xdr:from>
    <xdr:ext cx="4772025" cy="200025"/>
    <xdr:pic>
      <xdr:nvPicPr>
        <xdr:cNvPr id="2" name="image10.png">
          <a:extLst>
            <a:ext uri="{FF2B5EF4-FFF2-40B4-BE49-F238E27FC236}">
              <a16:creationId xmlns:a16="http://schemas.microsoft.com/office/drawing/2014/main" id="{AB049F9F-1D5D-4C21-893D-BABF9E412965}"/>
            </a:ext>
          </a:extLst>
        </xdr:cNvPr>
        <xdr:cNvPicPr preferRelativeResize="0"/>
      </xdr:nvPicPr>
      <xdr:blipFill>
        <a:blip xmlns:r="http://schemas.openxmlformats.org/officeDocument/2006/relationships" r:embed="rId1" cstate="print"/>
        <a:stretch>
          <a:fillRect/>
        </a:stretch>
      </xdr:blipFill>
      <xdr:spPr>
        <a:xfrm>
          <a:off x="14887575" y="2438400"/>
          <a:ext cx="4772025" cy="200025"/>
        </a:xfrm>
        <a:prstGeom prst="rect">
          <a:avLst/>
        </a:prstGeom>
        <a:noFill/>
      </xdr:spPr>
    </xdr:pic>
    <xdr:clientData fLocksWithSheet="0"/>
  </xdr:oneCellAnchor>
  <xdr:twoCellAnchor editAs="oneCell">
    <xdr:from>
      <xdr:col>17</xdr:col>
      <xdr:colOff>209550</xdr:colOff>
      <xdr:row>12</xdr:row>
      <xdr:rowOff>59488</xdr:rowOff>
    </xdr:from>
    <xdr:to>
      <xdr:col>22</xdr:col>
      <xdr:colOff>523283</xdr:colOff>
      <xdr:row>13</xdr:row>
      <xdr:rowOff>190457</xdr:rowOff>
    </xdr:to>
    <xdr:pic>
      <xdr:nvPicPr>
        <xdr:cNvPr id="3" name="Imagem 2">
          <a:extLst>
            <a:ext uri="{FF2B5EF4-FFF2-40B4-BE49-F238E27FC236}">
              <a16:creationId xmlns:a16="http://schemas.microsoft.com/office/drawing/2014/main" id="{153B31C4-9867-6B08-A6B7-4611094AE137}"/>
            </a:ext>
          </a:extLst>
        </xdr:cNvPr>
        <xdr:cNvPicPr>
          <a:picLocks noChangeAspect="1"/>
        </xdr:cNvPicPr>
      </xdr:nvPicPr>
      <xdr:blipFill>
        <a:blip xmlns:r="http://schemas.openxmlformats.org/officeDocument/2006/relationships" r:embed="rId2"/>
        <a:stretch>
          <a:fillRect/>
        </a:stretch>
      </xdr:blipFill>
      <xdr:spPr>
        <a:xfrm>
          <a:off x="14839950" y="2688388"/>
          <a:ext cx="4438058" cy="321469"/>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B5:J16"/>
  <sheetViews>
    <sheetView showGridLines="0" workbookViewId="0">
      <selection activeCell="C6" sqref="C6:J7"/>
    </sheetView>
  </sheetViews>
  <sheetFormatPr defaultColWidth="14.44140625" defaultRowHeight="15" customHeight="1" x14ac:dyDescent="0.35"/>
  <cols>
    <col min="1" max="1" width="9.21875" style="74" customWidth="1"/>
    <col min="2" max="2" width="12.77734375" style="74" customWidth="1"/>
    <col min="3" max="8" width="9.21875" style="74" customWidth="1"/>
    <col min="9" max="9" width="12.44140625" style="74" customWidth="1"/>
    <col min="10" max="10" width="18.44140625" style="74" customWidth="1"/>
    <col min="11" max="26" width="9.21875" style="74" customWidth="1"/>
    <col min="27" max="16384" width="14.44140625" style="74"/>
  </cols>
  <sheetData>
    <row r="5" spans="2:10" ht="12" customHeight="1" x14ac:dyDescent="0.35">
      <c r="B5" s="337"/>
      <c r="C5" s="338"/>
      <c r="D5" s="338"/>
      <c r="E5" s="338"/>
      <c r="F5" s="338"/>
      <c r="G5" s="338"/>
      <c r="H5" s="338"/>
      <c r="I5" s="338"/>
      <c r="J5" s="339"/>
    </row>
    <row r="6" spans="2:10" x14ac:dyDescent="0.35">
      <c r="B6" s="340" t="s">
        <v>0</v>
      </c>
      <c r="C6" s="342" t="s">
        <v>1</v>
      </c>
      <c r="D6" s="343"/>
      <c r="E6" s="343"/>
      <c r="F6" s="343"/>
      <c r="G6" s="343"/>
      <c r="H6" s="343"/>
      <c r="I6" s="343"/>
      <c r="J6" s="344"/>
    </row>
    <row r="7" spans="2:10" x14ac:dyDescent="0.35">
      <c r="B7" s="341"/>
      <c r="C7" s="345"/>
      <c r="D7" s="345"/>
      <c r="E7" s="345"/>
      <c r="F7" s="345"/>
      <c r="G7" s="345"/>
      <c r="H7" s="345"/>
      <c r="I7" s="345"/>
      <c r="J7" s="346"/>
    </row>
    <row r="8" spans="2:10" ht="16.2" x14ac:dyDescent="0.35">
      <c r="B8" s="93" t="s">
        <v>2</v>
      </c>
      <c r="C8" s="347">
        <f ca="1">TODAY()</f>
        <v>45887</v>
      </c>
      <c r="D8" s="347"/>
      <c r="E8" s="347"/>
      <c r="F8" s="347"/>
      <c r="G8" s="347"/>
      <c r="H8" s="347"/>
      <c r="I8" s="347"/>
      <c r="J8" s="348"/>
    </row>
    <row r="9" spans="2:10" ht="15.75" customHeight="1" x14ac:dyDescent="0.35">
      <c r="B9" s="93" t="s">
        <v>3</v>
      </c>
      <c r="C9" s="347" t="s">
        <v>4</v>
      </c>
      <c r="D9" s="347"/>
      <c r="E9" s="347"/>
      <c r="F9" s="347"/>
      <c r="G9" s="347"/>
      <c r="H9" s="347"/>
      <c r="I9" s="347"/>
      <c r="J9" s="348"/>
    </row>
    <row r="10" spans="2:10" ht="16.5" customHeight="1" x14ac:dyDescent="0.35">
      <c r="B10" s="355" t="s">
        <v>5</v>
      </c>
      <c r="C10" s="349" t="s">
        <v>6</v>
      </c>
      <c r="D10" s="349"/>
      <c r="E10" s="349"/>
      <c r="F10" s="349"/>
      <c r="G10" s="349"/>
      <c r="H10" s="349"/>
      <c r="I10" s="349"/>
      <c r="J10" s="350"/>
    </row>
    <row r="11" spans="2:10" x14ac:dyDescent="0.35">
      <c r="B11" s="356"/>
      <c r="C11" s="351"/>
      <c r="D11" s="351"/>
      <c r="E11" s="351"/>
      <c r="F11" s="351"/>
      <c r="G11" s="351"/>
      <c r="H11" s="351"/>
      <c r="I11" s="351"/>
      <c r="J11" s="352"/>
    </row>
    <row r="12" spans="2:10" x14ac:dyDescent="0.35">
      <c r="B12" s="356"/>
      <c r="C12" s="351"/>
      <c r="D12" s="351"/>
      <c r="E12" s="351"/>
      <c r="F12" s="351"/>
      <c r="G12" s="351"/>
      <c r="H12" s="351"/>
      <c r="I12" s="351"/>
      <c r="J12" s="352"/>
    </row>
    <row r="13" spans="2:10" x14ac:dyDescent="0.35">
      <c r="B13" s="356"/>
      <c r="C13" s="351"/>
      <c r="D13" s="351"/>
      <c r="E13" s="351"/>
      <c r="F13" s="351"/>
      <c r="G13" s="351"/>
      <c r="H13" s="351"/>
      <c r="I13" s="351"/>
      <c r="J13" s="352"/>
    </row>
    <row r="14" spans="2:10" x14ac:dyDescent="0.35">
      <c r="B14" s="356"/>
      <c r="C14" s="351"/>
      <c r="D14" s="351"/>
      <c r="E14" s="351"/>
      <c r="F14" s="351"/>
      <c r="G14" s="351"/>
      <c r="H14" s="351"/>
      <c r="I14" s="351"/>
      <c r="J14" s="352"/>
    </row>
    <row r="15" spans="2:10" x14ac:dyDescent="0.35">
      <c r="B15" s="356"/>
      <c r="C15" s="351"/>
      <c r="D15" s="351"/>
      <c r="E15" s="351"/>
      <c r="F15" s="351"/>
      <c r="G15" s="351"/>
      <c r="H15" s="351"/>
      <c r="I15" s="351"/>
      <c r="J15" s="352"/>
    </row>
    <row r="16" spans="2:10" ht="15.6" thickBot="1" x14ac:dyDescent="0.4">
      <c r="B16" s="357"/>
      <c r="C16" s="353"/>
      <c r="D16" s="353"/>
      <c r="E16" s="353"/>
      <c r="F16" s="353"/>
      <c r="G16" s="353"/>
      <c r="H16" s="353"/>
      <c r="I16" s="353"/>
      <c r="J16" s="354"/>
    </row>
  </sheetData>
  <mergeCells count="7">
    <mergeCell ref="B5:J5"/>
    <mergeCell ref="B6:B7"/>
    <mergeCell ref="C6:J7"/>
    <mergeCell ref="C8:J8"/>
    <mergeCell ref="C10:J16"/>
    <mergeCell ref="B10:B16"/>
    <mergeCell ref="C9:J9"/>
  </mergeCells>
  <pageMargins left="0.511811024" right="0.511811024" top="0.78740157499999996" bottom="0.78740157499999996" header="0" footer="0"/>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3AC4851-BCB6-434B-AAB2-F583123E0361}">
          <x14:formula1>
            <xm:f>'Lista suspensa'!$C$3:$C$16</xm:f>
          </x14:formula1>
          <xm:sqref>C9:J9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B2:L36"/>
  <sheetViews>
    <sheetView showGridLines="0" workbookViewId="0">
      <selection activeCell="G26" sqref="G26:G28"/>
    </sheetView>
  </sheetViews>
  <sheetFormatPr defaultColWidth="14.44140625" defaultRowHeight="15" customHeight="1" x14ac:dyDescent="0.35"/>
  <cols>
    <col min="1" max="1" width="3.77734375" style="3" customWidth="1"/>
    <col min="2" max="2" width="20.21875" style="3" customWidth="1"/>
    <col min="3" max="3" width="15.44140625" style="3" customWidth="1"/>
    <col min="4" max="4" width="21" style="3" customWidth="1"/>
    <col min="5" max="5" width="15.21875" style="3" customWidth="1"/>
    <col min="6" max="6" width="14.77734375" style="3" bestFit="1" customWidth="1"/>
    <col min="7" max="7" width="9.44140625" style="3" customWidth="1"/>
    <col min="8" max="8" width="14.77734375" style="3" bestFit="1" customWidth="1"/>
    <col min="9" max="9" width="11.44140625" style="3" customWidth="1"/>
    <col min="10" max="10" width="8.77734375" style="3" customWidth="1"/>
    <col min="11" max="11" width="9.21875" style="3" customWidth="1"/>
    <col min="12" max="12" width="7" style="3" customWidth="1"/>
    <col min="13" max="13" width="9.21875" style="3" customWidth="1"/>
    <col min="14" max="14" width="24.21875" style="3" customWidth="1"/>
    <col min="15" max="26" width="9.21875" style="3" customWidth="1"/>
    <col min="27" max="16384" width="14.44140625" style="3"/>
  </cols>
  <sheetData>
    <row r="2" spans="2:12" x14ac:dyDescent="0.35">
      <c r="B2" s="90" t="s">
        <v>187</v>
      </c>
      <c r="C2" s="26"/>
      <c r="D2" s="26"/>
      <c r="E2" s="26"/>
      <c r="F2" s="26"/>
      <c r="G2" s="26"/>
      <c r="H2" s="26"/>
      <c r="I2" s="26"/>
      <c r="J2" s="26"/>
      <c r="K2" s="26"/>
      <c r="L2" s="26"/>
    </row>
    <row r="3" spans="2:12" ht="15.6" thickBot="1" x14ac:dyDescent="0.4">
      <c r="B3" s="88"/>
      <c r="C3" s="26"/>
      <c r="D3" s="26"/>
      <c r="E3" s="26"/>
      <c r="F3" s="26"/>
      <c r="G3" s="26"/>
      <c r="H3" s="26"/>
      <c r="I3" s="26"/>
      <c r="J3" s="26"/>
      <c r="K3" s="26"/>
      <c r="L3" s="26"/>
    </row>
    <row r="4" spans="2:12" ht="15" customHeight="1" thickBot="1" x14ac:dyDescent="0.4">
      <c r="B4" s="423" t="s">
        <v>188</v>
      </c>
      <c r="C4" s="424"/>
      <c r="D4" s="451"/>
      <c r="E4" s="26"/>
      <c r="F4" s="26"/>
      <c r="G4" s="26"/>
      <c r="H4" s="26"/>
      <c r="I4" s="26"/>
      <c r="J4" s="26"/>
      <c r="K4" s="26"/>
      <c r="L4" s="26"/>
    </row>
    <row r="5" spans="2:12" x14ac:dyDescent="0.35">
      <c r="B5" s="55" t="s">
        <v>102</v>
      </c>
      <c r="C5" s="452" t="s">
        <v>189</v>
      </c>
      <c r="D5" s="453"/>
      <c r="E5" s="26"/>
      <c r="F5" s="26"/>
      <c r="G5" s="26"/>
      <c r="H5" s="26"/>
      <c r="I5" s="26"/>
      <c r="J5" s="26"/>
      <c r="K5" s="26"/>
      <c r="L5" s="26"/>
    </row>
    <row r="6" spans="2:12" ht="16.2" x14ac:dyDescent="0.35">
      <c r="B6" s="56" t="s">
        <v>190</v>
      </c>
      <c r="C6" s="435">
        <v>1</v>
      </c>
      <c r="D6" s="454"/>
      <c r="E6" s="26"/>
      <c r="F6" s="26"/>
      <c r="G6" s="26"/>
      <c r="H6" s="26"/>
      <c r="I6" s="26"/>
      <c r="J6" s="26"/>
      <c r="K6" s="26"/>
      <c r="L6" s="26"/>
    </row>
    <row r="7" spans="2:12" x14ac:dyDescent="0.35">
      <c r="B7" s="422" t="s">
        <v>191</v>
      </c>
      <c r="C7" s="406"/>
      <c r="D7" s="455"/>
      <c r="E7" s="26"/>
      <c r="F7" s="26"/>
      <c r="G7" s="26"/>
      <c r="H7" s="26"/>
      <c r="I7" s="26"/>
      <c r="J7" s="26"/>
      <c r="K7" s="26"/>
      <c r="L7" s="26"/>
    </row>
    <row r="8" spans="2:12" ht="16.2" x14ac:dyDescent="0.35">
      <c r="B8" s="422" t="s">
        <v>192</v>
      </c>
      <c r="C8" s="406"/>
      <c r="D8" s="455"/>
      <c r="E8" s="26"/>
      <c r="F8" s="26"/>
      <c r="G8" s="26"/>
      <c r="H8" s="26"/>
      <c r="I8" s="26"/>
      <c r="J8" s="26"/>
      <c r="K8" s="26"/>
      <c r="L8" s="26"/>
    </row>
    <row r="9" spans="2:12" ht="16.2" x14ac:dyDescent="0.35">
      <c r="B9" s="457" t="s">
        <v>193</v>
      </c>
      <c r="C9" s="458"/>
      <c r="D9" s="459"/>
      <c r="E9" s="26"/>
      <c r="F9" s="26"/>
      <c r="G9" s="26"/>
      <c r="H9" s="26"/>
      <c r="I9" s="26"/>
      <c r="J9" s="26"/>
      <c r="K9" s="26"/>
      <c r="L9" s="26"/>
    </row>
    <row r="10" spans="2:12" x14ac:dyDescent="0.35">
      <c r="B10" s="61"/>
      <c r="C10" s="225">
        <f>F22</f>
        <v>33.404426400634996</v>
      </c>
      <c r="D10" s="225"/>
      <c r="E10" s="26"/>
      <c r="F10" s="26"/>
      <c r="G10" s="26"/>
      <c r="H10" s="26"/>
      <c r="I10" s="26"/>
      <c r="J10" s="26"/>
      <c r="K10" s="26"/>
      <c r="L10" s="26"/>
    </row>
    <row r="11" spans="2:12" x14ac:dyDescent="0.35">
      <c r="B11" s="10"/>
      <c r="C11" s="10"/>
      <c r="D11" s="10"/>
      <c r="E11" s="10"/>
      <c r="F11" s="10"/>
      <c r="G11" s="10"/>
      <c r="H11" s="10"/>
      <c r="I11" s="10"/>
      <c r="J11" s="10"/>
      <c r="K11" s="10"/>
      <c r="L11" s="10"/>
    </row>
    <row r="12" spans="2:12" ht="15" customHeight="1" x14ac:dyDescent="0.35">
      <c r="B12" s="460" t="s">
        <v>194</v>
      </c>
      <c r="C12" s="460"/>
      <c r="D12" s="460"/>
      <c r="E12" s="460"/>
      <c r="F12" s="460"/>
      <c r="G12" s="460"/>
      <c r="H12" s="460"/>
      <c r="I12" s="460"/>
      <c r="J12" s="460"/>
      <c r="K12" s="460"/>
      <c r="L12" s="460"/>
    </row>
    <row r="13" spans="2:12" x14ac:dyDescent="0.35">
      <c r="B13" s="460"/>
      <c r="C13" s="460"/>
      <c r="D13" s="460"/>
      <c r="E13" s="460"/>
      <c r="F13" s="460"/>
      <c r="G13" s="460"/>
      <c r="H13" s="460"/>
      <c r="I13" s="460"/>
      <c r="J13" s="460"/>
      <c r="K13" s="460"/>
      <c r="L13" s="460"/>
    </row>
    <row r="14" spans="2:12" x14ac:dyDescent="0.35">
      <c r="B14" s="460"/>
      <c r="C14" s="460"/>
      <c r="D14" s="460"/>
      <c r="E14" s="460"/>
      <c r="F14" s="460"/>
      <c r="G14" s="460"/>
      <c r="H14" s="460"/>
      <c r="I14" s="460"/>
      <c r="J14" s="460"/>
      <c r="K14" s="460"/>
      <c r="L14" s="460"/>
    </row>
    <row r="15" spans="2:12" ht="36" customHeight="1" x14ac:dyDescent="0.35">
      <c r="B15" s="460"/>
      <c r="C15" s="460"/>
      <c r="D15" s="460"/>
      <c r="E15" s="460"/>
      <c r="F15" s="460"/>
      <c r="G15" s="460"/>
      <c r="H15" s="460"/>
      <c r="I15" s="460"/>
      <c r="J15" s="460"/>
      <c r="K15" s="460"/>
      <c r="L15" s="460"/>
    </row>
    <row r="17" spans="2:12" x14ac:dyDescent="0.35">
      <c r="B17" s="462" t="s">
        <v>195</v>
      </c>
      <c r="C17" s="463"/>
      <c r="D17" s="463"/>
      <c r="E17" s="463"/>
      <c r="F17" s="464"/>
      <c r="G17" s="130"/>
      <c r="H17" s="130"/>
      <c r="I17" s="20"/>
      <c r="J17" s="10"/>
      <c r="K17" s="10"/>
      <c r="L17" s="10"/>
    </row>
    <row r="18" spans="2:12" x14ac:dyDescent="0.35">
      <c r="B18" s="131" t="s">
        <v>196</v>
      </c>
      <c r="C18" s="131" t="s">
        <v>197</v>
      </c>
      <c r="D18" s="131" t="s">
        <v>198</v>
      </c>
      <c r="E18" s="131" t="s">
        <v>199</v>
      </c>
      <c r="F18" s="131" t="s">
        <v>183</v>
      </c>
      <c r="G18" s="132"/>
      <c r="H18" s="132"/>
      <c r="I18" s="20"/>
      <c r="J18" s="10"/>
      <c r="K18" s="10"/>
      <c r="L18" s="10"/>
    </row>
    <row r="19" spans="2:12" x14ac:dyDescent="0.35">
      <c r="B19" s="131" t="s">
        <v>200</v>
      </c>
      <c r="C19" s="133">
        <f>D26</f>
        <v>0.89877167836360816</v>
      </c>
      <c r="D19" s="134">
        <v>16.822222222222223</v>
      </c>
      <c r="E19" s="134">
        <f>D19*0.45</f>
        <v>7.57</v>
      </c>
      <c r="F19" s="134">
        <f>E19*(44/12)</f>
        <v>27.756666666666668</v>
      </c>
      <c r="G19" s="132"/>
      <c r="H19" s="132"/>
      <c r="I19" s="20"/>
      <c r="J19" s="10"/>
      <c r="K19" s="10"/>
      <c r="L19" s="10"/>
    </row>
    <row r="20" spans="2:12" x14ac:dyDescent="0.35">
      <c r="B20" s="131" t="s">
        <v>201</v>
      </c>
      <c r="C20" s="133">
        <f>D28</f>
        <v>7.8290514341840018E-4</v>
      </c>
      <c r="D20" s="134">
        <v>50.666666666666664</v>
      </c>
      <c r="E20" s="134">
        <f t="shared" ref="E20:E21" si="0">D20*0.45</f>
        <v>22.8</v>
      </c>
      <c r="F20" s="134">
        <f t="shared" ref="F20:F21" si="1">E20*(44/12)</f>
        <v>83.6</v>
      </c>
      <c r="G20" s="132"/>
      <c r="H20" s="132"/>
      <c r="I20" s="20"/>
      <c r="J20" s="10"/>
      <c r="K20" s="10"/>
      <c r="L20" s="10"/>
    </row>
    <row r="21" spans="2:12" x14ac:dyDescent="0.35">
      <c r="B21" s="131" t="s">
        <v>202</v>
      </c>
      <c r="C21" s="133">
        <f>D27</f>
        <v>0.10044541649297326</v>
      </c>
      <c r="D21" s="134">
        <v>46.666666666666664</v>
      </c>
      <c r="E21" s="134">
        <f t="shared" si="0"/>
        <v>21</v>
      </c>
      <c r="F21" s="134">
        <f t="shared" si="1"/>
        <v>77</v>
      </c>
      <c r="G21" s="132"/>
      <c r="H21" s="132"/>
      <c r="I21" s="20"/>
      <c r="J21" s="10"/>
      <c r="K21" s="10"/>
      <c r="L21" s="10"/>
    </row>
    <row r="22" spans="2:12" x14ac:dyDescent="0.35">
      <c r="B22" s="461" t="s">
        <v>203</v>
      </c>
      <c r="C22" s="461"/>
      <c r="D22" s="461"/>
      <c r="E22" s="461"/>
      <c r="F22" s="135">
        <f>I29</f>
        <v>33.404426400634996</v>
      </c>
      <c r="G22" s="132"/>
      <c r="H22" s="132"/>
      <c r="I22" s="20"/>
      <c r="J22" s="10"/>
      <c r="K22" s="10"/>
      <c r="L22" s="10"/>
    </row>
    <row r="23" spans="2:12" ht="15.75" customHeight="1" x14ac:dyDescent="0.35">
      <c r="B23" s="465"/>
      <c r="C23" s="465"/>
      <c r="D23" s="465"/>
      <c r="E23" s="465"/>
      <c r="F23" s="465"/>
      <c r="G23" s="465"/>
      <c r="H23" s="465"/>
      <c r="I23" s="465"/>
      <c r="J23" s="465"/>
      <c r="K23" s="465"/>
      <c r="L23" s="465"/>
    </row>
    <row r="24" spans="2:12" ht="15.75" customHeight="1" x14ac:dyDescent="0.35">
      <c r="B24" s="466" t="s">
        <v>204</v>
      </c>
      <c r="C24" s="467"/>
      <c r="D24" s="467"/>
      <c r="E24" s="467"/>
      <c r="F24" s="467"/>
      <c r="G24" s="467"/>
      <c r="H24" s="467"/>
      <c r="I24" s="467"/>
      <c r="J24" s="125"/>
      <c r="K24" s="125"/>
      <c r="L24" s="125"/>
    </row>
    <row r="25" spans="2:12" ht="21.75" customHeight="1" x14ac:dyDescent="0.35">
      <c r="B25" s="136" t="s">
        <v>205</v>
      </c>
      <c r="C25" s="136" t="s">
        <v>137</v>
      </c>
      <c r="D25" s="136" t="s">
        <v>206</v>
      </c>
      <c r="E25" s="137" t="s">
        <v>198</v>
      </c>
      <c r="F25" s="137" t="s">
        <v>207</v>
      </c>
      <c r="G25" s="137" t="s">
        <v>208</v>
      </c>
      <c r="H25" s="137" t="s">
        <v>209</v>
      </c>
      <c r="I25" s="137" t="s">
        <v>183</v>
      </c>
      <c r="J25" s="125"/>
      <c r="K25" s="125"/>
      <c r="L25" s="125"/>
    </row>
    <row r="26" spans="2:12" ht="23.25" customHeight="1" x14ac:dyDescent="0.35">
      <c r="B26" s="138" t="s">
        <v>210</v>
      </c>
      <c r="C26" s="134">
        <v>141651.18</v>
      </c>
      <c r="D26" s="140">
        <f>C26/$C$29</f>
        <v>0.89877167836360816</v>
      </c>
      <c r="E26" s="139">
        <f>C26*D19</f>
        <v>2382887.628</v>
      </c>
      <c r="F26" s="139">
        <f>E26*0.45</f>
        <v>1072299.4325999999</v>
      </c>
      <c r="G26" s="245">
        <f>F26/C26</f>
        <v>7.57</v>
      </c>
      <c r="H26" s="139">
        <f>F26*(44/12)</f>
        <v>3931764.5861999998</v>
      </c>
      <c r="I26" s="139">
        <f>H26/C26</f>
        <v>27.756666666666668</v>
      </c>
      <c r="J26" s="125"/>
      <c r="K26" s="125"/>
      <c r="L26" s="125"/>
    </row>
    <row r="27" spans="2:12" ht="21.75" customHeight="1" x14ac:dyDescent="0.35">
      <c r="B27" s="138" t="s">
        <v>201</v>
      </c>
      <c r="C27" s="134">
        <v>15830.73</v>
      </c>
      <c r="D27" s="140">
        <f>C27/$C$29</f>
        <v>0.10044541649297326</v>
      </c>
      <c r="E27" s="139">
        <f>C27*D20</f>
        <v>802090.32</v>
      </c>
      <c r="F27" s="139">
        <f t="shared" ref="F27:F28" si="2">E27*0.45</f>
        <v>360940.64399999997</v>
      </c>
      <c r="G27" s="245">
        <f>F27/C27</f>
        <v>22.799999999999997</v>
      </c>
      <c r="H27" s="139">
        <f>F27*(44/12)</f>
        <v>1323449.0279999999</v>
      </c>
      <c r="I27" s="139">
        <f>H27/C27</f>
        <v>83.6</v>
      </c>
      <c r="J27" s="125"/>
      <c r="K27" s="125"/>
      <c r="L27" s="125"/>
    </row>
    <row r="28" spans="2:12" ht="19.5" customHeight="1" x14ac:dyDescent="0.35">
      <c r="B28" s="138" t="s">
        <v>202</v>
      </c>
      <c r="C28" s="134">
        <v>123.39</v>
      </c>
      <c r="D28" s="140">
        <f t="shared" ref="D28" si="3">C28/$C$29</f>
        <v>7.8290514341840018E-4</v>
      </c>
      <c r="E28" s="139">
        <f>C28*D21</f>
        <v>5758.2</v>
      </c>
      <c r="F28" s="139">
        <f t="shared" si="2"/>
        <v>2591.19</v>
      </c>
      <c r="G28" s="245">
        <f>F28/C28</f>
        <v>21</v>
      </c>
      <c r="H28" s="139">
        <f>F28*(44/12)</f>
        <v>9501.0300000000007</v>
      </c>
      <c r="I28" s="139">
        <f>H28/C28</f>
        <v>77</v>
      </c>
      <c r="J28" s="125"/>
      <c r="K28" s="125"/>
      <c r="L28" s="125"/>
    </row>
    <row r="29" spans="2:12" ht="24" customHeight="1" x14ac:dyDescent="0.35">
      <c r="B29" s="141" t="s">
        <v>203</v>
      </c>
      <c r="C29" s="134">
        <f>SUM(C26:C28)</f>
        <v>157605.30000000002</v>
      </c>
      <c r="D29" s="142">
        <f>SUM(D26:D28)</f>
        <v>0.99999999999999978</v>
      </c>
      <c r="E29" s="139">
        <f>SUM(E26:E28)</f>
        <v>3190736.148</v>
      </c>
      <c r="F29" s="139">
        <f>SUM(F26:F28)</f>
        <v>1435831.2665999997</v>
      </c>
      <c r="G29" s="245">
        <f>F29/C29</f>
        <v>9.1102981092640896</v>
      </c>
      <c r="H29" s="139">
        <f>F29*(44/12)</f>
        <v>5264714.644199999</v>
      </c>
      <c r="I29" s="219">
        <f>H29/C29</f>
        <v>33.404426400634996</v>
      </c>
      <c r="J29" s="125"/>
      <c r="K29" s="125"/>
      <c r="L29" s="125"/>
    </row>
    <row r="30" spans="2:12" ht="27.75" customHeight="1" x14ac:dyDescent="0.35">
      <c r="B30" s="220"/>
      <c r="C30" s="221"/>
      <c r="D30" s="221"/>
      <c r="E30" s="221"/>
      <c r="F30" s="221"/>
      <c r="G30" s="222"/>
      <c r="H30" s="125"/>
      <c r="I30" s="125"/>
      <c r="J30" s="125"/>
      <c r="K30" s="125"/>
      <c r="L30" s="125"/>
    </row>
    <row r="31" spans="2:12" ht="15.75" customHeight="1" x14ac:dyDescent="0.35">
      <c r="B31" s="87"/>
      <c r="C31" s="87"/>
      <c r="D31" s="87"/>
      <c r="E31" s="87"/>
      <c r="F31" s="87"/>
      <c r="G31" s="87"/>
      <c r="H31" s="87"/>
      <c r="I31" s="87"/>
      <c r="J31" s="87"/>
      <c r="K31" s="87"/>
      <c r="L31" s="87"/>
    </row>
    <row r="32" spans="2:12" ht="15.75" customHeight="1" x14ac:dyDescent="0.35">
      <c r="B32" s="246" t="s">
        <v>211</v>
      </c>
      <c r="C32" s="87"/>
      <c r="D32" s="87"/>
      <c r="E32" s="87"/>
      <c r="F32" s="87"/>
      <c r="G32" s="87"/>
      <c r="H32" s="87"/>
      <c r="I32" s="87"/>
      <c r="J32" s="87"/>
      <c r="K32" s="87"/>
      <c r="L32" s="87"/>
    </row>
    <row r="34" spans="2:7" ht="105.75" customHeight="1" x14ac:dyDescent="0.35">
      <c r="B34" s="468" t="s">
        <v>212</v>
      </c>
      <c r="C34" s="468"/>
      <c r="D34" s="468"/>
      <c r="E34" s="468"/>
      <c r="F34" s="468"/>
      <c r="G34" s="468"/>
    </row>
    <row r="35" spans="2:7" ht="71.25" customHeight="1" x14ac:dyDescent="0.35">
      <c r="B35" s="456" t="s">
        <v>213</v>
      </c>
      <c r="C35" s="456"/>
      <c r="D35" s="456"/>
      <c r="E35" s="456"/>
      <c r="F35" s="456"/>
      <c r="G35" s="456"/>
    </row>
    <row r="36" spans="2:7" ht="96.75" customHeight="1" x14ac:dyDescent="0.35">
      <c r="B36" s="456" t="s">
        <v>214</v>
      </c>
      <c r="C36" s="456"/>
      <c r="D36" s="456"/>
      <c r="E36" s="456"/>
      <c r="F36" s="456"/>
      <c r="G36" s="456"/>
    </row>
  </sheetData>
  <mergeCells count="14">
    <mergeCell ref="B36:G36"/>
    <mergeCell ref="B9:D9"/>
    <mergeCell ref="B12:L15"/>
    <mergeCell ref="B22:E22"/>
    <mergeCell ref="B17:F17"/>
    <mergeCell ref="B23:L23"/>
    <mergeCell ref="B35:G35"/>
    <mergeCell ref="B24:I24"/>
    <mergeCell ref="B34:G34"/>
    <mergeCell ref="B4:D4"/>
    <mergeCell ref="C5:D5"/>
    <mergeCell ref="C6:D6"/>
    <mergeCell ref="B7:D7"/>
    <mergeCell ref="B8:D8"/>
  </mergeCells>
  <pageMargins left="0.511811024" right="0.511811024" top="0.78740157499999996" bottom="0.78740157499999996"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829AE-76CE-4A66-940C-3A5513C885F8}">
  <dimension ref="A2:J60"/>
  <sheetViews>
    <sheetView zoomScaleNormal="100" workbookViewId="0">
      <selection activeCell="H5" sqref="H5"/>
    </sheetView>
  </sheetViews>
  <sheetFormatPr defaultRowHeight="14.4" x14ac:dyDescent="0.3"/>
  <cols>
    <col min="1" max="1" width="9.21875" style="109"/>
    <col min="2" max="2" width="9.21875" bestFit="1" customWidth="1"/>
    <col min="4" max="4" width="9.21875" style="229" bestFit="1" customWidth="1"/>
    <col min="5" max="6" width="9.21875" bestFit="1" customWidth="1"/>
    <col min="7" max="7" width="11.77734375" bestFit="1" customWidth="1"/>
    <col min="8" max="8" width="18.77734375" customWidth="1"/>
    <col min="9" max="10" width="9.21875" style="109"/>
  </cols>
  <sheetData>
    <row r="2" spans="2:8" s="109" customFormat="1" ht="15" x14ac:dyDescent="0.35">
      <c r="B2" s="154" t="s">
        <v>215</v>
      </c>
      <c r="C2" s="155"/>
      <c r="D2" s="227"/>
      <c r="E2" s="155"/>
      <c r="F2" s="155"/>
      <c r="G2" s="155"/>
      <c r="H2" s="155"/>
    </row>
    <row r="3" spans="2:8" ht="15.75" customHeight="1" x14ac:dyDescent="0.3">
      <c r="B3" s="469" t="s">
        <v>216</v>
      </c>
      <c r="C3" s="469"/>
      <c r="D3" s="473" t="s">
        <v>217</v>
      </c>
      <c r="E3" s="461" t="s">
        <v>218</v>
      </c>
      <c r="F3" s="461" t="s">
        <v>219</v>
      </c>
      <c r="G3" s="461" t="s">
        <v>220</v>
      </c>
      <c r="H3" s="461" t="s">
        <v>221</v>
      </c>
    </row>
    <row r="4" spans="2:8" x14ac:dyDescent="0.3">
      <c r="B4" s="469"/>
      <c r="C4" s="469"/>
      <c r="D4" s="474"/>
      <c r="E4" s="461"/>
      <c r="F4" s="461"/>
      <c r="G4" s="461"/>
      <c r="H4" s="461"/>
    </row>
    <row r="5" spans="2:8" ht="15" x14ac:dyDescent="0.35">
      <c r="B5" s="145">
        <v>1</v>
      </c>
      <c r="C5" s="145" t="s">
        <v>222</v>
      </c>
      <c r="D5" s="226">
        <f>'Table 15'!C13</f>
        <v>413.34</v>
      </c>
      <c r="E5" s="146">
        <f>(1/10)*'Table 15'!E$13</f>
        <v>9.9200000000000017</v>
      </c>
      <c r="F5" s="146">
        <f>(1/10)*'Table 15'!G$13</f>
        <v>0</v>
      </c>
      <c r="G5" s="147">
        <f>SUM(D5:F5)</f>
        <v>423.26</v>
      </c>
      <c r="H5" s="147" cm="1">
        <f t="array" ref="H5">INDEX($G$5:$G$14, ROW(H5)-ROW(H$5) + 1) * INDEX(Table_13!$E$8:$E$46, COLUMN(H5)-COLUMN($H5)+1)</f>
        <v>3572.3143999999998</v>
      </c>
    </row>
    <row r="6" spans="2:8" ht="15" x14ac:dyDescent="0.35">
      <c r="B6" s="145">
        <v>2</v>
      </c>
      <c r="C6" s="145" t="s">
        <v>223</v>
      </c>
      <c r="D6" s="226">
        <v>0</v>
      </c>
      <c r="E6" s="146">
        <f>(1/10)*'Table 15'!E$13</f>
        <v>9.9200000000000017</v>
      </c>
      <c r="F6" s="146">
        <f>(1/10)*'Table 15'!G$13</f>
        <v>0</v>
      </c>
      <c r="G6" s="147">
        <f t="shared" ref="G6:G14" si="0">SUM(D6:F6)</f>
        <v>9.9200000000000017</v>
      </c>
      <c r="H6" s="147" cm="1">
        <f t="array" ref="H6">INDEX($G$5:$G$14, ROW(H6)-ROW(H$5) + 1) * INDEX(Table_13!$E$8:$E$46, COLUMN(H6)-COLUMN($H6)+1)</f>
        <v>83.724800000000016</v>
      </c>
    </row>
    <row r="7" spans="2:8" ht="15" x14ac:dyDescent="0.35">
      <c r="B7" s="145">
        <v>3</v>
      </c>
      <c r="C7" s="145" t="s">
        <v>224</v>
      </c>
      <c r="D7" s="226">
        <v>0</v>
      </c>
      <c r="E7" s="146">
        <f>(1/10)*'Table 15'!E$13</f>
        <v>9.9200000000000017</v>
      </c>
      <c r="F7" s="146">
        <f>(1/10)*'Table 15'!G$13</f>
        <v>0</v>
      </c>
      <c r="G7" s="147">
        <f t="shared" si="0"/>
        <v>9.9200000000000017</v>
      </c>
      <c r="H7" s="147" cm="1">
        <f t="array" ref="H7">INDEX($G$5:$G$14, ROW(H7)-ROW(H$5) + 1) * INDEX(Table_13!$E$8:$E$46, COLUMN(H7)-COLUMN($H7)+1)</f>
        <v>83.724800000000016</v>
      </c>
    </row>
    <row r="8" spans="2:8" ht="15" x14ac:dyDescent="0.35">
      <c r="B8" s="145">
        <v>4</v>
      </c>
      <c r="C8" s="145" t="s">
        <v>225</v>
      </c>
      <c r="D8" s="226">
        <v>0</v>
      </c>
      <c r="E8" s="146">
        <f>(1/10)*'Table 15'!E$13</f>
        <v>9.9200000000000017</v>
      </c>
      <c r="F8" s="146">
        <f>(1/10)*'Table 15'!G$13</f>
        <v>0</v>
      </c>
      <c r="G8" s="147">
        <f t="shared" si="0"/>
        <v>9.9200000000000017</v>
      </c>
      <c r="H8" s="147" cm="1">
        <f t="array" ref="H8">INDEX($G$5:$G$14, ROW(H8)-ROW(H$5) + 1) * INDEX(Table_13!$E$8:$E$46, COLUMN(H8)-COLUMN($H8)+1)</f>
        <v>83.724800000000016</v>
      </c>
    </row>
    <row r="9" spans="2:8" ht="15" x14ac:dyDescent="0.35">
      <c r="B9" s="145">
        <v>5</v>
      </c>
      <c r="C9" s="145" t="s">
        <v>226</v>
      </c>
      <c r="D9" s="226">
        <v>0</v>
      </c>
      <c r="E9" s="146">
        <f>(1/10)*'Table 15'!E$13</f>
        <v>9.9200000000000017</v>
      </c>
      <c r="F9" s="146">
        <f>(1/10)*'Table 15'!G$13</f>
        <v>0</v>
      </c>
      <c r="G9" s="147">
        <f t="shared" si="0"/>
        <v>9.9200000000000017</v>
      </c>
      <c r="H9" s="147" cm="1">
        <f t="array" ref="H9">INDEX($G$5:$G$14, ROW(H9)-ROW(H$5) + 1) * INDEX(Table_13!$E$8:$E$46, COLUMN(H9)-COLUMN($H9)+1)</f>
        <v>83.724800000000016</v>
      </c>
    </row>
    <row r="10" spans="2:8" ht="15" x14ac:dyDescent="0.35">
      <c r="B10" s="145">
        <v>6</v>
      </c>
      <c r="C10" s="145" t="s">
        <v>227</v>
      </c>
      <c r="D10" s="226">
        <v>0</v>
      </c>
      <c r="E10" s="146">
        <f>(1/10)*'Table 15'!E$13</f>
        <v>9.9200000000000017</v>
      </c>
      <c r="F10" s="146">
        <f>(1/10)*'Table 15'!G$13</f>
        <v>0</v>
      </c>
      <c r="G10" s="147">
        <f t="shared" si="0"/>
        <v>9.9200000000000017</v>
      </c>
      <c r="H10" s="147" cm="1">
        <f t="array" ref="H10">INDEX($G$5:$G$14, ROW(H10)-ROW(H$5) + 1) * INDEX(Table_13!$E$8:$E$46, COLUMN(H10)-COLUMN($H10)+1)</f>
        <v>83.724800000000016</v>
      </c>
    </row>
    <row r="11" spans="2:8" ht="15" x14ac:dyDescent="0.35">
      <c r="B11" s="145">
        <v>7</v>
      </c>
      <c r="C11" s="145" t="s">
        <v>228</v>
      </c>
      <c r="D11" s="226">
        <v>0</v>
      </c>
      <c r="E11" s="146">
        <f>(1/10)*'Table 15'!E$13</f>
        <v>9.9200000000000017</v>
      </c>
      <c r="F11" s="146">
        <f>(1/10)*'Table 15'!G$13</f>
        <v>0</v>
      </c>
      <c r="G11" s="147">
        <f t="shared" si="0"/>
        <v>9.9200000000000017</v>
      </c>
      <c r="H11" s="147" cm="1">
        <f t="array" ref="H11">INDEX($G$5:$G$14, ROW(H11)-ROW(H$5) + 1) * INDEX(Table_13!$E$8:$E$46, COLUMN(H11)-COLUMN($H11)+1)</f>
        <v>83.724800000000016</v>
      </c>
    </row>
    <row r="12" spans="2:8" ht="15" x14ac:dyDescent="0.35">
      <c r="B12" s="145">
        <v>8</v>
      </c>
      <c r="C12" s="145" t="s">
        <v>229</v>
      </c>
      <c r="D12" s="226">
        <v>0</v>
      </c>
      <c r="E12" s="146">
        <f>(1/10)*'Table 15'!E$13</f>
        <v>9.9200000000000017</v>
      </c>
      <c r="F12" s="146">
        <f>(1/10)*'Table 15'!G$13</f>
        <v>0</v>
      </c>
      <c r="G12" s="147">
        <f t="shared" si="0"/>
        <v>9.9200000000000017</v>
      </c>
      <c r="H12" s="147" cm="1">
        <f t="array" ref="H12">INDEX($G$5:$G$14, ROW(H12)-ROW(H$5) + 1) * INDEX(Table_13!$E$8:$E$46, COLUMN(H12)-COLUMN($H12)+1)</f>
        <v>83.724800000000016</v>
      </c>
    </row>
    <row r="13" spans="2:8" ht="15" x14ac:dyDescent="0.35">
      <c r="B13" s="145">
        <v>9</v>
      </c>
      <c r="C13" s="145" t="s">
        <v>230</v>
      </c>
      <c r="D13" s="226">
        <v>0</v>
      </c>
      <c r="E13" s="146">
        <f>(1/10)*'Table 15'!E$13</f>
        <v>9.9200000000000017</v>
      </c>
      <c r="F13" s="146">
        <f>(1/10)*'Table 15'!G$13</f>
        <v>0</v>
      </c>
      <c r="G13" s="147">
        <f t="shared" si="0"/>
        <v>9.9200000000000017</v>
      </c>
      <c r="H13" s="147" cm="1">
        <f t="array" ref="H13">INDEX($G$5:$G$14, ROW(H13)-ROW(H$5) + 1) * INDEX(Table_13!$E$8:$E$46, COLUMN(H13)-COLUMN($H13)+1)</f>
        <v>83.724800000000016</v>
      </c>
    </row>
    <row r="14" spans="2:8" ht="15" x14ac:dyDescent="0.35">
      <c r="B14" s="145">
        <v>10</v>
      </c>
      <c r="C14" s="145" t="s">
        <v>231</v>
      </c>
      <c r="D14" s="226">
        <v>0</v>
      </c>
      <c r="E14" s="146">
        <f>(1/10)*'Table 15'!E$13</f>
        <v>9.9200000000000017</v>
      </c>
      <c r="F14" s="146">
        <f>(1/10)*'Table 15'!G$13</f>
        <v>0</v>
      </c>
      <c r="G14" s="147">
        <f t="shared" si="0"/>
        <v>9.9200000000000017</v>
      </c>
      <c r="H14" s="147" cm="1">
        <f t="array" ref="H14">INDEX($G$5:$G$14, ROW(H14)-ROW(H$5) + 1) * INDEX(Table_13!$E$8:$E$46, COLUMN(H14)-COLUMN($H14)+1)</f>
        <v>83.724800000000016</v>
      </c>
    </row>
    <row r="15" spans="2:8" s="229" customFormat="1" ht="15" x14ac:dyDescent="0.3">
      <c r="B15" s="471" t="s">
        <v>232</v>
      </c>
      <c r="C15" s="471"/>
      <c r="D15" s="471"/>
      <c r="E15" s="471"/>
      <c r="F15" s="471"/>
      <c r="G15" s="471"/>
      <c r="H15" s="231" cm="1">
        <f t="array" ref="H15">SUM($H5:H14*(COLUMNS($H5:H14)-COLUMN($H5:H14)+COLUMN($H5)=ROW($H5:H14)-ROW($H5)+1))</f>
        <v>3572.3143999999998</v>
      </c>
    </row>
    <row r="17" spans="2:8" s="109" customFormat="1" ht="15" x14ac:dyDescent="0.35">
      <c r="B17" s="154" t="s">
        <v>233</v>
      </c>
      <c r="C17" s="155"/>
      <c r="D17" s="227"/>
      <c r="E17" s="155"/>
      <c r="F17" s="155"/>
      <c r="G17" s="155"/>
      <c r="H17" s="155"/>
    </row>
    <row r="18" spans="2:8" ht="15" customHeight="1" x14ac:dyDescent="0.3">
      <c r="B18" s="469" t="s">
        <v>216</v>
      </c>
      <c r="C18" s="469"/>
      <c r="D18" s="471" t="s">
        <v>217</v>
      </c>
      <c r="E18" s="461" t="s">
        <v>218</v>
      </c>
      <c r="F18" s="461" t="s">
        <v>219</v>
      </c>
      <c r="G18" s="461" t="s">
        <v>234</v>
      </c>
      <c r="H18" s="461" t="s">
        <v>221</v>
      </c>
    </row>
    <row r="19" spans="2:8" x14ac:dyDescent="0.3">
      <c r="B19" s="469"/>
      <c r="C19" s="469"/>
      <c r="D19" s="471"/>
      <c r="E19" s="461"/>
      <c r="F19" s="461"/>
      <c r="G19" s="461"/>
      <c r="H19" s="461"/>
    </row>
    <row r="20" spans="2:8" ht="15" x14ac:dyDescent="0.35">
      <c r="B20" s="145">
        <v>1</v>
      </c>
      <c r="C20" s="145" t="s">
        <v>222</v>
      </c>
      <c r="D20" s="226"/>
      <c r="E20" s="146"/>
      <c r="F20" s="146"/>
      <c r="G20" s="147">
        <v>0</v>
      </c>
      <c r="H20" s="147" cm="1">
        <f t="array" ref="H20">INDEX($G$20:$G$29, ROW(H20)-ROW(H$20) + 1) * INDEX(Table_13!$E$8:$E$46, COLUMN(H20)-COLUMN($H20)+1)</f>
        <v>0</v>
      </c>
    </row>
    <row r="21" spans="2:8" ht="15" x14ac:dyDescent="0.35">
      <c r="B21" s="145">
        <v>2</v>
      </c>
      <c r="C21" s="145" t="s">
        <v>223</v>
      </c>
      <c r="D21" s="226"/>
      <c r="E21" s="146"/>
      <c r="F21" s="146"/>
      <c r="G21" s="147">
        <f>(1/10)*'Table 16'!$C$10</f>
        <v>3.3404426400634999</v>
      </c>
      <c r="H21" s="147" cm="1">
        <f t="array" ref="H21">INDEX($G$20:$G$29, ROW(H21)-ROW(H$20) + 1) * INDEX(Table_13!$E$8:$E$46, COLUMN(H21)-COLUMN($H21)+1)</f>
        <v>28.193335882135937</v>
      </c>
    </row>
    <row r="22" spans="2:8" ht="15" x14ac:dyDescent="0.35">
      <c r="B22" s="145">
        <v>3</v>
      </c>
      <c r="C22" s="145" t="s">
        <v>224</v>
      </c>
      <c r="D22" s="226"/>
      <c r="E22" s="146"/>
      <c r="F22" s="146"/>
      <c r="G22" s="147">
        <f>(1/10)*'Table 16'!$C$10</f>
        <v>3.3404426400634999</v>
      </c>
      <c r="H22" s="147" cm="1">
        <f t="array" ref="H22">INDEX($G$20:$G$29, ROW(H22)-ROW(H$20) + 1) * INDEX(Table_13!$E$8:$E$46, COLUMN(H22)-COLUMN($H22)+1)</f>
        <v>28.193335882135937</v>
      </c>
    </row>
    <row r="23" spans="2:8" ht="15" x14ac:dyDescent="0.35">
      <c r="B23" s="145">
        <v>4</v>
      </c>
      <c r="C23" s="145" t="s">
        <v>225</v>
      </c>
      <c r="D23" s="226"/>
      <c r="E23" s="146"/>
      <c r="F23" s="146"/>
      <c r="G23" s="147">
        <f>(1/10)*'Table 16'!$C$10</f>
        <v>3.3404426400634999</v>
      </c>
      <c r="H23" s="147" cm="1">
        <f t="array" ref="H23">INDEX($G$20:$G$29, ROW(H23)-ROW(H$20) + 1) * INDEX(Table_13!$E$8:$E$46, COLUMN(H23)-COLUMN($H23)+1)</f>
        <v>28.193335882135937</v>
      </c>
    </row>
    <row r="24" spans="2:8" ht="15" x14ac:dyDescent="0.35">
      <c r="B24" s="145">
        <v>5</v>
      </c>
      <c r="C24" s="145" t="s">
        <v>226</v>
      </c>
      <c r="D24" s="226"/>
      <c r="E24" s="146"/>
      <c r="F24" s="146"/>
      <c r="G24" s="147">
        <f>(1/10)*'Table 16'!$C$10</f>
        <v>3.3404426400634999</v>
      </c>
      <c r="H24" s="147" cm="1">
        <f t="array" ref="H24">INDEX($G$20:$G$29, ROW(H24)-ROW(H$20) + 1) * INDEX(Table_13!$E$8:$E$46, COLUMN(H24)-COLUMN($H24)+1)</f>
        <v>28.193335882135937</v>
      </c>
    </row>
    <row r="25" spans="2:8" ht="15" x14ac:dyDescent="0.35">
      <c r="B25" s="145">
        <v>6</v>
      </c>
      <c r="C25" s="145" t="s">
        <v>227</v>
      </c>
      <c r="D25" s="226"/>
      <c r="E25" s="146"/>
      <c r="F25" s="146"/>
      <c r="G25" s="147">
        <f>(1/10)*'Table 16'!$C$10</f>
        <v>3.3404426400634999</v>
      </c>
      <c r="H25" s="147" cm="1">
        <f t="array" ref="H25">INDEX($G$20:$G$29, ROW(H25)-ROW(H$20) + 1) * INDEX(Table_13!$E$8:$E$46, COLUMN(H25)-COLUMN($H25)+1)</f>
        <v>28.193335882135937</v>
      </c>
    </row>
    <row r="26" spans="2:8" ht="15" x14ac:dyDescent="0.35">
      <c r="B26" s="145">
        <v>7</v>
      </c>
      <c r="C26" s="145" t="s">
        <v>228</v>
      </c>
      <c r="D26" s="226"/>
      <c r="E26" s="146"/>
      <c r="F26" s="146"/>
      <c r="G26" s="147">
        <f>(1/10)*'Table 16'!$C$10</f>
        <v>3.3404426400634999</v>
      </c>
      <c r="H26" s="147" cm="1">
        <f t="array" ref="H26">INDEX($G$20:$G$29, ROW(H26)-ROW(H$20) + 1) * INDEX(Table_13!$E$8:$E$46, COLUMN(H26)-COLUMN($H26)+1)</f>
        <v>28.193335882135937</v>
      </c>
    </row>
    <row r="27" spans="2:8" ht="15" x14ac:dyDescent="0.35">
      <c r="B27" s="145">
        <v>8</v>
      </c>
      <c r="C27" s="145" t="s">
        <v>229</v>
      </c>
      <c r="D27" s="226"/>
      <c r="E27" s="146"/>
      <c r="F27" s="146"/>
      <c r="G27" s="147">
        <f>(1/10)*'Table 16'!$C$10</f>
        <v>3.3404426400634999</v>
      </c>
      <c r="H27" s="147" cm="1">
        <f t="array" ref="H27">INDEX($G$20:$G$29, ROW(H27)-ROW(H$20) + 1) * INDEX(Table_13!$E$8:$E$46, COLUMN(H27)-COLUMN($H27)+1)</f>
        <v>28.193335882135937</v>
      </c>
    </row>
    <row r="28" spans="2:8" ht="15" x14ac:dyDescent="0.35">
      <c r="B28" s="145">
        <v>9</v>
      </c>
      <c r="C28" s="145" t="s">
        <v>230</v>
      </c>
      <c r="D28" s="226"/>
      <c r="E28" s="146"/>
      <c r="F28" s="146"/>
      <c r="G28" s="147">
        <f>(1/10)*'Table 16'!$C$10</f>
        <v>3.3404426400634999</v>
      </c>
      <c r="H28" s="147" cm="1">
        <f t="array" ref="H28">INDEX($G$20:$G$29, ROW(H28)-ROW(H$20) + 1) * INDEX(Table_13!$E$8:$E$46, COLUMN(H28)-COLUMN($H28)+1)</f>
        <v>28.193335882135937</v>
      </c>
    </row>
    <row r="29" spans="2:8" ht="15" x14ac:dyDescent="0.35">
      <c r="B29" s="145">
        <v>10</v>
      </c>
      <c r="C29" s="145" t="s">
        <v>231</v>
      </c>
      <c r="D29" s="226"/>
      <c r="E29" s="146"/>
      <c r="F29" s="146"/>
      <c r="G29" s="147">
        <f>(1/10)*'Table 16'!$C$10</f>
        <v>3.3404426400634999</v>
      </c>
      <c r="H29" s="147" cm="1">
        <f t="array" ref="H29">INDEX($G$20:$G$29, ROW(H29)-ROW(H$20) + 1) * INDEX(Table_13!$E$8:$E$46, COLUMN(H29)-COLUMN($H29)+1)</f>
        <v>28.193335882135937</v>
      </c>
    </row>
    <row r="30" spans="2:8" s="232" customFormat="1" ht="15" x14ac:dyDescent="0.3">
      <c r="B30" s="470" t="s">
        <v>232</v>
      </c>
      <c r="C30" s="470"/>
      <c r="D30" s="470"/>
      <c r="E30" s="470"/>
      <c r="F30" s="470"/>
      <c r="G30" s="470"/>
      <c r="H30" s="231" cm="1">
        <f t="array" ref="H30">SUM($H20:H29*(COLUMNS($H20:H29)-COLUMN($H20:H29)+COLUMN($H20)=ROW($H20:H29)-ROW($H20)+1))</f>
        <v>0</v>
      </c>
    </row>
    <row r="31" spans="2:8" ht="15" x14ac:dyDescent="0.35">
      <c r="B31" s="129"/>
      <c r="C31" s="129"/>
      <c r="D31" s="228"/>
      <c r="E31" s="129"/>
      <c r="F31" s="129"/>
      <c r="G31" s="129"/>
      <c r="H31" s="129"/>
    </row>
    <row r="32" spans="2:8" ht="15" x14ac:dyDescent="0.35">
      <c r="B32" s="143" t="s">
        <v>235</v>
      </c>
      <c r="C32" s="129"/>
      <c r="D32" s="228"/>
      <c r="E32" s="129"/>
      <c r="F32" s="129"/>
      <c r="G32" s="129"/>
      <c r="H32" s="129"/>
    </row>
    <row r="33" spans="2:8" ht="15" customHeight="1" x14ac:dyDescent="0.3">
      <c r="B33" s="469" t="s">
        <v>216</v>
      </c>
      <c r="C33" s="469"/>
      <c r="D33" s="471" t="s">
        <v>217</v>
      </c>
      <c r="E33" s="461" t="s">
        <v>218</v>
      </c>
      <c r="F33" s="461" t="s">
        <v>219</v>
      </c>
      <c r="G33" s="461" t="s">
        <v>220</v>
      </c>
      <c r="H33" s="461" t="s">
        <v>236</v>
      </c>
    </row>
    <row r="34" spans="2:8" x14ac:dyDescent="0.3">
      <c r="B34" s="469"/>
      <c r="C34" s="469"/>
      <c r="D34" s="471"/>
      <c r="E34" s="461"/>
      <c r="F34" s="461"/>
      <c r="G34" s="461"/>
      <c r="H34" s="461"/>
    </row>
    <row r="35" spans="2:8" ht="15" x14ac:dyDescent="0.35">
      <c r="B35" s="145">
        <v>1</v>
      </c>
      <c r="C35" s="145" t="s">
        <v>222</v>
      </c>
      <c r="D35" s="147">
        <f>D5</f>
        <v>413.34</v>
      </c>
      <c r="E35" s="147">
        <f t="shared" ref="E35:F35" si="1">E5</f>
        <v>9.9200000000000017</v>
      </c>
      <c r="F35" s="147">
        <f t="shared" si="1"/>
        <v>0</v>
      </c>
      <c r="G35" s="147">
        <f>SUM(D35:F35)</f>
        <v>423.26</v>
      </c>
      <c r="H35" s="147" cm="1">
        <f t="array" ref="H35">INDEX($G$35:$G$44, ROW(H35)-ROW(H$35) + 1) * INDEX(Table_13!$O$8:$O$46, COLUMN(H35)-COLUMN($H35)+1)</f>
        <v>226240.93519999998</v>
      </c>
    </row>
    <row r="36" spans="2:8" ht="15" x14ac:dyDescent="0.35">
      <c r="B36" s="145">
        <v>2</v>
      </c>
      <c r="C36" s="145" t="s">
        <v>223</v>
      </c>
      <c r="D36" s="147">
        <f t="shared" ref="D36:F44" si="2">D6</f>
        <v>0</v>
      </c>
      <c r="E36" s="147">
        <f t="shared" si="2"/>
        <v>9.9200000000000017</v>
      </c>
      <c r="F36" s="147">
        <f t="shared" si="2"/>
        <v>0</v>
      </c>
      <c r="G36" s="147">
        <f t="shared" ref="G36:G44" si="3">SUM(D36:F36)</f>
        <v>9.9200000000000017</v>
      </c>
      <c r="H36" s="147" cm="1">
        <f t="array" ref="H36">INDEX($G$35:$G$44, ROW(H36)-ROW(H$35) + 1) * INDEX(Table_13!$O$8:$O$46, COLUMN(H36)-COLUMN($H36)+1)</f>
        <v>5302.4384000000009</v>
      </c>
    </row>
    <row r="37" spans="2:8" ht="15" x14ac:dyDescent="0.35">
      <c r="B37" s="145">
        <v>3</v>
      </c>
      <c r="C37" s="145" t="s">
        <v>224</v>
      </c>
      <c r="D37" s="147">
        <f t="shared" si="2"/>
        <v>0</v>
      </c>
      <c r="E37" s="147">
        <f t="shared" si="2"/>
        <v>9.9200000000000017</v>
      </c>
      <c r="F37" s="147">
        <f t="shared" si="2"/>
        <v>0</v>
      </c>
      <c r="G37" s="147">
        <f t="shared" si="3"/>
        <v>9.9200000000000017</v>
      </c>
      <c r="H37" s="147" cm="1">
        <f t="array" ref="H37">INDEX($G$35:$G$44, ROW(H37)-ROW(H$35) + 1) * INDEX(Table_13!$O$8:$O$46, COLUMN(H37)-COLUMN($H37)+1)</f>
        <v>5302.4384000000009</v>
      </c>
    </row>
    <row r="38" spans="2:8" ht="15" x14ac:dyDescent="0.35">
      <c r="B38" s="145">
        <v>4</v>
      </c>
      <c r="C38" s="145" t="s">
        <v>225</v>
      </c>
      <c r="D38" s="147">
        <f t="shared" si="2"/>
        <v>0</v>
      </c>
      <c r="E38" s="147">
        <f t="shared" si="2"/>
        <v>9.9200000000000017</v>
      </c>
      <c r="F38" s="147">
        <f t="shared" si="2"/>
        <v>0</v>
      </c>
      <c r="G38" s="147">
        <f t="shared" si="3"/>
        <v>9.9200000000000017</v>
      </c>
      <c r="H38" s="147" cm="1">
        <f t="array" ref="H38">INDEX($G$35:$G$44, ROW(H38)-ROW(H$35) + 1) * INDEX(Table_13!$O$8:$O$46, COLUMN(H38)-COLUMN($H38)+1)</f>
        <v>5302.4384000000009</v>
      </c>
    </row>
    <row r="39" spans="2:8" ht="15" x14ac:dyDescent="0.35">
      <c r="B39" s="145">
        <v>5</v>
      </c>
      <c r="C39" s="145" t="s">
        <v>226</v>
      </c>
      <c r="D39" s="147">
        <f t="shared" si="2"/>
        <v>0</v>
      </c>
      <c r="E39" s="147">
        <f t="shared" si="2"/>
        <v>9.9200000000000017</v>
      </c>
      <c r="F39" s="147">
        <f t="shared" si="2"/>
        <v>0</v>
      </c>
      <c r="G39" s="147">
        <f t="shared" si="3"/>
        <v>9.9200000000000017</v>
      </c>
      <c r="H39" s="147" cm="1">
        <f t="array" ref="H39">INDEX($G$35:$G$44, ROW(H39)-ROW(H$35) + 1) * INDEX(Table_13!$O$8:$O$46, COLUMN(H39)-COLUMN($H39)+1)</f>
        <v>5302.4384000000009</v>
      </c>
    </row>
    <row r="40" spans="2:8" ht="15" x14ac:dyDescent="0.35">
      <c r="B40" s="145">
        <v>6</v>
      </c>
      <c r="C40" s="145" t="s">
        <v>227</v>
      </c>
      <c r="D40" s="147">
        <f t="shared" si="2"/>
        <v>0</v>
      </c>
      <c r="E40" s="147">
        <f t="shared" si="2"/>
        <v>9.9200000000000017</v>
      </c>
      <c r="F40" s="147">
        <f t="shared" si="2"/>
        <v>0</v>
      </c>
      <c r="G40" s="147">
        <f t="shared" si="3"/>
        <v>9.9200000000000017</v>
      </c>
      <c r="H40" s="147" cm="1">
        <f t="array" ref="H40">INDEX($G$35:$G$44, ROW(H40)-ROW(H$35) + 1) * INDEX(Table_13!$O$8:$O$46, COLUMN(H40)-COLUMN($H40)+1)</f>
        <v>5302.4384000000009</v>
      </c>
    </row>
    <row r="41" spans="2:8" ht="15" x14ac:dyDescent="0.35">
      <c r="B41" s="145">
        <v>7</v>
      </c>
      <c r="C41" s="145" t="s">
        <v>228</v>
      </c>
      <c r="D41" s="147">
        <f t="shared" si="2"/>
        <v>0</v>
      </c>
      <c r="E41" s="147">
        <f t="shared" si="2"/>
        <v>9.9200000000000017</v>
      </c>
      <c r="F41" s="147">
        <f t="shared" si="2"/>
        <v>0</v>
      </c>
      <c r="G41" s="147">
        <f t="shared" si="3"/>
        <v>9.9200000000000017</v>
      </c>
      <c r="H41" s="147" cm="1">
        <f t="array" ref="H41">INDEX($G$35:$G$44, ROW(H41)-ROW(H$35) + 1) * INDEX(Table_13!$O$8:$O$46, COLUMN(H41)-COLUMN($H41)+1)</f>
        <v>5302.4384000000009</v>
      </c>
    </row>
    <row r="42" spans="2:8" ht="15" x14ac:dyDescent="0.35">
      <c r="B42" s="145">
        <v>8</v>
      </c>
      <c r="C42" s="145" t="s">
        <v>229</v>
      </c>
      <c r="D42" s="147">
        <f t="shared" si="2"/>
        <v>0</v>
      </c>
      <c r="E42" s="147">
        <f t="shared" si="2"/>
        <v>9.9200000000000017</v>
      </c>
      <c r="F42" s="147">
        <f t="shared" si="2"/>
        <v>0</v>
      </c>
      <c r="G42" s="147">
        <f t="shared" si="3"/>
        <v>9.9200000000000017</v>
      </c>
      <c r="H42" s="147" cm="1">
        <f t="array" ref="H42">INDEX($G$35:$G$44, ROW(H42)-ROW(H$35) + 1) * INDEX(Table_13!$O$8:$O$46, COLUMN(H42)-COLUMN($H42)+1)</f>
        <v>5302.4384000000009</v>
      </c>
    </row>
    <row r="43" spans="2:8" ht="15" x14ac:dyDescent="0.35">
      <c r="B43" s="145">
        <v>9</v>
      </c>
      <c r="C43" s="145" t="s">
        <v>230</v>
      </c>
      <c r="D43" s="147">
        <f t="shared" si="2"/>
        <v>0</v>
      </c>
      <c r="E43" s="147">
        <f t="shared" si="2"/>
        <v>9.9200000000000017</v>
      </c>
      <c r="F43" s="147">
        <f t="shared" si="2"/>
        <v>0</v>
      </c>
      <c r="G43" s="147">
        <f t="shared" si="3"/>
        <v>9.9200000000000017</v>
      </c>
      <c r="H43" s="147" cm="1">
        <f t="array" ref="H43">INDEX($G$35:$G$44, ROW(H43)-ROW(H$35) + 1) * INDEX(Table_13!$O$8:$O$46, COLUMN(H43)-COLUMN($H43)+1)</f>
        <v>5302.4384000000009</v>
      </c>
    </row>
    <row r="44" spans="2:8" ht="15" x14ac:dyDescent="0.35">
      <c r="B44" s="145">
        <v>10</v>
      </c>
      <c r="C44" s="145" t="s">
        <v>231</v>
      </c>
      <c r="D44" s="147">
        <f t="shared" si="2"/>
        <v>0</v>
      </c>
      <c r="E44" s="147">
        <f t="shared" si="2"/>
        <v>9.9200000000000017</v>
      </c>
      <c r="F44" s="147">
        <f t="shared" si="2"/>
        <v>0</v>
      </c>
      <c r="G44" s="147">
        <f t="shared" si="3"/>
        <v>9.9200000000000017</v>
      </c>
      <c r="H44" s="147" cm="1">
        <f t="array" ref="H44">INDEX($G$35:$G$44, ROW(H44)-ROW(H$35) + 1) * INDEX(Table_13!$O$8:$O$46, COLUMN(H44)-COLUMN($H44)+1)</f>
        <v>5302.4384000000009</v>
      </c>
    </row>
    <row r="45" spans="2:8" s="232" customFormat="1" ht="15" x14ac:dyDescent="0.3">
      <c r="B45" s="470" t="s">
        <v>232</v>
      </c>
      <c r="C45" s="470"/>
      <c r="D45" s="470"/>
      <c r="E45" s="470"/>
      <c r="F45" s="470"/>
      <c r="G45" s="470"/>
      <c r="H45" s="231" cm="1">
        <f t="array" ref="H45">SUM($H35:H44*(COLUMNS($H35:H44)-COLUMN($H35:H44)+COLUMN($H35)=ROW($H35:H44)-ROW($H35)+1))</f>
        <v>226240.93519999998</v>
      </c>
    </row>
    <row r="46" spans="2:8" s="109" customFormat="1" ht="15" x14ac:dyDescent="0.35">
      <c r="B46" s="155"/>
      <c r="C46" s="155"/>
      <c r="D46" s="227"/>
      <c r="E46" s="155"/>
      <c r="F46" s="155"/>
      <c r="G46" s="155"/>
      <c r="H46" s="155"/>
    </row>
    <row r="47" spans="2:8" s="109" customFormat="1" ht="15" x14ac:dyDescent="0.35">
      <c r="B47" s="154" t="s">
        <v>237</v>
      </c>
      <c r="C47" s="155"/>
      <c r="D47" s="227"/>
      <c r="E47" s="155"/>
      <c r="F47" s="155"/>
      <c r="G47" s="155"/>
      <c r="H47" s="155"/>
    </row>
    <row r="48" spans="2:8" ht="15" customHeight="1" x14ac:dyDescent="0.3">
      <c r="B48" s="469" t="s">
        <v>216</v>
      </c>
      <c r="C48" s="469"/>
      <c r="D48" s="471" t="s">
        <v>217</v>
      </c>
      <c r="E48" s="461" t="s">
        <v>218</v>
      </c>
      <c r="F48" s="461" t="s">
        <v>219</v>
      </c>
      <c r="G48" s="461" t="s">
        <v>220</v>
      </c>
      <c r="H48" s="461" t="s">
        <v>236</v>
      </c>
    </row>
    <row r="49" spans="2:8" x14ac:dyDescent="0.3">
      <c r="B49" s="469"/>
      <c r="C49" s="469"/>
      <c r="D49" s="471"/>
      <c r="E49" s="461"/>
      <c r="F49" s="475"/>
      <c r="G49" s="461"/>
      <c r="H49" s="461"/>
    </row>
    <row r="50" spans="2:8" ht="15" x14ac:dyDescent="0.35">
      <c r="B50" s="145">
        <v>1</v>
      </c>
      <c r="C50" s="145" t="s">
        <v>222</v>
      </c>
      <c r="D50" s="226"/>
      <c r="E50" s="233"/>
      <c r="F50" s="234"/>
      <c r="G50" s="235">
        <v>0</v>
      </c>
      <c r="H50" s="147" cm="1">
        <f t="array" ref="H50">INDEX($G$50:$G$59, ROW(H50)-ROW(H$50) + 1) * INDEX(Table_13!$O$8:$O$46, COLUMN(H50)-COLUMN($H50)+1)</f>
        <v>0</v>
      </c>
    </row>
    <row r="51" spans="2:8" ht="15" x14ac:dyDescent="0.35">
      <c r="B51" s="145">
        <v>2</v>
      </c>
      <c r="C51" s="145" t="s">
        <v>223</v>
      </c>
      <c r="D51" s="226"/>
      <c r="E51" s="233"/>
      <c r="F51" s="234"/>
      <c r="G51" s="235">
        <f>(1/10)*'Table 16'!$C$10</f>
        <v>3.3404426400634999</v>
      </c>
      <c r="H51" s="147" cm="1">
        <f t="array" ref="H51">INDEX($G$50:$G$59, ROW(H51)-ROW(H$50) + 1) * INDEX(Table_13!$O$8:$O$46, COLUMN(H51)-COLUMN($H51)+1)</f>
        <v>1785.5333999667419</v>
      </c>
    </row>
    <row r="52" spans="2:8" ht="15" x14ac:dyDescent="0.35">
      <c r="B52" s="145">
        <v>3</v>
      </c>
      <c r="C52" s="145" t="s">
        <v>224</v>
      </c>
      <c r="D52" s="226"/>
      <c r="E52" s="233"/>
      <c r="F52" s="234"/>
      <c r="G52" s="235">
        <f>(1/10)*'Table 16'!$C$10</f>
        <v>3.3404426400634999</v>
      </c>
      <c r="H52" s="147" cm="1">
        <f t="array" ref="H52">INDEX($G$50:$G$59, ROW(H52)-ROW(H$50) + 1) * INDEX(Table_13!$O$8:$O$46, COLUMN(H52)-COLUMN($H52)+1)</f>
        <v>1785.5333999667419</v>
      </c>
    </row>
    <row r="53" spans="2:8" ht="15" x14ac:dyDescent="0.35">
      <c r="B53" s="145">
        <v>4</v>
      </c>
      <c r="C53" s="145" t="s">
        <v>225</v>
      </c>
      <c r="D53" s="226"/>
      <c r="E53" s="233"/>
      <c r="F53" s="234"/>
      <c r="G53" s="235">
        <f>(1/10)*'Table 16'!$C$10</f>
        <v>3.3404426400634999</v>
      </c>
      <c r="H53" s="147" cm="1">
        <f t="array" ref="H53">INDEX($G$50:$G$59, ROW(H53)-ROW(H$50) + 1) * INDEX(Table_13!$O$8:$O$46, COLUMN(H53)-COLUMN($H53)+1)</f>
        <v>1785.5333999667419</v>
      </c>
    </row>
    <row r="54" spans="2:8" ht="15" x14ac:dyDescent="0.35">
      <c r="B54" s="145">
        <v>5</v>
      </c>
      <c r="C54" s="145" t="s">
        <v>226</v>
      </c>
      <c r="D54" s="226"/>
      <c r="E54" s="233"/>
      <c r="F54" s="234"/>
      <c r="G54" s="235">
        <f>(1/10)*'Table 16'!$C$10</f>
        <v>3.3404426400634999</v>
      </c>
      <c r="H54" s="147" cm="1">
        <f t="array" ref="H54">INDEX($G$50:$G$59, ROW(H54)-ROW(H$50) + 1) * INDEX(Table_13!$O$8:$O$46, COLUMN(H54)-COLUMN($H54)+1)</f>
        <v>1785.5333999667419</v>
      </c>
    </row>
    <row r="55" spans="2:8" ht="15" x14ac:dyDescent="0.35">
      <c r="B55" s="145">
        <v>6</v>
      </c>
      <c r="C55" s="145" t="s">
        <v>227</v>
      </c>
      <c r="D55" s="226"/>
      <c r="E55" s="233"/>
      <c r="F55" s="234"/>
      <c r="G55" s="235">
        <f>(1/10)*'Table 16'!$C$10</f>
        <v>3.3404426400634999</v>
      </c>
      <c r="H55" s="147" cm="1">
        <f t="array" ref="H55">INDEX($G$50:$G$59, ROW(H55)-ROW(H$50) + 1) * INDEX(Table_13!$O$8:$O$46, COLUMN(H55)-COLUMN($H55)+1)</f>
        <v>1785.5333999667419</v>
      </c>
    </row>
    <row r="56" spans="2:8" ht="15" x14ac:dyDescent="0.35">
      <c r="B56" s="145">
        <v>7</v>
      </c>
      <c r="C56" s="145" t="s">
        <v>228</v>
      </c>
      <c r="D56" s="226"/>
      <c r="E56" s="233"/>
      <c r="F56" s="234"/>
      <c r="G56" s="235">
        <f>(1/10)*'Table 16'!$C$10</f>
        <v>3.3404426400634999</v>
      </c>
      <c r="H56" s="147" cm="1">
        <f t="array" ref="H56">INDEX($G$50:$G$59, ROW(H56)-ROW(H$50) + 1) * INDEX(Table_13!$O$8:$O$46, COLUMN(H56)-COLUMN($H56)+1)</f>
        <v>1785.5333999667419</v>
      </c>
    </row>
    <row r="57" spans="2:8" ht="15" x14ac:dyDescent="0.35">
      <c r="B57" s="145">
        <v>8</v>
      </c>
      <c r="C57" s="145" t="s">
        <v>229</v>
      </c>
      <c r="D57" s="226"/>
      <c r="E57" s="233"/>
      <c r="F57" s="234"/>
      <c r="G57" s="235">
        <f>(1/10)*'Table 16'!$C$10</f>
        <v>3.3404426400634999</v>
      </c>
      <c r="H57" s="147" cm="1">
        <f t="array" ref="H57">INDEX($G$50:$G$59, ROW(H57)-ROW(H$50) + 1) * INDEX(Table_13!$O$8:$O$46, COLUMN(H57)-COLUMN($H57)+1)</f>
        <v>1785.5333999667419</v>
      </c>
    </row>
    <row r="58" spans="2:8" ht="15" x14ac:dyDescent="0.35">
      <c r="B58" s="145">
        <v>9</v>
      </c>
      <c r="C58" s="145" t="s">
        <v>230</v>
      </c>
      <c r="D58" s="226"/>
      <c r="E58" s="233"/>
      <c r="F58" s="234"/>
      <c r="G58" s="235">
        <f>(1/10)*'Table 16'!$C$10</f>
        <v>3.3404426400634999</v>
      </c>
      <c r="H58" s="147" cm="1">
        <f t="array" ref="H58">INDEX($G$50:$G$59, ROW(H58)-ROW(H$50) + 1) * INDEX(Table_13!$O$8:$O$46, COLUMN(H58)-COLUMN($H58)+1)</f>
        <v>1785.5333999667419</v>
      </c>
    </row>
    <row r="59" spans="2:8" ht="15" x14ac:dyDescent="0.35">
      <c r="B59" s="145">
        <v>10</v>
      </c>
      <c r="C59" s="145" t="s">
        <v>231</v>
      </c>
      <c r="D59" s="226"/>
      <c r="E59" s="233"/>
      <c r="F59" s="234"/>
      <c r="G59" s="235">
        <f>(1/10)*'Table 16'!$C$10</f>
        <v>3.3404426400634999</v>
      </c>
      <c r="H59" s="147" cm="1">
        <f t="array" ref="H59">INDEX($G$50:$G$59, ROW(H59)-ROW(H$50) + 1) * INDEX(Table_13!$O$8:$O$46, COLUMN(H59)-COLUMN($H59)+1)</f>
        <v>1785.5333999667419</v>
      </c>
    </row>
    <row r="60" spans="2:8" ht="15" x14ac:dyDescent="0.3">
      <c r="B60" s="461" t="s">
        <v>232</v>
      </c>
      <c r="C60" s="461"/>
      <c r="D60" s="461"/>
      <c r="E60" s="461"/>
      <c r="F60" s="472"/>
      <c r="G60" s="461"/>
      <c r="H60" s="231" cm="1">
        <f t="array" ref="H60">SUM($H50:H59*(COLUMNS($H50:H59)-COLUMN($H50:H59)+COLUMN($H50)=ROW($H50:H59)-ROW($H50)+1))</f>
        <v>0</v>
      </c>
    </row>
  </sheetData>
  <mergeCells count="28">
    <mergeCell ref="B60:G60"/>
    <mergeCell ref="D3:D4"/>
    <mergeCell ref="B45:G45"/>
    <mergeCell ref="B48:C49"/>
    <mergeCell ref="D48:D49"/>
    <mergeCell ref="E48:E49"/>
    <mergeCell ref="F48:F49"/>
    <mergeCell ref="G48:G49"/>
    <mergeCell ref="B15:G15"/>
    <mergeCell ref="B18:C19"/>
    <mergeCell ref="D18:D19"/>
    <mergeCell ref="E18:E19"/>
    <mergeCell ref="F18:F19"/>
    <mergeCell ref="G18:G19"/>
    <mergeCell ref="H48:H49"/>
    <mergeCell ref="B30:G30"/>
    <mergeCell ref="B33:C34"/>
    <mergeCell ref="D33:D34"/>
    <mergeCell ref="E33:E34"/>
    <mergeCell ref="F33:F34"/>
    <mergeCell ref="G33:G34"/>
    <mergeCell ref="H33:H34"/>
    <mergeCell ref="H18:H19"/>
    <mergeCell ref="B3:C4"/>
    <mergeCell ref="E3:E4"/>
    <mergeCell ref="F3:F4"/>
    <mergeCell ref="G3:G4"/>
    <mergeCell ref="H3:H4"/>
  </mergeCells>
  <phoneticPr fontId="72" type="noConversion"/>
  <pageMargins left="0.511811024" right="0.511811024" top="0.78740157499999996" bottom="0.78740157499999996" header="0.31496062000000002" footer="0.31496062000000002"/>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2DE44-E1B7-4268-B3A3-9E26EF5C43E1}">
  <sheetPr>
    <tabColor rgb="FF92D050"/>
  </sheetPr>
  <dimension ref="A2:AM11"/>
  <sheetViews>
    <sheetView workbookViewId="0">
      <selection activeCell="D11" sqref="D11"/>
    </sheetView>
  </sheetViews>
  <sheetFormatPr defaultColWidth="9.21875" defaultRowHeight="15" x14ac:dyDescent="0.35"/>
  <cols>
    <col min="1" max="1" width="9.21875" style="125"/>
    <col min="2" max="2" width="15.77734375" style="3" customWidth="1"/>
    <col min="3" max="3" width="13.77734375" style="3" customWidth="1"/>
    <col min="4" max="4" width="13" style="3" customWidth="1"/>
    <col min="5" max="5" width="11.5546875" style="3" customWidth="1"/>
    <col min="6" max="6" width="11.44140625" style="3" customWidth="1"/>
    <col min="7" max="7" width="9.21875" style="125"/>
    <col min="8" max="8" width="14.77734375" style="3" customWidth="1"/>
    <col min="9" max="9" width="13.21875" style="3" customWidth="1"/>
    <col min="10" max="10" width="9.21875" style="3" customWidth="1"/>
    <col min="11" max="11" width="12.21875" style="3" customWidth="1"/>
    <col min="12" max="12" width="12.77734375" style="3" customWidth="1"/>
    <col min="13" max="13" width="9.21875" style="3"/>
    <col min="14" max="15" width="11.21875" style="3" bestFit="1" customWidth="1"/>
    <col min="16" max="16" width="9.21875" style="3"/>
    <col min="17" max="17" width="15.44140625" style="3" customWidth="1"/>
    <col min="18" max="18" width="13.21875" style="3" customWidth="1"/>
    <col min="19" max="19" width="12.77734375" style="3" bestFit="1" customWidth="1"/>
    <col min="20" max="20" width="12.21875" style="3" customWidth="1"/>
    <col min="21" max="21" width="13.21875" style="3" bestFit="1" customWidth="1"/>
    <col min="22" max="22" width="9.21875" style="3"/>
    <col min="23" max="23" width="13.77734375" style="3" customWidth="1"/>
    <col min="24" max="24" width="12.44140625" style="3" customWidth="1"/>
    <col min="25" max="25" width="10.21875" style="3" bestFit="1" customWidth="1"/>
    <col min="26" max="26" width="11.5546875" style="3" bestFit="1" customWidth="1"/>
    <col min="27" max="27" width="11.21875" style="3" bestFit="1" customWidth="1"/>
    <col min="28" max="28" width="9.21875" style="3"/>
    <col min="29" max="29" width="11.77734375" style="3" bestFit="1" customWidth="1"/>
    <col min="30" max="30" width="13.21875" style="3" bestFit="1" customWidth="1"/>
    <col min="31" max="31" width="13.77734375" style="3" bestFit="1" customWidth="1"/>
    <col min="32" max="32" width="14.77734375" style="3" bestFit="1" customWidth="1"/>
    <col min="33" max="33" width="9.21875" style="3"/>
    <col min="34" max="34" width="14.21875" style="241" customWidth="1"/>
    <col min="35" max="35" width="12.77734375" style="3" customWidth="1"/>
    <col min="36" max="39" width="9.21875" style="125"/>
    <col min="40" max="16384" width="9.21875" style="3"/>
  </cols>
  <sheetData>
    <row r="2" spans="2:35" s="125" customFormat="1" x14ac:dyDescent="0.35">
      <c r="B2" s="155" t="s">
        <v>238</v>
      </c>
      <c r="D2" s="155"/>
      <c r="E2" s="155"/>
      <c r="F2" s="155"/>
      <c r="G2" s="476"/>
      <c r="H2" s="476"/>
      <c r="I2" s="476"/>
      <c r="J2" s="154"/>
      <c r="K2" s="154"/>
      <c r="L2" s="154"/>
      <c r="M2" s="476"/>
      <c r="N2" s="476"/>
      <c r="O2" s="155"/>
      <c r="P2" s="155"/>
      <c r="Q2" s="155" t="s">
        <v>239</v>
      </c>
      <c r="S2" s="155"/>
      <c r="T2" s="155"/>
      <c r="U2" s="155"/>
      <c r="V2" s="477"/>
      <c r="W2" s="477"/>
      <c r="X2" s="477"/>
      <c r="Y2" s="155"/>
      <c r="Z2" s="155"/>
      <c r="AA2" s="155"/>
      <c r="AB2" s="477"/>
      <c r="AC2" s="477"/>
      <c r="AD2" s="155"/>
      <c r="AE2" s="155"/>
      <c r="AF2" s="155"/>
      <c r="AG2" s="223"/>
      <c r="AH2" s="238" t="s">
        <v>240</v>
      </c>
      <c r="AI2" s="155"/>
    </row>
    <row r="3" spans="2:35" s="125" customFormat="1" ht="3.75" customHeight="1" x14ac:dyDescent="0.35">
      <c r="C3" s="155"/>
      <c r="D3" s="155"/>
      <c r="E3" s="155"/>
      <c r="F3" s="155"/>
      <c r="G3" s="478"/>
      <c r="H3" s="478"/>
      <c r="I3" s="478"/>
      <c r="J3" s="155"/>
      <c r="K3" s="155"/>
      <c r="L3" s="155"/>
      <c r="M3" s="478"/>
      <c r="N3" s="478"/>
      <c r="O3" s="155"/>
      <c r="P3" s="478"/>
      <c r="Q3" s="478"/>
      <c r="R3" s="478"/>
      <c r="S3" s="155"/>
      <c r="T3" s="155"/>
      <c r="U3" s="155"/>
      <c r="V3" s="478"/>
      <c r="W3" s="478"/>
      <c r="X3" s="478"/>
      <c r="Y3" s="155"/>
      <c r="Z3" s="155"/>
      <c r="AA3" s="155"/>
      <c r="AB3" s="478"/>
      <c r="AC3" s="478"/>
      <c r="AD3" s="155"/>
      <c r="AE3" s="155"/>
      <c r="AF3" s="155"/>
      <c r="AG3" s="155"/>
      <c r="AH3" s="237"/>
      <c r="AI3" s="155"/>
    </row>
    <row r="4" spans="2:35" ht="20.25" customHeight="1" x14ac:dyDescent="0.35">
      <c r="B4" s="469" t="s">
        <v>241</v>
      </c>
      <c r="C4" s="469"/>
      <c r="D4" s="469"/>
      <c r="E4" s="479" t="s">
        <v>242</v>
      </c>
      <c r="F4" s="479"/>
      <c r="G4" s="156"/>
      <c r="H4" s="469" t="s">
        <v>243</v>
      </c>
      <c r="I4" s="469"/>
      <c r="J4" s="469"/>
      <c r="K4" s="469" t="s">
        <v>244</v>
      </c>
      <c r="L4" s="469"/>
      <c r="M4" s="159"/>
      <c r="N4" s="469" t="s">
        <v>245</v>
      </c>
      <c r="O4" s="469"/>
      <c r="P4" s="159"/>
      <c r="Q4" s="469" t="s">
        <v>241</v>
      </c>
      <c r="R4" s="469"/>
      <c r="S4" s="469"/>
      <c r="T4" s="469" t="s">
        <v>246</v>
      </c>
      <c r="U4" s="469"/>
      <c r="V4" s="159"/>
      <c r="W4" s="469" t="s">
        <v>243</v>
      </c>
      <c r="X4" s="469"/>
      <c r="Y4" s="469"/>
      <c r="Z4" s="469" t="s">
        <v>247</v>
      </c>
      <c r="AA4" s="469"/>
      <c r="AB4" s="159"/>
      <c r="AC4" s="469" t="s">
        <v>248</v>
      </c>
      <c r="AD4" s="469"/>
      <c r="AE4" s="469" t="s">
        <v>249</v>
      </c>
      <c r="AF4" s="469"/>
      <c r="AG4" s="148"/>
      <c r="AH4" s="469" t="s">
        <v>250</v>
      </c>
      <c r="AI4" s="469"/>
    </row>
    <row r="5" spans="2:35" x14ac:dyDescent="0.35">
      <c r="B5" s="469"/>
      <c r="C5" s="469"/>
      <c r="D5" s="469"/>
      <c r="E5" s="479"/>
      <c r="F5" s="479"/>
      <c r="G5" s="156"/>
      <c r="H5" s="469"/>
      <c r="I5" s="469"/>
      <c r="J5" s="469"/>
      <c r="K5" s="469"/>
      <c r="L5" s="469"/>
      <c r="M5" s="159"/>
      <c r="N5" s="469"/>
      <c r="O5" s="469"/>
      <c r="P5" s="159"/>
      <c r="Q5" s="469"/>
      <c r="R5" s="469"/>
      <c r="S5" s="469"/>
      <c r="T5" s="469"/>
      <c r="U5" s="469"/>
      <c r="V5" s="159"/>
      <c r="W5" s="469"/>
      <c r="X5" s="469"/>
      <c r="Y5" s="469"/>
      <c r="Z5" s="469"/>
      <c r="AA5" s="469"/>
      <c r="AB5" s="159"/>
      <c r="AC5" s="469"/>
      <c r="AD5" s="469"/>
      <c r="AE5" s="469"/>
      <c r="AF5" s="469"/>
      <c r="AG5" s="148"/>
      <c r="AH5" s="469"/>
      <c r="AI5" s="469"/>
    </row>
    <row r="6" spans="2:35" ht="24" customHeight="1" x14ac:dyDescent="0.35">
      <c r="B6" s="469"/>
      <c r="C6" s="469"/>
      <c r="D6" s="469"/>
      <c r="E6" s="479"/>
      <c r="F6" s="479"/>
      <c r="G6" s="156"/>
      <c r="H6" s="469"/>
      <c r="I6" s="469"/>
      <c r="J6" s="469"/>
      <c r="K6" s="469"/>
      <c r="L6" s="469"/>
      <c r="M6" s="159"/>
      <c r="N6" s="469"/>
      <c r="O6" s="469"/>
      <c r="P6" s="159"/>
      <c r="Q6" s="469"/>
      <c r="R6" s="469"/>
      <c r="S6" s="469"/>
      <c r="T6" s="469"/>
      <c r="U6" s="469"/>
      <c r="V6" s="159"/>
      <c r="W6" s="469"/>
      <c r="X6" s="469"/>
      <c r="Y6" s="469"/>
      <c r="Z6" s="469"/>
      <c r="AA6" s="469"/>
      <c r="AB6" s="159"/>
      <c r="AC6" s="469"/>
      <c r="AD6" s="469"/>
      <c r="AE6" s="469"/>
      <c r="AF6" s="469"/>
      <c r="AG6" s="148"/>
      <c r="AH6" s="469"/>
      <c r="AI6" s="469"/>
    </row>
    <row r="7" spans="2:35" ht="16.2" x14ac:dyDescent="0.35">
      <c r="B7" s="461" t="s">
        <v>251</v>
      </c>
      <c r="C7" s="461"/>
      <c r="D7" s="131">
        <v>1</v>
      </c>
      <c r="E7" s="131" t="s">
        <v>252</v>
      </c>
      <c r="F7" s="131" t="s">
        <v>253</v>
      </c>
      <c r="G7" s="158"/>
      <c r="H7" s="461" t="s">
        <v>254</v>
      </c>
      <c r="I7" s="461"/>
      <c r="J7" s="131">
        <v>1</v>
      </c>
      <c r="K7" s="131" t="s">
        <v>255</v>
      </c>
      <c r="L7" s="131" t="s">
        <v>256</v>
      </c>
      <c r="M7" s="159"/>
      <c r="N7" s="131" t="s">
        <v>257</v>
      </c>
      <c r="O7" s="131" t="s">
        <v>258</v>
      </c>
      <c r="P7" s="159"/>
      <c r="Q7" s="461" t="s">
        <v>251</v>
      </c>
      <c r="R7" s="461"/>
      <c r="S7" s="131">
        <v>1</v>
      </c>
      <c r="T7" s="131" t="s">
        <v>259</v>
      </c>
      <c r="U7" s="131" t="s">
        <v>260</v>
      </c>
      <c r="V7" s="159"/>
      <c r="W7" s="461" t="s">
        <v>254</v>
      </c>
      <c r="X7" s="461"/>
      <c r="Y7" s="131">
        <v>1</v>
      </c>
      <c r="Z7" s="131" t="s">
        <v>261</v>
      </c>
      <c r="AA7" s="131" t="s">
        <v>262</v>
      </c>
      <c r="AB7" s="159"/>
      <c r="AC7" s="131" t="s">
        <v>263</v>
      </c>
      <c r="AD7" s="131" t="s">
        <v>264</v>
      </c>
      <c r="AE7" s="153" t="s">
        <v>265</v>
      </c>
      <c r="AF7" s="153" t="s">
        <v>264</v>
      </c>
      <c r="AG7" s="148"/>
      <c r="AH7" s="239" t="s">
        <v>265</v>
      </c>
      <c r="AI7" s="160" t="s">
        <v>264</v>
      </c>
    </row>
    <row r="8" spans="2:35" ht="15.75" customHeight="1" x14ac:dyDescent="0.35">
      <c r="B8" s="461" t="s">
        <v>266</v>
      </c>
      <c r="C8" s="461"/>
      <c r="D8" s="144" t="s">
        <v>267</v>
      </c>
      <c r="E8" s="131" t="s">
        <v>118</v>
      </c>
      <c r="F8" s="131" t="s">
        <v>119</v>
      </c>
      <c r="G8" s="158"/>
      <c r="H8" s="461" t="s">
        <v>266</v>
      </c>
      <c r="I8" s="461"/>
      <c r="J8" s="144" t="s">
        <v>117</v>
      </c>
      <c r="K8" s="131" t="s">
        <v>118</v>
      </c>
      <c r="L8" s="131" t="s">
        <v>119</v>
      </c>
      <c r="M8" s="159"/>
      <c r="N8" s="131" t="s">
        <v>118</v>
      </c>
      <c r="O8" s="131" t="s">
        <v>119</v>
      </c>
      <c r="P8" s="159"/>
      <c r="Q8" s="461" t="s">
        <v>266</v>
      </c>
      <c r="R8" s="461"/>
      <c r="S8" s="144" t="s">
        <v>267</v>
      </c>
      <c r="T8" s="131" t="s">
        <v>118</v>
      </c>
      <c r="U8" s="131" t="s">
        <v>119</v>
      </c>
      <c r="V8" s="159"/>
      <c r="W8" s="461" t="s">
        <v>266</v>
      </c>
      <c r="X8" s="461"/>
      <c r="Y8" s="144" t="s">
        <v>117</v>
      </c>
      <c r="Z8" s="131" t="s">
        <v>118</v>
      </c>
      <c r="AA8" s="131" t="s">
        <v>119</v>
      </c>
      <c r="AB8" s="159"/>
      <c r="AC8" s="131" t="s">
        <v>118</v>
      </c>
      <c r="AD8" s="131" t="s">
        <v>119</v>
      </c>
      <c r="AE8" s="153" t="s">
        <v>118</v>
      </c>
      <c r="AF8" s="153" t="s">
        <v>119</v>
      </c>
      <c r="AG8" s="148"/>
      <c r="AH8" s="239" t="s">
        <v>118</v>
      </c>
      <c r="AI8" s="160" t="s">
        <v>119</v>
      </c>
    </row>
    <row r="9" spans="2:35" ht="14.25" customHeight="1" x14ac:dyDescent="0.35">
      <c r="B9" s="469" t="s">
        <v>268</v>
      </c>
      <c r="C9" s="469"/>
      <c r="D9" s="469" t="s">
        <v>269</v>
      </c>
      <c r="E9" s="469" t="s">
        <v>269</v>
      </c>
      <c r="F9" s="469" t="s">
        <v>269</v>
      </c>
      <c r="G9" s="158"/>
      <c r="H9" s="469" t="s">
        <v>268</v>
      </c>
      <c r="I9" s="469"/>
      <c r="J9" s="469" t="s">
        <v>269</v>
      </c>
      <c r="K9" s="469" t="s">
        <v>269</v>
      </c>
      <c r="L9" s="469" t="s">
        <v>269</v>
      </c>
      <c r="M9" s="159"/>
      <c r="N9" s="469" t="s">
        <v>269</v>
      </c>
      <c r="O9" s="469" t="s">
        <v>269</v>
      </c>
      <c r="P9" s="159"/>
      <c r="Q9" s="469" t="s">
        <v>268</v>
      </c>
      <c r="R9" s="469"/>
      <c r="S9" s="469" t="s">
        <v>269</v>
      </c>
      <c r="T9" s="469" t="s">
        <v>269</v>
      </c>
      <c r="U9" s="469" t="s">
        <v>269</v>
      </c>
      <c r="V9" s="159"/>
      <c r="W9" s="469" t="s">
        <v>268</v>
      </c>
      <c r="X9" s="469"/>
      <c r="Y9" s="469" t="s">
        <v>269</v>
      </c>
      <c r="Z9" s="469" t="s">
        <v>269</v>
      </c>
      <c r="AA9" s="469" t="s">
        <v>269</v>
      </c>
      <c r="AB9" s="159"/>
      <c r="AC9" s="469" t="s">
        <v>269</v>
      </c>
      <c r="AD9" s="469" t="s">
        <v>269</v>
      </c>
      <c r="AE9" s="480" t="s">
        <v>270</v>
      </c>
      <c r="AF9" s="480" t="s">
        <v>270</v>
      </c>
      <c r="AG9" s="148"/>
      <c r="AH9" s="481" t="s">
        <v>269</v>
      </c>
      <c r="AI9" s="479" t="s">
        <v>269</v>
      </c>
    </row>
    <row r="10" spans="2:35" x14ac:dyDescent="0.35">
      <c r="B10" s="18" t="s">
        <v>105</v>
      </c>
      <c r="C10" s="18" t="s">
        <v>106</v>
      </c>
      <c r="D10" s="469"/>
      <c r="E10" s="469"/>
      <c r="F10" s="469"/>
      <c r="G10" s="158"/>
      <c r="H10" s="18" t="s">
        <v>105</v>
      </c>
      <c r="I10" s="18" t="s">
        <v>106</v>
      </c>
      <c r="J10" s="469"/>
      <c r="K10" s="469"/>
      <c r="L10" s="469"/>
      <c r="M10" s="159"/>
      <c r="N10" s="469"/>
      <c r="O10" s="469"/>
      <c r="P10" s="159"/>
      <c r="Q10" s="18" t="s">
        <v>105</v>
      </c>
      <c r="R10" s="18" t="s">
        <v>106</v>
      </c>
      <c r="S10" s="469"/>
      <c r="T10" s="469"/>
      <c r="U10" s="469"/>
      <c r="V10" s="159"/>
      <c r="W10" s="18" t="s">
        <v>105</v>
      </c>
      <c r="X10" s="18" t="s">
        <v>106</v>
      </c>
      <c r="Y10" s="469"/>
      <c r="Z10" s="469"/>
      <c r="AA10" s="469"/>
      <c r="AB10" s="159"/>
      <c r="AC10" s="469"/>
      <c r="AD10" s="469"/>
      <c r="AE10" s="480"/>
      <c r="AF10" s="480"/>
      <c r="AG10" s="148"/>
      <c r="AH10" s="481"/>
      <c r="AI10" s="479"/>
    </row>
    <row r="11" spans="2:35" s="62" customFormat="1" ht="14.25" customHeight="1" x14ac:dyDescent="0.3">
      <c r="B11" s="121">
        <v>44147</v>
      </c>
      <c r="C11" s="121">
        <v>44511</v>
      </c>
      <c r="D11" s="150" cm="1">
        <f t="array" ref="D11">TRANSPOSE('Table 20'!H15:H15)</f>
        <v>3572.3143999999998</v>
      </c>
      <c r="E11" s="150">
        <f>D11</f>
        <v>3572.3143999999998</v>
      </c>
      <c r="F11" s="150">
        <f>E11</f>
        <v>3572.3143999999998</v>
      </c>
      <c r="G11" s="158"/>
      <c r="H11" s="121">
        <v>44147</v>
      </c>
      <c r="I11" s="121">
        <v>44511</v>
      </c>
      <c r="J11" s="145" cm="1">
        <f t="array" ref="J11">TRANSPOSE('Table 20'!H30:H30)</f>
        <v>0</v>
      </c>
      <c r="K11" s="145">
        <f>J11</f>
        <v>0</v>
      </c>
      <c r="L11" s="150">
        <f>K11</f>
        <v>0</v>
      </c>
      <c r="M11" s="236"/>
      <c r="N11" s="150">
        <f>E11-K11</f>
        <v>3572.3143999999998</v>
      </c>
      <c r="O11" s="150">
        <f>N11</f>
        <v>3572.3143999999998</v>
      </c>
      <c r="P11" s="159"/>
      <c r="Q11" s="121">
        <v>44147</v>
      </c>
      <c r="R11" s="121">
        <v>44511</v>
      </c>
      <c r="S11" s="150" cm="1">
        <f t="array" ref="S11">TRANSPOSE('Table 20'!H45:H45)</f>
        <v>226240.93519999998</v>
      </c>
      <c r="T11" s="150">
        <f>S11</f>
        <v>226240.93519999998</v>
      </c>
      <c r="U11" s="150">
        <f>T11</f>
        <v>226240.93519999998</v>
      </c>
      <c r="V11" s="159"/>
      <c r="W11" s="121">
        <v>44147</v>
      </c>
      <c r="X11" s="121">
        <v>44511</v>
      </c>
      <c r="Y11" s="145" cm="1">
        <f t="array" ref="Y11">TRANSPOSE('Table 20'!H60:H60)</f>
        <v>0</v>
      </c>
      <c r="Z11" s="150">
        <f>Y11</f>
        <v>0</v>
      </c>
      <c r="AA11" s="150">
        <f>Z11</f>
        <v>0</v>
      </c>
      <c r="AB11" s="236"/>
      <c r="AC11" s="150">
        <f>T11-Z11</f>
        <v>226240.93519999998</v>
      </c>
      <c r="AD11" s="150">
        <f>AC11</f>
        <v>226240.93519999998</v>
      </c>
      <c r="AE11" s="150">
        <v>232794.9653333333</v>
      </c>
      <c r="AF11" s="150">
        <v>232794.9653333333</v>
      </c>
      <c r="AG11" s="159"/>
      <c r="AH11" s="240">
        <f>MAX(AC11-AE11,0)</f>
        <v>0</v>
      </c>
      <c r="AI11" s="150">
        <f>AH11</f>
        <v>0</v>
      </c>
    </row>
  </sheetData>
  <mergeCells count="53">
    <mergeCell ref="Q7:R7"/>
    <mergeCell ref="Q8:R8"/>
    <mergeCell ref="Q9:R9"/>
    <mergeCell ref="W4:Y6"/>
    <mergeCell ref="W7:X7"/>
    <mergeCell ref="W8:X8"/>
    <mergeCell ref="W9:X9"/>
    <mergeCell ref="T4:U6"/>
    <mergeCell ref="B7:C7"/>
    <mergeCell ref="B8:C8"/>
    <mergeCell ref="H4:J6"/>
    <mergeCell ref="H7:I7"/>
    <mergeCell ref="H8:I8"/>
    <mergeCell ref="B4:D6"/>
    <mergeCell ref="H9:I9"/>
    <mergeCell ref="B9:C9"/>
    <mergeCell ref="AC9:AC10"/>
    <mergeCell ref="AD9:AD10"/>
    <mergeCell ref="AE9:AE10"/>
    <mergeCell ref="K9:K10"/>
    <mergeCell ref="L9:L10"/>
    <mergeCell ref="N9:N10"/>
    <mergeCell ref="O9:O10"/>
    <mergeCell ref="S9:S10"/>
    <mergeCell ref="D9:D10"/>
    <mergeCell ref="E9:E10"/>
    <mergeCell ref="F9:F10"/>
    <mergeCell ref="J9:J10"/>
    <mergeCell ref="AF9:AF10"/>
    <mergeCell ref="AH9:AH10"/>
    <mergeCell ref="AI9:AI10"/>
    <mergeCell ref="T9:T10"/>
    <mergeCell ref="U9:U10"/>
    <mergeCell ref="Y9:Y10"/>
    <mergeCell ref="Z9:Z10"/>
    <mergeCell ref="AA9:AA10"/>
    <mergeCell ref="AE4:AF6"/>
    <mergeCell ref="AH4:AI6"/>
    <mergeCell ref="E4:F6"/>
    <mergeCell ref="K4:L6"/>
    <mergeCell ref="N4:O6"/>
    <mergeCell ref="Q4:S6"/>
    <mergeCell ref="G2:I2"/>
    <mergeCell ref="M2:N2"/>
    <mergeCell ref="V2:X2"/>
    <mergeCell ref="AB2:AC2"/>
    <mergeCell ref="Z4:AA6"/>
    <mergeCell ref="AC4:AD6"/>
    <mergeCell ref="G3:I3"/>
    <mergeCell ref="M3:N3"/>
    <mergeCell ref="P3:R3"/>
    <mergeCell ref="V3:X3"/>
    <mergeCell ref="AB3:AC3"/>
  </mergeCells>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A72E4-854C-439A-82D5-69AC5A758FB3}">
  <sheetPr>
    <tabColor rgb="FF92D050"/>
  </sheetPr>
  <dimension ref="A2:AC40"/>
  <sheetViews>
    <sheetView topLeftCell="A4" zoomScale="85" zoomScaleNormal="85" workbookViewId="0">
      <selection activeCell="K8" sqref="K8"/>
    </sheetView>
  </sheetViews>
  <sheetFormatPr defaultRowHeight="14.4" x14ac:dyDescent="0.3"/>
  <cols>
    <col min="6" max="6" width="11.77734375" customWidth="1"/>
    <col min="15" max="16" width="9.21875" style="109"/>
    <col min="17" max="17" width="15.21875" customWidth="1"/>
    <col min="18" max="18" width="18.21875" customWidth="1"/>
    <col min="19" max="19" width="13.77734375" customWidth="1"/>
    <col min="20" max="20" width="22.77734375" bestFit="1" customWidth="1"/>
    <col min="21" max="22" width="9.21875" style="109"/>
    <col min="23" max="23" width="14.5546875" style="109" customWidth="1"/>
    <col min="24" max="29" width="9.21875" style="109"/>
  </cols>
  <sheetData>
    <row r="2" spans="1:29" s="109" customFormat="1" ht="15" x14ac:dyDescent="0.35">
      <c r="A2" s="299" t="s">
        <v>271</v>
      </c>
      <c r="B2" s="300"/>
      <c r="C2" s="300"/>
      <c r="D2" s="300"/>
      <c r="E2" s="300"/>
      <c r="F2" s="300"/>
      <c r="G2" s="300"/>
      <c r="H2" s="300"/>
      <c r="I2" s="300"/>
      <c r="J2" s="300"/>
      <c r="K2" s="300"/>
      <c r="O2" s="163"/>
      <c r="P2" s="163"/>
    </row>
    <row r="3" spans="1:29" ht="15" x14ac:dyDescent="0.35">
      <c r="A3" s="299"/>
      <c r="B3" s="300"/>
      <c r="C3" s="300"/>
      <c r="D3" s="300"/>
      <c r="E3" s="300"/>
      <c r="F3" s="300"/>
      <c r="G3" s="300"/>
      <c r="H3" s="300"/>
      <c r="I3" s="300"/>
      <c r="J3" s="300"/>
      <c r="K3" s="300"/>
      <c r="O3" s="163"/>
      <c r="P3" s="163"/>
      <c r="Q3" s="485" t="s">
        <v>272</v>
      </c>
      <c r="R3" s="485"/>
      <c r="S3" s="485"/>
      <c r="T3" s="485"/>
    </row>
    <row r="4" spans="1:29" ht="32.549999999999997" customHeight="1" x14ac:dyDescent="0.3">
      <c r="A4" s="486" t="s">
        <v>273</v>
      </c>
      <c r="B4" s="487"/>
      <c r="C4" s="490" t="s">
        <v>274</v>
      </c>
      <c r="D4" s="491"/>
      <c r="E4" s="491"/>
      <c r="F4" s="491"/>
      <c r="G4" s="491"/>
      <c r="H4" s="491"/>
      <c r="I4" s="491"/>
      <c r="J4" s="491"/>
      <c r="K4" s="492"/>
      <c r="O4" s="163"/>
      <c r="P4" s="163"/>
      <c r="Q4" s="144" t="s">
        <v>275</v>
      </c>
      <c r="R4" s="144" t="s">
        <v>276</v>
      </c>
      <c r="S4" s="144" t="s">
        <v>277</v>
      </c>
      <c r="T4" s="144" t="s">
        <v>278</v>
      </c>
    </row>
    <row r="5" spans="1:29" ht="15" x14ac:dyDescent="0.3">
      <c r="A5" s="488"/>
      <c r="B5" s="489"/>
      <c r="C5" s="493" t="s">
        <v>279</v>
      </c>
      <c r="D5" s="493" t="s">
        <v>280</v>
      </c>
      <c r="E5" s="493" t="s">
        <v>281</v>
      </c>
      <c r="F5" s="493" t="s">
        <v>282</v>
      </c>
      <c r="G5" s="493" t="s">
        <v>283</v>
      </c>
      <c r="H5" s="493" t="s">
        <v>284</v>
      </c>
      <c r="I5" s="493" t="s">
        <v>285</v>
      </c>
      <c r="J5" s="495" t="s">
        <v>286</v>
      </c>
      <c r="K5" s="493" t="s">
        <v>287</v>
      </c>
      <c r="O5" s="163"/>
      <c r="P5" s="163"/>
      <c r="Q5" s="161">
        <v>2010</v>
      </c>
      <c r="R5" s="151">
        <v>1799</v>
      </c>
      <c r="S5" s="151">
        <v>1065</v>
      </c>
      <c r="T5" s="268">
        <v>0.59199555308504725</v>
      </c>
    </row>
    <row r="6" spans="1:29" ht="54" customHeight="1" x14ac:dyDescent="0.3">
      <c r="A6" s="496" t="s">
        <v>288</v>
      </c>
      <c r="B6" s="496" t="s">
        <v>102</v>
      </c>
      <c r="C6" s="494"/>
      <c r="D6" s="494"/>
      <c r="E6" s="494"/>
      <c r="F6" s="494"/>
      <c r="G6" s="494"/>
      <c r="H6" s="494"/>
      <c r="I6" s="494"/>
      <c r="J6" s="494"/>
      <c r="K6" s="494"/>
      <c r="O6" s="163"/>
      <c r="P6" s="163"/>
      <c r="Q6" s="161">
        <v>2011</v>
      </c>
      <c r="R6" s="152">
        <v>2668</v>
      </c>
      <c r="S6" s="152">
        <v>1027</v>
      </c>
      <c r="T6" s="268">
        <v>0.38493253373313341</v>
      </c>
    </row>
    <row r="7" spans="1:29" ht="43.2" customHeight="1" x14ac:dyDescent="0.3">
      <c r="A7" s="497"/>
      <c r="B7" s="497"/>
      <c r="C7" s="327" t="s">
        <v>197</v>
      </c>
      <c r="D7" s="327" t="s">
        <v>289</v>
      </c>
      <c r="E7" s="327" t="s">
        <v>197</v>
      </c>
      <c r="F7" s="327" t="s">
        <v>197</v>
      </c>
      <c r="G7" s="327" t="s">
        <v>289</v>
      </c>
      <c r="H7" s="327" t="s">
        <v>289</v>
      </c>
      <c r="I7" s="327" t="s">
        <v>289</v>
      </c>
      <c r="J7" s="327" t="s">
        <v>289</v>
      </c>
      <c r="K7" s="327" t="s">
        <v>289</v>
      </c>
      <c r="O7" s="163"/>
      <c r="P7" s="163"/>
      <c r="Q7" s="161">
        <v>2012</v>
      </c>
      <c r="R7" s="151">
        <v>4482</v>
      </c>
      <c r="S7" s="151">
        <v>835</v>
      </c>
      <c r="T7" s="268">
        <v>0.18630075858991521</v>
      </c>
    </row>
    <row r="8" spans="1:29" ht="15" x14ac:dyDescent="0.3">
      <c r="A8" s="301">
        <v>1</v>
      </c>
      <c r="B8" s="302" t="s">
        <v>267</v>
      </c>
      <c r="C8" s="303">
        <f>T15</f>
        <v>0.5281489310021461</v>
      </c>
      <c r="D8" s="304">
        <v>413.34333333333331</v>
      </c>
      <c r="E8" s="305">
        <v>0.78</v>
      </c>
      <c r="F8" s="305">
        <v>0.5</v>
      </c>
      <c r="G8" s="304">
        <v>85.131779589999994</v>
      </c>
      <c r="H8" s="304">
        <v>85.131779589999994</v>
      </c>
      <c r="I8" s="304">
        <v>0.67679764774050011</v>
      </c>
      <c r="J8" s="306">
        <v>10.40155561536</v>
      </c>
      <c r="K8" s="304">
        <v>11.0783532631005</v>
      </c>
      <c r="O8" s="163"/>
      <c r="P8" s="163"/>
      <c r="Q8" s="161">
        <v>2013</v>
      </c>
      <c r="R8" s="151">
        <v>3719</v>
      </c>
      <c r="S8" s="151">
        <v>885</v>
      </c>
      <c r="T8" s="268">
        <v>0.23796719548265663</v>
      </c>
    </row>
    <row r="9" spans="1:29" ht="15" x14ac:dyDescent="0.3">
      <c r="A9" s="307"/>
      <c r="B9" s="308"/>
      <c r="C9" s="309"/>
      <c r="D9" s="310"/>
      <c r="E9" s="309"/>
      <c r="F9" s="309"/>
      <c r="G9" s="310"/>
      <c r="H9" s="310"/>
      <c r="I9" s="310"/>
      <c r="J9" s="311"/>
      <c r="K9" s="310"/>
      <c r="O9" s="163"/>
      <c r="P9" s="163"/>
      <c r="Q9" s="161">
        <v>2014</v>
      </c>
      <c r="R9" s="151">
        <v>4845</v>
      </c>
      <c r="S9" s="152">
        <v>2453</v>
      </c>
      <c r="T9" s="268">
        <v>0.50629514963880284</v>
      </c>
    </row>
    <row r="10" spans="1:29" ht="15" x14ac:dyDescent="0.35">
      <c r="A10" s="482" t="s">
        <v>267</v>
      </c>
      <c r="B10" s="483"/>
      <c r="C10" s="483"/>
      <c r="D10" s="483"/>
      <c r="E10" s="483"/>
      <c r="F10" s="484"/>
      <c r="G10" s="310"/>
      <c r="H10" s="310"/>
      <c r="I10" s="310"/>
      <c r="J10" s="311"/>
      <c r="K10" s="310"/>
      <c r="O10" s="163"/>
      <c r="P10" s="163"/>
      <c r="Q10" s="161">
        <v>2015</v>
      </c>
      <c r="R10" s="152">
        <v>5517</v>
      </c>
      <c r="S10" s="151">
        <v>4613</v>
      </c>
      <c r="T10" s="268">
        <v>0.83614283124886712</v>
      </c>
    </row>
    <row r="11" spans="1:29" ht="16.2" x14ac:dyDescent="0.4">
      <c r="A11" s="312" t="s">
        <v>290</v>
      </c>
      <c r="B11" s="313"/>
      <c r="C11" s="313"/>
      <c r="D11" s="314"/>
      <c r="E11" s="314"/>
      <c r="F11" s="315"/>
      <c r="G11" s="310"/>
      <c r="H11" s="310"/>
      <c r="I11" s="310"/>
      <c r="J11" s="311"/>
      <c r="K11" s="310"/>
      <c r="O11" s="163"/>
      <c r="P11" s="163"/>
      <c r="Q11" s="161">
        <v>2016</v>
      </c>
      <c r="R11" s="151">
        <v>4087</v>
      </c>
      <c r="S11" s="151">
        <v>2897</v>
      </c>
      <c r="T11" s="268">
        <v>0.70883288475654516</v>
      </c>
    </row>
    <row r="12" spans="1:29" ht="15" x14ac:dyDescent="0.35">
      <c r="A12" s="312"/>
      <c r="B12" s="313"/>
      <c r="C12" s="313"/>
      <c r="D12" s="314"/>
      <c r="E12" s="314"/>
      <c r="F12" s="315"/>
      <c r="G12" s="310"/>
      <c r="H12" s="310"/>
      <c r="I12" s="310"/>
      <c r="J12" s="311"/>
      <c r="K12" s="310"/>
      <c r="O12" s="163"/>
      <c r="P12" s="163"/>
      <c r="Q12" s="161">
        <v>2017</v>
      </c>
      <c r="R12" s="151">
        <v>4754</v>
      </c>
      <c r="S12" s="151">
        <v>3478</v>
      </c>
      <c r="T12" s="268">
        <v>0.73159444678165753</v>
      </c>
    </row>
    <row r="13" spans="1:29" ht="16.2" x14ac:dyDescent="0.4">
      <c r="A13" s="312" t="s">
        <v>291</v>
      </c>
      <c r="B13" s="313"/>
      <c r="C13" s="313"/>
      <c r="D13" s="314"/>
      <c r="E13" s="314"/>
      <c r="F13" s="315"/>
      <c r="G13" s="310"/>
      <c r="H13" s="310"/>
      <c r="I13" s="310"/>
      <c r="J13" s="311"/>
      <c r="K13" s="310"/>
      <c r="O13" s="163"/>
      <c r="P13" s="163"/>
      <c r="Q13" s="161">
        <v>2018</v>
      </c>
      <c r="R13" s="151">
        <v>2102</v>
      </c>
      <c r="S13" s="151">
        <v>649</v>
      </c>
      <c r="T13" s="268">
        <v>0.30875356803044718</v>
      </c>
    </row>
    <row r="14" spans="1:29" ht="15" x14ac:dyDescent="0.35">
      <c r="A14" s="312"/>
      <c r="B14" s="313"/>
      <c r="C14" s="313"/>
      <c r="D14" s="314"/>
      <c r="E14" s="314"/>
      <c r="F14" s="315"/>
      <c r="G14" s="310"/>
      <c r="H14" s="310"/>
      <c r="I14" s="310"/>
      <c r="J14" s="311"/>
      <c r="K14" s="310"/>
      <c r="O14" s="163"/>
      <c r="P14" s="163"/>
      <c r="Q14" s="161">
        <v>2019</v>
      </c>
      <c r="R14" s="152">
        <v>3885</v>
      </c>
      <c r="S14" s="152">
        <v>3064</v>
      </c>
      <c r="T14" s="268">
        <v>0.78867438867438866</v>
      </c>
    </row>
    <row r="15" spans="1:29" ht="16.2" x14ac:dyDescent="0.4">
      <c r="A15" s="312" t="s">
        <v>292</v>
      </c>
      <c r="B15" s="313"/>
      <c r="C15" s="313"/>
      <c r="D15" s="314"/>
      <c r="E15" s="314"/>
      <c r="F15" s="315"/>
      <c r="G15" s="310"/>
      <c r="H15" s="310"/>
      <c r="I15" s="310"/>
      <c r="J15" s="311"/>
      <c r="K15" s="310"/>
      <c r="O15" s="163"/>
      <c r="P15" s="163"/>
      <c r="Q15" s="144" t="s">
        <v>203</v>
      </c>
      <c r="R15" s="162">
        <f>SUM(R5:R14)</f>
        <v>37858</v>
      </c>
      <c r="S15" s="162">
        <f>SUM(S5:S14)</f>
        <v>20966</v>
      </c>
      <c r="T15" s="269">
        <f>AVERAGE(T5:T14)</f>
        <v>0.5281489310021461</v>
      </c>
    </row>
    <row r="16" spans="1:29" s="116" customFormat="1" ht="21.75" customHeight="1" x14ac:dyDescent="0.35">
      <c r="A16" s="316"/>
      <c r="B16" s="316"/>
      <c r="C16" s="316"/>
      <c r="D16" s="316"/>
      <c r="E16" s="316"/>
      <c r="F16" s="316"/>
      <c r="G16" s="316"/>
      <c r="H16" s="316"/>
      <c r="I16" s="316"/>
      <c r="J16" s="316"/>
      <c r="K16" s="316"/>
      <c r="O16" s="192"/>
      <c r="P16" s="192"/>
      <c r="R16" s="274"/>
      <c r="S16" s="274"/>
      <c r="T16" s="274"/>
      <c r="U16" s="270"/>
      <c r="V16" s="270"/>
      <c r="W16" s="270"/>
      <c r="X16" s="270"/>
      <c r="Y16" s="270"/>
      <c r="Z16" s="270"/>
      <c r="AA16" s="270"/>
      <c r="AB16" s="270"/>
      <c r="AC16" s="270"/>
    </row>
    <row r="17" spans="1:23" ht="52.95" customHeight="1" x14ac:dyDescent="0.4">
      <c r="A17" s="312" t="s">
        <v>293</v>
      </c>
      <c r="B17" s="313"/>
      <c r="C17" s="313"/>
      <c r="D17" s="314"/>
      <c r="E17" s="314"/>
      <c r="F17" s="315"/>
      <c r="G17" s="316"/>
      <c r="H17" s="316"/>
      <c r="I17" s="316"/>
      <c r="J17" s="316"/>
      <c r="K17" s="316"/>
      <c r="O17" s="163"/>
      <c r="P17" s="163"/>
      <c r="Q17" s="275"/>
      <c r="R17" s="109"/>
      <c r="S17" s="109"/>
      <c r="T17" s="109"/>
      <c r="U17" s="274"/>
      <c r="V17" s="274"/>
      <c r="W17" s="274"/>
    </row>
    <row r="18" spans="1:23" ht="26.25" customHeight="1" x14ac:dyDescent="0.35">
      <c r="A18" s="317" t="s">
        <v>294</v>
      </c>
      <c r="B18" s="318">
        <v>85.131779589999994</v>
      </c>
      <c r="C18" s="319" t="s">
        <v>295</v>
      </c>
      <c r="D18" s="314">
        <f>D8*E8*F8*C8</f>
        <v>85.139667458376863</v>
      </c>
      <c r="E18" s="314"/>
      <c r="F18" s="315"/>
      <c r="G18" s="316"/>
      <c r="H18" s="316"/>
      <c r="I18" s="316"/>
      <c r="J18" s="316"/>
      <c r="K18" s="316"/>
      <c r="O18" s="163"/>
      <c r="P18" s="163"/>
      <c r="Q18" s="326"/>
      <c r="R18" s="326"/>
      <c r="S18" s="326"/>
      <c r="T18" s="326"/>
      <c r="U18" s="326"/>
      <c r="V18" s="326"/>
      <c r="W18" s="326"/>
    </row>
    <row r="19" spans="1:23" ht="28.5" customHeight="1" x14ac:dyDescent="0.35">
      <c r="A19" s="317" t="s">
        <v>296</v>
      </c>
      <c r="B19" s="318">
        <v>10.40155561536</v>
      </c>
      <c r="C19" s="319" t="s">
        <v>295</v>
      </c>
      <c r="D19" s="314"/>
      <c r="E19" s="314"/>
      <c r="F19" s="315"/>
      <c r="G19" s="316"/>
      <c r="H19" s="316"/>
      <c r="I19" s="316"/>
      <c r="J19" s="316"/>
      <c r="K19" s="316"/>
      <c r="O19" s="163"/>
      <c r="P19" s="163"/>
      <c r="Q19" s="326"/>
      <c r="R19" s="326"/>
      <c r="S19" s="326"/>
      <c r="T19" s="326"/>
      <c r="U19" s="326"/>
      <c r="V19" s="326"/>
      <c r="W19" s="326"/>
    </row>
    <row r="20" spans="1:23" ht="25.95" customHeight="1" x14ac:dyDescent="0.35">
      <c r="A20" s="317" t="s">
        <v>297</v>
      </c>
      <c r="B20" s="320">
        <v>0.67679764774050011</v>
      </c>
      <c r="C20" s="319" t="s">
        <v>295</v>
      </c>
      <c r="D20" s="314"/>
      <c r="E20" s="314"/>
      <c r="F20" s="315"/>
      <c r="G20" s="316"/>
      <c r="H20" s="316"/>
      <c r="I20" s="316"/>
      <c r="J20" s="316"/>
      <c r="K20" s="316"/>
      <c r="O20" s="163"/>
      <c r="P20" s="163"/>
      <c r="Q20" s="326"/>
      <c r="R20" s="326"/>
      <c r="S20" s="326"/>
      <c r="T20" s="326"/>
      <c r="U20" s="326"/>
      <c r="V20" s="326"/>
      <c r="W20" s="326"/>
    </row>
    <row r="21" spans="1:23" s="109" customFormat="1" ht="14.55" customHeight="1" x14ac:dyDescent="0.35">
      <c r="A21" s="321" t="s">
        <v>298</v>
      </c>
      <c r="B21" s="322">
        <v>11.0783532631005</v>
      </c>
      <c r="C21" s="323" t="s">
        <v>295</v>
      </c>
      <c r="D21" s="324"/>
      <c r="E21" s="324"/>
      <c r="F21" s="325"/>
      <c r="G21" s="316"/>
      <c r="H21" s="316"/>
      <c r="I21" s="316"/>
      <c r="J21" s="316"/>
      <c r="K21" s="316"/>
    </row>
    <row r="22" spans="1:23" s="109" customFormat="1" ht="14.55" customHeight="1" x14ac:dyDescent="0.3"/>
    <row r="23" spans="1:23" ht="15" x14ac:dyDescent="0.35">
      <c r="O23" s="164"/>
      <c r="P23" s="165"/>
    </row>
    <row r="24" spans="1:23" ht="15" x14ac:dyDescent="0.35">
      <c r="O24" s="164"/>
      <c r="P24" s="165"/>
      <c r="Q24" s="109"/>
      <c r="R24" s="109"/>
      <c r="S24" s="109"/>
      <c r="T24" s="109"/>
    </row>
    <row r="25" spans="1:23" ht="15" x14ac:dyDescent="0.35">
      <c r="O25" s="164"/>
      <c r="P25" s="165"/>
      <c r="Q25" s="109"/>
      <c r="R25" s="109"/>
      <c r="S25" s="109"/>
      <c r="T25" s="109"/>
    </row>
    <row r="26" spans="1:23" ht="15" x14ac:dyDescent="0.35">
      <c r="O26" s="164"/>
      <c r="P26" s="165"/>
      <c r="Q26" s="109"/>
      <c r="R26" s="109"/>
      <c r="S26" s="109"/>
      <c r="T26" s="109"/>
    </row>
    <row r="27" spans="1:23" ht="15" x14ac:dyDescent="0.35">
      <c r="O27" s="164"/>
      <c r="P27" s="165"/>
      <c r="Q27" s="109"/>
      <c r="R27" s="109"/>
      <c r="S27" s="109"/>
      <c r="T27" s="109"/>
    </row>
    <row r="28" spans="1:23" ht="15" x14ac:dyDescent="0.35">
      <c r="O28" s="164"/>
      <c r="P28" s="165"/>
      <c r="Q28" s="109"/>
      <c r="R28" s="109"/>
      <c r="S28" s="109"/>
      <c r="T28" s="109"/>
    </row>
    <row r="29" spans="1:23" ht="15" x14ac:dyDescent="0.35">
      <c r="O29" s="164"/>
      <c r="P29" s="165"/>
      <c r="Q29" s="109"/>
      <c r="R29" s="109"/>
      <c r="S29" s="109"/>
      <c r="T29" s="109"/>
    </row>
    <row r="30" spans="1:23" s="109" customFormat="1" x14ac:dyDescent="0.3"/>
    <row r="31" spans="1:23" s="109" customFormat="1" x14ac:dyDescent="0.3"/>
    <row r="32" spans="1:23" s="109" customFormat="1" x14ac:dyDescent="0.3"/>
    <row r="33" spans="17:20" s="109" customFormat="1" x14ac:dyDescent="0.3"/>
    <row r="34" spans="17:20" s="109" customFormat="1" x14ac:dyDescent="0.3"/>
    <row r="35" spans="17:20" s="109" customFormat="1" x14ac:dyDescent="0.3"/>
    <row r="36" spans="17:20" s="109" customFormat="1" x14ac:dyDescent="0.3"/>
    <row r="37" spans="17:20" s="109" customFormat="1" x14ac:dyDescent="0.3"/>
    <row r="38" spans="17:20" s="109" customFormat="1" x14ac:dyDescent="0.3"/>
    <row r="39" spans="17:20" s="109" customFormat="1" x14ac:dyDescent="0.3"/>
    <row r="40" spans="17:20" s="109" customFormat="1" x14ac:dyDescent="0.3">
      <c r="Q40"/>
      <c r="R40"/>
      <c r="S40"/>
      <c r="T40"/>
    </row>
  </sheetData>
  <mergeCells count="15">
    <mergeCell ref="A10:F10"/>
    <mergeCell ref="Q3:T3"/>
    <mergeCell ref="A4:B5"/>
    <mergeCell ref="C4:K4"/>
    <mergeCell ref="C5:C6"/>
    <mergeCell ref="D5:D6"/>
    <mergeCell ref="E5:E6"/>
    <mergeCell ref="F5:F6"/>
    <mergeCell ref="G5:G6"/>
    <mergeCell ref="H5:H6"/>
    <mergeCell ref="I5:I6"/>
    <mergeCell ref="J5:J6"/>
    <mergeCell ref="K5:K6"/>
    <mergeCell ref="A6:A7"/>
    <mergeCell ref="B6:B7"/>
  </mergeCells>
  <pageMargins left="0.511811024" right="0.511811024" top="0.78740157499999996" bottom="0.78740157499999996" header="0.31496062000000002" footer="0.31496062000000002"/>
  <pageSetup paperSize="9"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E1037-68A6-48AA-94AF-384A7C893F88}">
  <sheetPr>
    <tabColor rgb="FF92D050"/>
  </sheetPr>
  <dimension ref="A1:AB25"/>
  <sheetViews>
    <sheetView workbookViewId="0">
      <selection activeCell="H8" sqref="H8:H9"/>
    </sheetView>
  </sheetViews>
  <sheetFormatPr defaultRowHeight="15" customHeight="1" x14ac:dyDescent="0.3"/>
  <cols>
    <col min="1" max="1" width="4.21875" style="109" customWidth="1"/>
    <col min="2" max="2" width="13.5546875" style="109" customWidth="1"/>
    <col min="3" max="3" width="12.77734375" bestFit="1" customWidth="1"/>
    <col min="4" max="4" width="13" customWidth="1"/>
    <col min="5" max="5" width="11.21875" customWidth="1"/>
    <col min="6" max="6" width="11.77734375" customWidth="1"/>
    <col min="7" max="7" width="12.77734375" customWidth="1"/>
    <col min="8" max="8" width="11" bestFit="1" customWidth="1"/>
    <col min="9" max="14" width="13.77734375" style="109" customWidth="1"/>
    <col min="15" max="15" width="5.77734375" style="109" customWidth="1"/>
    <col min="16" max="17" width="13.77734375" style="109" customWidth="1"/>
    <col min="18" max="18" width="11.77734375" style="109" customWidth="1"/>
    <col min="19" max="19" width="18.77734375" style="109" customWidth="1"/>
    <col min="20" max="20" width="17.5546875" style="109" customWidth="1"/>
    <col min="21" max="21" width="11.21875" bestFit="1" customWidth="1"/>
    <col min="22" max="22" width="10.44140625" customWidth="1"/>
    <col min="23" max="23" width="12.77734375" customWidth="1"/>
    <col min="24" max="24" width="15" style="109" customWidth="1"/>
    <col min="25" max="25" width="9" style="109" customWidth="1"/>
    <col min="26" max="26" width="13.77734375" style="109" customWidth="1"/>
    <col min="27" max="27" width="14.44140625" style="109" customWidth="1"/>
    <col min="28" max="28" width="9.21875" style="109"/>
  </cols>
  <sheetData>
    <row r="1" spans="2:28" thickBot="1" x14ac:dyDescent="0.35"/>
    <row r="2" spans="2:28" s="109" customFormat="1" x14ac:dyDescent="0.3">
      <c r="B2" s="171" t="s">
        <v>299</v>
      </c>
      <c r="D2" s="157"/>
      <c r="E2" s="157"/>
      <c r="F2" s="157"/>
      <c r="G2" s="157"/>
      <c r="H2" s="157"/>
      <c r="O2" s="180"/>
      <c r="P2" s="273" t="s">
        <v>300</v>
      </c>
      <c r="Q2" s="181"/>
      <c r="R2" s="181"/>
      <c r="S2" s="181"/>
      <c r="T2" s="181"/>
      <c r="U2" s="181"/>
      <c r="V2" s="181"/>
      <c r="W2" s="181"/>
      <c r="X2" s="181"/>
      <c r="Y2" s="181"/>
    </row>
    <row r="3" spans="2:28" s="109" customFormat="1" ht="7.5" customHeight="1" x14ac:dyDescent="0.3">
      <c r="C3" s="157"/>
      <c r="D3" s="157"/>
      <c r="E3" s="157"/>
      <c r="F3" s="157"/>
      <c r="G3" s="157"/>
      <c r="H3" s="157"/>
      <c r="O3" s="182"/>
      <c r="P3" s="179"/>
      <c r="Q3" s="179"/>
      <c r="R3" s="179"/>
      <c r="S3" s="179"/>
      <c r="T3" s="179"/>
      <c r="U3" s="179"/>
      <c r="V3" s="179"/>
      <c r="W3" s="179"/>
      <c r="X3" s="179"/>
      <c r="Y3" s="179"/>
    </row>
    <row r="4" spans="2:28" ht="69" customHeight="1" x14ac:dyDescent="0.3">
      <c r="B4" s="514" t="s">
        <v>301</v>
      </c>
      <c r="C4" s="514"/>
      <c r="D4" s="502" t="s">
        <v>302</v>
      </c>
      <c r="E4" s="503"/>
      <c r="F4" s="502" t="s">
        <v>303</v>
      </c>
      <c r="G4" s="503"/>
      <c r="H4" s="502" t="s">
        <v>304</v>
      </c>
      <c r="I4" s="503"/>
      <c r="J4" s="502" t="s">
        <v>305</v>
      </c>
      <c r="K4" s="503"/>
      <c r="L4" s="502" t="s">
        <v>306</v>
      </c>
      <c r="M4" s="503"/>
      <c r="O4" s="182"/>
      <c r="P4" s="137" t="s">
        <v>307</v>
      </c>
      <c r="Q4" s="137" t="s">
        <v>308</v>
      </c>
      <c r="R4" s="137" t="s">
        <v>309</v>
      </c>
      <c r="S4" s="137" t="s">
        <v>310</v>
      </c>
      <c r="T4" s="137" t="s">
        <v>311</v>
      </c>
      <c r="U4" s="137" t="s">
        <v>312</v>
      </c>
      <c r="V4" s="137" t="s">
        <v>313</v>
      </c>
      <c r="W4" s="137" t="s">
        <v>314</v>
      </c>
      <c r="X4" s="244" t="s">
        <v>315</v>
      </c>
      <c r="Y4" s="267" t="s">
        <v>316</v>
      </c>
      <c r="Z4" s="272" t="s">
        <v>317</v>
      </c>
      <c r="AA4" s="272" t="s">
        <v>318</v>
      </c>
    </row>
    <row r="5" spans="2:28" ht="31.5" customHeight="1" x14ac:dyDescent="0.3">
      <c r="B5" s="514"/>
      <c r="C5" s="514"/>
      <c r="D5" s="502" t="s">
        <v>319</v>
      </c>
      <c r="E5" s="503"/>
      <c r="F5" s="18" t="s">
        <v>118</v>
      </c>
      <c r="G5" s="18" t="s">
        <v>119</v>
      </c>
      <c r="H5" s="502" t="s">
        <v>319</v>
      </c>
      <c r="I5" s="503"/>
      <c r="J5" s="18" t="s">
        <v>118</v>
      </c>
      <c r="K5" s="18" t="s">
        <v>119</v>
      </c>
      <c r="L5" s="18" t="s">
        <v>118</v>
      </c>
      <c r="M5" s="18" t="s">
        <v>119</v>
      </c>
      <c r="O5" s="182"/>
      <c r="P5" s="517">
        <f>B8</f>
        <v>44147</v>
      </c>
      <c r="Q5" s="517">
        <f>C9</f>
        <v>44511</v>
      </c>
      <c r="R5" s="519">
        <f>Q5-P5</f>
        <v>364</v>
      </c>
      <c r="S5" s="498" t="s">
        <v>320</v>
      </c>
      <c r="T5" s="13" t="s">
        <v>321</v>
      </c>
      <c r="U5" s="329">
        <v>3642</v>
      </c>
      <c r="V5" s="330">
        <v>6</v>
      </c>
      <c r="W5" s="331">
        <f>U5*V5/10000</f>
        <v>2.1852</v>
      </c>
      <c r="X5" s="521">
        <f>W5+W6</f>
        <v>6.1456</v>
      </c>
      <c r="Y5" s="515">
        <v>29</v>
      </c>
      <c r="Z5" s="498">
        <v>1.45</v>
      </c>
      <c r="AA5" s="500">
        <f>X5+Z5</f>
        <v>7.5956000000000001</v>
      </c>
      <c r="AB5" s="179"/>
    </row>
    <row r="6" spans="2:28" ht="16.2" customHeight="1" x14ac:dyDescent="0.3">
      <c r="B6" s="514"/>
      <c r="C6" s="514"/>
      <c r="D6" s="18" t="s">
        <v>322</v>
      </c>
      <c r="E6" s="18" t="s">
        <v>323</v>
      </c>
      <c r="F6" s="18" t="s">
        <v>324</v>
      </c>
      <c r="G6" s="18" t="s">
        <v>325</v>
      </c>
      <c r="H6" s="18" t="s">
        <v>326</v>
      </c>
      <c r="I6" s="18" t="s">
        <v>327</v>
      </c>
      <c r="J6" s="18" t="s">
        <v>328</v>
      </c>
      <c r="K6" s="18" t="s">
        <v>329</v>
      </c>
      <c r="L6" s="510" t="s">
        <v>209</v>
      </c>
      <c r="M6" s="512" t="s">
        <v>209</v>
      </c>
      <c r="O6" s="182"/>
      <c r="P6" s="518"/>
      <c r="Q6" s="518"/>
      <c r="R6" s="520"/>
      <c r="S6" s="499"/>
      <c r="T6" s="13" t="s">
        <v>330</v>
      </c>
      <c r="U6" s="330">
        <v>9901</v>
      </c>
      <c r="V6" s="330">
        <v>4</v>
      </c>
      <c r="W6" s="331">
        <f>U6*V6/10000</f>
        <v>3.9603999999999999</v>
      </c>
      <c r="X6" s="522"/>
      <c r="Y6" s="516"/>
      <c r="Z6" s="499"/>
      <c r="AA6" s="501"/>
      <c r="AB6" s="179"/>
    </row>
    <row r="7" spans="2:28" ht="16.2" x14ac:dyDescent="0.3">
      <c r="B7" s="18" t="s">
        <v>105</v>
      </c>
      <c r="C7" s="18" t="s">
        <v>106</v>
      </c>
      <c r="D7" s="18" t="s">
        <v>107</v>
      </c>
      <c r="E7" s="18" t="s">
        <v>193</v>
      </c>
      <c r="F7" s="18" t="s">
        <v>331</v>
      </c>
      <c r="G7" s="18" t="s">
        <v>331</v>
      </c>
      <c r="H7" s="18" t="s">
        <v>107</v>
      </c>
      <c r="I7" s="18" t="s">
        <v>193</v>
      </c>
      <c r="J7" s="18" t="s">
        <v>331</v>
      </c>
      <c r="K7" s="18" t="s">
        <v>331</v>
      </c>
      <c r="L7" s="511"/>
      <c r="M7" s="513"/>
      <c r="O7" s="182"/>
      <c r="P7" s="179"/>
      <c r="Q7" s="179"/>
      <c r="R7" s="179"/>
      <c r="S7" s="179"/>
      <c r="T7" s="179"/>
      <c r="U7" s="179"/>
      <c r="V7" s="179"/>
      <c r="W7" s="193"/>
      <c r="X7" s="179"/>
      <c r="Y7" s="179"/>
      <c r="Z7" s="179"/>
      <c r="AA7" s="179"/>
    </row>
    <row r="8" spans="2:28" x14ac:dyDescent="0.3">
      <c r="B8" s="121">
        <v>44147</v>
      </c>
      <c r="C8" s="121">
        <v>44196</v>
      </c>
      <c r="D8" s="506">
        <f>AA5</f>
        <v>7.5956000000000001</v>
      </c>
      <c r="E8" s="506">
        <f>'Table 15'!I13</f>
        <v>512.54</v>
      </c>
      <c r="F8" s="506">
        <f>D8*E8</f>
        <v>3893.048824</v>
      </c>
      <c r="G8" s="506">
        <f>F8</f>
        <v>3893.048824</v>
      </c>
      <c r="H8" s="504">
        <v>0.84</v>
      </c>
      <c r="I8" s="506">
        <f>'Table 15'!I13</f>
        <v>512.54</v>
      </c>
      <c r="J8" s="506">
        <f>H8*I8</f>
        <v>430.53359999999998</v>
      </c>
      <c r="K8" s="508">
        <f>J8</f>
        <v>430.53359999999998</v>
      </c>
      <c r="L8" s="509">
        <f>G8+K8</f>
        <v>4323.5824240000002</v>
      </c>
      <c r="M8" s="509">
        <f>L8</f>
        <v>4323.5824240000002</v>
      </c>
      <c r="O8" s="182"/>
      <c r="P8" s="523" t="s">
        <v>332</v>
      </c>
      <c r="Q8" s="524"/>
      <c r="R8" s="524"/>
      <c r="S8" s="524"/>
      <c r="T8" s="525"/>
      <c r="U8" s="179"/>
      <c r="V8" s="179"/>
      <c r="W8" s="179"/>
      <c r="X8" s="179"/>
      <c r="Y8" s="179"/>
    </row>
    <row r="9" spans="2:28" ht="30.6" customHeight="1" x14ac:dyDescent="0.3">
      <c r="B9" s="149">
        <v>44197</v>
      </c>
      <c r="C9" s="149">
        <v>44511</v>
      </c>
      <c r="D9" s="507"/>
      <c r="E9" s="507"/>
      <c r="F9" s="507"/>
      <c r="G9" s="507"/>
      <c r="H9" s="505"/>
      <c r="I9" s="507"/>
      <c r="J9" s="507"/>
      <c r="K9" s="509"/>
      <c r="L9" s="509"/>
      <c r="M9" s="509"/>
      <c r="O9" s="182"/>
      <c r="P9" s="178" t="s">
        <v>307</v>
      </c>
      <c r="Q9" s="178" t="s">
        <v>308</v>
      </c>
      <c r="R9" s="178" t="s">
        <v>309</v>
      </c>
      <c r="S9" s="178" t="s">
        <v>333</v>
      </c>
      <c r="T9" s="178" t="s">
        <v>334</v>
      </c>
      <c r="U9" s="179"/>
      <c r="V9" s="179"/>
      <c r="W9" s="179"/>
      <c r="X9" s="179"/>
      <c r="Y9" s="179"/>
    </row>
    <row r="10" spans="2:28" s="109" customFormat="1" ht="36" customHeight="1" x14ac:dyDescent="0.3">
      <c r="O10" s="182"/>
      <c r="P10" s="149">
        <f>B8</f>
        <v>44147</v>
      </c>
      <c r="Q10" s="149">
        <f>C8</f>
        <v>44196</v>
      </c>
      <c r="R10" s="13">
        <f>DATEDIF(P10,Q10,"d")</f>
        <v>49</v>
      </c>
      <c r="S10" s="57">
        <f>R10*X5/R5</f>
        <v>0.82729230769230766</v>
      </c>
      <c r="T10" s="58">
        <v>0.1746987951807229</v>
      </c>
      <c r="U10" s="179"/>
      <c r="V10" s="179"/>
      <c r="W10" s="179"/>
      <c r="X10" s="179"/>
      <c r="Y10" s="179"/>
    </row>
    <row r="11" spans="2:28" s="109" customFormat="1" ht="33.6" customHeight="1" x14ac:dyDescent="0.3">
      <c r="O11" s="182"/>
      <c r="P11" s="523" t="s">
        <v>335</v>
      </c>
      <c r="Q11" s="524"/>
      <c r="R11" s="524"/>
      <c r="S11" s="524"/>
      <c r="T11" s="525"/>
      <c r="U11" s="179"/>
      <c r="V11" s="179"/>
      <c r="W11" s="179"/>
      <c r="X11" s="179"/>
      <c r="Y11" s="179"/>
    </row>
    <row r="12" spans="2:28" ht="30" x14ac:dyDescent="0.3">
      <c r="C12" s="109"/>
      <c r="D12" s="109"/>
      <c r="E12" s="109"/>
      <c r="F12" s="109"/>
      <c r="G12" s="109"/>
      <c r="H12" s="109"/>
      <c r="O12" s="182"/>
      <c r="P12" s="178" t="s">
        <v>307</v>
      </c>
      <c r="Q12" s="178" t="s">
        <v>308</v>
      </c>
      <c r="R12" s="178" t="s">
        <v>309</v>
      </c>
      <c r="S12" s="178" t="s">
        <v>336</v>
      </c>
      <c r="T12" s="178" t="s">
        <v>334</v>
      </c>
      <c r="U12" s="179"/>
      <c r="V12" s="179"/>
      <c r="W12" s="179"/>
      <c r="X12" s="179"/>
      <c r="Y12" s="179"/>
    </row>
    <row r="13" spans="2:28" ht="30" customHeight="1" x14ac:dyDescent="0.3">
      <c r="C13" s="109"/>
      <c r="D13" s="109"/>
      <c r="E13" s="109"/>
      <c r="F13" s="109"/>
      <c r="G13" s="109"/>
      <c r="H13" s="109"/>
      <c r="O13" s="182"/>
      <c r="P13" s="149">
        <f>B9</f>
        <v>44197</v>
      </c>
      <c r="Q13" s="149">
        <f>C9</f>
        <v>44511</v>
      </c>
      <c r="R13" s="13">
        <f>DATEDIF(P13,Q13,"d")</f>
        <v>314</v>
      </c>
      <c r="S13" s="57">
        <f>R13*X5/R5</f>
        <v>5.3014241758241756</v>
      </c>
      <c r="T13" s="58">
        <v>1.2753012048192771</v>
      </c>
      <c r="U13" s="179"/>
      <c r="V13" s="179"/>
      <c r="W13" s="179"/>
    </row>
    <row r="14" spans="2:28" ht="14.4" x14ac:dyDescent="0.3">
      <c r="C14" s="109"/>
      <c r="D14" s="109"/>
      <c r="E14" s="109"/>
      <c r="F14" s="109"/>
      <c r="G14" s="109"/>
      <c r="H14" s="109"/>
      <c r="O14" s="182"/>
      <c r="U14" s="179"/>
      <c r="V14" s="179"/>
      <c r="W14" s="179"/>
    </row>
    <row r="15" spans="2:28" x14ac:dyDescent="0.3">
      <c r="C15" s="109"/>
      <c r="D15" s="109"/>
      <c r="E15" s="109"/>
      <c r="F15" s="109"/>
      <c r="G15" s="109"/>
      <c r="H15" s="109"/>
      <c r="P15" s="224" t="s">
        <v>337</v>
      </c>
      <c r="Q15" s="224"/>
      <c r="R15" s="224"/>
      <c r="S15" s="224"/>
      <c r="T15" s="224"/>
      <c r="U15" s="179"/>
      <c r="V15" s="179"/>
      <c r="W15" s="179"/>
      <c r="X15" s="179"/>
      <c r="Y15" s="179"/>
    </row>
    <row r="16" spans="2:28" s="109" customFormat="1" ht="14.4" x14ac:dyDescent="0.3">
      <c r="U16" s="179"/>
      <c r="V16" s="179"/>
      <c r="W16" s="179"/>
    </row>
    <row r="17" spans="21:23" s="109" customFormat="1" ht="14.4" x14ac:dyDescent="0.3">
      <c r="U17" s="179"/>
      <c r="V17" s="179"/>
      <c r="W17" s="179"/>
    </row>
    <row r="18" spans="21:23" ht="15" customHeight="1" x14ac:dyDescent="0.3">
      <c r="U18" s="179"/>
      <c r="V18" s="179"/>
      <c r="W18" s="179"/>
    </row>
    <row r="19" spans="21:23" ht="15" customHeight="1" x14ac:dyDescent="0.3">
      <c r="U19" s="179"/>
      <c r="V19" s="179"/>
      <c r="W19" s="179"/>
    </row>
    <row r="20" spans="21:23" ht="15" customHeight="1" x14ac:dyDescent="0.3">
      <c r="U20" s="179"/>
      <c r="V20" s="179"/>
      <c r="W20" s="179"/>
    </row>
    <row r="21" spans="21:23" ht="15" customHeight="1" x14ac:dyDescent="0.3">
      <c r="U21" s="179"/>
      <c r="V21" s="179"/>
      <c r="W21" s="179"/>
    </row>
    <row r="22" spans="21:23" ht="15" customHeight="1" x14ac:dyDescent="0.3">
      <c r="U22" s="179"/>
      <c r="V22" s="179"/>
      <c r="W22" s="179"/>
    </row>
    <row r="23" spans="21:23" ht="15" customHeight="1" x14ac:dyDescent="0.3">
      <c r="U23" s="179"/>
      <c r="V23" s="179"/>
      <c r="W23" s="179"/>
    </row>
    <row r="24" spans="21:23" ht="15" customHeight="1" x14ac:dyDescent="0.3">
      <c r="U24" s="179"/>
      <c r="V24" s="179"/>
      <c r="W24" s="179"/>
    </row>
    <row r="25" spans="21:23" ht="15" customHeight="1" x14ac:dyDescent="0.3">
      <c r="U25" s="179"/>
      <c r="V25" s="179"/>
      <c r="W25" s="179"/>
    </row>
  </sheetData>
  <mergeCells count="30">
    <mergeCell ref="D8:D9"/>
    <mergeCell ref="P11:T11"/>
    <mergeCell ref="P8:T8"/>
    <mergeCell ref="G8:G9"/>
    <mergeCell ref="F8:F9"/>
    <mergeCell ref="E8:E9"/>
    <mergeCell ref="B4:C6"/>
    <mergeCell ref="S5:S6"/>
    <mergeCell ref="D5:E5"/>
    <mergeCell ref="Y5:Y6"/>
    <mergeCell ref="P5:P6"/>
    <mergeCell ref="Q5:Q6"/>
    <mergeCell ref="R5:R6"/>
    <mergeCell ref="D4:E4"/>
    <mergeCell ref="F4:G4"/>
    <mergeCell ref="X5:X6"/>
    <mergeCell ref="Z5:Z6"/>
    <mergeCell ref="AA5:AA6"/>
    <mergeCell ref="H4:I4"/>
    <mergeCell ref="H5:I5"/>
    <mergeCell ref="H8:H9"/>
    <mergeCell ref="I8:I9"/>
    <mergeCell ref="J4:K4"/>
    <mergeCell ref="J8:J9"/>
    <mergeCell ref="K8:K9"/>
    <mergeCell ref="L8:L9"/>
    <mergeCell ref="M8:M9"/>
    <mergeCell ref="L4:M4"/>
    <mergeCell ref="L6:L7"/>
    <mergeCell ref="M6:M7"/>
  </mergeCells>
  <pageMargins left="0.511811024" right="0.511811024" top="0.78740157499999996" bottom="0.78740157499999996" header="0.31496062000000002" footer="0.31496062000000002"/>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C2C6F-30F5-40E5-803F-FBA54AE5F2B4}">
  <sheetPr>
    <tabColor rgb="FF92D050"/>
  </sheetPr>
  <dimension ref="A2:Y57"/>
  <sheetViews>
    <sheetView topLeftCell="D11" zoomScale="85" zoomScaleNormal="85" workbookViewId="0">
      <selection activeCell="S14" sqref="S14"/>
    </sheetView>
  </sheetViews>
  <sheetFormatPr defaultRowHeight="14.4" x14ac:dyDescent="0.3"/>
  <cols>
    <col min="1" max="1" width="9.21875" style="109"/>
    <col min="2" max="2" width="13.5546875" customWidth="1"/>
    <col min="3" max="3" width="13.21875" customWidth="1"/>
    <col min="4" max="4" width="14" customWidth="1"/>
    <col min="5" max="5" width="17.77734375" customWidth="1"/>
    <col min="6" max="6" width="12" customWidth="1"/>
    <col min="7" max="7" width="14.21875" customWidth="1"/>
    <col min="8" max="8" width="9.77734375" style="109" customWidth="1"/>
    <col min="9" max="9" width="6" style="109" customWidth="1"/>
    <col min="10" max="10" width="14.77734375" customWidth="1"/>
    <col min="11" max="11" width="14" customWidth="1"/>
    <col min="12" max="12" width="11" customWidth="1"/>
    <col min="13" max="13" width="18.21875" customWidth="1"/>
    <col min="14" max="14" width="12" customWidth="1"/>
    <col min="15" max="15" width="14.21875" customWidth="1"/>
    <col min="16" max="16" width="14.5546875" style="109" customWidth="1"/>
    <col min="17" max="17" width="26" customWidth="1"/>
    <col min="18" max="18" width="4" style="109" customWidth="1"/>
    <col min="19" max="19" width="5" style="109" customWidth="1"/>
    <col min="20" max="20" width="21.44140625" style="109" customWidth="1"/>
    <col min="21" max="22" width="10.77734375" style="109" customWidth="1"/>
    <col min="23" max="25" width="9.21875" style="109"/>
  </cols>
  <sheetData>
    <row r="2" spans="2:17" s="109" customFormat="1" ht="15" x14ac:dyDescent="0.35">
      <c r="B2" s="171" t="s">
        <v>338</v>
      </c>
      <c r="D2" s="157"/>
      <c r="E2" s="157"/>
      <c r="F2" s="157"/>
      <c r="G2" s="157"/>
      <c r="H2" s="157"/>
      <c r="I2" s="183"/>
      <c r="J2" s="250" t="s">
        <v>339</v>
      </c>
      <c r="K2" s="181"/>
      <c r="L2" s="181"/>
      <c r="M2" s="181"/>
      <c r="N2" s="181"/>
      <c r="O2" s="181"/>
      <c r="P2" s="181"/>
      <c r="Q2" s="181"/>
    </row>
    <row r="3" spans="2:17" s="109" customFormat="1" ht="15" x14ac:dyDescent="0.3">
      <c r="C3" s="157"/>
      <c r="D3" s="157"/>
      <c r="E3" s="157"/>
      <c r="F3" s="157"/>
      <c r="G3" s="157"/>
      <c r="H3" s="157"/>
      <c r="I3" s="184"/>
      <c r="J3" s="249"/>
      <c r="K3" s="179"/>
      <c r="L3" s="179"/>
      <c r="M3" s="179"/>
      <c r="N3" s="179"/>
      <c r="O3" s="179"/>
      <c r="P3" s="179"/>
      <c r="Q3" s="179"/>
    </row>
    <row r="4" spans="2:17" ht="62.25" customHeight="1" x14ac:dyDescent="0.3">
      <c r="B4" s="533" t="s">
        <v>301</v>
      </c>
      <c r="C4" s="534"/>
      <c r="D4" s="502" t="s">
        <v>340</v>
      </c>
      <c r="E4" s="503"/>
      <c r="F4" s="502" t="s">
        <v>341</v>
      </c>
      <c r="G4" s="503"/>
      <c r="H4" s="157"/>
      <c r="I4" s="184"/>
      <c r="J4" s="279" t="s">
        <v>307</v>
      </c>
      <c r="K4" s="279" t="s">
        <v>308</v>
      </c>
      <c r="L4" s="279" t="s">
        <v>309</v>
      </c>
      <c r="M4" s="280" t="s">
        <v>310</v>
      </c>
      <c r="N4" s="526" t="s">
        <v>342</v>
      </c>
      <c r="O4" s="527"/>
      <c r="P4" s="539"/>
      <c r="Q4" s="196"/>
    </row>
    <row r="5" spans="2:17" ht="26.25" customHeight="1" x14ac:dyDescent="0.3">
      <c r="B5" s="535"/>
      <c r="C5" s="536"/>
      <c r="D5" s="502" t="s">
        <v>319</v>
      </c>
      <c r="E5" s="503"/>
      <c r="F5" s="18" t="s">
        <v>118</v>
      </c>
      <c r="G5" s="18" t="s">
        <v>119</v>
      </c>
      <c r="H5" s="157"/>
      <c r="I5" s="184"/>
      <c r="J5" s="281"/>
      <c r="K5" s="281"/>
      <c r="L5" s="281"/>
      <c r="M5" s="282"/>
      <c r="N5" s="168" t="s">
        <v>343</v>
      </c>
      <c r="O5" s="168" t="s">
        <v>107</v>
      </c>
      <c r="P5" s="168" t="s">
        <v>344</v>
      </c>
      <c r="Q5" s="199"/>
    </row>
    <row r="6" spans="2:17" ht="16.2" x14ac:dyDescent="0.3">
      <c r="B6" s="537"/>
      <c r="C6" s="538"/>
      <c r="D6" s="18" t="s">
        <v>345</v>
      </c>
      <c r="E6" s="18" t="s">
        <v>346</v>
      </c>
      <c r="F6" s="18" t="s">
        <v>347</v>
      </c>
      <c r="G6" s="18" t="s">
        <v>348</v>
      </c>
      <c r="H6" s="157"/>
      <c r="I6" s="184"/>
      <c r="J6" s="121">
        <v>44147</v>
      </c>
      <c r="K6" s="121">
        <v>44511</v>
      </c>
      <c r="L6" s="13">
        <f>DATEDIF(J6,K6,"d")</f>
        <v>364</v>
      </c>
      <c r="M6" s="277" t="s">
        <v>349</v>
      </c>
      <c r="N6" s="278">
        <v>12639.662999999997</v>
      </c>
      <c r="O6" s="278">
        <v>455.38499999999999</v>
      </c>
      <c r="P6" s="169">
        <f>N6/O6</f>
        <v>27.755993280411076</v>
      </c>
      <c r="Q6" s="200"/>
    </row>
    <row r="7" spans="2:17" ht="16.2" x14ac:dyDescent="0.3">
      <c r="B7" s="18" t="s">
        <v>105</v>
      </c>
      <c r="C7" s="18" t="s">
        <v>106</v>
      </c>
      <c r="D7" s="18" t="s">
        <v>107</v>
      </c>
      <c r="E7" s="18" t="s">
        <v>193</v>
      </c>
      <c r="F7" s="18" t="s">
        <v>331</v>
      </c>
      <c r="G7" s="18" t="s">
        <v>331</v>
      </c>
      <c r="H7" s="157"/>
      <c r="I7" s="184"/>
      <c r="J7" s="177"/>
      <c r="K7" s="177"/>
      <c r="L7" s="186"/>
      <c r="M7" s="186"/>
      <c r="N7" s="175"/>
      <c r="O7" s="197"/>
      <c r="P7" s="177"/>
      <c r="Q7" s="177"/>
    </row>
    <row r="8" spans="2:17" ht="15" x14ac:dyDescent="0.3">
      <c r="B8" s="121">
        <v>44147</v>
      </c>
      <c r="C8" s="121">
        <v>44196</v>
      </c>
      <c r="D8" s="506">
        <f>O$6</f>
        <v>455.38499999999999</v>
      </c>
      <c r="E8" s="506">
        <f>Q11+Q15</f>
        <v>45.141565149133172</v>
      </c>
      <c r="F8" s="506">
        <f>D8*E8</f>
        <v>20556.79164543801</v>
      </c>
      <c r="G8" s="506">
        <f>F8</f>
        <v>20556.79164543801</v>
      </c>
      <c r="H8" s="172"/>
      <c r="I8" s="185"/>
      <c r="J8" s="531" t="s">
        <v>332</v>
      </c>
      <c r="K8" s="532"/>
      <c r="L8" s="532"/>
      <c r="M8" s="532"/>
      <c r="N8" s="532"/>
      <c r="O8" s="532"/>
      <c r="P8" s="532"/>
      <c r="Q8" s="532"/>
    </row>
    <row r="9" spans="2:17" ht="45" x14ac:dyDescent="0.3">
      <c r="B9" s="149">
        <v>44197</v>
      </c>
      <c r="C9" s="149">
        <v>44511</v>
      </c>
      <c r="D9" s="507"/>
      <c r="E9" s="507"/>
      <c r="F9" s="507"/>
      <c r="G9" s="507"/>
      <c r="H9" s="172"/>
      <c r="I9" s="185"/>
      <c r="J9" s="198" t="s">
        <v>307</v>
      </c>
      <c r="K9" s="198" t="s">
        <v>308</v>
      </c>
      <c r="L9" s="198" t="s">
        <v>309</v>
      </c>
      <c r="M9" s="528" t="s">
        <v>350</v>
      </c>
      <c r="N9" s="529"/>
      <c r="O9" s="530"/>
      <c r="P9" s="178" t="s">
        <v>351</v>
      </c>
      <c r="Q9" s="178" t="s">
        <v>352</v>
      </c>
    </row>
    <row r="10" spans="2:17" ht="27" customHeight="1" x14ac:dyDescent="0.3">
      <c r="B10" s="109"/>
      <c r="C10" s="109"/>
      <c r="D10" s="109"/>
      <c r="E10" s="109"/>
      <c r="F10" s="109"/>
      <c r="G10" s="109"/>
      <c r="I10" s="182"/>
      <c r="J10" s="218"/>
      <c r="K10" s="218"/>
      <c r="L10" s="218"/>
      <c r="M10" s="198" t="s">
        <v>353</v>
      </c>
      <c r="N10" s="168" t="s">
        <v>107</v>
      </c>
      <c r="O10" s="168" t="s">
        <v>344</v>
      </c>
      <c r="P10" s="168" t="s">
        <v>354</v>
      </c>
      <c r="Q10" s="168" t="s">
        <v>183</v>
      </c>
    </row>
    <row r="11" spans="2:17" ht="36.75" customHeight="1" x14ac:dyDescent="0.35">
      <c r="B11" s="109"/>
      <c r="C11" s="109"/>
      <c r="D11" s="109"/>
      <c r="E11" s="109"/>
      <c r="F11" s="109"/>
      <c r="G11" s="109"/>
      <c r="H11" s="125"/>
      <c r="I11" s="187"/>
      <c r="J11" s="121">
        <v>44147</v>
      </c>
      <c r="K11" s="121">
        <v>44196</v>
      </c>
      <c r="L11" s="13">
        <f>DATEDIF(J11,K11,"d")</f>
        <v>49</v>
      </c>
      <c r="M11" s="194">
        <f>L11*N6/L6</f>
        <v>1701.4930961538457</v>
      </c>
      <c r="N11" s="195">
        <f>O6</f>
        <v>455.38499999999999</v>
      </c>
      <c r="O11" s="194">
        <f>M11/N11</f>
        <v>3.7363837108245677</v>
      </c>
      <c r="P11" s="195">
        <v>2.0173999999999999</v>
      </c>
      <c r="Q11" s="194">
        <v>5.4387427890521902</v>
      </c>
    </row>
    <row r="12" spans="2:17" ht="15" customHeight="1" x14ac:dyDescent="0.3">
      <c r="B12" s="109"/>
      <c r="C12" s="109"/>
      <c r="D12" s="109"/>
      <c r="E12" s="109"/>
      <c r="F12" s="109"/>
      <c r="G12" s="109"/>
      <c r="H12" s="173"/>
      <c r="I12" s="188"/>
      <c r="J12" s="526" t="s">
        <v>335</v>
      </c>
      <c r="K12" s="527"/>
      <c r="L12" s="527"/>
      <c r="M12" s="527"/>
      <c r="N12" s="527"/>
      <c r="O12" s="527"/>
      <c r="P12" s="527"/>
      <c r="Q12" s="527"/>
    </row>
    <row r="13" spans="2:17" ht="38.25" customHeight="1" x14ac:dyDescent="0.3">
      <c r="B13" s="109"/>
      <c r="C13" s="109"/>
      <c r="D13" s="109"/>
      <c r="E13" s="109"/>
      <c r="F13" s="109"/>
      <c r="G13" s="109"/>
      <c r="H13" s="174"/>
      <c r="I13" s="189"/>
      <c r="J13" s="198" t="s">
        <v>307</v>
      </c>
      <c r="K13" s="198" t="s">
        <v>308</v>
      </c>
      <c r="L13" s="198" t="s">
        <v>309</v>
      </c>
      <c r="M13" s="528" t="s">
        <v>350</v>
      </c>
      <c r="N13" s="529"/>
      <c r="O13" s="530"/>
      <c r="P13" s="178" t="s">
        <v>351</v>
      </c>
      <c r="Q13" s="178" t="s">
        <v>352</v>
      </c>
    </row>
    <row r="14" spans="2:17" ht="27.6" x14ac:dyDescent="0.3">
      <c r="B14" s="109"/>
      <c r="C14" s="109"/>
      <c r="D14" s="109"/>
      <c r="E14" s="109"/>
      <c r="F14" s="109"/>
      <c r="G14" s="109"/>
      <c r="H14" s="175"/>
      <c r="I14" s="190"/>
      <c r="J14" s="218"/>
      <c r="K14" s="218"/>
      <c r="L14" s="218"/>
      <c r="M14" s="198" t="s">
        <v>353</v>
      </c>
      <c r="N14" s="168" t="s">
        <v>107</v>
      </c>
      <c r="O14" s="168" t="s">
        <v>344</v>
      </c>
      <c r="P14" s="168" t="s">
        <v>355</v>
      </c>
      <c r="Q14" s="168" t="s">
        <v>183</v>
      </c>
    </row>
    <row r="15" spans="2:17" ht="18" customHeight="1" x14ac:dyDescent="0.3">
      <c r="B15" s="109"/>
      <c r="C15" s="109"/>
      <c r="D15" s="109"/>
      <c r="E15" s="109"/>
      <c r="F15" s="109"/>
      <c r="G15" s="109"/>
      <c r="H15" s="175"/>
      <c r="I15" s="190"/>
      <c r="J15" s="149">
        <v>44197</v>
      </c>
      <c r="K15" s="149">
        <v>44511</v>
      </c>
      <c r="L15" s="13">
        <f>DATEDIF(J15,K15,"d")</f>
        <v>314</v>
      </c>
      <c r="M15" s="169">
        <f>L15*N6/L6</f>
        <v>10903.445554945052</v>
      </c>
      <c r="N15" s="170">
        <f>O6</f>
        <v>455.38499999999999</v>
      </c>
      <c r="O15" s="194">
        <f>M15/N15</f>
        <v>23.94335684079417</v>
      </c>
      <c r="P15" s="278">
        <v>2.0173999999999999</v>
      </c>
      <c r="Q15" s="276">
        <v>39.70282236008098</v>
      </c>
    </row>
    <row r="16" spans="2:17" ht="15" x14ac:dyDescent="0.3">
      <c r="B16" s="109"/>
      <c r="C16" s="109"/>
      <c r="D16" s="109"/>
      <c r="E16" s="109"/>
      <c r="F16" s="109"/>
      <c r="G16" s="109"/>
      <c r="H16" s="176"/>
      <c r="I16" s="191"/>
      <c r="J16" s="109"/>
      <c r="K16" s="109"/>
      <c r="L16" s="109"/>
      <c r="M16" s="109"/>
      <c r="N16" s="109"/>
      <c r="O16" s="109"/>
      <c r="Q16" s="109"/>
    </row>
    <row r="17" spans="2:18" x14ac:dyDescent="0.3">
      <c r="B17" s="109"/>
      <c r="C17" s="109"/>
      <c r="D17" s="109"/>
      <c r="E17" s="109"/>
      <c r="F17" s="109"/>
      <c r="G17" s="109"/>
      <c r="J17" s="109"/>
      <c r="K17" s="109"/>
      <c r="L17" s="109"/>
      <c r="M17" s="109"/>
      <c r="N17" s="109"/>
      <c r="O17" s="109"/>
      <c r="Q17" s="109"/>
    </row>
    <row r="18" spans="2:18" x14ac:dyDescent="0.3">
      <c r="B18" s="109"/>
      <c r="C18" s="109"/>
      <c r="D18" s="109"/>
      <c r="E18" s="109"/>
      <c r="F18" s="109"/>
      <c r="G18" s="109"/>
      <c r="J18" s="109"/>
      <c r="K18" s="109"/>
      <c r="L18" s="109"/>
      <c r="M18" s="109"/>
      <c r="N18" s="109"/>
      <c r="O18" s="109"/>
      <c r="Q18" s="109"/>
    </row>
    <row r="19" spans="2:18" ht="15" x14ac:dyDescent="0.3">
      <c r="B19" s="109"/>
      <c r="C19" s="109"/>
      <c r="D19" s="109"/>
      <c r="E19" s="109"/>
      <c r="F19" s="109"/>
      <c r="G19" s="109"/>
      <c r="J19" s="224" t="s">
        <v>356</v>
      </c>
      <c r="K19" s="224"/>
      <c r="L19" s="224"/>
      <c r="M19" s="224"/>
      <c r="N19" s="109"/>
      <c r="O19" s="109"/>
      <c r="Q19" s="109"/>
    </row>
    <row r="20" spans="2:18" ht="39.75" customHeight="1" x14ac:dyDescent="0.3">
      <c r="B20" s="109"/>
      <c r="C20" s="109"/>
      <c r="D20" s="109"/>
      <c r="E20" s="109"/>
      <c r="F20" s="109"/>
      <c r="G20" s="109"/>
      <c r="J20" s="109"/>
      <c r="K20" s="109"/>
      <c r="L20" s="109"/>
      <c r="M20" s="109"/>
      <c r="N20" s="109"/>
      <c r="O20" s="109"/>
      <c r="Q20" s="109"/>
    </row>
    <row r="21" spans="2:18" ht="30.75" customHeight="1" x14ac:dyDescent="0.3">
      <c r="B21" s="109"/>
      <c r="C21" s="109"/>
      <c r="D21" s="109"/>
      <c r="E21" s="109"/>
      <c r="F21" s="109"/>
      <c r="G21" s="109"/>
      <c r="J21" s="109"/>
      <c r="K21" s="109"/>
      <c r="L21" s="109"/>
      <c r="M21" s="109"/>
      <c r="N21" s="109"/>
      <c r="O21" s="109"/>
      <c r="Q21" s="109"/>
    </row>
    <row r="22" spans="2:18" x14ac:dyDescent="0.3">
      <c r="B22" s="109"/>
      <c r="C22" s="109"/>
      <c r="D22" s="109"/>
      <c r="E22" s="109"/>
      <c r="F22" s="109"/>
      <c r="G22" s="109"/>
    </row>
    <row r="23" spans="2:18" x14ac:dyDescent="0.3">
      <c r="B23" s="109"/>
      <c r="C23" s="109"/>
      <c r="D23" s="109"/>
      <c r="E23" s="109"/>
      <c r="F23" s="109"/>
      <c r="G23" s="109"/>
      <c r="J23" s="109"/>
      <c r="K23" s="109"/>
      <c r="L23" s="109"/>
      <c r="M23" s="109"/>
      <c r="N23" s="109"/>
      <c r="O23" s="109"/>
      <c r="Q23" s="109"/>
    </row>
    <row r="24" spans="2:18" x14ac:dyDescent="0.3">
      <c r="B24" s="109"/>
      <c r="C24" s="109"/>
      <c r="D24" s="109"/>
      <c r="E24" s="109"/>
      <c r="F24" s="109"/>
      <c r="G24" s="109"/>
      <c r="J24" s="109"/>
      <c r="K24" s="109"/>
      <c r="L24" s="109"/>
      <c r="M24" s="109"/>
      <c r="N24" s="109"/>
      <c r="O24" s="109"/>
      <c r="Q24" s="109"/>
    </row>
    <row r="25" spans="2:18" x14ac:dyDescent="0.3">
      <c r="B25" s="109"/>
      <c r="C25" s="109"/>
      <c r="D25" s="109"/>
      <c r="E25" s="109"/>
      <c r="F25" s="109"/>
      <c r="G25" s="109"/>
      <c r="J25" s="109"/>
      <c r="K25" s="109"/>
      <c r="L25" s="109"/>
      <c r="M25" s="109"/>
      <c r="N25" s="109"/>
      <c r="O25" s="109"/>
      <c r="Q25" s="109"/>
    </row>
    <row r="26" spans="2:18" ht="14.55" customHeight="1" x14ac:dyDescent="0.3">
      <c r="B26" s="109"/>
      <c r="C26" s="109"/>
      <c r="D26" s="109"/>
      <c r="E26" s="109"/>
      <c r="F26" s="109"/>
      <c r="G26" s="109"/>
      <c r="N26" s="224"/>
      <c r="O26" s="224"/>
      <c r="P26" s="224"/>
      <c r="Q26" s="179"/>
      <c r="R26" s="179"/>
    </row>
    <row r="27" spans="2:18" s="109" customFormat="1" x14ac:dyDescent="0.3"/>
    <row r="28" spans="2:18" s="109" customFormat="1" x14ac:dyDescent="0.3"/>
    <row r="29" spans="2:18" s="109" customFormat="1" x14ac:dyDescent="0.3"/>
    <row r="30" spans="2:18" s="109" customFormat="1" x14ac:dyDescent="0.3"/>
    <row r="31" spans="2:18" s="109" customFormat="1" x14ac:dyDescent="0.3"/>
    <row r="32" spans="2:18" s="109" customFormat="1" x14ac:dyDescent="0.3"/>
    <row r="33" s="109" customFormat="1" x14ac:dyDescent="0.3"/>
    <row r="34" s="109" customFormat="1" x14ac:dyDescent="0.3"/>
    <row r="35" s="109" customFormat="1" x14ac:dyDescent="0.3"/>
    <row r="36" s="109" customFormat="1" x14ac:dyDescent="0.3"/>
    <row r="37" s="109" customFormat="1" x14ac:dyDescent="0.3"/>
    <row r="38" s="109" customFormat="1" x14ac:dyDescent="0.3"/>
    <row r="39" s="109" customFormat="1" x14ac:dyDescent="0.3"/>
    <row r="40" s="109" customFormat="1" x14ac:dyDescent="0.3"/>
    <row r="41" s="109" customFormat="1" x14ac:dyDescent="0.3"/>
    <row r="42" s="109" customFormat="1" x14ac:dyDescent="0.3"/>
    <row r="43" s="109" customFormat="1" x14ac:dyDescent="0.3"/>
    <row r="44" s="109" customFormat="1" x14ac:dyDescent="0.3"/>
    <row r="45" s="109" customFormat="1" x14ac:dyDescent="0.3"/>
    <row r="46" s="109" customFormat="1" x14ac:dyDescent="0.3"/>
    <row r="47" s="109" customFormat="1" x14ac:dyDescent="0.3"/>
    <row r="48" s="109" customFormat="1" x14ac:dyDescent="0.3"/>
    <row r="49" s="109" customFormat="1" x14ac:dyDescent="0.3"/>
    <row r="50" s="109" customFormat="1" x14ac:dyDescent="0.3"/>
    <row r="51" s="109" customFormat="1" x14ac:dyDescent="0.3"/>
    <row r="52" s="109" customFormat="1" x14ac:dyDescent="0.3"/>
    <row r="53" s="109" customFormat="1" x14ac:dyDescent="0.3"/>
    <row r="54" s="109" customFormat="1" x14ac:dyDescent="0.3"/>
    <row r="55" s="109" customFormat="1" x14ac:dyDescent="0.3"/>
    <row r="56" s="109" customFormat="1" x14ac:dyDescent="0.3"/>
    <row r="57" s="109" customFormat="1" x14ac:dyDescent="0.3"/>
  </sheetData>
  <mergeCells count="13">
    <mergeCell ref="J12:Q12"/>
    <mergeCell ref="M9:O9"/>
    <mergeCell ref="M13:O13"/>
    <mergeCell ref="J8:Q8"/>
    <mergeCell ref="B4:C6"/>
    <mergeCell ref="D4:E4"/>
    <mergeCell ref="F4:G4"/>
    <mergeCell ref="D5:E5"/>
    <mergeCell ref="D8:D9"/>
    <mergeCell ref="E8:E9"/>
    <mergeCell ref="F8:F9"/>
    <mergeCell ref="G8:G9"/>
    <mergeCell ref="N4:P4"/>
  </mergeCells>
  <pageMargins left="0.511811024" right="0.511811024" top="0.78740157499999996" bottom="0.78740157499999996" header="0.31496062000000002" footer="0.3149606200000000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K10"/>
  <sheetViews>
    <sheetView showGridLines="0" workbookViewId="0">
      <selection activeCell="D8" sqref="D8"/>
    </sheetView>
  </sheetViews>
  <sheetFormatPr defaultColWidth="14.44140625" defaultRowHeight="15" customHeight="1" x14ac:dyDescent="0.35"/>
  <cols>
    <col min="1" max="1" width="3.77734375" style="3" customWidth="1"/>
    <col min="2" max="2" width="14.21875" style="3" customWidth="1"/>
    <col min="3" max="3" width="14.44140625" style="3" customWidth="1"/>
    <col min="4" max="4" width="11" style="3" bestFit="1" customWidth="1"/>
    <col min="5" max="5" width="11.77734375" style="3" customWidth="1"/>
    <col min="6" max="6" width="10.77734375" style="3" customWidth="1"/>
    <col min="7" max="7" width="14" style="3" customWidth="1"/>
    <col min="8" max="8" width="10.77734375" style="3" bestFit="1" customWidth="1"/>
    <col min="9" max="9" width="11.77734375" style="3" bestFit="1" customWidth="1"/>
    <col min="10" max="10" width="11.5546875" style="3" customWidth="1"/>
    <col min="11" max="11" width="13.77734375" style="3" customWidth="1"/>
    <col min="12" max="27" width="8.77734375" style="3" customWidth="1"/>
    <col min="28" max="16384" width="14.44140625" style="3"/>
  </cols>
  <sheetData>
    <row r="2" spans="2:11" ht="12.75" customHeight="1" x14ac:dyDescent="0.35">
      <c r="B2" s="202" t="s">
        <v>357</v>
      </c>
      <c r="D2" s="62"/>
      <c r="E2" s="62"/>
      <c r="F2" s="62"/>
      <c r="G2" s="62"/>
      <c r="H2" s="62"/>
      <c r="I2" s="62"/>
      <c r="J2" s="62"/>
      <c r="K2" s="62"/>
    </row>
    <row r="3" spans="2:11" ht="12.75" customHeight="1" x14ac:dyDescent="0.35">
      <c r="B3" s="62"/>
      <c r="C3" s="62"/>
      <c r="D3" s="62"/>
      <c r="E3" s="62"/>
      <c r="F3" s="62"/>
      <c r="G3" s="62"/>
      <c r="H3" s="62"/>
      <c r="I3" s="62"/>
      <c r="J3" s="62"/>
      <c r="K3" s="62"/>
    </row>
    <row r="4" spans="2:11" ht="75" customHeight="1" x14ac:dyDescent="0.35">
      <c r="B4" s="514" t="s">
        <v>301</v>
      </c>
      <c r="C4" s="514"/>
      <c r="D4" s="502" t="s">
        <v>303</v>
      </c>
      <c r="E4" s="503"/>
      <c r="F4" s="502" t="s">
        <v>341</v>
      </c>
      <c r="G4" s="503"/>
      <c r="H4" s="502" t="s">
        <v>358</v>
      </c>
      <c r="I4" s="503"/>
      <c r="J4" s="502" t="s">
        <v>359</v>
      </c>
      <c r="K4" s="503"/>
    </row>
    <row r="5" spans="2:11" ht="39" customHeight="1" x14ac:dyDescent="0.35">
      <c r="B5" s="514"/>
      <c r="C5" s="514"/>
      <c r="D5" s="19" t="s">
        <v>118</v>
      </c>
      <c r="E5" s="18" t="s">
        <v>119</v>
      </c>
      <c r="F5" s="19" t="s">
        <v>118</v>
      </c>
      <c r="G5" s="18" t="s">
        <v>119</v>
      </c>
      <c r="H5" s="19" t="s">
        <v>118</v>
      </c>
      <c r="I5" s="18" t="s">
        <v>119</v>
      </c>
      <c r="J5" s="19" t="s">
        <v>118</v>
      </c>
      <c r="K5" s="18" t="s">
        <v>119</v>
      </c>
    </row>
    <row r="6" spans="2:11" ht="12.75" customHeight="1" x14ac:dyDescent="0.35">
      <c r="B6" s="514"/>
      <c r="C6" s="514"/>
      <c r="D6" s="18" t="s">
        <v>324</v>
      </c>
      <c r="E6" s="18" t="s">
        <v>325</v>
      </c>
      <c r="F6" s="18" t="s">
        <v>347</v>
      </c>
      <c r="G6" s="18" t="s">
        <v>348</v>
      </c>
      <c r="H6" s="18" t="s">
        <v>360</v>
      </c>
      <c r="I6" s="18" t="s">
        <v>361</v>
      </c>
      <c r="J6" s="18" t="s">
        <v>362</v>
      </c>
      <c r="K6" s="18" t="s">
        <v>363</v>
      </c>
    </row>
    <row r="7" spans="2:11" ht="12.75" customHeight="1" x14ac:dyDescent="0.35">
      <c r="B7" s="18" t="s">
        <v>105</v>
      </c>
      <c r="C7" s="18" t="s">
        <v>106</v>
      </c>
      <c r="D7" s="18" t="s">
        <v>331</v>
      </c>
      <c r="E7" s="18" t="s">
        <v>331</v>
      </c>
      <c r="F7" s="18" t="s">
        <v>331</v>
      </c>
      <c r="G7" s="18" t="s">
        <v>331</v>
      </c>
      <c r="H7" s="18" t="s">
        <v>331</v>
      </c>
      <c r="I7" s="18" t="s">
        <v>331</v>
      </c>
      <c r="J7" s="18" t="s">
        <v>331</v>
      </c>
      <c r="K7" s="18" t="s">
        <v>331</v>
      </c>
    </row>
    <row r="8" spans="2:11" ht="12.75" customHeight="1" x14ac:dyDescent="0.35">
      <c r="B8" s="121">
        <v>44147</v>
      </c>
      <c r="C8" s="121">
        <v>44511</v>
      </c>
      <c r="D8" s="22">
        <f>'Table 25a'!F8</f>
        <v>3893.048824</v>
      </c>
      <c r="E8" s="22">
        <f>D8</f>
        <v>3893.048824</v>
      </c>
      <c r="F8" s="22">
        <f>'Table 25b'!F8</f>
        <v>20556.79164543801</v>
      </c>
      <c r="G8" s="22">
        <f>F8</f>
        <v>20556.79164543801</v>
      </c>
      <c r="H8" s="22">
        <v>0</v>
      </c>
      <c r="I8" s="22">
        <v>0</v>
      </c>
      <c r="J8" s="22">
        <f>D8+F8+H8</f>
        <v>24449.840469438011</v>
      </c>
      <c r="K8" s="22">
        <f>J8</f>
        <v>24449.840469438011</v>
      </c>
    </row>
    <row r="9" spans="2:11" ht="12.75" customHeight="1" x14ac:dyDescent="0.35">
      <c r="B9" s="149"/>
      <c r="C9" s="149"/>
      <c r="D9" s="22"/>
      <c r="E9" s="22"/>
      <c r="F9" s="22"/>
      <c r="G9" s="22"/>
      <c r="H9" s="22"/>
      <c r="I9" s="22"/>
      <c r="J9" s="22"/>
      <c r="K9" s="22"/>
    </row>
    <row r="10" spans="2:11" ht="12.75" customHeight="1" x14ac:dyDescent="0.35">
      <c r="B10" s="149"/>
      <c r="C10" s="149"/>
      <c r="D10" s="22"/>
      <c r="E10" s="22"/>
      <c r="F10" s="22"/>
      <c r="G10" s="22"/>
      <c r="H10" s="22"/>
      <c r="I10" s="22"/>
      <c r="J10" s="22"/>
      <c r="K10" s="22"/>
    </row>
  </sheetData>
  <mergeCells count="5">
    <mergeCell ref="D4:E4"/>
    <mergeCell ref="F4:G4"/>
    <mergeCell ref="H4:I4"/>
    <mergeCell ref="J4:K4"/>
    <mergeCell ref="B4:C6"/>
  </mergeCells>
  <pageMargins left="0.511811024" right="0.511811024" top="0.78740157499999996" bottom="0.78740157499999996" header="0" footer="0"/>
  <pageSetup paperSize="9" orientation="portrait"/>
  <ignoredErrors>
    <ignoredError sqref="F8"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60464-8F1B-417F-A96E-B7FBA9EB677B}">
  <dimension ref="A2:AA11"/>
  <sheetViews>
    <sheetView workbookViewId="0">
      <selection activeCell="F3" sqref="F3:G5"/>
    </sheetView>
  </sheetViews>
  <sheetFormatPr defaultRowHeight="14.4" x14ac:dyDescent="0.3"/>
  <cols>
    <col min="1" max="1" width="5.44140625" style="109" customWidth="1"/>
    <col min="2" max="2" width="14.44140625" customWidth="1"/>
    <col min="3" max="3" width="13" customWidth="1"/>
    <col min="6" max="6" width="10.44140625" customWidth="1"/>
    <col min="7" max="7" width="14.44140625" customWidth="1"/>
    <col min="8" max="8" width="12.77734375" customWidth="1"/>
    <col min="9" max="9" width="9.21875" style="109"/>
    <col min="10" max="10" width="14.21875" customWidth="1"/>
    <col min="11" max="11" width="13.21875" customWidth="1"/>
    <col min="14" max="14" width="10.44140625" customWidth="1"/>
    <col min="15" max="15" width="12.77734375" customWidth="1"/>
    <col min="16" max="16" width="15.77734375" customWidth="1"/>
    <col min="17" max="17" width="9.21875" style="109"/>
    <col min="18" max="18" width="14.44140625" customWidth="1"/>
    <col min="19" max="19" width="12.77734375" customWidth="1"/>
    <col min="21" max="23" width="11.21875" customWidth="1"/>
    <col min="24" max="24" width="9.77734375" customWidth="1"/>
    <col min="25" max="25" width="11.44140625" customWidth="1"/>
    <col min="26" max="27" width="9.21875" style="109"/>
  </cols>
  <sheetData>
    <row r="2" spans="2:25" s="109" customFormat="1" ht="30" customHeight="1" x14ac:dyDescent="0.3">
      <c r="B2" s="547" t="s">
        <v>364</v>
      </c>
      <c r="C2" s="547"/>
      <c r="D2" s="547"/>
      <c r="E2" s="547"/>
      <c r="F2" s="547"/>
      <c r="G2" s="547"/>
      <c r="H2" s="547"/>
      <c r="I2" s="207"/>
      <c r="J2" s="548" t="s">
        <v>365</v>
      </c>
      <c r="K2" s="548"/>
      <c r="L2" s="548"/>
      <c r="M2" s="548"/>
      <c r="N2" s="548"/>
      <c r="O2" s="548"/>
      <c r="P2" s="548"/>
      <c r="Q2" s="207"/>
      <c r="R2" s="549" t="s">
        <v>366</v>
      </c>
      <c r="S2" s="549"/>
      <c r="T2" s="549"/>
      <c r="U2" s="549"/>
      <c r="V2" s="549"/>
      <c r="W2" s="549"/>
      <c r="X2" s="549"/>
      <c r="Y2" s="549"/>
    </row>
    <row r="3" spans="2:25" ht="30" customHeight="1" x14ac:dyDescent="0.3">
      <c r="B3" s="469" t="s">
        <v>268</v>
      </c>
      <c r="C3" s="469"/>
      <c r="D3" s="469" t="s">
        <v>367</v>
      </c>
      <c r="E3" s="469"/>
      <c r="F3" s="469" t="s">
        <v>368</v>
      </c>
      <c r="G3" s="469"/>
      <c r="H3" s="461" t="s">
        <v>369</v>
      </c>
      <c r="I3" s="207"/>
      <c r="J3" s="540" t="s">
        <v>370</v>
      </c>
      <c r="K3" s="540"/>
      <c r="L3" s="540" t="s">
        <v>371</v>
      </c>
      <c r="M3" s="540"/>
      <c r="N3" s="540" t="s">
        <v>368</v>
      </c>
      <c r="O3" s="540"/>
      <c r="P3" s="540" t="s">
        <v>369</v>
      </c>
      <c r="Q3" s="207"/>
      <c r="R3" s="540" t="s">
        <v>372</v>
      </c>
      <c r="S3" s="540"/>
      <c r="T3" s="541" t="s">
        <v>373</v>
      </c>
      <c r="U3" s="542"/>
      <c r="V3" s="541" t="s">
        <v>368</v>
      </c>
      <c r="W3" s="542"/>
      <c r="X3" s="541" t="s">
        <v>374</v>
      </c>
      <c r="Y3" s="542"/>
    </row>
    <row r="4" spans="2:25" ht="45" customHeight="1" x14ac:dyDescent="0.3">
      <c r="B4" s="469"/>
      <c r="C4" s="469"/>
      <c r="D4" s="469"/>
      <c r="E4" s="469"/>
      <c r="F4" s="469"/>
      <c r="G4" s="469"/>
      <c r="H4" s="461"/>
      <c r="I4" s="207"/>
      <c r="J4" s="540"/>
      <c r="K4" s="540"/>
      <c r="L4" s="540"/>
      <c r="M4" s="540"/>
      <c r="N4" s="540"/>
      <c r="O4" s="540"/>
      <c r="P4" s="540"/>
      <c r="Q4" s="207"/>
      <c r="R4" s="540"/>
      <c r="S4" s="540"/>
      <c r="T4" s="543"/>
      <c r="U4" s="544"/>
      <c r="V4" s="543"/>
      <c r="W4" s="544"/>
      <c r="X4" s="543"/>
      <c r="Y4" s="544"/>
    </row>
    <row r="5" spans="2:25" x14ac:dyDescent="0.3">
      <c r="B5" s="469"/>
      <c r="C5" s="469"/>
      <c r="D5" s="469"/>
      <c r="E5" s="469"/>
      <c r="F5" s="469"/>
      <c r="G5" s="469"/>
      <c r="H5" s="461"/>
      <c r="I5" s="207"/>
      <c r="J5" s="540"/>
      <c r="K5" s="540"/>
      <c r="L5" s="540"/>
      <c r="M5" s="540"/>
      <c r="N5" s="540"/>
      <c r="O5" s="540"/>
      <c r="P5" s="540"/>
      <c r="Q5" s="207"/>
      <c r="R5" s="540"/>
      <c r="S5" s="540"/>
      <c r="T5" s="545"/>
      <c r="U5" s="546"/>
      <c r="V5" s="545"/>
      <c r="W5" s="546"/>
      <c r="X5" s="545"/>
      <c r="Y5" s="546"/>
    </row>
    <row r="6" spans="2:25" ht="16.2" x14ac:dyDescent="0.3">
      <c r="B6" s="469"/>
      <c r="C6" s="469"/>
      <c r="D6" s="166" t="s">
        <v>375</v>
      </c>
      <c r="E6" s="131">
        <v>1</v>
      </c>
      <c r="F6" s="131" t="s">
        <v>118</v>
      </c>
      <c r="G6" s="131" t="s">
        <v>376</v>
      </c>
      <c r="H6" s="461"/>
      <c r="I6" s="207"/>
      <c r="J6" s="540"/>
      <c r="K6" s="540"/>
      <c r="L6" s="205" t="s">
        <v>377</v>
      </c>
      <c r="M6" s="206">
        <v>1</v>
      </c>
      <c r="N6" s="206" t="s">
        <v>118</v>
      </c>
      <c r="O6" s="206" t="s">
        <v>376</v>
      </c>
      <c r="P6" s="540"/>
      <c r="Q6" s="207"/>
      <c r="R6" s="540"/>
      <c r="S6" s="540"/>
      <c r="T6" s="206" t="s">
        <v>118</v>
      </c>
      <c r="U6" s="206" t="s">
        <v>119</v>
      </c>
      <c r="V6" s="206" t="s">
        <v>118</v>
      </c>
      <c r="W6" s="206" t="s">
        <v>119</v>
      </c>
      <c r="X6" s="206" t="s">
        <v>118</v>
      </c>
      <c r="Y6" s="206" t="s">
        <v>119</v>
      </c>
    </row>
    <row r="7" spans="2:25" ht="16.2" x14ac:dyDescent="0.3">
      <c r="B7" s="469"/>
      <c r="C7" s="469"/>
      <c r="D7" s="131" t="s">
        <v>378</v>
      </c>
      <c r="E7" s="131" t="s">
        <v>379</v>
      </c>
      <c r="F7" s="131" t="s">
        <v>380</v>
      </c>
      <c r="G7" s="131" t="s">
        <v>381</v>
      </c>
      <c r="H7" s="461"/>
      <c r="I7" s="207"/>
      <c r="J7" s="540"/>
      <c r="K7" s="540"/>
      <c r="L7" s="206" t="s">
        <v>382</v>
      </c>
      <c r="M7" s="206" t="s">
        <v>383</v>
      </c>
      <c r="N7" s="206" t="s">
        <v>384</v>
      </c>
      <c r="O7" s="206" t="s">
        <v>384</v>
      </c>
      <c r="P7" s="540"/>
      <c r="Q7" s="207"/>
      <c r="R7" s="540"/>
      <c r="S7" s="540"/>
      <c r="T7" s="206" t="s">
        <v>380</v>
      </c>
      <c r="U7" s="206" t="s">
        <v>380</v>
      </c>
      <c r="V7" s="206" t="s">
        <v>385</v>
      </c>
      <c r="W7" s="206" t="s">
        <v>385</v>
      </c>
      <c r="X7" s="206" t="s">
        <v>386</v>
      </c>
      <c r="Y7" s="206" t="s">
        <v>386</v>
      </c>
    </row>
    <row r="8" spans="2:25" ht="17.399999999999999" x14ac:dyDescent="0.3">
      <c r="B8" s="18" t="s">
        <v>105</v>
      </c>
      <c r="C8" s="18" t="s">
        <v>106</v>
      </c>
      <c r="D8" s="144" t="s">
        <v>107</v>
      </c>
      <c r="E8" s="131" t="s">
        <v>387</v>
      </c>
      <c r="F8" s="131" t="s">
        <v>331</v>
      </c>
      <c r="G8" s="131" t="s">
        <v>331</v>
      </c>
      <c r="H8" s="461"/>
      <c r="I8" s="207"/>
      <c r="J8" s="18" t="s">
        <v>105</v>
      </c>
      <c r="K8" s="18" t="s">
        <v>106</v>
      </c>
      <c r="L8" s="204" t="s">
        <v>107</v>
      </c>
      <c r="M8" s="206" t="s">
        <v>388</v>
      </c>
      <c r="N8" s="206" t="s">
        <v>389</v>
      </c>
      <c r="O8" s="206" t="s">
        <v>389</v>
      </c>
      <c r="P8" s="540"/>
      <c r="Q8" s="207"/>
      <c r="R8" s="18" t="s">
        <v>105</v>
      </c>
      <c r="S8" s="18" t="s">
        <v>106</v>
      </c>
      <c r="T8" s="206" t="s">
        <v>389</v>
      </c>
      <c r="U8" s="206" t="s">
        <v>389</v>
      </c>
      <c r="V8" s="206" t="s">
        <v>389</v>
      </c>
      <c r="W8" s="206" t="s">
        <v>389</v>
      </c>
      <c r="X8" s="206" t="s">
        <v>389</v>
      </c>
      <c r="Y8" s="206" t="s">
        <v>389</v>
      </c>
    </row>
    <row r="9" spans="2:25" ht="15" x14ac:dyDescent="0.3">
      <c r="B9" s="121">
        <v>44147</v>
      </c>
      <c r="C9" s="121">
        <v>44511</v>
      </c>
      <c r="D9" s="230" cm="1">
        <f t="array" ref="D9:D10">'Table 25a'!H8:H9*'Table 23'!C8</f>
        <v>0.44364510204180269</v>
      </c>
      <c r="E9" s="230">
        <f>'Table 23'!H8</f>
        <v>85.131779589999994</v>
      </c>
      <c r="F9" s="230">
        <f>D9*E9</f>
        <v>37.768297043205806</v>
      </c>
      <c r="G9" s="230">
        <f>F9</f>
        <v>37.768297043205806</v>
      </c>
      <c r="H9" s="167">
        <f>F9/'Table 36'!D8</f>
        <v>7.0818376093926443E-4</v>
      </c>
      <c r="I9" s="207"/>
      <c r="J9" s="121">
        <v>44147</v>
      </c>
      <c r="K9" s="121">
        <v>44511</v>
      </c>
      <c r="L9" s="283">
        <v>0</v>
      </c>
      <c r="M9" s="283">
        <v>0</v>
      </c>
      <c r="N9" s="248">
        <v>0</v>
      </c>
      <c r="O9" s="230">
        <f>N9</f>
        <v>0</v>
      </c>
      <c r="P9" s="167">
        <f>N9/'Table 36'!D8</f>
        <v>0</v>
      </c>
      <c r="Q9" s="207"/>
      <c r="R9" s="121">
        <v>44147</v>
      </c>
      <c r="S9" s="121">
        <v>44511</v>
      </c>
      <c r="T9" s="230">
        <f>F9</f>
        <v>37.768297043205806</v>
      </c>
      <c r="U9" s="230">
        <f>T9</f>
        <v>37.768297043205806</v>
      </c>
      <c r="V9" s="230">
        <f>N9</f>
        <v>0</v>
      </c>
      <c r="W9" s="230">
        <f>V9</f>
        <v>0</v>
      </c>
      <c r="X9" s="230">
        <f>T9+V9</f>
        <v>37.768297043205806</v>
      </c>
      <c r="Y9" s="230">
        <f>X9</f>
        <v>37.768297043205806</v>
      </c>
    </row>
    <row r="10" spans="2:25" ht="15" x14ac:dyDescent="0.3">
      <c r="D10" s="333">
        <v>0</v>
      </c>
      <c r="I10" s="207"/>
      <c r="J10" s="149"/>
      <c r="K10" s="149"/>
      <c r="L10" s="247"/>
      <c r="M10" s="247"/>
      <c r="N10" s="248"/>
      <c r="O10" s="230"/>
      <c r="P10" s="167"/>
      <c r="Q10" s="207"/>
      <c r="R10" s="149"/>
      <c r="S10" s="149"/>
      <c r="T10" s="230"/>
      <c r="U10" s="230"/>
      <c r="V10" s="230"/>
      <c r="W10" s="230"/>
      <c r="X10" s="230"/>
      <c r="Y10" s="230"/>
    </row>
    <row r="11" spans="2:25" ht="15" x14ac:dyDescent="0.3">
      <c r="I11" s="207"/>
      <c r="J11" s="149"/>
      <c r="K11" s="149"/>
      <c r="L11" s="247"/>
      <c r="M11" s="247"/>
      <c r="N11" s="248"/>
      <c r="O11" s="230"/>
      <c r="P11" s="167"/>
      <c r="Q11" s="207"/>
      <c r="R11" s="149"/>
      <c r="S11" s="149"/>
      <c r="T11" s="230"/>
      <c r="U11" s="230"/>
      <c r="V11" s="230"/>
      <c r="W11" s="230"/>
      <c r="X11" s="230"/>
      <c r="Y11" s="230"/>
    </row>
  </sheetData>
  <mergeCells count="15">
    <mergeCell ref="N3:O5"/>
    <mergeCell ref="T3:U5"/>
    <mergeCell ref="V3:W5"/>
    <mergeCell ref="X3:Y5"/>
    <mergeCell ref="B2:H2"/>
    <mergeCell ref="J2:P2"/>
    <mergeCell ref="R2:Y2"/>
    <mergeCell ref="B3:C7"/>
    <mergeCell ref="R3:S7"/>
    <mergeCell ref="J3:K7"/>
    <mergeCell ref="P3:P8"/>
    <mergeCell ref="D3:E5"/>
    <mergeCell ref="F3:G5"/>
    <mergeCell ref="H3:H8"/>
    <mergeCell ref="L3:M5"/>
  </mergeCells>
  <pageMargins left="0.511811024" right="0.511811024" top="0.78740157499999996" bottom="0.78740157499999996" header="0.31496062000000002" footer="0.31496062000000002"/>
  <ignoredErrors>
    <ignoredError sqref="V9 X9"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92D050"/>
  </sheetPr>
  <dimension ref="B2:L10"/>
  <sheetViews>
    <sheetView showGridLines="0" zoomScaleNormal="100" workbookViewId="0">
      <selection activeCell="B8" sqref="B8"/>
    </sheetView>
  </sheetViews>
  <sheetFormatPr defaultColWidth="14.44140625" defaultRowHeight="15" customHeight="1" x14ac:dyDescent="0.35"/>
  <cols>
    <col min="1" max="1" width="3.77734375" style="3" customWidth="1"/>
    <col min="2" max="2" width="15.21875" style="3" customWidth="1"/>
    <col min="3" max="3" width="14.77734375" style="3" customWidth="1"/>
    <col min="4" max="4" width="13.21875" style="3" customWidth="1"/>
    <col min="5" max="5" width="17.21875" style="3" customWidth="1"/>
    <col min="6" max="6" width="12" style="3" customWidth="1"/>
    <col min="7" max="7" width="15.21875" style="3" customWidth="1"/>
    <col min="8" max="9" width="9.21875" style="3" customWidth="1"/>
    <col min="10" max="10" width="14.44140625" style="3" customWidth="1"/>
    <col min="11" max="11" width="10" style="3" customWidth="1"/>
    <col min="12" max="12" width="15.77734375" style="3" customWidth="1"/>
    <col min="13" max="25" width="8.77734375" style="3" customWidth="1"/>
    <col min="26" max="16384" width="14.44140625" style="3"/>
  </cols>
  <sheetData>
    <row r="2" spans="2:12" x14ac:dyDescent="0.35">
      <c r="B2" s="202" t="s">
        <v>390</v>
      </c>
      <c r="D2" s="10"/>
      <c r="E2" s="10"/>
      <c r="F2" s="10"/>
      <c r="G2" s="10"/>
      <c r="H2" s="10"/>
      <c r="I2" s="10"/>
      <c r="J2" s="10"/>
      <c r="K2" s="10"/>
      <c r="L2" s="10"/>
    </row>
    <row r="3" spans="2:12" x14ac:dyDescent="0.35">
      <c r="B3" s="10"/>
      <c r="C3" s="10"/>
      <c r="D3" s="10"/>
      <c r="E3" s="10"/>
      <c r="F3" s="10"/>
      <c r="G3" s="10"/>
      <c r="H3" s="10"/>
      <c r="I3" s="10"/>
      <c r="J3" s="10"/>
      <c r="K3" s="10"/>
      <c r="L3" s="10"/>
    </row>
    <row r="4" spans="2:12" ht="64.5" customHeight="1" x14ac:dyDescent="0.35">
      <c r="B4" s="514" t="s">
        <v>301</v>
      </c>
      <c r="C4" s="514"/>
      <c r="D4" s="514" t="s">
        <v>391</v>
      </c>
      <c r="E4" s="553"/>
      <c r="F4" s="514" t="s">
        <v>392</v>
      </c>
      <c r="G4" s="553"/>
      <c r="H4" s="10"/>
      <c r="I4" s="514" t="s">
        <v>393</v>
      </c>
      <c r="J4" s="553"/>
      <c r="K4" s="17">
        <v>0.86</v>
      </c>
      <c r="L4" s="65" t="s">
        <v>394</v>
      </c>
    </row>
    <row r="5" spans="2:12" ht="45.75" customHeight="1" x14ac:dyDescent="0.35">
      <c r="B5" s="514"/>
      <c r="C5" s="514"/>
      <c r="D5" s="502" t="s">
        <v>267</v>
      </c>
      <c r="E5" s="503"/>
      <c r="F5" s="18" t="s">
        <v>118</v>
      </c>
      <c r="G5" s="18" t="s">
        <v>119</v>
      </c>
      <c r="H5" s="10"/>
      <c r="I5" s="514" t="s">
        <v>393</v>
      </c>
      <c r="J5" s="553"/>
      <c r="K5" s="37">
        <v>0.92708000000000002</v>
      </c>
      <c r="L5" s="12" t="s">
        <v>395</v>
      </c>
    </row>
    <row r="6" spans="2:12" ht="16.2" x14ac:dyDescent="0.35">
      <c r="B6" s="201"/>
      <c r="C6" s="201"/>
      <c r="D6" s="18" t="s">
        <v>345</v>
      </c>
      <c r="E6" s="18" t="s">
        <v>396</v>
      </c>
      <c r="F6" s="18" t="s">
        <v>397</v>
      </c>
      <c r="G6" s="18" t="s">
        <v>398</v>
      </c>
      <c r="H6" s="10"/>
      <c r="L6" s="26"/>
    </row>
    <row r="7" spans="2:12" ht="15.75" customHeight="1" x14ac:dyDescent="0.35">
      <c r="B7" s="18" t="s">
        <v>105</v>
      </c>
      <c r="C7" s="18" t="s">
        <v>106</v>
      </c>
      <c r="D7" s="18" t="s">
        <v>107</v>
      </c>
      <c r="E7" s="18" t="s">
        <v>193</v>
      </c>
      <c r="F7" s="18" t="s">
        <v>331</v>
      </c>
      <c r="G7" s="18" t="s">
        <v>331</v>
      </c>
      <c r="H7" s="10"/>
      <c r="I7" s="554"/>
      <c r="J7" s="554"/>
      <c r="K7" s="554"/>
      <c r="L7" s="550"/>
    </row>
    <row r="8" spans="2:12" ht="20.25" customHeight="1" x14ac:dyDescent="0.35">
      <c r="B8" s="121">
        <v>44147</v>
      </c>
      <c r="C8" s="121">
        <v>44511</v>
      </c>
      <c r="D8" s="217">
        <v>455.38499999999999</v>
      </c>
      <c r="E8" s="22">
        <f>K$5</f>
        <v>0.92708000000000002</v>
      </c>
      <c r="F8" s="22">
        <f>D8*E8</f>
        <v>422.17832579999998</v>
      </c>
      <c r="G8" s="22">
        <f>F8</f>
        <v>422.17832579999998</v>
      </c>
      <c r="H8" s="10"/>
      <c r="I8" s="554"/>
      <c r="J8" s="554"/>
      <c r="K8" s="554"/>
      <c r="L8" s="550"/>
    </row>
    <row r="9" spans="2:12" ht="17.25" customHeight="1" x14ac:dyDescent="0.35">
      <c r="H9" s="10"/>
      <c r="I9" s="551"/>
      <c r="J9" s="551"/>
      <c r="K9" s="552"/>
      <c r="L9" s="10"/>
    </row>
    <row r="10" spans="2:12" x14ac:dyDescent="0.35">
      <c r="H10" s="16"/>
      <c r="I10" s="551"/>
      <c r="J10" s="551"/>
      <c r="K10" s="552"/>
      <c r="L10" s="10"/>
    </row>
  </sheetData>
  <mergeCells count="10">
    <mergeCell ref="L7:L8"/>
    <mergeCell ref="I9:K9"/>
    <mergeCell ref="I10:K10"/>
    <mergeCell ref="B4:C5"/>
    <mergeCell ref="D4:E4"/>
    <mergeCell ref="F4:G4"/>
    <mergeCell ref="I4:J4"/>
    <mergeCell ref="D5:E5"/>
    <mergeCell ref="I5:J5"/>
    <mergeCell ref="I7:K8"/>
  </mergeCells>
  <pageMargins left="0.511811024" right="0.511811024" top="0.78740157499999996" bottom="0.78740157499999996" header="0" footer="0"/>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K10"/>
  <sheetViews>
    <sheetView showGridLines="0" workbookViewId="0">
      <selection activeCell="F8" sqref="F8"/>
    </sheetView>
  </sheetViews>
  <sheetFormatPr defaultColWidth="14.44140625" defaultRowHeight="15" customHeight="1" x14ac:dyDescent="0.35"/>
  <cols>
    <col min="1" max="1" width="3.77734375" style="3" customWidth="1"/>
    <col min="2" max="2" width="14" style="3" customWidth="1"/>
    <col min="3" max="3" width="13.21875" style="3" customWidth="1"/>
    <col min="4" max="4" width="11.44140625" style="3" customWidth="1"/>
    <col min="5" max="5" width="13.21875" style="3" customWidth="1"/>
    <col min="6" max="6" width="11.77734375" style="3" customWidth="1"/>
    <col min="7" max="7" width="12.5546875" style="3" customWidth="1"/>
    <col min="8" max="8" width="11.77734375" style="3" customWidth="1"/>
    <col min="9" max="9" width="13.77734375" style="3" customWidth="1"/>
    <col min="10" max="10" width="12" style="3" customWidth="1"/>
    <col min="11" max="11" width="13.44140625" style="3" customWidth="1"/>
    <col min="12" max="27" width="8.77734375" style="3" customWidth="1"/>
    <col min="28" max="16384" width="14.44140625" style="3"/>
  </cols>
  <sheetData>
    <row r="2" spans="2:11" x14ac:dyDescent="0.35">
      <c r="B2" s="202" t="s">
        <v>399</v>
      </c>
      <c r="D2" s="10"/>
      <c r="E2" s="10"/>
      <c r="F2" s="10"/>
      <c r="G2" s="10"/>
      <c r="H2" s="10"/>
      <c r="I2" s="10"/>
      <c r="J2" s="10"/>
      <c r="K2" s="10"/>
    </row>
    <row r="3" spans="2:11" x14ac:dyDescent="0.35">
      <c r="B3" s="10"/>
      <c r="C3" s="10"/>
      <c r="D3" s="10"/>
      <c r="E3" s="10"/>
      <c r="F3" s="10"/>
      <c r="G3" s="10"/>
      <c r="H3" s="10"/>
      <c r="I3" s="10"/>
      <c r="J3" s="10"/>
      <c r="K3" s="10"/>
    </row>
    <row r="4" spans="2:11" ht="57" customHeight="1" x14ac:dyDescent="0.35">
      <c r="B4" s="514" t="s">
        <v>301</v>
      </c>
      <c r="C4" s="514"/>
      <c r="D4" s="514" t="s">
        <v>400</v>
      </c>
      <c r="E4" s="553"/>
      <c r="F4" s="514" t="s">
        <v>392</v>
      </c>
      <c r="G4" s="553"/>
      <c r="H4" s="514" t="s">
        <v>401</v>
      </c>
      <c r="I4" s="553"/>
      <c r="J4" s="514" t="s">
        <v>402</v>
      </c>
      <c r="K4" s="553"/>
    </row>
    <row r="5" spans="2:11" x14ac:dyDescent="0.35">
      <c r="B5" s="514"/>
      <c r="C5" s="514"/>
      <c r="D5" s="19" t="s">
        <v>118</v>
      </c>
      <c r="E5" s="18" t="s">
        <v>119</v>
      </c>
      <c r="F5" s="19" t="s">
        <v>118</v>
      </c>
      <c r="G5" s="18" t="s">
        <v>119</v>
      </c>
      <c r="H5" s="19" t="s">
        <v>118</v>
      </c>
      <c r="I5" s="18" t="s">
        <v>119</v>
      </c>
      <c r="J5" s="19" t="s">
        <v>118</v>
      </c>
      <c r="K5" s="18" t="s">
        <v>119</v>
      </c>
    </row>
    <row r="6" spans="2:11" ht="16.2" x14ac:dyDescent="0.35">
      <c r="B6" s="514"/>
      <c r="C6" s="514"/>
      <c r="D6" s="18" t="s">
        <v>403</v>
      </c>
      <c r="E6" s="18" t="s">
        <v>404</v>
      </c>
      <c r="F6" s="18" t="s">
        <v>397</v>
      </c>
      <c r="G6" s="18" t="s">
        <v>398</v>
      </c>
      <c r="H6" s="18" t="s">
        <v>405</v>
      </c>
      <c r="I6" s="18" t="s">
        <v>406</v>
      </c>
      <c r="J6" s="18" t="s">
        <v>407</v>
      </c>
      <c r="K6" s="18" t="s">
        <v>408</v>
      </c>
    </row>
    <row r="7" spans="2:11" ht="16.2" x14ac:dyDescent="0.35">
      <c r="B7" s="18" t="s">
        <v>105</v>
      </c>
      <c r="C7" s="18" t="s">
        <v>106</v>
      </c>
      <c r="D7" s="18" t="s">
        <v>331</v>
      </c>
      <c r="E7" s="18" t="s">
        <v>331</v>
      </c>
      <c r="F7" s="18" t="s">
        <v>331</v>
      </c>
      <c r="G7" s="18" t="s">
        <v>331</v>
      </c>
      <c r="H7" s="18" t="s">
        <v>331</v>
      </c>
      <c r="I7" s="18" t="s">
        <v>331</v>
      </c>
      <c r="J7" s="18" t="s">
        <v>331</v>
      </c>
      <c r="K7" s="18" t="s">
        <v>331</v>
      </c>
    </row>
    <row r="8" spans="2:11" ht="18" customHeight="1" x14ac:dyDescent="0.35">
      <c r="B8" s="121">
        <v>44147</v>
      </c>
      <c r="C8" s="121">
        <v>44511</v>
      </c>
      <c r="D8" s="22">
        <v>0</v>
      </c>
      <c r="E8" s="22">
        <f>D8</f>
        <v>0</v>
      </c>
      <c r="F8" s="22">
        <f>'Table 26b'!F8</f>
        <v>422.17832579999998</v>
      </c>
      <c r="G8" s="22">
        <f>F8</f>
        <v>422.17832579999998</v>
      </c>
      <c r="H8" s="22">
        <v>0</v>
      </c>
      <c r="I8" s="22">
        <f>H8</f>
        <v>0</v>
      </c>
      <c r="J8" s="22">
        <f>D8+F8+H8</f>
        <v>422.17832579999998</v>
      </c>
      <c r="K8" s="22">
        <f>J8</f>
        <v>422.17832579999998</v>
      </c>
    </row>
    <row r="9" spans="2:11" ht="16.5" customHeight="1" x14ac:dyDescent="0.35"/>
    <row r="10" spans="2:11" x14ac:dyDescent="0.35"/>
  </sheetData>
  <mergeCells count="5">
    <mergeCell ref="D4:E4"/>
    <mergeCell ref="F4:G4"/>
    <mergeCell ref="H4:I4"/>
    <mergeCell ref="J4:K4"/>
    <mergeCell ref="B4:C6"/>
  </mergeCells>
  <pageMargins left="0.511811024" right="0.511811024" top="0.78740157499999996" bottom="0.78740157499999996" header="0" footer="0"/>
  <pageSetup orientation="landscape"/>
  <ignoredErrors>
    <ignoredError sqref="F8 J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C16BE-BE69-45BA-ABD1-B98BB38E53AF}">
  <sheetPr>
    <tabColor rgb="FF92D050"/>
  </sheetPr>
  <dimension ref="A1:Z52"/>
  <sheetViews>
    <sheetView workbookViewId="0">
      <selection activeCell="B2" sqref="B2:I2"/>
    </sheetView>
  </sheetViews>
  <sheetFormatPr defaultColWidth="9.21875" defaultRowHeight="14.4" x14ac:dyDescent="0.3"/>
  <cols>
    <col min="1" max="1" width="9.21875" style="109"/>
    <col min="2" max="7" width="9.21875" style="94"/>
    <col min="8" max="8" width="8.77734375" style="94" customWidth="1"/>
    <col min="9" max="9" width="26.21875" style="94" customWidth="1"/>
    <col min="10" max="26" width="9.21875" style="109"/>
    <col min="27" max="16384" width="9.21875" style="94"/>
  </cols>
  <sheetData>
    <row r="1" spans="2:9" s="109" customFormat="1" x14ac:dyDescent="0.3"/>
    <row r="2" spans="2:9" ht="44.25" customHeight="1" x14ac:dyDescent="0.3">
      <c r="B2" s="359" t="s">
        <v>7</v>
      </c>
      <c r="C2" s="360"/>
      <c r="D2" s="360"/>
      <c r="E2" s="360"/>
      <c r="F2" s="360"/>
      <c r="G2" s="360"/>
      <c r="H2" s="360"/>
      <c r="I2" s="360"/>
    </row>
    <row r="3" spans="2:9" ht="15" x14ac:dyDescent="0.35">
      <c r="B3" s="361" t="s">
        <v>8</v>
      </c>
      <c r="C3" s="358" t="s">
        <v>9</v>
      </c>
      <c r="D3" s="358"/>
      <c r="E3" s="358"/>
      <c r="F3" s="358"/>
      <c r="G3" s="358"/>
      <c r="H3" s="358"/>
      <c r="I3" s="260">
        <v>30</v>
      </c>
    </row>
    <row r="4" spans="2:9" ht="15" x14ac:dyDescent="0.3">
      <c r="B4" s="361"/>
      <c r="C4" s="358" t="s">
        <v>10</v>
      </c>
      <c r="D4" s="358"/>
      <c r="E4" s="358"/>
      <c r="F4" s="358"/>
      <c r="G4" s="358"/>
      <c r="H4" s="358"/>
      <c r="I4" s="149">
        <v>44147</v>
      </c>
    </row>
    <row r="5" spans="2:9" ht="29.55" customHeight="1" x14ac:dyDescent="0.3">
      <c r="B5" s="361"/>
      <c r="C5" s="358" t="s">
        <v>11</v>
      </c>
      <c r="D5" s="358"/>
      <c r="E5" s="358"/>
      <c r="F5" s="358"/>
      <c r="G5" s="358"/>
      <c r="H5" s="358"/>
      <c r="I5" s="149" t="s">
        <v>12</v>
      </c>
    </row>
    <row r="6" spans="2:9" ht="15" customHeight="1" x14ac:dyDescent="0.35">
      <c r="B6" s="361"/>
      <c r="C6" s="358" t="s">
        <v>13</v>
      </c>
      <c r="D6" s="358"/>
      <c r="E6" s="358"/>
      <c r="F6" s="358"/>
      <c r="G6" s="358"/>
      <c r="H6" s="358"/>
      <c r="I6" s="260">
        <v>6</v>
      </c>
    </row>
    <row r="7" spans="2:9" ht="15" x14ac:dyDescent="0.35">
      <c r="B7" s="361" t="s">
        <v>14</v>
      </c>
      <c r="C7" s="358" t="s">
        <v>15</v>
      </c>
      <c r="D7" s="358"/>
      <c r="E7" s="358"/>
      <c r="F7" s="358"/>
      <c r="G7" s="358"/>
      <c r="H7" s="358"/>
      <c r="I7" s="271">
        <f>SUM('Table 11'!H8:H9)</f>
        <v>126</v>
      </c>
    </row>
    <row r="8" spans="2:9" ht="16.2" x14ac:dyDescent="0.35">
      <c r="B8" s="361"/>
      <c r="C8" s="358" t="s">
        <v>16</v>
      </c>
      <c r="D8" s="358"/>
      <c r="E8" s="358"/>
      <c r="F8" s="358"/>
      <c r="G8" s="358"/>
      <c r="H8" s="358"/>
      <c r="I8" s="271">
        <f>'Table 15'!I13</f>
        <v>512.54</v>
      </c>
    </row>
    <row r="9" spans="2:9" ht="16.2" x14ac:dyDescent="0.35">
      <c r="B9" s="361"/>
      <c r="C9" s="358" t="s">
        <v>17</v>
      </c>
      <c r="D9" s="358"/>
      <c r="E9" s="358"/>
      <c r="F9" s="358"/>
      <c r="G9" s="358"/>
      <c r="H9" s="358"/>
      <c r="I9" s="271">
        <f>'Table 16'!C10</f>
        <v>33.404426400634996</v>
      </c>
    </row>
    <row r="10" spans="2:9" ht="16.2" x14ac:dyDescent="0.35">
      <c r="B10" s="361"/>
      <c r="C10" s="358" t="s">
        <v>18</v>
      </c>
      <c r="D10" s="358"/>
      <c r="E10" s="358"/>
      <c r="F10" s="358"/>
      <c r="G10" s="358"/>
      <c r="H10" s="358"/>
      <c r="I10" s="271">
        <f>'Summary net GHG ERs'!E8</f>
        <v>24458</v>
      </c>
    </row>
    <row r="11" spans="2:9" ht="15" x14ac:dyDescent="0.35">
      <c r="B11" s="361"/>
      <c r="C11" s="358" t="s">
        <v>19</v>
      </c>
      <c r="D11" s="358"/>
      <c r="E11" s="358"/>
      <c r="F11" s="358"/>
      <c r="G11" s="358"/>
      <c r="H11" s="358"/>
      <c r="I11" s="271">
        <f>'Table 25a'!AA5</f>
        <v>7.5956000000000001</v>
      </c>
    </row>
    <row r="12" spans="2:9" ht="15" x14ac:dyDescent="0.35">
      <c r="B12" s="361"/>
      <c r="C12" s="358" t="s">
        <v>20</v>
      </c>
      <c r="D12" s="358"/>
      <c r="E12" s="358"/>
      <c r="F12" s="358"/>
      <c r="G12" s="358"/>
      <c r="H12" s="358"/>
      <c r="I12" s="271">
        <f>SUM('Table 11'!F8:F9)</f>
        <v>8.44</v>
      </c>
    </row>
    <row r="13" spans="2:9" ht="15" x14ac:dyDescent="0.35">
      <c r="B13" s="361"/>
      <c r="C13" s="358" t="s">
        <v>21</v>
      </c>
      <c r="D13" s="358"/>
      <c r="E13" s="358"/>
      <c r="F13" s="358"/>
      <c r="G13" s="358"/>
      <c r="H13" s="358"/>
      <c r="I13" s="271">
        <f>SUM('Table 11'!O8)</f>
        <v>534.52</v>
      </c>
    </row>
    <row r="14" spans="2:9" ht="16.2" x14ac:dyDescent="0.35">
      <c r="B14" s="361"/>
      <c r="C14" s="358" t="s">
        <v>22</v>
      </c>
      <c r="D14" s="358"/>
      <c r="E14" s="358"/>
      <c r="F14" s="358"/>
      <c r="G14" s="358"/>
      <c r="H14" s="358"/>
      <c r="I14" s="260">
        <f>SUM('Table 25d'!J8:J9)</f>
        <v>24449.840469438011</v>
      </c>
    </row>
    <row r="15" spans="2:9" ht="16.2" x14ac:dyDescent="0.35">
      <c r="B15" s="361"/>
      <c r="C15" s="358" t="s">
        <v>23</v>
      </c>
      <c r="D15" s="358"/>
      <c r="E15" s="358"/>
      <c r="F15" s="358"/>
      <c r="G15" s="358"/>
      <c r="H15" s="358"/>
      <c r="I15" s="260">
        <f>'Summary net GHG ERs'!O8</f>
        <v>28585</v>
      </c>
    </row>
    <row r="16" spans="2:9" ht="15" x14ac:dyDescent="0.35">
      <c r="B16" s="361"/>
      <c r="C16" s="358" t="s">
        <v>24</v>
      </c>
      <c r="D16" s="358"/>
      <c r="E16" s="358"/>
      <c r="F16" s="358"/>
      <c r="G16" s="358"/>
      <c r="H16" s="358"/>
      <c r="I16" s="261">
        <v>0.1</v>
      </c>
    </row>
    <row r="17" spans="2:9" ht="15" x14ac:dyDescent="0.35">
      <c r="B17" s="361"/>
      <c r="C17" s="358" t="s">
        <v>25</v>
      </c>
      <c r="D17" s="358"/>
      <c r="E17" s="358"/>
      <c r="F17" s="358"/>
      <c r="G17" s="358"/>
      <c r="H17" s="358"/>
      <c r="I17" s="260">
        <f>'Summary net GHG ERs'!G8</f>
        <v>2858</v>
      </c>
    </row>
    <row r="18" spans="2:9" ht="15" x14ac:dyDescent="0.35">
      <c r="B18" s="361"/>
      <c r="C18" s="358" t="s">
        <v>26</v>
      </c>
      <c r="D18" s="358"/>
      <c r="E18" s="358"/>
      <c r="F18" s="358"/>
      <c r="G18" s="358"/>
      <c r="H18" s="358"/>
      <c r="I18" s="260">
        <f>'Summary net GHG ERs'!J8</f>
        <v>25726</v>
      </c>
    </row>
    <row r="19" spans="2:9" ht="15" customHeight="1" x14ac:dyDescent="0.35">
      <c r="B19" s="362" t="s">
        <v>27</v>
      </c>
      <c r="C19" s="358" t="s">
        <v>28</v>
      </c>
      <c r="D19" s="358"/>
      <c r="E19" s="358"/>
      <c r="F19" s="358"/>
      <c r="G19" s="358"/>
      <c r="H19" s="358"/>
      <c r="I19" s="260">
        <v>39885.449999999997</v>
      </c>
    </row>
    <row r="20" spans="2:9" ht="15" x14ac:dyDescent="0.35">
      <c r="B20" s="363"/>
      <c r="C20" s="358" t="s">
        <v>29</v>
      </c>
      <c r="D20" s="358"/>
      <c r="E20" s="358"/>
      <c r="F20" s="358"/>
      <c r="G20" s="358"/>
      <c r="H20" s="358"/>
      <c r="I20" s="260">
        <v>95954.86</v>
      </c>
    </row>
    <row r="21" spans="2:9" ht="15" x14ac:dyDescent="0.35">
      <c r="B21" s="363"/>
      <c r="C21" s="358" t="s">
        <v>30</v>
      </c>
      <c r="D21" s="358"/>
      <c r="E21" s="358"/>
      <c r="F21" s="358"/>
      <c r="G21" s="358"/>
      <c r="H21" s="358"/>
      <c r="I21" s="260">
        <v>427.97</v>
      </c>
    </row>
    <row r="22" spans="2:9" ht="15" x14ac:dyDescent="0.35">
      <c r="B22" s="364"/>
      <c r="C22" s="358" t="s">
        <v>31</v>
      </c>
      <c r="D22" s="358"/>
      <c r="E22" s="358"/>
      <c r="F22" s="358"/>
      <c r="G22" s="358"/>
      <c r="H22" s="358"/>
      <c r="I22" s="260">
        <v>913494.96</v>
      </c>
    </row>
    <row r="23" spans="2:9" s="109" customFormat="1" x14ac:dyDescent="0.3"/>
    <row r="24" spans="2:9" s="109" customFormat="1" x14ac:dyDescent="0.3"/>
    <row r="25" spans="2:9" s="109" customFormat="1" x14ac:dyDescent="0.3"/>
    <row r="26" spans="2:9" s="109" customFormat="1" x14ac:dyDescent="0.3"/>
    <row r="27" spans="2:9" s="109" customFormat="1" x14ac:dyDescent="0.3"/>
    <row r="28" spans="2:9" s="109" customFormat="1" x14ac:dyDescent="0.3"/>
    <row r="29" spans="2:9" s="109" customFormat="1" x14ac:dyDescent="0.3"/>
    <row r="30" spans="2:9" s="109" customFormat="1" x14ac:dyDescent="0.3"/>
    <row r="31" spans="2:9" s="109" customFormat="1" x14ac:dyDescent="0.3"/>
    <row r="32" spans="2:9" s="109" customFormat="1" x14ac:dyDescent="0.3"/>
    <row r="33" s="109" customFormat="1" x14ac:dyDescent="0.3"/>
    <row r="34" s="109" customFormat="1" x14ac:dyDescent="0.3"/>
    <row r="35" s="109" customFormat="1" x14ac:dyDescent="0.3"/>
    <row r="36" s="109" customFormat="1" x14ac:dyDescent="0.3"/>
    <row r="37" s="109" customFormat="1" x14ac:dyDescent="0.3"/>
    <row r="38" s="109" customFormat="1" x14ac:dyDescent="0.3"/>
    <row r="39" s="109" customFormat="1" x14ac:dyDescent="0.3"/>
    <row r="40" s="109" customFormat="1" x14ac:dyDescent="0.3"/>
    <row r="41" s="109" customFormat="1" x14ac:dyDescent="0.3"/>
    <row r="42" s="109" customFormat="1" x14ac:dyDescent="0.3"/>
    <row r="43" s="109" customFormat="1" x14ac:dyDescent="0.3"/>
    <row r="44" s="109" customFormat="1" x14ac:dyDescent="0.3"/>
    <row r="45" s="109" customFormat="1" x14ac:dyDescent="0.3"/>
    <row r="46" s="109" customFormat="1" x14ac:dyDescent="0.3"/>
    <row r="47" s="109" customFormat="1" x14ac:dyDescent="0.3"/>
    <row r="48" s="109" customFormat="1" x14ac:dyDescent="0.3"/>
    <row r="49" s="109" customFormat="1" x14ac:dyDescent="0.3"/>
    <row r="50" s="109" customFormat="1" x14ac:dyDescent="0.3"/>
    <row r="51" s="109" customFormat="1" x14ac:dyDescent="0.3"/>
    <row r="52" s="109" customFormat="1" x14ac:dyDescent="0.3"/>
  </sheetData>
  <mergeCells count="24">
    <mergeCell ref="B19:B22"/>
    <mergeCell ref="C16:H16"/>
    <mergeCell ref="C17:H17"/>
    <mergeCell ref="C18:H18"/>
    <mergeCell ref="C19:H19"/>
    <mergeCell ref="C20:H20"/>
    <mergeCell ref="C21:H21"/>
    <mergeCell ref="C22:H22"/>
    <mergeCell ref="B7:B18"/>
    <mergeCell ref="C7:H7"/>
    <mergeCell ref="C8:H8"/>
    <mergeCell ref="C9:H9"/>
    <mergeCell ref="C10:H10"/>
    <mergeCell ref="C11:H11"/>
    <mergeCell ref="C12:H12"/>
    <mergeCell ref="C13:H13"/>
    <mergeCell ref="C14:H14"/>
    <mergeCell ref="C15:H15"/>
    <mergeCell ref="B2:I2"/>
    <mergeCell ref="B3:B6"/>
    <mergeCell ref="C3:H3"/>
    <mergeCell ref="C4:H4"/>
    <mergeCell ref="C5:H5"/>
    <mergeCell ref="C6:H6"/>
  </mergeCells>
  <pageMargins left="0.511811024" right="0.511811024" top="0.78740157499999996" bottom="0.78740157499999996" header="0.31496062000000002" footer="0.3149606200000000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M10"/>
  <sheetViews>
    <sheetView showGridLines="0" workbookViewId="0">
      <selection activeCell="L7" sqref="L7"/>
    </sheetView>
  </sheetViews>
  <sheetFormatPr defaultColWidth="14.44140625" defaultRowHeight="15" customHeight="1" x14ac:dyDescent="0.35"/>
  <cols>
    <col min="1" max="1" width="3.77734375" style="3" customWidth="1"/>
    <col min="2" max="2" width="13.5546875" style="3" customWidth="1"/>
    <col min="3" max="3" width="13" style="3" customWidth="1"/>
    <col min="4" max="4" width="12.21875" style="3" customWidth="1"/>
    <col min="5" max="5" width="15.5546875" style="3" customWidth="1"/>
    <col min="6" max="6" width="10.21875" style="3" customWidth="1"/>
    <col min="7" max="7" width="11.77734375" style="3" customWidth="1"/>
    <col min="8" max="8" width="12.5546875" style="3" customWidth="1"/>
    <col min="9" max="9" width="11.77734375" style="3" customWidth="1"/>
    <col min="10" max="10" width="11.5546875" style="3" customWidth="1"/>
    <col min="11" max="11" width="15.21875" style="3" customWidth="1"/>
    <col min="12" max="12" width="12.44140625" style="3" customWidth="1"/>
    <col min="13" max="13" width="13.21875" style="3" customWidth="1"/>
    <col min="14" max="27" width="9.21875" style="3" customWidth="1"/>
    <col min="28" max="16384" width="14.44140625" style="3"/>
  </cols>
  <sheetData>
    <row r="2" spans="2:13" x14ac:dyDescent="0.35">
      <c r="B2" s="203" t="s">
        <v>409</v>
      </c>
      <c r="D2" s="66"/>
      <c r="E2" s="66"/>
      <c r="F2" s="66"/>
      <c r="G2" s="66"/>
      <c r="H2" s="66"/>
      <c r="I2" s="66"/>
      <c r="J2" s="66"/>
      <c r="K2" s="26"/>
      <c r="L2" s="26"/>
      <c r="M2" s="26"/>
    </row>
    <row r="3" spans="2:13" x14ac:dyDescent="0.35">
      <c r="B3" s="26"/>
      <c r="C3" s="26"/>
      <c r="D3" s="26"/>
      <c r="E3" s="26"/>
      <c r="F3" s="26"/>
      <c r="G3" s="26"/>
      <c r="H3" s="26"/>
      <c r="I3" s="26"/>
      <c r="J3" s="26"/>
      <c r="K3" s="26"/>
      <c r="L3" s="26"/>
      <c r="M3" s="26"/>
    </row>
    <row r="4" spans="2:13" ht="57" customHeight="1" x14ac:dyDescent="0.35">
      <c r="B4" s="555" t="s">
        <v>301</v>
      </c>
      <c r="C4" s="555"/>
      <c r="D4" s="383" t="s">
        <v>410</v>
      </c>
      <c r="E4" s="556"/>
      <c r="F4" s="383" t="s">
        <v>411</v>
      </c>
      <c r="G4" s="556"/>
      <c r="H4" s="383" t="s">
        <v>412</v>
      </c>
      <c r="I4" s="556"/>
      <c r="J4" s="383" t="s">
        <v>413</v>
      </c>
      <c r="K4" s="556"/>
      <c r="L4" s="383" t="s">
        <v>414</v>
      </c>
      <c r="M4" s="556"/>
    </row>
    <row r="5" spans="2:13" x14ac:dyDescent="0.35">
      <c r="B5" s="555"/>
      <c r="C5" s="555"/>
      <c r="D5" s="23" t="s">
        <v>118</v>
      </c>
      <c r="E5" s="23" t="s">
        <v>119</v>
      </c>
      <c r="F5" s="23" t="s">
        <v>118</v>
      </c>
      <c r="G5" s="23" t="s">
        <v>119</v>
      </c>
      <c r="H5" s="23" t="s">
        <v>118</v>
      </c>
      <c r="I5" s="23" t="s">
        <v>119</v>
      </c>
      <c r="J5" s="23" t="s">
        <v>118</v>
      </c>
      <c r="K5" s="23" t="s">
        <v>119</v>
      </c>
      <c r="L5" s="23" t="s">
        <v>118</v>
      </c>
      <c r="M5" s="23" t="s">
        <v>119</v>
      </c>
    </row>
    <row r="6" spans="2:13" ht="16.2" x14ac:dyDescent="0.35">
      <c r="B6" s="555"/>
      <c r="C6" s="555"/>
      <c r="D6" s="23" t="s">
        <v>362</v>
      </c>
      <c r="E6" s="23" t="s">
        <v>363</v>
      </c>
      <c r="F6" s="23" t="s">
        <v>407</v>
      </c>
      <c r="G6" s="23" t="s">
        <v>408</v>
      </c>
      <c r="H6" s="23" t="s">
        <v>415</v>
      </c>
      <c r="I6" s="23" t="s">
        <v>329</v>
      </c>
      <c r="J6" s="23" t="s">
        <v>416</v>
      </c>
      <c r="K6" s="23" t="s">
        <v>417</v>
      </c>
      <c r="L6" s="23" t="s">
        <v>418</v>
      </c>
      <c r="M6" s="23" t="s">
        <v>419</v>
      </c>
    </row>
    <row r="7" spans="2:13" ht="16.2" x14ac:dyDescent="0.35">
      <c r="B7" s="18" t="s">
        <v>105</v>
      </c>
      <c r="C7" s="18" t="s">
        <v>106</v>
      </c>
      <c r="D7" s="23" t="s">
        <v>331</v>
      </c>
      <c r="E7" s="23" t="s">
        <v>331</v>
      </c>
      <c r="F7" s="23" t="s">
        <v>331</v>
      </c>
      <c r="G7" s="23" t="s">
        <v>331</v>
      </c>
      <c r="H7" s="23" t="s">
        <v>331</v>
      </c>
      <c r="I7" s="23" t="s">
        <v>331</v>
      </c>
      <c r="J7" s="23" t="s">
        <v>331</v>
      </c>
      <c r="K7" s="23" t="s">
        <v>331</v>
      </c>
      <c r="L7" s="23" t="s">
        <v>331</v>
      </c>
      <c r="M7" s="23" t="s">
        <v>331</v>
      </c>
    </row>
    <row r="8" spans="2:13" ht="15.75" customHeight="1" x14ac:dyDescent="0.35">
      <c r="B8" s="121">
        <v>44147</v>
      </c>
      <c r="C8" s="121">
        <v>44511</v>
      </c>
      <c r="D8" s="67">
        <f>'Table 25d'!J8</f>
        <v>24449.840469438011</v>
      </c>
      <c r="E8" s="22">
        <f>D8</f>
        <v>24449.840469438011</v>
      </c>
      <c r="F8" s="67">
        <f>'Table 26d'!J8</f>
        <v>422.17832579999998</v>
      </c>
      <c r="G8" s="22">
        <f>F8</f>
        <v>422.17832579999998</v>
      </c>
      <c r="H8" s="67" cm="1">
        <f t="array" ref="H8:H9">'Table 25a'!J8:J9</f>
        <v>430.53359999999998</v>
      </c>
      <c r="I8" s="22">
        <f>H8</f>
        <v>430.53359999999998</v>
      </c>
      <c r="J8" s="67">
        <f>D8+H8-F8</f>
        <v>24458.195743638011</v>
      </c>
      <c r="K8" s="67">
        <f>J8</f>
        <v>24458.195743638011</v>
      </c>
      <c r="L8" s="67">
        <v>0</v>
      </c>
      <c r="M8" s="67">
        <f>L8</f>
        <v>0</v>
      </c>
    </row>
    <row r="9" spans="2:13" ht="15.75" customHeight="1" x14ac:dyDescent="0.35">
      <c r="H9" s="332">
        <v>0</v>
      </c>
    </row>
    <row r="10" spans="2:13" x14ac:dyDescent="0.35"/>
  </sheetData>
  <mergeCells count="6">
    <mergeCell ref="B4:C6"/>
    <mergeCell ref="L4:M4"/>
    <mergeCell ref="D4:E4"/>
    <mergeCell ref="F4:G4"/>
    <mergeCell ref="H4:I4"/>
    <mergeCell ref="J4:K4"/>
  </mergeCells>
  <pageMargins left="0.511811024" right="0.511811024" top="0.78740157499999996" bottom="0.78740157499999996" header="0" footer="0"/>
  <pageSetup orientation="landscape"/>
  <ignoredErrors>
    <ignoredError sqref="F8" formula="1"/>
  </ignoredErrors>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5563B-1576-4D25-906C-99740B7FEFB2}">
  <sheetPr>
    <tabColor rgb="FF92D050"/>
  </sheetPr>
  <dimension ref="A2:W9"/>
  <sheetViews>
    <sheetView workbookViewId="0">
      <selection activeCell="F16" sqref="F16"/>
    </sheetView>
  </sheetViews>
  <sheetFormatPr defaultRowHeight="14.4" x14ac:dyDescent="0.3"/>
  <cols>
    <col min="1" max="1" width="6.21875" style="109" customWidth="1"/>
    <col min="2" max="2" width="13.5546875" customWidth="1"/>
    <col min="3" max="3" width="12.5546875" customWidth="1"/>
    <col min="4" max="4" width="12" customWidth="1"/>
    <col min="6" max="6" width="10.5546875" customWidth="1"/>
    <col min="7" max="7" width="10.77734375" customWidth="1"/>
    <col min="8" max="8" width="4.21875" style="109" customWidth="1"/>
    <col min="10" max="10" width="13.44140625" customWidth="1"/>
    <col min="11" max="11" width="3.77734375" style="109" customWidth="1"/>
    <col min="12" max="12" width="3.21875" style="109" customWidth="1"/>
    <col min="13" max="13" width="14.21875" customWidth="1"/>
    <col min="14" max="14" width="13.5546875" customWidth="1"/>
    <col min="16" max="16" width="12.21875" customWidth="1"/>
    <col min="17" max="17" width="9.77734375" customWidth="1"/>
    <col min="18" max="18" width="12.77734375" customWidth="1"/>
    <col min="19" max="19" width="11.44140625" customWidth="1"/>
    <col min="20" max="20" width="12.21875" customWidth="1"/>
    <col min="21" max="23" width="9.21875" style="109"/>
  </cols>
  <sheetData>
    <row r="2" spans="2:20" s="109" customFormat="1" ht="15" x14ac:dyDescent="0.35">
      <c r="B2" s="214" t="s">
        <v>420</v>
      </c>
      <c r="D2" s="212"/>
      <c r="E2" s="212"/>
      <c r="F2" s="212"/>
      <c r="G2" s="212"/>
      <c r="H2" s="212"/>
      <c r="M2" s="213" t="s">
        <v>421</v>
      </c>
      <c r="O2" s="26"/>
      <c r="P2" s="26"/>
      <c r="Q2" s="26"/>
      <c r="R2" s="26"/>
      <c r="S2" s="26"/>
      <c r="T2" s="26"/>
    </row>
    <row r="3" spans="2:20" s="109" customFormat="1" ht="15" x14ac:dyDescent="0.35">
      <c r="C3" s="212"/>
      <c r="D3" s="212"/>
      <c r="E3" s="212"/>
      <c r="F3" s="212"/>
      <c r="G3" s="212"/>
      <c r="H3" s="212"/>
      <c r="N3" s="10"/>
      <c r="O3" s="26"/>
      <c r="P3" s="26"/>
      <c r="Q3" s="26"/>
      <c r="R3" s="26"/>
      <c r="S3" s="26"/>
      <c r="T3" s="26"/>
    </row>
    <row r="4" spans="2:20" ht="50.25" customHeight="1" x14ac:dyDescent="0.3">
      <c r="B4" s="557" t="s">
        <v>422</v>
      </c>
      <c r="C4" s="557"/>
      <c r="D4" s="559" t="s">
        <v>423</v>
      </c>
      <c r="E4" s="560"/>
      <c r="F4" s="560"/>
      <c r="G4" s="561"/>
      <c r="H4" s="208"/>
      <c r="I4" s="562" t="s">
        <v>424</v>
      </c>
      <c r="J4" s="563"/>
      <c r="M4" s="558" t="s">
        <v>422</v>
      </c>
      <c r="N4" s="558"/>
      <c r="O4" s="380" t="s">
        <v>425</v>
      </c>
      <c r="P4" s="382"/>
      <c r="Q4" s="380" t="s">
        <v>426</v>
      </c>
      <c r="R4" s="382"/>
      <c r="S4" s="380" t="s">
        <v>427</v>
      </c>
      <c r="T4" s="382"/>
    </row>
    <row r="5" spans="2:20" ht="16.2" x14ac:dyDescent="0.35">
      <c r="B5" s="557"/>
      <c r="C5" s="557"/>
      <c r="D5" s="209" t="s">
        <v>190</v>
      </c>
      <c r="E5" s="209">
        <v>1</v>
      </c>
      <c r="F5" s="209" t="s">
        <v>118</v>
      </c>
      <c r="G5" s="209" t="s">
        <v>119</v>
      </c>
      <c r="H5" s="212"/>
      <c r="I5" s="285">
        <v>4.7300000000000004</v>
      </c>
      <c r="J5" s="211" t="s">
        <v>428</v>
      </c>
      <c r="M5" s="558"/>
      <c r="N5" s="558"/>
      <c r="O5" s="23" t="s">
        <v>118</v>
      </c>
      <c r="P5" s="23" t="s">
        <v>429</v>
      </c>
      <c r="Q5" s="23" t="s">
        <v>118</v>
      </c>
      <c r="R5" s="23" t="s">
        <v>429</v>
      </c>
      <c r="S5" s="23" t="s">
        <v>118</v>
      </c>
      <c r="T5" s="23" t="s">
        <v>429</v>
      </c>
    </row>
    <row r="6" spans="2:20" ht="16.2" x14ac:dyDescent="0.35">
      <c r="B6" s="557"/>
      <c r="C6" s="557"/>
      <c r="D6" s="209" t="s">
        <v>430</v>
      </c>
      <c r="E6" s="209" t="s">
        <v>431</v>
      </c>
      <c r="F6" s="209" t="s">
        <v>432</v>
      </c>
      <c r="G6" s="209" t="s">
        <v>433</v>
      </c>
      <c r="H6" s="212"/>
      <c r="I6" s="286">
        <v>8.6716666666666669</v>
      </c>
      <c r="J6" s="211" t="s">
        <v>434</v>
      </c>
      <c r="M6" s="558"/>
      <c r="N6" s="558"/>
      <c r="O6" s="23" t="s">
        <v>435</v>
      </c>
      <c r="P6" s="23" t="s">
        <v>264</v>
      </c>
      <c r="Q6" s="23" t="s">
        <v>436</v>
      </c>
      <c r="R6" s="23" t="s">
        <v>433</v>
      </c>
      <c r="S6" s="23" t="s">
        <v>437</v>
      </c>
      <c r="T6" s="23" t="s">
        <v>438</v>
      </c>
    </row>
    <row r="7" spans="2:20" ht="16.2" x14ac:dyDescent="0.35">
      <c r="B7" s="18" t="s">
        <v>105</v>
      </c>
      <c r="C7" s="18" t="s">
        <v>106</v>
      </c>
      <c r="D7" s="209" t="s">
        <v>107</v>
      </c>
      <c r="E7" s="209" t="s">
        <v>193</v>
      </c>
      <c r="F7" s="209" t="s">
        <v>331</v>
      </c>
      <c r="G7" s="209" t="s">
        <v>331</v>
      </c>
      <c r="H7" s="212"/>
      <c r="I7" s="286">
        <v>2.375799086757991E-2</v>
      </c>
      <c r="J7" s="211" t="s">
        <v>439</v>
      </c>
      <c r="M7" s="18" t="s">
        <v>105</v>
      </c>
      <c r="N7" s="18" t="s">
        <v>106</v>
      </c>
      <c r="O7" s="23" t="s">
        <v>331</v>
      </c>
      <c r="P7" s="23" t="s">
        <v>331</v>
      </c>
      <c r="Q7" s="23" t="s">
        <v>331</v>
      </c>
      <c r="R7" s="23" t="s">
        <v>331</v>
      </c>
      <c r="S7" s="23" t="s">
        <v>331</v>
      </c>
      <c r="T7" s="23" t="s">
        <v>331</v>
      </c>
    </row>
    <row r="8" spans="2:20" ht="15" customHeight="1" x14ac:dyDescent="0.3">
      <c r="B8" s="121">
        <v>44147</v>
      </c>
      <c r="C8" s="121">
        <v>44511</v>
      </c>
      <c r="D8" s="284">
        <v>0</v>
      </c>
      <c r="E8" s="210">
        <f>I6</f>
        <v>8.6716666666666669</v>
      </c>
      <c r="F8" s="210">
        <f>D8*E8</f>
        <v>0</v>
      </c>
      <c r="G8" s="210">
        <f>F8</f>
        <v>0</v>
      </c>
      <c r="H8" s="212"/>
      <c r="I8" s="109"/>
      <c r="J8" s="109"/>
      <c r="M8" s="121">
        <v>44147</v>
      </c>
      <c r="N8" s="121">
        <v>44511</v>
      </c>
      <c r="O8" s="217">
        <v>0</v>
      </c>
      <c r="P8" s="210">
        <f>O8</f>
        <v>0</v>
      </c>
      <c r="Q8" s="22">
        <f>F8</f>
        <v>0</v>
      </c>
      <c r="R8" s="210">
        <f>Q8</f>
        <v>0</v>
      </c>
      <c r="S8" s="22">
        <f>O8+Q8</f>
        <v>0</v>
      </c>
      <c r="T8" s="22">
        <f>S8</f>
        <v>0</v>
      </c>
    </row>
    <row r="9" spans="2:20" ht="15.75" customHeight="1" x14ac:dyDescent="0.3"/>
  </sheetData>
  <mergeCells count="7">
    <mergeCell ref="B4:C6"/>
    <mergeCell ref="O4:P4"/>
    <mergeCell ref="Q4:R4"/>
    <mergeCell ref="S4:T4"/>
    <mergeCell ref="M4:N6"/>
    <mergeCell ref="D4:G4"/>
    <mergeCell ref="I4:J4"/>
  </mergeCells>
  <pageMargins left="0.511811024" right="0.511811024" top="0.78740157499999996" bottom="0.78740157499999996" header="0.31496062000000002" footer="0.31496062000000002"/>
  <ignoredErrors>
    <ignoredError sqref="S8 Q8"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AB902-2445-48B1-9B9E-2D63B5DF3E2E}">
  <dimension ref="A2:O11"/>
  <sheetViews>
    <sheetView workbookViewId="0">
      <selection activeCell="I10" sqref="I10"/>
    </sheetView>
  </sheetViews>
  <sheetFormatPr defaultRowHeight="14.4" x14ac:dyDescent="0.3"/>
  <cols>
    <col min="1" max="1" width="9.21875" style="109"/>
    <col min="2" max="2" width="14" customWidth="1"/>
    <col min="3" max="3" width="16.5546875" customWidth="1"/>
    <col min="4" max="4" width="21.77734375" customWidth="1"/>
    <col min="6" max="6" width="35.21875" customWidth="1"/>
    <col min="7" max="15" width="9.21875" style="109"/>
  </cols>
  <sheetData>
    <row r="2" spans="2:6" s="109" customFormat="1" ht="15" x14ac:dyDescent="0.3">
      <c r="B2" s="215" t="s">
        <v>440</v>
      </c>
      <c r="C2" s="215"/>
      <c r="D2" s="215"/>
      <c r="E2" s="215"/>
      <c r="F2" s="215"/>
    </row>
    <row r="3" spans="2:6" s="109" customFormat="1" ht="15" x14ac:dyDescent="0.3">
      <c r="B3" s="215"/>
      <c r="C3" s="215"/>
      <c r="D3" s="215"/>
      <c r="E3" s="215"/>
      <c r="F3" s="215"/>
    </row>
    <row r="4" spans="2:6" ht="39.75" customHeight="1" x14ac:dyDescent="0.3">
      <c r="B4" s="19" t="s">
        <v>441</v>
      </c>
      <c r="C4" s="19" t="s">
        <v>442</v>
      </c>
      <c r="D4" s="19" t="s">
        <v>443</v>
      </c>
      <c r="E4" s="502" t="s">
        <v>5</v>
      </c>
      <c r="F4" s="503"/>
    </row>
    <row r="5" spans="2:6" ht="15" x14ac:dyDescent="0.3">
      <c r="B5" s="63" t="s">
        <v>444</v>
      </c>
      <c r="C5" s="27">
        <v>56</v>
      </c>
      <c r="D5" s="63" t="s">
        <v>445</v>
      </c>
      <c r="E5" s="564" t="s">
        <v>446</v>
      </c>
      <c r="F5" s="565"/>
    </row>
    <row r="6" spans="2:6" ht="15" x14ac:dyDescent="0.3">
      <c r="B6" s="63" t="s">
        <v>447</v>
      </c>
      <c r="C6" s="27">
        <v>1</v>
      </c>
      <c r="D6" s="63" t="s">
        <v>445</v>
      </c>
      <c r="E6" s="564" t="s">
        <v>448</v>
      </c>
      <c r="F6" s="565"/>
    </row>
    <row r="7" spans="2:6" ht="30" x14ac:dyDescent="0.3">
      <c r="B7" s="63" t="s">
        <v>449</v>
      </c>
      <c r="C7" s="27">
        <v>0.02</v>
      </c>
      <c r="D7" s="63" t="s">
        <v>450</v>
      </c>
      <c r="E7" s="564" t="s">
        <v>451</v>
      </c>
      <c r="F7" s="565"/>
    </row>
    <row r="8" spans="2:6" ht="45" x14ac:dyDescent="0.3">
      <c r="B8" s="63" t="s">
        <v>452</v>
      </c>
      <c r="C8" s="27">
        <v>0.01</v>
      </c>
      <c r="D8" s="63" t="s">
        <v>453</v>
      </c>
      <c r="E8" s="564" t="s">
        <v>454</v>
      </c>
      <c r="F8" s="565"/>
    </row>
    <row r="9" spans="2:6" ht="15" x14ac:dyDescent="0.3">
      <c r="B9" s="63" t="s">
        <v>455</v>
      </c>
      <c r="C9" s="27" t="s">
        <v>456</v>
      </c>
      <c r="D9" s="63" t="s">
        <v>457</v>
      </c>
      <c r="E9" s="564" t="s">
        <v>458</v>
      </c>
      <c r="F9" s="565"/>
    </row>
    <row r="10" spans="2:6" ht="15" x14ac:dyDescent="0.3">
      <c r="B10" s="63" t="s">
        <v>459</v>
      </c>
      <c r="C10" s="27">
        <v>0.36</v>
      </c>
      <c r="D10" s="63" t="s">
        <v>460</v>
      </c>
      <c r="E10" s="564" t="s">
        <v>461</v>
      </c>
      <c r="F10" s="565"/>
    </row>
    <row r="11" spans="2:6" ht="30" x14ac:dyDescent="0.3">
      <c r="B11" s="63" t="s">
        <v>462</v>
      </c>
      <c r="C11" s="27">
        <v>0.3</v>
      </c>
      <c r="D11" s="63" t="s">
        <v>463</v>
      </c>
      <c r="E11" s="564" t="s">
        <v>464</v>
      </c>
      <c r="F11" s="565"/>
    </row>
  </sheetData>
  <mergeCells count="8">
    <mergeCell ref="E10:F10"/>
    <mergeCell ref="E11:F11"/>
    <mergeCell ref="E4:F4"/>
    <mergeCell ref="E5:F5"/>
    <mergeCell ref="E6:F6"/>
    <mergeCell ref="E7:F7"/>
    <mergeCell ref="E8:F8"/>
    <mergeCell ref="E9:F9"/>
  </mergeCells>
  <pageMargins left="0.511811024" right="0.511811024" top="0.78740157499999996" bottom="0.78740157499999996" header="0.31496062000000002" footer="0.3149606200000000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C5FA1-94A3-411C-A617-E15A7F1C6D03}">
  <sheetPr>
    <tabColor rgb="FF92D050"/>
  </sheetPr>
  <dimension ref="A2:AA35"/>
  <sheetViews>
    <sheetView zoomScaleNormal="100" workbookViewId="0">
      <selection activeCell="J16" sqref="J16"/>
    </sheetView>
  </sheetViews>
  <sheetFormatPr defaultRowHeight="14.4" x14ac:dyDescent="0.3"/>
  <cols>
    <col min="1" max="1" width="5.21875" style="109" customWidth="1"/>
    <col min="2" max="2" width="16.5546875" customWidth="1"/>
    <col min="3" max="3" width="16.44140625" customWidth="1"/>
    <col min="5" max="5" width="10.21875" customWidth="1"/>
    <col min="6" max="6" width="11.77734375" customWidth="1"/>
    <col min="7" max="7" width="12.21875" customWidth="1"/>
    <col min="8" max="8" width="13" customWidth="1"/>
    <col min="9" max="9" width="18" customWidth="1"/>
    <col min="10" max="10" width="14.77734375" customWidth="1"/>
    <col min="11" max="11" width="15.5546875" customWidth="1"/>
    <col min="13" max="13" width="12.21875" customWidth="1"/>
    <col min="14" max="14" width="9.21875" style="109"/>
    <col min="15" max="15" width="15.21875" customWidth="1"/>
    <col min="16" max="16" width="15.44140625" customWidth="1"/>
    <col min="17" max="17" width="15.21875" customWidth="1"/>
    <col min="18" max="18" width="4.21875" style="109" customWidth="1"/>
    <col min="19" max="19" width="23.21875" customWidth="1"/>
    <col min="20" max="20" width="13.5546875" customWidth="1"/>
    <col min="21" max="21" width="11.77734375" customWidth="1"/>
    <col min="22" max="27" width="9.21875" style="109"/>
  </cols>
  <sheetData>
    <row r="2" spans="2:21" s="109" customFormat="1" ht="15" x14ac:dyDescent="0.35">
      <c r="B2" s="125" t="s">
        <v>465</v>
      </c>
      <c r="D2" s="125"/>
      <c r="E2" s="125"/>
      <c r="F2" s="125"/>
      <c r="G2" s="125"/>
      <c r="H2" s="125"/>
      <c r="I2" s="125"/>
      <c r="J2" s="125"/>
      <c r="K2" s="125"/>
      <c r="L2" s="125"/>
      <c r="M2" s="125"/>
      <c r="N2" s="125"/>
      <c r="O2" s="125"/>
      <c r="P2" s="125"/>
      <c r="Q2" s="125"/>
      <c r="R2" s="125"/>
      <c r="S2" s="125"/>
      <c r="T2" s="125"/>
      <c r="U2" s="125"/>
    </row>
    <row r="3" spans="2:21" s="109" customFormat="1" ht="15" x14ac:dyDescent="0.35">
      <c r="C3" s="125"/>
      <c r="D3" s="125"/>
      <c r="E3" s="125"/>
      <c r="F3" s="125"/>
      <c r="G3" s="125"/>
      <c r="H3" s="125"/>
      <c r="I3" s="125"/>
      <c r="J3" s="125"/>
      <c r="K3" s="125"/>
      <c r="L3" s="125"/>
      <c r="M3" s="125"/>
      <c r="N3" s="125"/>
      <c r="O3" s="257"/>
      <c r="P3" s="258"/>
      <c r="Q3" s="259"/>
      <c r="R3" s="125"/>
      <c r="S3" s="125"/>
      <c r="T3" s="125"/>
      <c r="U3" s="125"/>
    </row>
    <row r="4" spans="2:21" ht="15" customHeight="1" x14ac:dyDescent="0.35">
      <c r="B4" s="514" t="s">
        <v>422</v>
      </c>
      <c r="C4" s="514"/>
      <c r="D4" s="18" t="s">
        <v>118</v>
      </c>
      <c r="E4" s="18" t="s">
        <v>118</v>
      </c>
      <c r="F4" s="18" t="s">
        <v>118</v>
      </c>
      <c r="G4" s="18" t="s">
        <v>118</v>
      </c>
      <c r="H4" s="18" t="s">
        <v>118</v>
      </c>
      <c r="I4" s="18" t="s">
        <v>118</v>
      </c>
      <c r="J4" s="18" t="s">
        <v>118</v>
      </c>
      <c r="K4" s="18" t="s">
        <v>118</v>
      </c>
      <c r="L4" s="18" t="s">
        <v>118</v>
      </c>
      <c r="M4" s="18" t="s">
        <v>119</v>
      </c>
      <c r="N4" s="125"/>
      <c r="O4" s="18" t="s">
        <v>274</v>
      </c>
      <c r="P4" s="18" t="s">
        <v>466</v>
      </c>
      <c r="Q4" s="18" t="s">
        <v>443</v>
      </c>
      <c r="R4" s="125"/>
      <c r="S4" s="18" t="s">
        <v>274</v>
      </c>
      <c r="T4" s="18" t="s">
        <v>466</v>
      </c>
      <c r="U4" s="18" t="s">
        <v>443</v>
      </c>
    </row>
    <row r="5" spans="2:21" ht="15" x14ac:dyDescent="0.35">
      <c r="B5" s="514"/>
      <c r="C5" s="514"/>
      <c r="D5" s="19" t="s">
        <v>467</v>
      </c>
      <c r="E5" s="19" t="s">
        <v>468</v>
      </c>
      <c r="F5" s="19" t="s">
        <v>469</v>
      </c>
      <c r="G5" s="19" t="s">
        <v>470</v>
      </c>
      <c r="H5" s="19" t="s">
        <v>471</v>
      </c>
      <c r="I5" s="19" t="s">
        <v>472</v>
      </c>
      <c r="J5" s="19" t="s">
        <v>473</v>
      </c>
      <c r="K5" s="19" t="s">
        <v>474</v>
      </c>
      <c r="L5" s="19" t="s">
        <v>475</v>
      </c>
      <c r="M5" s="19" t="s">
        <v>476</v>
      </c>
      <c r="N5" s="125"/>
      <c r="O5" s="69" t="s">
        <v>444</v>
      </c>
      <c r="P5" s="70">
        <v>56</v>
      </c>
      <c r="Q5" s="70" t="s">
        <v>477</v>
      </c>
      <c r="R5" s="10"/>
      <c r="S5" s="251" t="s">
        <v>469</v>
      </c>
      <c r="T5" s="252">
        <v>180</v>
      </c>
      <c r="U5" s="13" t="s">
        <v>478</v>
      </c>
    </row>
    <row r="6" spans="2:21" ht="16.2" x14ac:dyDescent="0.35">
      <c r="B6" s="18" t="s">
        <v>105</v>
      </c>
      <c r="C6" s="18" t="s">
        <v>106</v>
      </c>
      <c r="D6" s="18" t="s">
        <v>107</v>
      </c>
      <c r="E6" s="18" t="s">
        <v>479</v>
      </c>
      <c r="F6" s="18" t="s">
        <v>480</v>
      </c>
      <c r="G6" s="18" t="s">
        <v>331</v>
      </c>
      <c r="H6" s="18" t="s">
        <v>331</v>
      </c>
      <c r="I6" s="18" t="s">
        <v>331</v>
      </c>
      <c r="J6" s="18" t="s">
        <v>331</v>
      </c>
      <c r="K6" s="18" t="s">
        <v>331</v>
      </c>
      <c r="L6" s="18" t="s">
        <v>331</v>
      </c>
      <c r="M6" s="18" t="s">
        <v>331</v>
      </c>
      <c r="N6" s="125"/>
      <c r="O6" s="251" t="s">
        <v>447</v>
      </c>
      <c r="P6" s="13">
        <v>1</v>
      </c>
      <c r="Q6" s="13" t="s">
        <v>477</v>
      </c>
      <c r="R6" s="125"/>
      <c r="S6" s="251" t="s">
        <v>459</v>
      </c>
      <c r="T6" s="13">
        <v>0.36</v>
      </c>
      <c r="U6" s="13" t="s">
        <v>481</v>
      </c>
    </row>
    <row r="7" spans="2:21" ht="18" customHeight="1" x14ac:dyDescent="0.35">
      <c r="B7" s="121">
        <v>44147</v>
      </c>
      <c r="C7" s="121">
        <v>44511</v>
      </c>
      <c r="D7" s="217">
        <v>0</v>
      </c>
      <c r="E7" s="217">
        <v>0</v>
      </c>
      <c r="F7" s="287">
        <v>180</v>
      </c>
      <c r="G7" s="22">
        <f>P$5*(F7/1000)*P$8</f>
        <v>282.24</v>
      </c>
      <c r="H7" s="22">
        <f>P$6*(F7/1000)*P$8</f>
        <v>5.04</v>
      </c>
      <c r="I7" s="22">
        <f>F7*T$6*T$7*0.001*44/28*T$9</f>
        <v>0.5396914285714286</v>
      </c>
      <c r="J7" s="22">
        <f>F7*T$6*T$10*T$8*0.001*44/28*T$9</f>
        <v>8.0953714285714282E-2</v>
      </c>
      <c r="K7" s="22">
        <f>I7+J7</f>
        <v>0.6206451428571429</v>
      </c>
      <c r="L7" s="22">
        <f>G7+H7+K7</f>
        <v>287.90064514285717</v>
      </c>
      <c r="M7" s="22">
        <f>L7</f>
        <v>287.90064514285717</v>
      </c>
      <c r="N7" s="125"/>
      <c r="O7" s="69" t="s">
        <v>469</v>
      </c>
      <c r="P7" s="288">
        <v>180</v>
      </c>
      <c r="Q7" s="70" t="s">
        <v>478</v>
      </c>
      <c r="R7" s="125"/>
      <c r="S7" s="251" t="s">
        <v>449</v>
      </c>
      <c r="T7" s="13">
        <v>0.02</v>
      </c>
      <c r="U7" s="13" t="s">
        <v>482</v>
      </c>
    </row>
    <row r="8" spans="2:21" ht="16.5" customHeight="1" x14ac:dyDescent="0.35">
      <c r="B8" s="253"/>
      <c r="C8" s="253"/>
      <c r="D8" s="253"/>
      <c r="E8" s="253"/>
      <c r="F8" s="253"/>
      <c r="G8" s="253"/>
      <c r="H8" s="253"/>
      <c r="I8" s="253"/>
      <c r="J8" s="253"/>
      <c r="K8" s="253"/>
      <c r="L8" s="253"/>
      <c r="M8" s="253"/>
      <c r="N8" s="125"/>
      <c r="O8" s="69" t="s">
        <v>483</v>
      </c>
      <c r="P8" s="70">
        <v>28</v>
      </c>
      <c r="Q8" s="70"/>
      <c r="R8" s="125"/>
      <c r="S8" s="251" t="s">
        <v>452</v>
      </c>
      <c r="T8" s="13">
        <v>0.01</v>
      </c>
      <c r="U8" s="13" t="s">
        <v>482</v>
      </c>
    </row>
    <row r="9" spans="2:21" ht="15" x14ac:dyDescent="0.35">
      <c r="B9" s="253"/>
      <c r="C9" s="253"/>
      <c r="D9" s="253"/>
      <c r="E9" s="253"/>
      <c r="F9" s="253"/>
      <c r="G9" s="253"/>
      <c r="H9" s="253"/>
      <c r="I9" s="253"/>
      <c r="J9" s="253"/>
      <c r="K9" s="253"/>
      <c r="L9" s="253"/>
      <c r="M9" s="253"/>
      <c r="N9" s="125"/>
      <c r="O9" s="109"/>
      <c r="P9" s="109"/>
      <c r="Q9" s="109"/>
      <c r="R9" s="125"/>
      <c r="S9" s="251" t="s">
        <v>484</v>
      </c>
      <c r="T9" s="13">
        <v>265</v>
      </c>
      <c r="U9" s="13"/>
    </row>
    <row r="10" spans="2:21" ht="23.25" customHeight="1" x14ac:dyDescent="0.35">
      <c r="B10" s="253"/>
      <c r="C10" s="253"/>
      <c r="D10" s="253"/>
      <c r="E10" s="253"/>
      <c r="F10" s="253"/>
      <c r="G10" s="253"/>
      <c r="H10" s="253"/>
      <c r="I10" s="253"/>
      <c r="J10" s="253"/>
      <c r="K10" s="253"/>
      <c r="L10" s="253"/>
      <c r="M10" s="253"/>
      <c r="N10" s="125"/>
      <c r="O10" s="109"/>
      <c r="P10" s="109"/>
      <c r="Q10" s="109"/>
      <c r="R10" s="125"/>
      <c r="S10" s="63" t="s">
        <v>462</v>
      </c>
      <c r="T10" s="27">
        <v>0.3</v>
      </c>
      <c r="U10" s="63" t="s">
        <v>463</v>
      </c>
    </row>
    <row r="11" spans="2:21" ht="15" x14ac:dyDescent="0.35">
      <c r="B11" s="253"/>
      <c r="C11" s="253"/>
      <c r="D11" s="253"/>
      <c r="E11" s="253"/>
      <c r="F11" s="253"/>
      <c r="G11" s="253"/>
      <c r="H11" s="253"/>
      <c r="I11" s="253"/>
      <c r="J11" s="253"/>
      <c r="K11" s="253"/>
      <c r="L11" s="253"/>
      <c r="M11" s="253"/>
      <c r="N11" s="125"/>
      <c r="O11" s="253"/>
      <c r="P11" s="253"/>
      <c r="Q11" s="253"/>
      <c r="R11" s="125"/>
      <c r="S11" s="109"/>
      <c r="T11" s="109"/>
      <c r="U11" s="109"/>
    </row>
    <row r="12" spans="2:21" ht="15" x14ac:dyDescent="0.35">
      <c r="B12" s="253"/>
      <c r="C12" s="253"/>
      <c r="D12" s="253"/>
      <c r="E12" s="253"/>
      <c r="F12" s="253"/>
      <c r="G12" s="253"/>
      <c r="H12" s="253"/>
      <c r="I12" s="253"/>
      <c r="J12" s="253"/>
      <c r="K12" s="253"/>
      <c r="L12" s="253"/>
      <c r="M12" s="253"/>
      <c r="N12" s="125"/>
      <c r="O12" s="254"/>
      <c r="P12" s="256"/>
      <c r="Q12" s="255"/>
      <c r="R12" s="125"/>
      <c r="S12" s="109"/>
      <c r="T12" s="109"/>
      <c r="U12" s="109"/>
    </row>
    <row r="13" spans="2:21" ht="15" x14ac:dyDescent="0.35">
      <c r="B13" s="253"/>
      <c r="C13" s="253"/>
      <c r="D13" s="253"/>
      <c r="E13" s="253"/>
      <c r="F13" s="253"/>
      <c r="G13" s="253"/>
      <c r="H13" s="253"/>
      <c r="I13" s="253"/>
      <c r="J13" s="253"/>
      <c r="K13" s="253"/>
      <c r="L13" s="253"/>
      <c r="M13" s="253"/>
      <c r="N13" s="125"/>
      <c r="O13" s="254"/>
      <c r="Q13" s="255"/>
      <c r="R13" s="125"/>
      <c r="S13" s="109"/>
      <c r="T13" s="109"/>
      <c r="U13" s="109"/>
    </row>
    <row r="14" spans="2:21" ht="15" x14ac:dyDescent="0.35">
      <c r="B14" s="253"/>
      <c r="C14" s="253"/>
      <c r="D14" s="253"/>
      <c r="E14" s="253"/>
      <c r="F14" s="253"/>
      <c r="G14" s="253"/>
      <c r="H14" s="253"/>
      <c r="I14" s="253"/>
      <c r="J14" s="253"/>
      <c r="K14" s="253"/>
      <c r="L14" s="253"/>
      <c r="M14" s="253"/>
      <c r="N14" s="125"/>
      <c r="O14" s="254"/>
      <c r="P14" s="255"/>
      <c r="Q14" s="255"/>
      <c r="R14" s="125"/>
      <c r="S14" s="125"/>
      <c r="T14" s="125"/>
      <c r="U14" s="125"/>
    </row>
    <row r="15" spans="2:21" ht="15" x14ac:dyDescent="0.35">
      <c r="B15" s="253"/>
      <c r="C15" s="253"/>
      <c r="D15" s="253"/>
      <c r="E15" s="253"/>
      <c r="F15" s="253"/>
      <c r="G15" s="253"/>
      <c r="H15" s="253"/>
      <c r="I15" s="253"/>
      <c r="J15" s="253"/>
      <c r="K15" s="253"/>
      <c r="L15" s="253"/>
      <c r="M15" s="253"/>
      <c r="N15" s="125"/>
      <c r="R15" s="125"/>
      <c r="S15" s="125"/>
      <c r="T15" s="125"/>
      <c r="U15" s="125"/>
    </row>
    <row r="16" spans="2:21" ht="15" x14ac:dyDescent="0.35">
      <c r="B16" s="253"/>
      <c r="C16" s="253"/>
      <c r="D16" s="253"/>
      <c r="E16" s="253"/>
      <c r="F16" s="253"/>
      <c r="G16" s="253"/>
      <c r="H16" s="253"/>
      <c r="I16" s="253"/>
      <c r="J16" s="253"/>
      <c r="K16" s="253"/>
      <c r="L16" s="253"/>
      <c r="M16" s="253"/>
      <c r="N16" s="125"/>
      <c r="O16" s="68" t="s">
        <v>485</v>
      </c>
      <c r="P16" s="68" t="s">
        <v>486</v>
      </c>
      <c r="Q16" s="68" t="s">
        <v>487</v>
      </c>
      <c r="R16" s="125"/>
      <c r="S16" s="64" t="s">
        <v>488</v>
      </c>
      <c r="T16" s="293">
        <v>946995.70000000007</v>
      </c>
      <c r="U16" s="125"/>
    </row>
    <row r="17" spans="1:21" ht="15" x14ac:dyDescent="0.35">
      <c r="B17" s="253"/>
      <c r="C17" s="253"/>
      <c r="D17" s="253"/>
      <c r="E17" s="253"/>
      <c r="F17" s="253"/>
      <c r="G17" s="253"/>
      <c r="H17" s="253"/>
      <c r="I17" s="253"/>
      <c r="J17" s="253"/>
      <c r="K17" s="253"/>
      <c r="L17" s="253"/>
      <c r="M17" s="253"/>
      <c r="O17" s="289">
        <v>2009</v>
      </c>
      <c r="P17" s="287">
        <v>247727</v>
      </c>
      <c r="Q17" s="290"/>
      <c r="R17" s="125"/>
      <c r="S17" s="64" t="s">
        <v>489</v>
      </c>
      <c r="T17" s="287">
        <v>397014</v>
      </c>
      <c r="U17" s="125"/>
    </row>
    <row r="18" spans="1:21" ht="15" x14ac:dyDescent="0.35">
      <c r="B18" s="253"/>
      <c r="C18" s="253"/>
      <c r="D18" s="253"/>
      <c r="E18" s="253"/>
      <c r="F18" s="253"/>
      <c r="G18" s="253"/>
      <c r="H18" s="253"/>
      <c r="I18" s="253"/>
      <c r="J18" s="253"/>
      <c r="K18" s="253"/>
      <c r="L18" s="253"/>
      <c r="M18" s="253"/>
      <c r="O18" s="289">
        <v>2010</v>
      </c>
      <c r="P18" s="287">
        <v>274942</v>
      </c>
      <c r="Q18" s="290">
        <v>0.10985883654183839</v>
      </c>
      <c r="R18" s="125"/>
      <c r="S18" s="64" t="s">
        <v>490</v>
      </c>
      <c r="T18" s="294">
        <v>0.41923527213481537</v>
      </c>
      <c r="U18" s="125"/>
    </row>
    <row r="19" spans="1:21" ht="15" x14ac:dyDescent="0.35">
      <c r="B19" s="253"/>
      <c r="C19" s="253"/>
      <c r="D19" s="253"/>
      <c r="E19" s="253"/>
      <c r="F19" s="253"/>
      <c r="G19" s="253"/>
      <c r="H19" s="253"/>
      <c r="I19" s="253"/>
      <c r="J19" s="253"/>
      <c r="K19" s="253"/>
      <c r="L19" s="253"/>
      <c r="M19" s="253"/>
      <c r="O19" s="289">
        <v>2011</v>
      </c>
      <c r="P19" s="287">
        <v>295121</v>
      </c>
      <c r="Q19" s="290">
        <v>7.3393661208545805E-2</v>
      </c>
      <c r="R19" s="125"/>
      <c r="S19" s="64" t="s">
        <v>491</v>
      </c>
      <c r="T19" s="295">
        <v>427.97</v>
      </c>
      <c r="U19" s="125"/>
    </row>
    <row r="20" spans="1:21" ht="15" x14ac:dyDescent="0.35">
      <c r="A20" s="253"/>
      <c r="B20" s="253"/>
      <c r="C20" s="253"/>
      <c r="D20" s="253"/>
      <c r="E20" s="253"/>
      <c r="F20" s="253"/>
      <c r="G20" s="253"/>
      <c r="H20" s="253"/>
      <c r="I20" s="253"/>
      <c r="J20" s="253"/>
      <c r="K20" s="253"/>
      <c r="L20" s="253"/>
      <c r="M20" s="253"/>
      <c r="O20" s="289">
        <v>2012</v>
      </c>
      <c r="P20" s="287">
        <v>305768</v>
      </c>
      <c r="Q20" s="290">
        <v>3.6076727850610425E-2</v>
      </c>
      <c r="R20" s="125"/>
      <c r="S20" s="64" t="s">
        <v>492</v>
      </c>
      <c r="T20" s="296">
        <v>180</v>
      </c>
      <c r="U20" s="259" t="s">
        <v>489</v>
      </c>
    </row>
    <row r="21" spans="1:21" ht="15" x14ac:dyDescent="0.35">
      <c r="A21" s="253"/>
      <c r="B21" s="253"/>
      <c r="C21" s="253"/>
      <c r="D21" s="253"/>
      <c r="E21" s="253"/>
      <c r="F21" s="253"/>
      <c r="G21" s="253"/>
      <c r="H21" s="253"/>
      <c r="I21" s="253"/>
      <c r="J21" s="253"/>
      <c r="K21" s="253"/>
      <c r="L21" s="253"/>
      <c r="M21" s="253"/>
      <c r="O21" s="289">
        <v>2013</v>
      </c>
      <c r="P21" s="287">
        <v>313639</v>
      </c>
      <c r="Q21" s="290">
        <v>2.574173883467204E-2</v>
      </c>
      <c r="R21" s="125"/>
      <c r="S21" s="109"/>
      <c r="T21" s="109"/>
      <c r="U21" s="109"/>
    </row>
    <row r="22" spans="1:21" ht="15" x14ac:dyDescent="0.35">
      <c r="A22" s="253"/>
      <c r="B22" s="253"/>
      <c r="C22" s="253"/>
      <c r="D22" s="253"/>
      <c r="E22" s="253"/>
      <c r="F22" s="253"/>
      <c r="G22" s="253"/>
      <c r="H22" s="253"/>
      <c r="I22" s="253"/>
      <c r="J22" s="253"/>
      <c r="K22" s="253"/>
      <c r="L22" s="253"/>
      <c r="M22" s="253"/>
      <c r="O22" s="289">
        <v>2014</v>
      </c>
      <c r="P22" s="287">
        <v>297665</v>
      </c>
      <c r="Q22" s="290">
        <v>-5.0931166085850292E-2</v>
      </c>
      <c r="R22" s="125"/>
      <c r="S22" s="109"/>
      <c r="T22" s="109"/>
      <c r="U22" s="109"/>
    </row>
    <row r="23" spans="1:21" ht="15" x14ac:dyDescent="0.35">
      <c r="A23" s="253"/>
      <c r="B23" s="253"/>
      <c r="C23" s="253"/>
      <c r="D23" s="253"/>
      <c r="E23" s="253"/>
      <c r="F23" s="253"/>
      <c r="G23" s="253"/>
      <c r="H23" s="253"/>
      <c r="I23" s="253"/>
      <c r="J23" s="253"/>
      <c r="K23" s="253"/>
      <c r="L23" s="253"/>
      <c r="M23" s="253"/>
      <c r="O23" s="289">
        <v>2015</v>
      </c>
      <c r="P23" s="287">
        <v>293509</v>
      </c>
      <c r="Q23" s="290">
        <v>-1.3962004266541246E-2</v>
      </c>
      <c r="R23" s="125"/>
      <c r="S23" s="109"/>
      <c r="T23" s="109"/>
      <c r="U23" s="109"/>
    </row>
    <row r="24" spans="1:21" ht="15" x14ac:dyDescent="0.35">
      <c r="A24" s="253"/>
      <c r="B24" s="253"/>
      <c r="C24" s="253"/>
      <c r="D24" s="253"/>
      <c r="E24" s="253"/>
      <c r="F24" s="253"/>
      <c r="G24" s="253"/>
      <c r="H24" s="253"/>
      <c r="I24" s="253"/>
      <c r="J24" s="253"/>
      <c r="K24" s="253"/>
      <c r="L24" s="253"/>
      <c r="M24" s="253"/>
      <c r="O24" s="289">
        <v>2016</v>
      </c>
      <c r="P24" s="287">
        <v>326433</v>
      </c>
      <c r="Q24" s="290">
        <v>0.11217373232166646</v>
      </c>
      <c r="S24" s="109"/>
      <c r="T24" s="109"/>
      <c r="U24" s="109"/>
    </row>
    <row r="25" spans="1:21" ht="15" x14ac:dyDescent="0.35">
      <c r="A25" s="253"/>
      <c r="B25" s="253"/>
      <c r="C25" s="253"/>
      <c r="D25" s="253"/>
      <c r="E25" s="253"/>
      <c r="F25" s="253"/>
      <c r="G25" s="253"/>
      <c r="H25" s="253"/>
      <c r="I25" s="253"/>
      <c r="J25" s="253"/>
      <c r="K25" s="253"/>
      <c r="L25" s="253"/>
      <c r="M25" s="253"/>
      <c r="O25" s="289">
        <v>2017</v>
      </c>
      <c r="P25" s="287">
        <v>355136</v>
      </c>
      <c r="Q25" s="290">
        <v>8.7929222842053345E-2</v>
      </c>
      <c r="S25" s="109"/>
      <c r="T25" s="109"/>
      <c r="U25" s="109"/>
    </row>
    <row r="26" spans="1:21" ht="15" x14ac:dyDescent="0.35">
      <c r="A26" s="253"/>
      <c r="B26" s="253"/>
      <c r="C26" s="253"/>
      <c r="D26" s="253"/>
      <c r="E26" s="253"/>
      <c r="F26" s="253"/>
      <c r="G26" s="253"/>
      <c r="H26" s="253"/>
      <c r="I26" s="253"/>
      <c r="J26" s="253"/>
      <c r="K26" s="253"/>
      <c r="L26" s="253"/>
      <c r="M26" s="253"/>
      <c r="O26" s="289">
        <v>2018</v>
      </c>
      <c r="P26" s="287">
        <v>380338</v>
      </c>
      <c r="Q26" s="290">
        <v>7.0964362948278972E-2</v>
      </c>
      <c r="S26" s="109"/>
      <c r="T26" s="109"/>
      <c r="U26" s="109"/>
    </row>
    <row r="27" spans="1:21" ht="15" x14ac:dyDescent="0.35">
      <c r="A27" s="253"/>
      <c r="B27" s="253"/>
      <c r="C27" s="253"/>
      <c r="D27" s="253"/>
      <c r="E27" s="253"/>
      <c r="F27" s="253"/>
      <c r="G27" s="253"/>
      <c r="H27" s="253"/>
      <c r="I27" s="253"/>
      <c r="J27" s="253"/>
      <c r="K27" s="253"/>
      <c r="L27" s="253"/>
      <c r="M27" s="253"/>
      <c r="O27" s="289">
        <v>2019</v>
      </c>
      <c r="P27" s="287">
        <v>397055</v>
      </c>
      <c r="Q27" s="290">
        <v>4.3953010217227834E-2</v>
      </c>
      <c r="S27" s="109"/>
      <c r="T27" s="109"/>
      <c r="U27" s="109"/>
    </row>
    <row r="28" spans="1:21" ht="15" x14ac:dyDescent="0.35">
      <c r="A28" s="253"/>
      <c r="B28" s="253"/>
      <c r="C28" s="253"/>
      <c r="D28" s="253"/>
      <c r="E28" s="253"/>
      <c r="F28" s="253"/>
      <c r="G28" s="253"/>
      <c r="H28" s="253"/>
      <c r="I28" s="253"/>
      <c r="J28" s="253"/>
      <c r="K28" s="253"/>
      <c r="L28" s="253"/>
      <c r="M28" s="253"/>
      <c r="O28" s="289">
        <v>2020</v>
      </c>
      <c r="P28" s="287">
        <v>397014</v>
      </c>
      <c r="Q28" s="290">
        <v>-1.0326025361725705E-4</v>
      </c>
      <c r="S28" s="109"/>
      <c r="T28" s="109"/>
      <c r="U28" s="109"/>
    </row>
    <row r="29" spans="1:21" ht="15" x14ac:dyDescent="0.35">
      <c r="A29" s="253"/>
      <c r="B29" s="253"/>
      <c r="C29" s="253"/>
      <c r="D29" s="253"/>
      <c r="E29" s="253"/>
      <c r="F29" s="253"/>
      <c r="G29" s="253"/>
      <c r="H29" s="253"/>
      <c r="I29" s="253"/>
      <c r="J29" s="253"/>
      <c r="K29" s="253"/>
      <c r="L29" s="253"/>
      <c r="M29" s="253"/>
      <c r="O29" s="68" t="s">
        <v>493</v>
      </c>
      <c r="P29" s="291">
        <v>323695.58333333331</v>
      </c>
      <c r="Q29" s="292">
        <v>4.5008623832625862E-2</v>
      </c>
      <c r="S29" s="109"/>
      <c r="T29" s="109"/>
      <c r="U29" s="109"/>
    </row>
    <row r="30" spans="1:21" ht="15" x14ac:dyDescent="0.3">
      <c r="A30" s="253"/>
      <c r="B30" s="253"/>
      <c r="C30" s="253"/>
      <c r="D30" s="253"/>
      <c r="E30" s="253"/>
      <c r="F30" s="253"/>
      <c r="G30" s="253"/>
      <c r="H30" s="253"/>
      <c r="I30" s="253"/>
      <c r="J30" s="253"/>
      <c r="K30" s="253"/>
      <c r="L30" s="253"/>
      <c r="M30" s="253"/>
    </row>
    <row r="31" spans="1:21" ht="15" x14ac:dyDescent="0.3">
      <c r="A31" s="253"/>
      <c r="B31" s="253"/>
      <c r="C31" s="253"/>
      <c r="D31" s="253"/>
      <c r="E31" s="253"/>
      <c r="F31" s="253"/>
      <c r="G31" s="253"/>
      <c r="H31" s="253"/>
      <c r="I31" s="253"/>
      <c r="J31" s="253"/>
      <c r="K31" s="253"/>
      <c r="L31" s="253"/>
      <c r="M31" s="253"/>
    </row>
    <row r="32" spans="1:21" ht="15" x14ac:dyDescent="0.3">
      <c r="A32" s="253"/>
      <c r="B32" s="253"/>
      <c r="C32" s="253"/>
      <c r="D32" s="253"/>
      <c r="E32" s="253"/>
      <c r="F32" s="253"/>
      <c r="G32" s="253"/>
      <c r="H32" s="253"/>
      <c r="I32" s="253"/>
      <c r="J32" s="253"/>
      <c r="K32" s="253"/>
      <c r="L32" s="253"/>
      <c r="M32" s="253"/>
    </row>
    <row r="33" spans="1:13" ht="15" x14ac:dyDescent="0.3">
      <c r="A33" s="253"/>
      <c r="B33" s="253"/>
      <c r="C33" s="253"/>
      <c r="D33" s="253"/>
      <c r="E33" s="253"/>
      <c r="F33" s="253"/>
      <c r="G33" s="253"/>
      <c r="H33" s="253"/>
      <c r="I33" s="253"/>
      <c r="J33" s="253"/>
      <c r="K33" s="253"/>
      <c r="L33" s="253"/>
      <c r="M33" s="253"/>
    </row>
    <row r="34" spans="1:13" ht="15" x14ac:dyDescent="0.3">
      <c r="A34" s="253"/>
      <c r="B34" s="253"/>
      <c r="C34" s="253"/>
      <c r="D34" s="253"/>
      <c r="E34" s="253"/>
      <c r="F34" s="253"/>
      <c r="G34" s="253"/>
      <c r="H34" s="253"/>
      <c r="I34" s="253"/>
      <c r="J34" s="253"/>
      <c r="K34" s="253"/>
      <c r="L34" s="253"/>
      <c r="M34" s="253"/>
    </row>
    <row r="35" spans="1:13" ht="15" x14ac:dyDescent="0.3">
      <c r="A35" s="253"/>
      <c r="B35" s="253"/>
      <c r="C35" s="253"/>
      <c r="D35" s="253"/>
      <c r="E35" s="253"/>
      <c r="F35" s="253"/>
      <c r="G35" s="253"/>
      <c r="H35" s="253"/>
      <c r="I35" s="253"/>
      <c r="J35" s="253"/>
      <c r="K35" s="253"/>
      <c r="L35" s="253"/>
      <c r="M35" s="253"/>
    </row>
  </sheetData>
  <mergeCells count="1">
    <mergeCell ref="B4:C5"/>
  </mergeCells>
  <pageMargins left="0.511811024" right="0.511811024" top="0.78740157499999996" bottom="0.78740157499999996" header="0.31496062000000002" footer="0.31496062000000002"/>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CDD06-1366-4ED2-AF80-9DB53BB584A1}">
  <dimension ref="A2:T26"/>
  <sheetViews>
    <sheetView workbookViewId="0">
      <selection activeCell="I17" sqref="I17"/>
    </sheetView>
  </sheetViews>
  <sheetFormatPr defaultRowHeight="14.4" x14ac:dyDescent="0.3"/>
  <cols>
    <col min="1" max="1" width="6.21875" style="109" customWidth="1"/>
    <col min="2" max="2" width="13.21875" customWidth="1"/>
    <col min="3" max="3" width="12.5546875" customWidth="1"/>
    <col min="4" max="4" width="10.21875" customWidth="1"/>
    <col min="5" max="5" width="11.77734375" customWidth="1"/>
    <col min="7" max="7" width="11.5546875" customWidth="1"/>
    <col min="8" max="8" width="10.21875" customWidth="1"/>
    <col min="9" max="9" width="13.21875" customWidth="1"/>
    <col min="10" max="20" width="9.21875" style="109"/>
  </cols>
  <sheetData>
    <row r="2" spans="2:9" s="109" customFormat="1" ht="15" x14ac:dyDescent="0.35">
      <c r="B2" s="125" t="s">
        <v>494</v>
      </c>
      <c r="D2" s="125"/>
      <c r="E2" s="125"/>
      <c r="F2" s="125"/>
      <c r="G2" s="125"/>
      <c r="H2" s="125"/>
      <c r="I2" s="125"/>
    </row>
    <row r="3" spans="2:9" s="109" customFormat="1" ht="15" x14ac:dyDescent="0.35">
      <c r="C3" s="125"/>
      <c r="D3" s="125"/>
      <c r="E3" s="125"/>
      <c r="F3" s="125"/>
      <c r="G3" s="125"/>
      <c r="H3" s="125"/>
      <c r="I3" s="125"/>
    </row>
    <row r="4" spans="2:9" ht="70.5" customHeight="1" x14ac:dyDescent="0.3">
      <c r="B4" s="555" t="s">
        <v>422</v>
      </c>
      <c r="C4" s="555"/>
      <c r="D4" s="380" t="s">
        <v>495</v>
      </c>
      <c r="E4" s="382"/>
      <c r="F4" s="380" t="s">
        <v>496</v>
      </c>
      <c r="G4" s="382"/>
      <c r="H4" s="380" t="s">
        <v>497</v>
      </c>
      <c r="I4" s="382"/>
    </row>
    <row r="5" spans="2:9" ht="15" x14ac:dyDescent="0.3">
      <c r="B5" s="555"/>
      <c r="C5" s="555"/>
      <c r="D5" s="23" t="s">
        <v>118</v>
      </c>
      <c r="E5" s="23" t="s">
        <v>119</v>
      </c>
      <c r="F5" s="23" t="s">
        <v>118</v>
      </c>
      <c r="G5" s="23" t="s">
        <v>119</v>
      </c>
      <c r="H5" s="23" t="s">
        <v>118</v>
      </c>
      <c r="I5" s="23" t="s">
        <v>119</v>
      </c>
    </row>
    <row r="6" spans="2:9" ht="16.2" x14ac:dyDescent="0.3">
      <c r="B6" s="555"/>
      <c r="C6" s="555"/>
      <c r="D6" s="23" t="s">
        <v>498</v>
      </c>
      <c r="E6" s="23" t="s">
        <v>499</v>
      </c>
      <c r="F6" s="23" t="s">
        <v>500</v>
      </c>
      <c r="G6" s="23" t="s">
        <v>501</v>
      </c>
      <c r="H6" s="23" t="s">
        <v>502</v>
      </c>
      <c r="I6" s="23" t="s">
        <v>503</v>
      </c>
    </row>
    <row r="7" spans="2:9" ht="16.2" x14ac:dyDescent="0.3">
      <c r="B7" s="18" t="s">
        <v>105</v>
      </c>
      <c r="C7" s="18" t="s">
        <v>106</v>
      </c>
      <c r="D7" s="23" t="s">
        <v>331</v>
      </c>
      <c r="E7" s="23" t="s">
        <v>331</v>
      </c>
      <c r="F7" s="23" t="s">
        <v>331</v>
      </c>
      <c r="G7" s="23" t="s">
        <v>331</v>
      </c>
      <c r="H7" s="23" t="s">
        <v>331</v>
      </c>
      <c r="I7" s="23" t="s">
        <v>331</v>
      </c>
    </row>
    <row r="8" spans="2:9" ht="16.5" customHeight="1" x14ac:dyDescent="0.3">
      <c r="B8" s="121">
        <v>44147</v>
      </c>
      <c r="C8" s="121">
        <v>44511</v>
      </c>
      <c r="D8" s="15">
        <f>'Table 30b-c'!S8</f>
        <v>0</v>
      </c>
      <c r="E8" s="15">
        <f>D8</f>
        <v>0</v>
      </c>
      <c r="F8" s="15">
        <f>'Table 32'!L7</f>
        <v>287.90064514285717</v>
      </c>
      <c r="G8" s="15">
        <f>F8</f>
        <v>287.90064514285717</v>
      </c>
      <c r="H8" s="15">
        <f>D8+F8</f>
        <v>287.90064514285717</v>
      </c>
      <c r="I8" s="15">
        <f>H8</f>
        <v>287.90064514285717</v>
      </c>
    </row>
    <row r="9" spans="2:9" ht="16.5" customHeight="1" x14ac:dyDescent="0.3">
      <c r="B9" s="109"/>
      <c r="C9" s="109"/>
      <c r="D9" s="109"/>
      <c r="E9" s="109"/>
      <c r="F9" s="109"/>
      <c r="G9" s="109"/>
      <c r="H9" s="109"/>
      <c r="I9" s="109"/>
    </row>
    <row r="10" spans="2:9" x14ac:dyDescent="0.3">
      <c r="B10" s="109"/>
      <c r="C10" s="109"/>
      <c r="D10" s="109"/>
      <c r="E10" s="109"/>
      <c r="F10" s="109"/>
      <c r="G10" s="109"/>
      <c r="H10" s="109"/>
      <c r="I10" s="109"/>
    </row>
    <row r="11" spans="2:9" x14ac:dyDescent="0.3">
      <c r="B11" s="109"/>
      <c r="C11" s="109"/>
      <c r="D11" s="109"/>
      <c r="E11" s="109"/>
      <c r="F11" s="109"/>
      <c r="G11" s="109"/>
      <c r="H11" s="109"/>
      <c r="I11" s="109"/>
    </row>
    <row r="12" spans="2:9" x14ac:dyDescent="0.3">
      <c r="B12" s="109"/>
      <c r="C12" s="109"/>
      <c r="D12" s="109"/>
      <c r="E12" s="109"/>
      <c r="F12" s="109"/>
      <c r="G12" s="109"/>
      <c r="H12" s="109"/>
      <c r="I12" s="109"/>
    </row>
    <row r="13" spans="2:9" x14ac:dyDescent="0.3">
      <c r="B13" s="109"/>
      <c r="C13" s="109"/>
      <c r="D13" s="109"/>
      <c r="E13" s="109"/>
      <c r="F13" s="109"/>
      <c r="G13" s="109"/>
      <c r="H13" s="109"/>
      <c r="I13" s="109"/>
    </row>
    <row r="14" spans="2:9" x14ac:dyDescent="0.3">
      <c r="B14" s="109"/>
      <c r="C14" s="109"/>
      <c r="D14" s="109"/>
      <c r="E14" s="109"/>
      <c r="F14" s="109"/>
      <c r="G14" s="109"/>
      <c r="H14" s="109"/>
      <c r="I14" s="109"/>
    </row>
    <row r="15" spans="2:9" x14ac:dyDescent="0.3">
      <c r="B15" s="109"/>
      <c r="C15" s="109"/>
      <c r="D15" s="109"/>
      <c r="E15" s="109"/>
      <c r="F15" s="109"/>
      <c r="G15" s="109"/>
      <c r="H15" s="109"/>
      <c r="I15" s="109"/>
    </row>
    <row r="16" spans="2:9" x14ac:dyDescent="0.3">
      <c r="B16" s="109"/>
      <c r="C16" s="109"/>
      <c r="D16" s="109"/>
      <c r="E16" s="109"/>
      <c r="F16" s="109"/>
      <c r="G16" s="109"/>
      <c r="H16" s="109"/>
      <c r="I16" s="109"/>
    </row>
    <row r="17" spans="2:9" x14ac:dyDescent="0.3">
      <c r="B17" s="109"/>
      <c r="C17" s="109"/>
      <c r="D17" s="109"/>
      <c r="E17" s="109"/>
      <c r="F17" s="109"/>
      <c r="G17" s="109"/>
      <c r="H17" s="109"/>
      <c r="I17" s="109"/>
    </row>
    <row r="18" spans="2:9" x14ac:dyDescent="0.3">
      <c r="B18" s="109"/>
      <c r="C18" s="109"/>
      <c r="D18" s="109"/>
      <c r="E18" s="109"/>
      <c r="F18" s="109"/>
      <c r="G18" s="109"/>
      <c r="H18" s="109"/>
      <c r="I18" s="109"/>
    </row>
    <row r="19" spans="2:9" x14ac:dyDescent="0.3">
      <c r="B19" s="109"/>
      <c r="C19" s="109"/>
      <c r="D19" s="109"/>
      <c r="E19" s="109"/>
      <c r="F19" s="109"/>
      <c r="G19" s="109"/>
      <c r="H19" s="109"/>
      <c r="I19" s="109"/>
    </row>
    <row r="20" spans="2:9" x14ac:dyDescent="0.3">
      <c r="B20" s="109"/>
      <c r="C20" s="109"/>
      <c r="D20" s="109"/>
      <c r="E20" s="109"/>
      <c r="F20" s="109"/>
      <c r="G20" s="109"/>
      <c r="H20" s="109"/>
      <c r="I20" s="109"/>
    </row>
    <row r="21" spans="2:9" x14ac:dyDescent="0.3">
      <c r="B21" s="109"/>
      <c r="C21" s="109"/>
      <c r="D21" s="109"/>
      <c r="E21" s="109"/>
      <c r="F21" s="109"/>
      <c r="G21" s="109"/>
      <c r="H21" s="109"/>
      <c r="I21" s="109"/>
    </row>
    <row r="22" spans="2:9" x14ac:dyDescent="0.3">
      <c r="B22" s="109"/>
      <c r="C22" s="109"/>
      <c r="D22" s="109"/>
      <c r="E22" s="109"/>
      <c r="F22" s="109"/>
      <c r="G22" s="109"/>
      <c r="H22" s="109"/>
      <c r="I22" s="109"/>
    </row>
    <row r="23" spans="2:9" x14ac:dyDescent="0.3">
      <c r="B23" s="109"/>
      <c r="C23" s="109"/>
      <c r="D23" s="109"/>
      <c r="E23" s="109"/>
      <c r="F23" s="109"/>
      <c r="G23" s="109"/>
      <c r="H23" s="109"/>
      <c r="I23" s="109"/>
    </row>
    <row r="24" spans="2:9" x14ac:dyDescent="0.3">
      <c r="B24" s="109"/>
      <c r="C24" s="109"/>
      <c r="D24" s="109"/>
      <c r="E24" s="109"/>
      <c r="F24" s="109"/>
      <c r="G24" s="109"/>
      <c r="H24" s="109"/>
      <c r="I24" s="109"/>
    </row>
    <row r="25" spans="2:9" x14ac:dyDescent="0.3">
      <c r="B25" s="109"/>
      <c r="C25" s="109"/>
      <c r="D25" s="109"/>
      <c r="E25" s="109"/>
      <c r="F25" s="109"/>
      <c r="G25" s="109"/>
      <c r="H25" s="109"/>
      <c r="I25" s="109"/>
    </row>
    <row r="26" spans="2:9" x14ac:dyDescent="0.3">
      <c r="B26" s="109"/>
      <c r="C26" s="109"/>
      <c r="D26" s="109"/>
      <c r="E26" s="109"/>
      <c r="F26" s="109"/>
      <c r="G26" s="109"/>
      <c r="H26" s="109"/>
      <c r="I26" s="109"/>
    </row>
  </sheetData>
  <mergeCells count="4">
    <mergeCell ref="D4:E4"/>
    <mergeCell ref="F4:G4"/>
    <mergeCell ref="H4:I4"/>
    <mergeCell ref="B4:C6"/>
  </mergeCells>
  <pageMargins left="0.511811024" right="0.511811024" top="0.78740157499999996" bottom="0.78740157499999996" header="0.31496062000000002" footer="0.31496062000000002"/>
  <ignoredErrors>
    <ignoredError sqref="F8 H8"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1BA55-8A3E-4D76-A714-E6D5FC9C3EFD}">
  <dimension ref="A2:R26"/>
  <sheetViews>
    <sheetView workbookViewId="0">
      <selection activeCell="F13" sqref="F13"/>
    </sheetView>
  </sheetViews>
  <sheetFormatPr defaultRowHeight="14.4" x14ac:dyDescent="0.3"/>
  <cols>
    <col min="1" max="1" width="6.44140625" style="109" customWidth="1"/>
    <col min="2" max="2" width="14.21875" customWidth="1"/>
    <col min="3" max="3" width="12.77734375" customWidth="1"/>
    <col min="5" max="5" width="11.77734375" customWidth="1"/>
    <col min="7" max="7" width="12.21875" customWidth="1"/>
    <col min="9" max="9" width="11.77734375" customWidth="1"/>
    <col min="10" max="10" width="11.21875" customWidth="1"/>
    <col min="11" max="11" width="11.77734375" customWidth="1"/>
    <col min="13" max="13" width="11.77734375" customWidth="1"/>
    <col min="15" max="15" width="12" customWidth="1"/>
    <col min="16" max="18" width="9.21875" style="109"/>
  </cols>
  <sheetData>
    <row r="2" spans="2:15" s="109" customFormat="1" ht="15" x14ac:dyDescent="0.35">
      <c r="B2" s="216" t="s">
        <v>504</v>
      </c>
      <c r="D2" s="10"/>
      <c r="E2" s="10"/>
      <c r="F2" s="10"/>
      <c r="G2" s="10"/>
      <c r="H2" s="10"/>
      <c r="I2" s="10"/>
      <c r="J2" s="10"/>
      <c r="K2" s="10"/>
      <c r="L2" s="10"/>
      <c r="M2" s="10"/>
      <c r="N2" s="10"/>
      <c r="O2" s="10"/>
    </row>
    <row r="3" spans="2:15" s="109" customFormat="1" ht="15" x14ac:dyDescent="0.35">
      <c r="C3" s="10"/>
      <c r="D3" s="10"/>
      <c r="E3" s="10"/>
      <c r="F3" s="10"/>
      <c r="G3" s="10"/>
      <c r="H3" s="10"/>
      <c r="I3" s="10"/>
      <c r="J3" s="10"/>
      <c r="K3" s="10"/>
      <c r="L3" s="10"/>
      <c r="M3" s="10"/>
      <c r="N3" s="10"/>
      <c r="O3" s="10"/>
    </row>
    <row r="4" spans="2:15" ht="74.25" customHeight="1" x14ac:dyDescent="0.3">
      <c r="B4" s="555" t="s">
        <v>422</v>
      </c>
      <c r="C4" s="555"/>
      <c r="D4" s="380" t="s">
        <v>505</v>
      </c>
      <c r="E4" s="382"/>
      <c r="F4" s="380" t="s">
        <v>506</v>
      </c>
      <c r="G4" s="382"/>
      <c r="H4" s="380" t="s">
        <v>507</v>
      </c>
      <c r="I4" s="382"/>
      <c r="J4" s="380" t="s">
        <v>495</v>
      </c>
      <c r="K4" s="382"/>
      <c r="L4" s="380" t="s">
        <v>508</v>
      </c>
      <c r="M4" s="382"/>
      <c r="N4" s="380" t="s">
        <v>509</v>
      </c>
      <c r="O4" s="382"/>
    </row>
    <row r="5" spans="2:15" ht="15" x14ac:dyDescent="0.35">
      <c r="B5" s="555"/>
      <c r="C5" s="555"/>
      <c r="D5" s="42" t="s">
        <v>118</v>
      </c>
      <c r="E5" s="42" t="s">
        <v>119</v>
      </c>
      <c r="F5" s="42" t="s">
        <v>118</v>
      </c>
      <c r="G5" s="42" t="s">
        <v>119</v>
      </c>
      <c r="H5" s="42" t="s">
        <v>118</v>
      </c>
      <c r="I5" s="42" t="s">
        <v>119</v>
      </c>
      <c r="J5" s="42" t="s">
        <v>118</v>
      </c>
      <c r="K5" s="42" t="s">
        <v>119</v>
      </c>
      <c r="L5" s="42" t="s">
        <v>118</v>
      </c>
      <c r="M5" s="42" t="s">
        <v>119</v>
      </c>
      <c r="N5" s="42" t="s">
        <v>118</v>
      </c>
      <c r="O5" s="42" t="s">
        <v>119</v>
      </c>
    </row>
    <row r="6" spans="2:15" ht="16.2" x14ac:dyDescent="0.4">
      <c r="B6" s="555"/>
      <c r="C6" s="555"/>
      <c r="D6" s="42" t="s">
        <v>500</v>
      </c>
      <c r="E6" s="42" t="s">
        <v>501</v>
      </c>
      <c r="F6" s="42" t="s">
        <v>510</v>
      </c>
      <c r="G6" s="42" t="s">
        <v>511</v>
      </c>
      <c r="H6" s="42" t="s">
        <v>512</v>
      </c>
      <c r="I6" s="42" t="s">
        <v>513</v>
      </c>
      <c r="J6" s="42" t="s">
        <v>498</v>
      </c>
      <c r="K6" s="42" t="s">
        <v>499</v>
      </c>
      <c r="L6" s="42" t="s">
        <v>514</v>
      </c>
      <c r="M6" s="42" t="s">
        <v>515</v>
      </c>
      <c r="N6" s="42" t="s">
        <v>516</v>
      </c>
      <c r="O6" s="42" t="s">
        <v>517</v>
      </c>
    </row>
    <row r="7" spans="2:15" ht="16.2" x14ac:dyDescent="0.4">
      <c r="B7" s="18" t="s">
        <v>105</v>
      </c>
      <c r="C7" s="18" t="s">
        <v>106</v>
      </c>
      <c r="D7" s="42" t="s">
        <v>331</v>
      </c>
      <c r="E7" s="42" t="s">
        <v>331</v>
      </c>
      <c r="F7" s="42" t="s">
        <v>331</v>
      </c>
      <c r="G7" s="42" t="s">
        <v>331</v>
      </c>
      <c r="H7" s="42" t="s">
        <v>331</v>
      </c>
      <c r="I7" s="42" t="s">
        <v>331</v>
      </c>
      <c r="J7" s="42" t="s">
        <v>331</v>
      </c>
      <c r="K7" s="42" t="s">
        <v>331</v>
      </c>
      <c r="L7" s="42" t="s">
        <v>331</v>
      </c>
      <c r="M7" s="42" t="s">
        <v>331</v>
      </c>
      <c r="N7" s="42" t="s">
        <v>331</v>
      </c>
      <c r="O7" s="42" t="s">
        <v>331</v>
      </c>
    </row>
    <row r="8" spans="2:15" ht="15" x14ac:dyDescent="0.3">
      <c r="B8" s="121">
        <v>44147</v>
      </c>
      <c r="C8" s="121">
        <v>44511</v>
      </c>
      <c r="D8" s="15">
        <f>'Table 33'!F8</f>
        <v>287.90064514285717</v>
      </c>
      <c r="E8" s="15">
        <f>D8</f>
        <v>287.90064514285717</v>
      </c>
      <c r="F8" s="15">
        <f>IF(H8&gt;0, Table_13!#REF!*'Table 23'!#REF!*'Table 23'!#REF!,0)</f>
        <v>0</v>
      </c>
      <c r="G8" s="15">
        <f>F8</f>
        <v>0</v>
      </c>
      <c r="H8" s="15">
        <f>'Table 21'!AH11</f>
        <v>0</v>
      </c>
      <c r="I8" s="15">
        <v>0</v>
      </c>
      <c r="J8" s="15">
        <f>'Table 33'!D8</f>
        <v>0</v>
      </c>
      <c r="K8" s="15">
        <v>0</v>
      </c>
      <c r="L8" s="15">
        <f>H8+J8</f>
        <v>0</v>
      </c>
      <c r="M8" s="15">
        <v>0</v>
      </c>
      <c r="N8" s="15">
        <f>D8+F8</f>
        <v>287.90064514285717</v>
      </c>
      <c r="O8" s="15">
        <v>287.90064514285717</v>
      </c>
    </row>
    <row r="9" spans="2:15" x14ac:dyDescent="0.3">
      <c r="B9" s="109"/>
      <c r="C9" s="109"/>
      <c r="D9" s="109"/>
      <c r="E9" s="109"/>
      <c r="F9" s="109"/>
      <c r="G9" s="109"/>
      <c r="H9" s="109"/>
      <c r="I9" s="109"/>
      <c r="J9" s="109"/>
      <c r="K9" s="109"/>
      <c r="L9" s="109"/>
      <c r="M9" s="109"/>
      <c r="N9" s="109"/>
      <c r="O9" s="109"/>
    </row>
    <row r="10" spans="2:15" x14ac:dyDescent="0.3">
      <c r="B10" s="109"/>
      <c r="C10" s="109"/>
      <c r="D10" s="109"/>
      <c r="E10" s="109"/>
      <c r="F10" s="109"/>
      <c r="G10" s="109"/>
      <c r="H10" s="109"/>
      <c r="I10" s="109"/>
      <c r="J10" s="109"/>
      <c r="K10" s="109"/>
      <c r="L10" s="109"/>
      <c r="M10" s="109"/>
      <c r="N10" s="109"/>
      <c r="O10" s="109"/>
    </row>
    <row r="11" spans="2:15" x14ac:dyDescent="0.3">
      <c r="B11" s="109"/>
      <c r="C11" s="109"/>
      <c r="D11" s="109"/>
      <c r="E11" s="109"/>
      <c r="F11" s="109"/>
      <c r="G11" s="109"/>
      <c r="H11" s="109"/>
      <c r="I11" s="109"/>
      <c r="J11" s="109"/>
      <c r="K11" s="109"/>
      <c r="L11" s="109"/>
      <c r="M11" s="109"/>
      <c r="N11" s="109"/>
      <c r="O11" s="109"/>
    </row>
    <row r="12" spans="2:15" x14ac:dyDescent="0.3">
      <c r="B12" s="109"/>
      <c r="C12" s="109"/>
      <c r="D12" s="109"/>
      <c r="E12" s="109"/>
      <c r="F12" s="109"/>
      <c r="G12" s="109"/>
      <c r="H12" s="109"/>
      <c r="I12" s="109"/>
      <c r="J12" s="109"/>
      <c r="K12" s="109"/>
      <c r="L12" s="109"/>
      <c r="M12" s="109"/>
      <c r="N12" s="109"/>
      <c r="O12" s="109"/>
    </row>
    <row r="13" spans="2:15" x14ac:dyDescent="0.3">
      <c r="B13" s="109"/>
      <c r="C13" s="109"/>
      <c r="D13" s="109"/>
      <c r="E13" s="109"/>
      <c r="F13" s="109"/>
      <c r="G13" s="109"/>
      <c r="H13" s="109"/>
      <c r="I13" s="109"/>
      <c r="J13" s="109"/>
      <c r="K13" s="109"/>
      <c r="L13" s="109"/>
      <c r="M13" s="109"/>
      <c r="N13" s="109"/>
      <c r="O13" s="109"/>
    </row>
    <row r="14" spans="2:15" x14ac:dyDescent="0.3">
      <c r="B14" s="109"/>
      <c r="C14" s="109"/>
      <c r="D14" s="109"/>
      <c r="E14" s="109"/>
      <c r="F14" s="109"/>
      <c r="G14" s="109"/>
      <c r="H14" s="109"/>
      <c r="I14" s="109"/>
      <c r="J14" s="109"/>
      <c r="K14" s="109"/>
      <c r="L14" s="109"/>
      <c r="M14" s="109"/>
      <c r="N14" s="109"/>
      <c r="O14" s="109"/>
    </row>
    <row r="15" spans="2:15" x14ac:dyDescent="0.3">
      <c r="B15" s="109"/>
      <c r="C15" s="109"/>
      <c r="D15" s="109"/>
      <c r="E15" s="109"/>
      <c r="F15" s="109"/>
      <c r="G15" s="109"/>
      <c r="H15" s="109"/>
      <c r="I15" s="109"/>
      <c r="J15" s="109"/>
      <c r="K15" s="109"/>
      <c r="L15" s="109"/>
      <c r="M15" s="109"/>
      <c r="N15" s="109"/>
      <c r="O15" s="109"/>
    </row>
    <row r="16" spans="2:15" x14ac:dyDescent="0.3">
      <c r="B16" s="109"/>
      <c r="C16" s="109"/>
      <c r="D16" s="109"/>
      <c r="E16" s="109"/>
      <c r="F16" s="109"/>
      <c r="G16" s="109"/>
      <c r="H16" s="109"/>
      <c r="I16" s="109"/>
      <c r="J16" s="109"/>
      <c r="K16" s="109"/>
      <c r="L16" s="109"/>
      <c r="M16" s="109"/>
      <c r="N16" s="109"/>
      <c r="O16" s="109"/>
    </row>
    <row r="17" spans="2:15" x14ac:dyDescent="0.3">
      <c r="B17" s="109"/>
      <c r="C17" s="109"/>
      <c r="D17" s="109"/>
      <c r="E17" s="109"/>
      <c r="F17" s="109"/>
      <c r="G17" s="109"/>
      <c r="H17" s="109"/>
      <c r="I17" s="109"/>
      <c r="J17" s="109"/>
      <c r="K17" s="109"/>
      <c r="L17" s="109"/>
      <c r="M17" s="109"/>
      <c r="N17" s="109"/>
      <c r="O17" s="109"/>
    </row>
    <row r="18" spans="2:15" x14ac:dyDescent="0.3">
      <c r="B18" s="109"/>
      <c r="C18" s="109"/>
      <c r="D18" s="109"/>
      <c r="E18" s="109"/>
      <c r="F18" s="109"/>
      <c r="G18" s="109"/>
      <c r="H18" s="109"/>
      <c r="I18" s="109"/>
      <c r="J18" s="109"/>
      <c r="K18" s="109"/>
      <c r="L18" s="109"/>
      <c r="M18" s="109"/>
      <c r="N18" s="109"/>
      <c r="O18" s="109"/>
    </row>
    <row r="19" spans="2:15" x14ac:dyDescent="0.3">
      <c r="B19" s="109"/>
      <c r="C19" s="109"/>
      <c r="D19" s="109"/>
      <c r="E19" s="109"/>
      <c r="F19" s="109"/>
      <c r="G19" s="109"/>
      <c r="H19" s="109"/>
      <c r="I19" s="109"/>
      <c r="J19" s="109"/>
      <c r="K19" s="109"/>
      <c r="L19" s="109"/>
      <c r="M19" s="109"/>
      <c r="N19" s="109"/>
      <c r="O19" s="109"/>
    </row>
    <row r="20" spans="2:15" x14ac:dyDescent="0.3">
      <c r="B20" s="109"/>
      <c r="C20" s="109"/>
      <c r="D20" s="109"/>
      <c r="E20" s="109"/>
      <c r="F20" s="109"/>
      <c r="G20" s="109"/>
      <c r="H20" s="109"/>
      <c r="I20" s="109"/>
      <c r="J20" s="109"/>
      <c r="K20" s="109"/>
      <c r="L20" s="109"/>
      <c r="M20" s="109"/>
      <c r="N20" s="109"/>
      <c r="O20" s="109"/>
    </row>
    <row r="21" spans="2:15" x14ac:dyDescent="0.3">
      <c r="B21" s="109"/>
      <c r="C21" s="109"/>
      <c r="D21" s="109"/>
      <c r="E21" s="109"/>
      <c r="F21" s="109"/>
      <c r="G21" s="109"/>
      <c r="H21" s="109"/>
      <c r="I21" s="109"/>
      <c r="J21" s="109"/>
      <c r="K21" s="109"/>
      <c r="L21" s="109"/>
      <c r="M21" s="109"/>
      <c r="N21" s="109"/>
      <c r="O21" s="109"/>
    </row>
    <row r="22" spans="2:15" x14ac:dyDescent="0.3">
      <c r="B22" s="109"/>
      <c r="C22" s="109"/>
      <c r="D22" s="109"/>
      <c r="E22" s="109"/>
      <c r="F22" s="109"/>
      <c r="G22" s="109"/>
      <c r="H22" s="109"/>
      <c r="I22" s="109"/>
      <c r="J22" s="109"/>
      <c r="K22" s="109"/>
      <c r="L22" s="109"/>
      <c r="M22" s="109"/>
      <c r="N22" s="109"/>
      <c r="O22" s="109"/>
    </row>
    <row r="23" spans="2:15" x14ac:dyDescent="0.3">
      <c r="B23" s="109"/>
      <c r="C23" s="109"/>
      <c r="D23" s="109"/>
      <c r="E23" s="109"/>
      <c r="F23" s="109"/>
      <c r="G23" s="109"/>
      <c r="H23" s="109"/>
      <c r="I23" s="109"/>
      <c r="J23" s="109"/>
      <c r="K23" s="109"/>
      <c r="L23" s="109"/>
      <c r="M23" s="109"/>
      <c r="N23" s="109"/>
      <c r="O23" s="109"/>
    </row>
    <row r="24" spans="2:15" x14ac:dyDescent="0.3">
      <c r="B24" s="109"/>
      <c r="C24" s="109"/>
      <c r="D24" s="109"/>
      <c r="E24" s="109"/>
      <c r="F24" s="109"/>
      <c r="G24" s="109"/>
      <c r="H24" s="109"/>
      <c r="I24" s="109"/>
      <c r="J24" s="109"/>
      <c r="K24" s="109"/>
      <c r="L24" s="109"/>
      <c r="M24" s="109"/>
      <c r="N24" s="109"/>
      <c r="O24" s="109"/>
    </row>
    <row r="25" spans="2:15" x14ac:dyDescent="0.3">
      <c r="B25" s="109"/>
      <c r="C25" s="109"/>
      <c r="D25" s="109"/>
      <c r="E25" s="109"/>
      <c r="F25" s="109"/>
      <c r="G25" s="109"/>
      <c r="H25" s="109"/>
      <c r="I25" s="109"/>
      <c r="J25" s="109"/>
      <c r="K25" s="109"/>
      <c r="L25" s="109"/>
      <c r="M25" s="109"/>
      <c r="N25" s="109"/>
      <c r="O25" s="109"/>
    </row>
    <row r="26" spans="2:15" x14ac:dyDescent="0.3">
      <c r="B26" s="109"/>
      <c r="C26" s="109"/>
      <c r="D26" s="109"/>
      <c r="E26" s="109"/>
      <c r="F26" s="109"/>
      <c r="G26" s="109"/>
      <c r="H26" s="109"/>
      <c r="I26" s="109"/>
      <c r="J26" s="109"/>
      <c r="K26" s="109"/>
      <c r="L26" s="109"/>
      <c r="M26" s="109"/>
      <c r="N26" s="109"/>
      <c r="O26" s="109"/>
    </row>
  </sheetData>
  <mergeCells count="7">
    <mergeCell ref="N4:O4"/>
    <mergeCell ref="B4:C6"/>
    <mergeCell ref="D4:E4"/>
    <mergeCell ref="F4:G4"/>
    <mergeCell ref="H4:I4"/>
    <mergeCell ref="J4:K4"/>
    <mergeCell ref="L4:M4"/>
  </mergeCells>
  <pageMargins left="0.511811024" right="0.511811024" top="0.78740157499999996" bottom="0.78740157499999996" header="0.31496062000000002" footer="0.31496062000000002"/>
  <ignoredErrors>
    <ignoredError sqref="F8"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B2:AB10"/>
  <sheetViews>
    <sheetView showGridLines="0" zoomScaleNormal="100" workbookViewId="0">
      <pane xSplit="3" topLeftCell="D1" activePane="topRight" state="frozen"/>
      <selection pane="topRight" activeCell="B8" sqref="B8"/>
    </sheetView>
  </sheetViews>
  <sheetFormatPr defaultColWidth="14.44140625" defaultRowHeight="15" customHeight="1" x14ac:dyDescent="0.35"/>
  <cols>
    <col min="1" max="1" width="3.77734375" style="3" customWidth="1"/>
    <col min="2" max="2" width="13.77734375" style="3" customWidth="1"/>
    <col min="3" max="3" width="15.77734375" style="3" customWidth="1"/>
    <col min="4" max="4" width="13.5546875" style="3" customWidth="1"/>
    <col min="5" max="5" width="13.21875" style="3" customWidth="1"/>
    <col min="6" max="6" width="12.77734375" style="3" customWidth="1"/>
    <col min="7" max="7" width="11.77734375" style="3" customWidth="1"/>
    <col min="8" max="8" width="14.77734375" style="3" customWidth="1"/>
    <col min="9" max="9" width="13.44140625" style="3" customWidth="1"/>
    <col min="10" max="11" width="12.77734375" style="3" customWidth="1"/>
    <col min="12" max="12" width="12.21875" style="3" customWidth="1"/>
    <col min="13" max="13" width="11.77734375" style="3" customWidth="1"/>
    <col min="14" max="14" width="11.5546875" style="3" customWidth="1"/>
    <col min="15" max="19" width="13.21875" style="3" customWidth="1"/>
    <col min="20" max="20" width="12.21875" style="3" customWidth="1"/>
    <col min="21" max="21" width="14.21875" style="3" customWidth="1"/>
    <col min="22" max="22" width="12" style="3" customWidth="1"/>
    <col min="23" max="23" width="13.44140625" style="3" customWidth="1"/>
    <col min="24" max="24" width="11.21875" style="3" customWidth="1"/>
    <col min="25" max="25" width="12.44140625" style="3" customWidth="1"/>
    <col min="26" max="26" width="9.21875" style="3" customWidth="1"/>
    <col min="27" max="27" width="18.5546875" style="3" customWidth="1"/>
    <col min="28" max="31" width="9.21875" style="3" customWidth="1"/>
    <col min="32" max="16384" width="14.44140625" style="3"/>
  </cols>
  <sheetData>
    <row r="2" spans="2:28" ht="16.2" x14ac:dyDescent="0.4">
      <c r="B2" s="2" t="s">
        <v>518</v>
      </c>
    </row>
    <row r="3" spans="2:28" ht="8.25" customHeight="1" x14ac:dyDescent="0.35">
      <c r="H3" s="71"/>
      <c r="I3" s="71"/>
      <c r="Y3" s="72"/>
    </row>
    <row r="4" spans="2:28" ht="49.5" customHeight="1" x14ac:dyDescent="0.35">
      <c r="B4" s="566" t="s">
        <v>422</v>
      </c>
      <c r="C4" s="567"/>
      <c r="D4" s="514" t="s">
        <v>519</v>
      </c>
      <c r="E4" s="553"/>
      <c r="F4" s="514" t="s">
        <v>520</v>
      </c>
      <c r="G4" s="553"/>
      <c r="H4" s="514" t="s">
        <v>521</v>
      </c>
      <c r="I4" s="553"/>
      <c r="J4" s="514" t="s">
        <v>522</v>
      </c>
      <c r="K4" s="553"/>
      <c r="L4" s="514" t="s">
        <v>523</v>
      </c>
      <c r="M4" s="553"/>
      <c r="N4" s="514" t="s">
        <v>524</v>
      </c>
      <c r="O4" s="568"/>
      <c r="P4" s="569" t="s">
        <v>373</v>
      </c>
      <c r="Q4" s="570"/>
      <c r="R4" s="469" t="s">
        <v>368</v>
      </c>
      <c r="S4" s="469"/>
      <c r="T4" s="514" t="s">
        <v>525</v>
      </c>
      <c r="U4" s="553"/>
      <c r="V4" s="514" t="s">
        <v>526</v>
      </c>
      <c r="W4" s="553"/>
      <c r="X4" s="514" t="s">
        <v>527</v>
      </c>
      <c r="Y4" s="553"/>
      <c r="AA4" s="19" t="s">
        <v>24</v>
      </c>
      <c r="AB4" s="60">
        <f>Summary!I16</f>
        <v>0.1</v>
      </c>
    </row>
    <row r="5" spans="2:28" x14ac:dyDescent="0.35">
      <c r="B5" s="566"/>
      <c r="C5" s="567"/>
      <c r="D5" s="18" t="s">
        <v>118</v>
      </c>
      <c r="E5" s="18" t="s">
        <v>119</v>
      </c>
      <c r="F5" s="18" t="s">
        <v>118</v>
      </c>
      <c r="G5" s="18" t="s">
        <v>119</v>
      </c>
      <c r="H5" s="18" t="s">
        <v>118</v>
      </c>
      <c r="I5" s="18" t="s">
        <v>119</v>
      </c>
      <c r="J5" s="18" t="s">
        <v>118</v>
      </c>
      <c r="K5" s="18" t="s">
        <v>119</v>
      </c>
      <c r="L5" s="18" t="s">
        <v>118</v>
      </c>
      <c r="M5" s="18" t="s">
        <v>119</v>
      </c>
      <c r="N5" s="18" t="s">
        <v>118</v>
      </c>
      <c r="O5" s="108" t="s">
        <v>119</v>
      </c>
      <c r="P5" s="131" t="s">
        <v>118</v>
      </c>
      <c r="Q5" s="131" t="s">
        <v>119</v>
      </c>
      <c r="R5" s="131" t="s">
        <v>118</v>
      </c>
      <c r="S5" s="131" t="s">
        <v>119</v>
      </c>
      <c r="T5" s="126" t="s">
        <v>118</v>
      </c>
      <c r="U5" s="18" t="s">
        <v>119</v>
      </c>
      <c r="V5" s="18" t="s">
        <v>118</v>
      </c>
      <c r="W5" s="18" t="s">
        <v>119</v>
      </c>
      <c r="X5" s="18" t="s">
        <v>118</v>
      </c>
      <c r="Y5" s="18" t="s">
        <v>119</v>
      </c>
    </row>
    <row r="6" spans="2:28" ht="16.2" x14ac:dyDescent="0.35">
      <c r="B6" s="566"/>
      <c r="C6" s="567"/>
      <c r="D6" s="18" t="s">
        <v>528</v>
      </c>
      <c r="E6" s="18" t="s">
        <v>258</v>
      </c>
      <c r="F6" s="18" t="s">
        <v>529</v>
      </c>
      <c r="G6" s="18" t="s">
        <v>530</v>
      </c>
      <c r="H6" s="18" t="s">
        <v>416</v>
      </c>
      <c r="I6" s="18" t="s">
        <v>417</v>
      </c>
      <c r="J6" s="18" t="s">
        <v>418</v>
      </c>
      <c r="K6" s="18" t="s">
        <v>419</v>
      </c>
      <c r="L6" s="18" t="s">
        <v>531</v>
      </c>
      <c r="M6" s="18" t="s">
        <v>532</v>
      </c>
      <c r="N6" s="18" t="s">
        <v>516</v>
      </c>
      <c r="O6" s="108" t="s">
        <v>517</v>
      </c>
      <c r="P6" s="131" t="s">
        <v>380</v>
      </c>
      <c r="Q6" s="131" t="s">
        <v>380</v>
      </c>
      <c r="R6" s="206" t="s">
        <v>385</v>
      </c>
      <c r="S6" s="206" t="s">
        <v>385</v>
      </c>
      <c r="T6" s="126" t="s">
        <v>533</v>
      </c>
      <c r="U6" s="18" t="s">
        <v>534</v>
      </c>
      <c r="V6" s="18" t="s">
        <v>535</v>
      </c>
      <c r="W6" s="18" t="s">
        <v>536</v>
      </c>
      <c r="X6" s="18" t="s">
        <v>537</v>
      </c>
      <c r="Y6" s="18" t="s">
        <v>538</v>
      </c>
    </row>
    <row r="7" spans="2:28" ht="16.2" x14ac:dyDescent="0.35">
      <c r="B7" s="18" t="s">
        <v>105</v>
      </c>
      <c r="C7" s="18" t="s">
        <v>106</v>
      </c>
      <c r="D7" s="18" t="s">
        <v>331</v>
      </c>
      <c r="E7" s="18" t="s">
        <v>331</v>
      </c>
      <c r="F7" s="18" t="s">
        <v>331</v>
      </c>
      <c r="G7" s="18" t="s">
        <v>331</v>
      </c>
      <c r="H7" s="18" t="s">
        <v>331</v>
      </c>
      <c r="I7" s="18" t="s">
        <v>331</v>
      </c>
      <c r="J7" s="18" t="s">
        <v>331</v>
      </c>
      <c r="K7" s="18" t="s">
        <v>331</v>
      </c>
      <c r="L7" s="18" t="s">
        <v>331</v>
      </c>
      <c r="M7" s="18" t="s">
        <v>331</v>
      </c>
      <c r="N7" s="18" t="s">
        <v>331</v>
      </c>
      <c r="O7" s="108" t="s">
        <v>331</v>
      </c>
      <c r="P7" s="18" t="s">
        <v>331</v>
      </c>
      <c r="Q7" s="108" t="s">
        <v>331</v>
      </c>
      <c r="R7" s="206" t="s">
        <v>389</v>
      </c>
      <c r="S7" s="206" t="s">
        <v>389</v>
      </c>
      <c r="T7" s="126" t="s">
        <v>331</v>
      </c>
      <c r="U7" s="18" t="s">
        <v>331</v>
      </c>
      <c r="V7" s="18" t="s">
        <v>331</v>
      </c>
      <c r="W7" s="18" t="s">
        <v>331</v>
      </c>
      <c r="X7" s="18" t="s">
        <v>331</v>
      </c>
      <c r="Y7" s="18" t="s">
        <v>331</v>
      </c>
    </row>
    <row r="8" spans="2:28" ht="17.25" customHeight="1" x14ac:dyDescent="0.35">
      <c r="B8" s="121">
        <v>44147</v>
      </c>
      <c r="C8" s="121">
        <v>44511</v>
      </c>
      <c r="D8" s="217">
        <v>53331.210239999993</v>
      </c>
      <c r="E8" s="22">
        <f>D8</f>
        <v>53331.210239999993</v>
      </c>
      <c r="F8" s="22">
        <v>0</v>
      </c>
      <c r="G8" s="22">
        <f>F8</f>
        <v>0</v>
      </c>
      <c r="H8" s="22">
        <f>'Table 29'!J8</f>
        <v>24458.195743638011</v>
      </c>
      <c r="I8" s="22">
        <f>H8</f>
        <v>24458.195743638011</v>
      </c>
      <c r="J8" s="22">
        <f>'Table 29'!L8</f>
        <v>0</v>
      </c>
      <c r="K8" s="22">
        <f>J8</f>
        <v>0</v>
      </c>
      <c r="L8" s="22">
        <f>'Table 35'!L8</f>
        <v>0</v>
      </c>
      <c r="M8" s="22">
        <f>L8</f>
        <v>0</v>
      </c>
      <c r="N8" s="22">
        <f>'Table 35'!N8</f>
        <v>287.90064514285717</v>
      </c>
      <c r="O8" s="22">
        <f>N8</f>
        <v>287.90064514285717</v>
      </c>
      <c r="P8" s="67">
        <f>IF('Table 25e-g'!H9&gt;0.05,'Table 25e-g'!F9,0)</f>
        <v>0</v>
      </c>
      <c r="Q8" s="22">
        <f>P8</f>
        <v>0</v>
      </c>
      <c r="R8" s="67">
        <f>IF('Table 25e-g'!P9&gt;0.05,'Table 25e-g'!N9,0)</f>
        <v>0</v>
      </c>
      <c r="S8" s="22">
        <f>R8</f>
        <v>0</v>
      </c>
      <c r="T8" s="22">
        <f>(D8+F8)-(H8+J8)-(L8+N8)-(P8+R8)</f>
        <v>28585.113851219125</v>
      </c>
      <c r="U8" s="22">
        <f>T8</f>
        <v>28585.113851219125</v>
      </c>
      <c r="V8" s="22">
        <f>T8-X8</f>
        <v>25726.602466097211</v>
      </c>
      <c r="W8" s="22">
        <f>V8</f>
        <v>25726.602466097211</v>
      </c>
      <c r="X8" s="22">
        <f>T8*$AB$4</f>
        <v>2858.5113851219126</v>
      </c>
      <c r="Y8" s="22">
        <f>X8</f>
        <v>2858.5113851219126</v>
      </c>
      <c r="AA8" s="59"/>
    </row>
    <row r="9" spans="2:28" ht="16.5" customHeight="1" x14ac:dyDescent="0.35">
      <c r="AA9" s="59"/>
    </row>
    <row r="10" spans="2:28" ht="12.75" customHeight="1" x14ac:dyDescent="0.35">
      <c r="AA10" s="59"/>
    </row>
  </sheetData>
  <mergeCells count="12">
    <mergeCell ref="B4:C6"/>
    <mergeCell ref="R4:S4"/>
    <mergeCell ref="T4:U4"/>
    <mergeCell ref="V4:W4"/>
    <mergeCell ref="X4:Y4"/>
    <mergeCell ref="D4:E4"/>
    <mergeCell ref="F4:G4"/>
    <mergeCell ref="H4:I4"/>
    <mergeCell ref="J4:K4"/>
    <mergeCell ref="L4:M4"/>
    <mergeCell ref="N4:O4"/>
    <mergeCell ref="P4:Q4"/>
  </mergeCells>
  <pageMargins left="0.7" right="0.7" top="0.75" bottom="0.75" header="0" footer="0"/>
  <pageSetup paperSize="9" orientation="portrait"/>
  <ignoredErrors>
    <ignoredError sqref="H8 J8 L8 N8 R8 P8 T8 X8 V8"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92D050"/>
  </sheetPr>
  <dimension ref="B2:P14"/>
  <sheetViews>
    <sheetView showGridLines="0" tabSelected="1" topLeftCell="C1" workbookViewId="0">
      <selection activeCell="D9" sqref="D9"/>
    </sheetView>
  </sheetViews>
  <sheetFormatPr defaultColWidth="14.44140625" defaultRowHeight="15" customHeight="1" x14ac:dyDescent="0.35"/>
  <cols>
    <col min="1" max="1" width="3.77734375" style="3" customWidth="1"/>
    <col min="2" max="2" width="14.21875" style="3" customWidth="1"/>
    <col min="3" max="3" width="13.21875" style="3" customWidth="1"/>
    <col min="4" max="4" width="12.77734375" style="3" customWidth="1"/>
    <col min="5" max="5" width="12.21875" style="3" customWidth="1"/>
    <col min="6" max="7" width="12" style="3" customWidth="1"/>
    <col min="8" max="8" width="13.21875" style="3" customWidth="1"/>
    <col min="9" max="9" width="11" style="3" customWidth="1"/>
    <col min="10" max="10" width="13.21875" style="3" customWidth="1"/>
    <col min="11" max="11" width="9" style="3" customWidth="1"/>
    <col min="12" max="12" width="15.77734375" style="3" customWidth="1"/>
    <col min="13" max="13" width="14.21875" style="3" customWidth="1"/>
    <col min="14" max="14" width="20.77734375" style="3" customWidth="1"/>
    <col min="15" max="15" width="22.21875" style="3" customWidth="1"/>
    <col min="16" max="16" width="14.44140625" style="3" customWidth="1"/>
    <col min="17" max="29" width="9.21875" style="3" customWidth="1"/>
    <col min="30" max="16384" width="14.44140625" style="3"/>
  </cols>
  <sheetData>
    <row r="2" spans="2:16" x14ac:dyDescent="0.35">
      <c r="B2" s="2" t="s">
        <v>539</v>
      </c>
      <c r="D2" s="2"/>
      <c r="E2" s="2"/>
      <c r="F2" s="2"/>
      <c r="G2" s="2"/>
      <c r="H2" s="2"/>
      <c r="I2" s="2"/>
      <c r="J2" s="2"/>
      <c r="K2" s="2"/>
      <c r="L2" s="2"/>
      <c r="M2" s="2"/>
      <c r="N2" s="2"/>
      <c r="O2" s="2"/>
      <c r="P2" s="2"/>
    </row>
    <row r="3" spans="2:16" x14ac:dyDescent="0.35">
      <c r="C3" s="2"/>
      <c r="D3" s="2"/>
      <c r="E3" s="2"/>
      <c r="F3" s="2"/>
      <c r="G3" s="2"/>
      <c r="H3" s="2"/>
      <c r="I3" s="2"/>
      <c r="J3" s="2"/>
      <c r="K3" s="2"/>
      <c r="M3" s="2"/>
      <c r="N3" s="2"/>
      <c r="O3" s="2"/>
      <c r="P3" s="2"/>
    </row>
    <row r="4" spans="2:16" ht="57.75" customHeight="1" x14ac:dyDescent="0.35">
      <c r="B4" s="584" t="s">
        <v>540</v>
      </c>
      <c r="C4" s="585"/>
      <c r="D4" s="580" t="s">
        <v>541</v>
      </c>
      <c r="E4" s="580" t="s">
        <v>542</v>
      </c>
      <c r="F4" s="580" t="s">
        <v>543</v>
      </c>
      <c r="G4" s="580" t="s">
        <v>544</v>
      </c>
      <c r="H4" s="580" t="s">
        <v>545</v>
      </c>
      <c r="I4" s="580" t="s">
        <v>546</v>
      </c>
      <c r="J4" s="580" t="s">
        <v>547</v>
      </c>
      <c r="K4" s="2"/>
      <c r="L4" s="577" t="s">
        <v>540</v>
      </c>
      <c r="M4" s="578"/>
      <c r="N4" s="573" t="s">
        <v>548</v>
      </c>
      <c r="O4" s="573" t="s">
        <v>525</v>
      </c>
      <c r="P4" s="571" t="s">
        <v>549</v>
      </c>
    </row>
    <row r="5" spans="2:16" ht="17.25" customHeight="1" x14ac:dyDescent="0.35">
      <c r="B5" s="18" t="s">
        <v>105</v>
      </c>
      <c r="C5" s="18" t="s">
        <v>106</v>
      </c>
      <c r="D5" s="581"/>
      <c r="E5" s="581"/>
      <c r="F5" s="581"/>
      <c r="G5" s="581"/>
      <c r="H5" s="581"/>
      <c r="I5" s="581"/>
      <c r="J5" s="581"/>
      <c r="K5" s="2"/>
      <c r="L5" s="18" t="s">
        <v>105</v>
      </c>
      <c r="M5" s="18" t="s">
        <v>106</v>
      </c>
      <c r="N5" s="574"/>
      <c r="O5" s="574"/>
      <c r="P5" s="572"/>
    </row>
    <row r="6" spans="2:16" ht="13.2" customHeight="1" x14ac:dyDescent="0.35">
      <c r="B6" s="121">
        <v>44147</v>
      </c>
      <c r="C6" s="121">
        <v>44196</v>
      </c>
      <c r="D6" s="242">
        <v>7305.6452383561636</v>
      </c>
      <c r="E6" s="242">
        <v>3350.4377731010973</v>
      </c>
      <c r="F6" s="242">
        <v>39.438444540117423</v>
      </c>
      <c r="G6" s="242">
        <v>391.57690207149489</v>
      </c>
      <c r="H6" s="242">
        <v>3524.1921186434533</v>
      </c>
      <c r="I6" s="242">
        <v>0</v>
      </c>
      <c r="J6" s="242">
        <v>3524.1921186434533</v>
      </c>
      <c r="K6" s="2"/>
      <c r="L6" s="121">
        <v>44147</v>
      </c>
      <c r="M6" s="121">
        <v>44196</v>
      </c>
      <c r="N6" s="15">
        <v>5112.3287671232874</v>
      </c>
      <c r="O6" s="15">
        <v>3915.769020714949</v>
      </c>
      <c r="P6" s="243">
        <v>3524.1921186434533</v>
      </c>
    </row>
    <row r="7" spans="2:16" ht="13.2" customHeight="1" x14ac:dyDescent="0.35">
      <c r="B7" s="334">
        <v>44197</v>
      </c>
      <c r="C7" s="121">
        <v>44511</v>
      </c>
      <c r="D7" s="242">
        <v>46025.56500164383</v>
      </c>
      <c r="E7" s="242">
        <v>21107.757970536913</v>
      </c>
      <c r="F7" s="242">
        <v>248.46220060273976</v>
      </c>
      <c r="G7" s="242">
        <v>2466.9344830504174</v>
      </c>
      <c r="H7" s="242">
        <v>22202.410347453759</v>
      </c>
      <c r="I7" s="242">
        <v>0</v>
      </c>
      <c r="J7" s="242">
        <v>22202.410347453759</v>
      </c>
      <c r="K7" s="2"/>
      <c r="L7" s="334">
        <v>44197</v>
      </c>
      <c r="M7" s="121">
        <v>44511</v>
      </c>
      <c r="N7" s="15">
        <v>32207.671232876713</v>
      </c>
      <c r="O7" s="15">
        <v>24669.344830504178</v>
      </c>
      <c r="P7" s="243">
        <v>22202.410347453759</v>
      </c>
    </row>
    <row r="8" spans="2:16" ht="15.75" customHeight="1" x14ac:dyDescent="0.35">
      <c r="B8" s="582" t="s">
        <v>203</v>
      </c>
      <c r="C8" s="583"/>
      <c r="D8" s="586">
        <f>ROUNDDOWN(SUM(D6:D7),0)</f>
        <v>53331</v>
      </c>
      <c r="E8" s="586">
        <f>ROUNDDOWN(SUM(E6:E7),0)</f>
        <v>24458</v>
      </c>
      <c r="F8" s="586">
        <f>ROUNDDOWN(SUM(F6:F7),0)</f>
        <v>287</v>
      </c>
      <c r="G8" s="586">
        <f>ROUNDDOWN(SUM(G6:G7),0)</f>
        <v>2858</v>
      </c>
      <c r="H8" s="586">
        <f>ROUNDDOWN(SUM(H6:H7),0)</f>
        <v>25726</v>
      </c>
      <c r="I8" s="336">
        <f t="shared" ref="E8:J8" si="0">SUM(I6:I7)</f>
        <v>0</v>
      </c>
      <c r="J8" s="586">
        <f>ROUNDDOWN(SUM(J6:J7),0)</f>
        <v>25726</v>
      </c>
      <c r="K8" s="2"/>
      <c r="L8" s="579" t="s">
        <v>550</v>
      </c>
      <c r="M8" s="579"/>
      <c r="N8" s="73">
        <f>ROUNDDOWN(SUM(N6:N7),0)</f>
        <v>37320</v>
      </c>
      <c r="O8" s="73">
        <f>ROUNDDOWN(SUM(O6:O7),0)</f>
        <v>28585</v>
      </c>
      <c r="P8" s="73">
        <f>ROUNDDOWN(SUM(P6:P7),0)</f>
        <v>25726</v>
      </c>
    </row>
    <row r="9" spans="2:16" ht="15.75" customHeight="1" x14ac:dyDescent="0.35">
      <c r="C9" s="2"/>
      <c r="D9" s="2"/>
      <c r="E9" s="2"/>
      <c r="F9" s="2"/>
      <c r="G9" s="2"/>
      <c r="H9" s="2"/>
      <c r="I9" s="2"/>
      <c r="J9" s="2"/>
      <c r="K9" s="2"/>
      <c r="L9" s="575" t="s">
        <v>551</v>
      </c>
      <c r="M9" s="576"/>
      <c r="N9" s="73">
        <f>AVERAGE(N6:N7)</f>
        <v>18660</v>
      </c>
      <c r="O9" s="73">
        <f t="shared" ref="O9:P9" si="1">AVERAGE(O6:O7)</f>
        <v>14292.556925609564</v>
      </c>
      <c r="P9" s="73">
        <f t="shared" si="1"/>
        <v>12863.301233048605</v>
      </c>
    </row>
    <row r="14" spans="2:16" ht="15" customHeight="1" x14ac:dyDescent="0.35">
      <c r="D14" s="335"/>
      <c r="E14" s="335"/>
      <c r="F14" s="335"/>
      <c r="G14" s="335"/>
      <c r="H14" s="335"/>
      <c r="I14" s="335"/>
      <c r="J14" s="335"/>
      <c r="N14" s="335"/>
      <c r="O14" s="335"/>
      <c r="P14" s="335"/>
    </row>
  </sheetData>
  <mergeCells count="15">
    <mergeCell ref="I4:I5"/>
    <mergeCell ref="J4:J5"/>
    <mergeCell ref="B8:C8"/>
    <mergeCell ref="B4:C4"/>
    <mergeCell ref="D4:D5"/>
    <mergeCell ref="E4:E5"/>
    <mergeCell ref="F4:F5"/>
    <mergeCell ref="G4:G5"/>
    <mergeCell ref="H4:H5"/>
    <mergeCell ref="P4:P5"/>
    <mergeCell ref="O4:O5"/>
    <mergeCell ref="L9:M9"/>
    <mergeCell ref="L4:M4"/>
    <mergeCell ref="L8:M8"/>
    <mergeCell ref="N4:N5"/>
  </mergeCells>
  <pageMargins left="0.511811024" right="0.511811024" top="0.78740157499999996" bottom="0.78740157499999996"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3C198-8E30-4D81-A0A0-B71BC3D4D332}">
  <dimension ref="C3:D16"/>
  <sheetViews>
    <sheetView workbookViewId="0">
      <selection activeCell="D3" sqref="D3"/>
    </sheetView>
  </sheetViews>
  <sheetFormatPr defaultRowHeight="14.4" x14ac:dyDescent="0.3"/>
  <cols>
    <col min="3" max="3" width="28.77734375" customWidth="1"/>
    <col min="4" max="4" width="18.5546875" customWidth="1"/>
  </cols>
  <sheetData>
    <row r="3" spans="3:4" ht="15" x14ac:dyDescent="0.35">
      <c r="C3" s="118" t="s">
        <v>32</v>
      </c>
      <c r="D3" s="118" t="s">
        <v>32</v>
      </c>
    </row>
    <row r="4" spans="3:4" ht="15" x14ac:dyDescent="0.35">
      <c r="C4" s="3" t="s">
        <v>33</v>
      </c>
      <c r="D4" s="3" t="s">
        <v>34</v>
      </c>
    </row>
    <row r="5" spans="3:4" ht="15" x14ac:dyDescent="0.35">
      <c r="C5" s="3" t="s">
        <v>35</v>
      </c>
      <c r="D5" s="3" t="s">
        <v>36</v>
      </c>
    </row>
    <row r="6" spans="3:4" ht="15" x14ac:dyDescent="0.35">
      <c r="C6" s="3" t="s">
        <v>37</v>
      </c>
      <c r="D6" s="3" t="s">
        <v>38</v>
      </c>
    </row>
    <row r="7" spans="3:4" ht="15" x14ac:dyDescent="0.35">
      <c r="C7" s="3" t="s">
        <v>39</v>
      </c>
      <c r="D7" s="3" t="s">
        <v>40</v>
      </c>
    </row>
    <row r="8" spans="3:4" ht="15" x14ac:dyDescent="0.35">
      <c r="C8" s="3" t="s">
        <v>41</v>
      </c>
      <c r="D8" s="3" t="s">
        <v>42</v>
      </c>
    </row>
    <row r="9" spans="3:4" ht="15" x14ac:dyDescent="0.35">
      <c r="C9" s="3" t="s">
        <v>43</v>
      </c>
      <c r="D9" s="3" t="s">
        <v>44</v>
      </c>
    </row>
    <row r="10" spans="3:4" ht="15" x14ac:dyDescent="0.35">
      <c r="C10" s="3" t="s">
        <v>45</v>
      </c>
      <c r="D10" s="3"/>
    </row>
    <row r="11" spans="3:4" ht="15" x14ac:dyDescent="0.35">
      <c r="C11" s="3" t="s">
        <v>46</v>
      </c>
    </row>
    <row r="12" spans="3:4" ht="15" x14ac:dyDescent="0.35">
      <c r="C12" s="3" t="s">
        <v>4</v>
      </c>
    </row>
    <row r="13" spans="3:4" ht="15" x14ac:dyDescent="0.35">
      <c r="C13" s="3" t="s">
        <v>47</v>
      </c>
    </row>
    <row r="14" spans="3:4" ht="15" x14ac:dyDescent="0.35">
      <c r="C14" s="3" t="s">
        <v>48</v>
      </c>
    </row>
    <row r="15" spans="3:4" ht="15" x14ac:dyDescent="0.35">
      <c r="C15" s="3" t="s">
        <v>49</v>
      </c>
    </row>
    <row r="16" spans="3:4" ht="15" x14ac:dyDescent="0.35">
      <c r="C16" s="3" t="s">
        <v>50</v>
      </c>
    </row>
  </sheetData>
  <dataValidations count="1">
    <dataValidation type="list" allowBlank="1" showInputMessage="1" showErrorMessage="1" sqref="D4:D9" xr:uid="{332B8AD3-A6E7-4B49-809E-252DF45EFB72}">
      <formula1>$D$4:$D$9</formula1>
    </dataValidation>
  </dataValidation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2:D11"/>
  <sheetViews>
    <sheetView showGridLines="0" zoomScale="80" zoomScaleNormal="80" workbookViewId="0">
      <selection activeCell="B4" sqref="B4"/>
    </sheetView>
  </sheetViews>
  <sheetFormatPr defaultColWidth="14.44140625" defaultRowHeight="15" customHeight="1" x14ac:dyDescent="0.35"/>
  <cols>
    <col min="1" max="1" width="3.77734375" style="3" customWidth="1"/>
    <col min="2" max="2" width="29.21875" style="3" customWidth="1"/>
    <col min="3" max="3" width="27.77734375" style="3" customWidth="1"/>
    <col min="4" max="4" width="43" style="3" customWidth="1"/>
    <col min="5" max="27" width="9.21875" style="3" customWidth="1"/>
    <col min="28" max="16384" width="14.44140625" style="3"/>
  </cols>
  <sheetData>
    <row r="2" spans="2:4" x14ac:dyDescent="0.35">
      <c r="B2" s="1" t="s">
        <v>51</v>
      </c>
      <c r="C2" s="2"/>
      <c r="D2" s="2"/>
    </row>
    <row r="3" spans="2:4" ht="15.6" thickBot="1" x14ac:dyDescent="0.4">
      <c r="B3" s="2"/>
      <c r="C3" s="2"/>
      <c r="D3" s="2"/>
    </row>
    <row r="4" spans="2:4" ht="15.6" thickBot="1" x14ac:dyDescent="0.4">
      <c r="B4" s="4" t="s">
        <v>52</v>
      </c>
      <c r="C4" s="5" t="s">
        <v>53</v>
      </c>
      <c r="D4" s="5" t="s">
        <v>54</v>
      </c>
    </row>
    <row r="5" spans="2:4" ht="30.6" thickBot="1" x14ac:dyDescent="0.4">
      <c r="B5" s="365" t="s">
        <v>55</v>
      </c>
      <c r="C5" s="6" t="s">
        <v>34</v>
      </c>
      <c r="D5" s="7" t="s">
        <v>56</v>
      </c>
    </row>
    <row r="6" spans="2:4" ht="30.6" thickBot="1" x14ac:dyDescent="0.4">
      <c r="B6" s="366"/>
      <c r="C6" s="6" t="s">
        <v>40</v>
      </c>
      <c r="D6" s="7" t="s">
        <v>57</v>
      </c>
    </row>
    <row r="7" spans="2:4" ht="15.6" thickBot="1" x14ac:dyDescent="0.4">
      <c r="B7" s="6" t="s">
        <v>58</v>
      </c>
      <c r="C7" s="6" t="s">
        <v>42</v>
      </c>
      <c r="D7" s="7" t="s">
        <v>59</v>
      </c>
    </row>
    <row r="8" spans="2:4" ht="135.6" thickBot="1" x14ac:dyDescent="0.4">
      <c r="B8" s="6" t="s">
        <v>60</v>
      </c>
      <c r="C8" s="6" t="s">
        <v>44</v>
      </c>
      <c r="D8" s="7" t="s">
        <v>61</v>
      </c>
    </row>
    <row r="9" spans="2:4" ht="105.6" thickBot="1" x14ac:dyDescent="0.4">
      <c r="B9" s="6" t="s">
        <v>62</v>
      </c>
      <c r="C9" s="6" t="s">
        <v>44</v>
      </c>
      <c r="D9" s="7" t="s">
        <v>63</v>
      </c>
    </row>
    <row r="10" spans="2:4" ht="60.6" thickBot="1" x14ac:dyDescent="0.4">
      <c r="B10" s="6" t="s">
        <v>64</v>
      </c>
      <c r="C10" s="6" t="s">
        <v>44</v>
      </c>
      <c r="D10" s="7" t="s">
        <v>65</v>
      </c>
    </row>
    <row r="11" spans="2:4" ht="60.6" thickBot="1" x14ac:dyDescent="0.4">
      <c r="B11" s="8" t="s">
        <v>66</v>
      </c>
      <c r="C11" s="6" t="s">
        <v>44</v>
      </c>
      <c r="D11" s="7" t="s">
        <v>67</v>
      </c>
    </row>
  </sheetData>
  <mergeCells count="1">
    <mergeCell ref="B5:B6"/>
  </mergeCells>
  <pageMargins left="0.511811024" right="0.511811024" top="0.78740157499999996" bottom="0.78740157499999996"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D0CBE7BE-CDE4-4D94-B983-DBC42F4985F9}">
          <x14:formula1>
            <xm:f>'Lista suspensa'!$D$3:$D$9</xm:f>
          </x14:formula1>
          <xm:sqref>C6:C11 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1:F19"/>
  <sheetViews>
    <sheetView showGridLines="0" zoomScale="80" zoomScaleNormal="80" workbookViewId="0">
      <selection activeCell="F14" sqref="F14"/>
    </sheetView>
  </sheetViews>
  <sheetFormatPr defaultColWidth="14.44140625" defaultRowHeight="15" customHeight="1" x14ac:dyDescent="0.35"/>
  <cols>
    <col min="1" max="1" width="3.77734375" style="3" customWidth="1"/>
    <col min="2" max="2" width="3.21875" style="3" customWidth="1"/>
    <col min="3" max="3" width="11.77734375" style="3" customWidth="1"/>
    <col min="4" max="4" width="24.21875" style="3" customWidth="1"/>
    <col min="5" max="5" width="36.77734375" style="3" customWidth="1"/>
    <col min="6" max="6" width="54.44140625" style="3" customWidth="1"/>
    <col min="7" max="27" width="9.21875" style="3" customWidth="1"/>
    <col min="28" max="16384" width="14.44140625" style="3"/>
  </cols>
  <sheetData>
    <row r="1" spans="2:6" ht="23.25" customHeight="1" x14ac:dyDescent="0.35">
      <c r="B1" s="370" t="s">
        <v>68</v>
      </c>
      <c r="C1" s="371"/>
      <c r="D1" s="371"/>
      <c r="E1" s="371"/>
      <c r="F1" s="371"/>
    </row>
    <row r="2" spans="2:6" ht="15.6" thickBot="1" x14ac:dyDescent="0.4">
      <c r="B2" s="2"/>
      <c r="C2" s="2"/>
      <c r="D2" s="2"/>
      <c r="E2" s="2"/>
      <c r="F2" s="2"/>
    </row>
    <row r="3" spans="2:6" ht="15.6" thickBot="1" x14ac:dyDescent="0.4">
      <c r="B3" s="372" t="s">
        <v>69</v>
      </c>
      <c r="C3" s="373"/>
      <c r="D3" s="5" t="s">
        <v>70</v>
      </c>
      <c r="E3" s="5" t="s">
        <v>53</v>
      </c>
      <c r="F3" s="9" t="s">
        <v>71</v>
      </c>
    </row>
    <row r="4" spans="2:6" ht="30.6" thickBot="1" x14ac:dyDescent="0.4">
      <c r="B4" s="367" t="s">
        <v>72</v>
      </c>
      <c r="C4" s="369" t="s">
        <v>73</v>
      </c>
      <c r="D4" s="6" t="s">
        <v>74</v>
      </c>
      <c r="E4" s="6" t="s">
        <v>44</v>
      </c>
      <c r="F4" s="7" t="s">
        <v>75</v>
      </c>
    </row>
    <row r="5" spans="2:6" ht="30.6" thickBot="1" x14ac:dyDescent="0.4">
      <c r="B5" s="368"/>
      <c r="C5" s="368"/>
      <c r="D5" s="6" t="s">
        <v>76</v>
      </c>
      <c r="E5" s="6" t="s">
        <v>42</v>
      </c>
      <c r="F5" s="7" t="s">
        <v>77</v>
      </c>
    </row>
    <row r="6" spans="2:6" ht="30.6" thickBot="1" x14ac:dyDescent="0.4">
      <c r="B6" s="368"/>
      <c r="C6" s="368"/>
      <c r="D6" s="6" t="s">
        <v>78</v>
      </c>
      <c r="E6" s="6" t="s">
        <v>42</v>
      </c>
      <c r="F6" s="7" t="s">
        <v>77</v>
      </c>
    </row>
    <row r="7" spans="2:6" ht="15.6" thickBot="1" x14ac:dyDescent="0.4">
      <c r="B7" s="368"/>
      <c r="C7" s="366"/>
      <c r="D7" s="6" t="s">
        <v>79</v>
      </c>
      <c r="E7" s="6" t="s">
        <v>44</v>
      </c>
      <c r="F7" s="7" t="s">
        <v>80</v>
      </c>
    </row>
    <row r="8" spans="2:6" ht="16.8" thickBot="1" x14ac:dyDescent="0.4">
      <c r="B8" s="368"/>
      <c r="C8" s="369" t="s">
        <v>81</v>
      </c>
      <c r="D8" s="6" t="s">
        <v>74</v>
      </c>
      <c r="E8" s="6" t="s">
        <v>44</v>
      </c>
      <c r="F8" s="7" t="s">
        <v>82</v>
      </c>
    </row>
    <row r="9" spans="2:6" ht="16.8" thickBot="1" x14ac:dyDescent="0.4">
      <c r="B9" s="368"/>
      <c r="C9" s="368"/>
      <c r="D9" s="6" t="s">
        <v>76</v>
      </c>
      <c r="E9" s="6" t="s">
        <v>44</v>
      </c>
      <c r="F9" s="7" t="s">
        <v>83</v>
      </c>
    </row>
    <row r="10" spans="2:6" ht="16.8" thickBot="1" x14ac:dyDescent="0.4">
      <c r="B10" s="368"/>
      <c r="C10" s="368"/>
      <c r="D10" s="6" t="s">
        <v>78</v>
      </c>
      <c r="E10" s="6" t="s">
        <v>44</v>
      </c>
      <c r="F10" s="7" t="s">
        <v>83</v>
      </c>
    </row>
    <row r="11" spans="2:6" ht="15.6" thickBot="1" x14ac:dyDescent="0.4">
      <c r="B11" s="366"/>
      <c r="C11" s="366"/>
      <c r="D11" s="6" t="s">
        <v>79</v>
      </c>
      <c r="E11" s="6" t="s">
        <v>44</v>
      </c>
      <c r="F11" s="7" t="s">
        <v>80</v>
      </c>
    </row>
    <row r="12" spans="2:6" ht="45.6" thickBot="1" x14ac:dyDescent="0.4">
      <c r="B12" s="367" t="s">
        <v>84</v>
      </c>
      <c r="C12" s="369" t="s">
        <v>73</v>
      </c>
      <c r="D12" s="6" t="s">
        <v>74</v>
      </c>
      <c r="E12" s="6" t="s">
        <v>44</v>
      </c>
      <c r="F12" s="7" t="s">
        <v>85</v>
      </c>
    </row>
    <row r="13" spans="2:6" ht="45.6" thickBot="1" x14ac:dyDescent="0.4">
      <c r="B13" s="368"/>
      <c r="C13" s="368"/>
      <c r="D13" s="6" t="s">
        <v>76</v>
      </c>
      <c r="E13" s="6" t="s">
        <v>44</v>
      </c>
      <c r="F13" s="7" t="s">
        <v>86</v>
      </c>
    </row>
    <row r="14" spans="2:6" ht="45.6" thickBot="1" x14ac:dyDescent="0.4">
      <c r="B14" s="368"/>
      <c r="C14" s="368"/>
      <c r="D14" s="6" t="s">
        <v>78</v>
      </c>
      <c r="E14" s="6" t="s">
        <v>44</v>
      </c>
      <c r="F14" s="7" t="s">
        <v>86</v>
      </c>
    </row>
    <row r="15" spans="2:6" ht="15.6" thickBot="1" x14ac:dyDescent="0.4">
      <c r="B15" s="368"/>
      <c r="C15" s="366"/>
      <c r="D15" s="6" t="s">
        <v>79</v>
      </c>
      <c r="E15" s="6" t="s">
        <v>44</v>
      </c>
      <c r="F15" s="7" t="s">
        <v>80</v>
      </c>
    </row>
    <row r="16" spans="2:6" ht="16.8" thickBot="1" x14ac:dyDescent="0.4">
      <c r="B16" s="368"/>
      <c r="C16" s="369" t="s">
        <v>81</v>
      </c>
      <c r="D16" s="6" t="s">
        <v>74</v>
      </c>
      <c r="E16" s="6" t="s">
        <v>44</v>
      </c>
      <c r="F16" s="7" t="s">
        <v>82</v>
      </c>
    </row>
    <row r="17" spans="2:6" ht="30.6" thickBot="1" x14ac:dyDescent="0.4">
      <c r="B17" s="368"/>
      <c r="C17" s="368"/>
      <c r="D17" s="6" t="s">
        <v>76</v>
      </c>
      <c r="E17" s="6" t="s">
        <v>42</v>
      </c>
      <c r="F17" s="7" t="s">
        <v>87</v>
      </c>
    </row>
    <row r="18" spans="2:6" ht="30.6" thickBot="1" x14ac:dyDescent="0.4">
      <c r="B18" s="368"/>
      <c r="C18" s="368"/>
      <c r="D18" s="6" t="s">
        <v>78</v>
      </c>
      <c r="E18" s="6" t="s">
        <v>42</v>
      </c>
      <c r="F18" s="7" t="s">
        <v>87</v>
      </c>
    </row>
    <row r="19" spans="2:6" ht="15.6" thickBot="1" x14ac:dyDescent="0.4">
      <c r="B19" s="366"/>
      <c r="C19" s="366"/>
      <c r="D19" s="6" t="s">
        <v>79</v>
      </c>
      <c r="E19" s="6" t="s">
        <v>44</v>
      </c>
      <c r="F19" s="7" t="s">
        <v>80</v>
      </c>
    </row>
  </sheetData>
  <mergeCells count="8">
    <mergeCell ref="B12:B19"/>
    <mergeCell ref="C12:C15"/>
    <mergeCell ref="C16:C19"/>
    <mergeCell ref="B1:F1"/>
    <mergeCell ref="B3:C3"/>
    <mergeCell ref="B4:B11"/>
    <mergeCell ref="C4:C7"/>
    <mergeCell ref="C8:C11"/>
  </mergeCells>
  <pageMargins left="0.511811024" right="0.511811024" top="0.78740157499999996" bottom="0.78740157499999996"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8E8D1F95-C78A-4A2A-B585-D48A5832E3AF}">
          <x14:formula1>
            <xm:f>'Lista suspensa'!$D$3:$D$9</xm:f>
          </x14:formula1>
          <xm:sqref>E4:E19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1913D-F671-4061-BCFF-571BF2A43777}">
  <sheetPr>
    <tabColor rgb="FF92D050"/>
  </sheetPr>
  <dimension ref="B2:AL8"/>
  <sheetViews>
    <sheetView zoomScaleNormal="100" workbookViewId="0">
      <selection activeCell="F8" sqref="F8"/>
    </sheetView>
  </sheetViews>
  <sheetFormatPr defaultRowHeight="14.4" x14ac:dyDescent="0.3"/>
  <cols>
    <col min="1" max="1" width="4.5546875" customWidth="1"/>
    <col min="2" max="2" width="13.5546875" style="109" customWidth="1"/>
    <col min="3" max="3" width="13.5546875" customWidth="1"/>
    <col min="4" max="4" width="10.77734375" customWidth="1"/>
    <col min="5" max="5" width="11.21875" customWidth="1"/>
    <col min="6" max="6" width="12.21875" customWidth="1"/>
    <col min="7" max="7" width="13.21875" customWidth="1"/>
    <col min="8" max="8" width="10.44140625" customWidth="1"/>
    <col min="9" max="9" width="12.5546875" customWidth="1"/>
    <col min="10" max="10" width="6.77734375" customWidth="1"/>
    <col min="11" max="11" width="13.21875" customWidth="1"/>
    <col min="12" max="12" width="15" customWidth="1"/>
    <col min="13" max="13" width="11.77734375" customWidth="1"/>
    <col min="14" max="14" width="11" style="109" customWidth="1"/>
    <col min="15" max="15" width="11.77734375" style="109" customWidth="1"/>
    <col min="16" max="16" width="13.77734375" style="109" customWidth="1"/>
    <col min="17" max="17" width="13.21875" style="109" customWidth="1"/>
    <col min="18" max="18" width="13.77734375" style="109" customWidth="1"/>
    <col min="19" max="38" width="9.21875" style="109"/>
  </cols>
  <sheetData>
    <row r="2" spans="2:18" ht="15" x14ac:dyDescent="0.35">
      <c r="C2" s="112" t="s">
        <v>88</v>
      </c>
      <c r="D2" s="112"/>
      <c r="E2" s="112"/>
      <c r="F2" s="112"/>
      <c r="G2" s="112"/>
      <c r="H2" s="112"/>
      <c r="I2" s="16"/>
      <c r="J2" s="10"/>
      <c r="K2" s="10"/>
      <c r="L2" s="112" t="s">
        <v>89</v>
      </c>
      <c r="M2" s="112"/>
      <c r="N2" s="112"/>
      <c r="O2" s="112"/>
      <c r="P2" s="112"/>
      <c r="Q2" s="112"/>
      <c r="R2" s="16"/>
    </row>
    <row r="3" spans="2:18" s="109" customFormat="1" ht="15" x14ac:dyDescent="0.35">
      <c r="C3" s="10"/>
      <c r="D3" s="10"/>
      <c r="E3" s="10"/>
      <c r="F3" s="10"/>
      <c r="G3" s="10"/>
      <c r="H3" s="10"/>
      <c r="I3" s="10"/>
      <c r="J3" s="10"/>
      <c r="K3" s="10"/>
      <c r="L3" s="10"/>
      <c r="M3" s="10"/>
      <c r="N3" s="10"/>
      <c r="O3" s="10"/>
      <c r="P3" s="10"/>
      <c r="Q3" s="10"/>
      <c r="R3" s="10"/>
    </row>
    <row r="4" spans="2:18" ht="45" customHeight="1" x14ac:dyDescent="0.3">
      <c r="B4" s="374" t="s">
        <v>90</v>
      </c>
      <c r="C4" s="374"/>
      <c r="D4" s="374"/>
      <c r="E4" s="375"/>
      <c r="F4" s="380" t="s">
        <v>91</v>
      </c>
      <c r="G4" s="382"/>
      <c r="H4" s="380" t="s">
        <v>92</v>
      </c>
      <c r="I4" s="382"/>
      <c r="J4" s="114"/>
      <c r="K4" s="380" t="s">
        <v>93</v>
      </c>
      <c r="L4" s="381"/>
      <c r="M4" s="381"/>
      <c r="N4" s="382"/>
      <c r="O4" s="380" t="s">
        <v>94</v>
      </c>
      <c r="P4" s="382"/>
      <c r="Q4" s="380" t="s">
        <v>95</v>
      </c>
      <c r="R4" s="382"/>
    </row>
    <row r="5" spans="2:18" ht="15" x14ac:dyDescent="0.35">
      <c r="B5" s="378" t="s">
        <v>96</v>
      </c>
      <c r="C5" s="379"/>
      <c r="D5" s="23">
        <v>1</v>
      </c>
      <c r="E5" s="45">
        <v>2</v>
      </c>
      <c r="F5" s="383" t="s">
        <v>97</v>
      </c>
      <c r="G5" s="383" t="s">
        <v>98</v>
      </c>
      <c r="H5" s="383" t="s">
        <v>97</v>
      </c>
      <c r="I5" s="383" t="s">
        <v>98</v>
      </c>
      <c r="J5" s="110"/>
      <c r="K5" s="378" t="s">
        <v>96</v>
      </c>
      <c r="L5" s="379"/>
      <c r="M5" s="23">
        <v>1</v>
      </c>
      <c r="N5" s="45">
        <v>2</v>
      </c>
      <c r="O5" s="383" t="s">
        <v>99</v>
      </c>
      <c r="P5" s="383" t="s">
        <v>100</v>
      </c>
      <c r="Q5" s="383" t="s">
        <v>101</v>
      </c>
      <c r="R5" s="383" t="s">
        <v>100</v>
      </c>
    </row>
    <row r="6" spans="2:18" ht="15" x14ac:dyDescent="0.3">
      <c r="B6" s="376" t="s">
        <v>102</v>
      </c>
      <c r="C6" s="377"/>
      <c r="D6" s="113" t="s">
        <v>103</v>
      </c>
      <c r="E6" s="113" t="s">
        <v>104</v>
      </c>
      <c r="F6" s="384"/>
      <c r="G6" s="384"/>
      <c r="H6" s="384"/>
      <c r="I6" s="384"/>
      <c r="J6" s="115"/>
      <c r="K6" s="376" t="s">
        <v>102</v>
      </c>
      <c r="L6" s="377"/>
      <c r="M6" s="113" t="s">
        <v>103</v>
      </c>
      <c r="N6" s="113" t="s">
        <v>104</v>
      </c>
      <c r="O6" s="384"/>
      <c r="P6" s="384"/>
      <c r="Q6" s="384"/>
      <c r="R6" s="384"/>
    </row>
    <row r="7" spans="2:18" ht="20.25" customHeight="1" x14ac:dyDescent="0.3">
      <c r="B7" s="32" t="s">
        <v>105</v>
      </c>
      <c r="C7" s="32" t="s">
        <v>106</v>
      </c>
      <c r="D7" s="23" t="s">
        <v>107</v>
      </c>
      <c r="E7" s="23" t="s">
        <v>107</v>
      </c>
      <c r="F7" s="385"/>
      <c r="G7" s="385"/>
      <c r="H7" s="385"/>
      <c r="I7" s="385"/>
      <c r="J7" s="110"/>
      <c r="K7" s="32" t="s">
        <v>105</v>
      </c>
      <c r="L7" s="32" t="s">
        <v>106</v>
      </c>
      <c r="M7" s="23" t="s">
        <v>107</v>
      </c>
      <c r="N7" s="23" t="s">
        <v>107</v>
      </c>
      <c r="O7" s="385"/>
      <c r="P7" s="385"/>
      <c r="Q7" s="385"/>
      <c r="R7" s="385"/>
    </row>
    <row r="8" spans="2:18" ht="18" customHeight="1" x14ac:dyDescent="0.3">
      <c r="B8" s="121">
        <v>44147</v>
      </c>
      <c r="C8" s="121">
        <v>44511</v>
      </c>
      <c r="D8" s="263">
        <v>8.44</v>
      </c>
      <c r="E8" s="22"/>
      <c r="F8" s="22">
        <f>D8+E8</f>
        <v>8.44</v>
      </c>
      <c r="G8" s="22">
        <f>F8</f>
        <v>8.44</v>
      </c>
      <c r="H8" s="22">
        <v>126</v>
      </c>
      <c r="I8" s="217">
        <f>H8</f>
        <v>126</v>
      </c>
      <c r="J8" s="111"/>
      <c r="K8" s="121">
        <v>44147</v>
      </c>
      <c r="L8" s="121">
        <v>44511</v>
      </c>
      <c r="M8" s="263">
        <v>534.52</v>
      </c>
      <c r="N8" s="22"/>
      <c r="O8" s="22">
        <f>M8+N8</f>
        <v>534.52</v>
      </c>
      <c r="P8" s="22">
        <f>O8</f>
        <v>534.52</v>
      </c>
      <c r="Q8" s="22">
        <v>550</v>
      </c>
      <c r="R8" s="217">
        <f>Q8</f>
        <v>550</v>
      </c>
    </row>
  </sheetData>
  <mergeCells count="18">
    <mergeCell ref="O4:P4"/>
    <mergeCell ref="Q4:R4"/>
    <mergeCell ref="O5:O7"/>
    <mergeCell ref="P5:P7"/>
    <mergeCell ref="Q5:Q7"/>
    <mergeCell ref="R5:R7"/>
    <mergeCell ref="B4:E4"/>
    <mergeCell ref="B6:C6"/>
    <mergeCell ref="B5:C5"/>
    <mergeCell ref="K4:N4"/>
    <mergeCell ref="K5:L5"/>
    <mergeCell ref="K6:L6"/>
    <mergeCell ref="F4:G4"/>
    <mergeCell ref="F5:F7"/>
    <mergeCell ref="G5:G7"/>
    <mergeCell ref="H4:I4"/>
    <mergeCell ref="H5:H7"/>
    <mergeCell ref="I5:I7"/>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R8"/>
  <sheetViews>
    <sheetView showGridLines="0" workbookViewId="0">
      <selection activeCell="D8" sqref="D8"/>
    </sheetView>
  </sheetViews>
  <sheetFormatPr defaultColWidth="14.44140625" defaultRowHeight="15" customHeight="1" x14ac:dyDescent="0.35"/>
  <cols>
    <col min="1" max="1" width="4.77734375" style="3" customWidth="1"/>
    <col min="2" max="2" width="13.21875" style="3" customWidth="1"/>
    <col min="3" max="3" width="13.44140625" style="3" customWidth="1"/>
    <col min="4" max="4" width="11.21875" style="3" customWidth="1"/>
    <col min="5" max="5" width="11.5546875" style="3" customWidth="1"/>
    <col min="6" max="6" width="12.44140625" style="3" customWidth="1"/>
    <col min="7" max="7" width="10.21875" style="3" customWidth="1"/>
    <col min="8" max="8" width="12.21875" style="3" customWidth="1"/>
    <col min="9" max="9" width="9.21875" style="3" customWidth="1"/>
    <col min="10" max="10" width="4.21875" style="3" customWidth="1"/>
    <col min="11" max="11" width="6.21875" style="3" customWidth="1"/>
    <col min="12" max="13" width="13.21875" style="3" customWidth="1"/>
    <col min="14" max="14" width="10.5546875" style="3" customWidth="1"/>
    <col min="15" max="15" width="9.21875" style="3" bestFit="1" customWidth="1"/>
    <col min="16" max="16" width="12.44140625" style="3" customWidth="1"/>
    <col min="17" max="17" width="9.77734375" style="3" customWidth="1"/>
    <col min="18" max="18" width="13.44140625" style="3" customWidth="1"/>
    <col min="19" max="19" width="14.77734375" style="3" customWidth="1"/>
    <col min="20" max="20" width="13.77734375" style="3" customWidth="1"/>
    <col min="21" max="28" width="9.21875" style="3" customWidth="1"/>
    <col min="29" max="16384" width="14.44140625" style="3"/>
  </cols>
  <sheetData>
    <row r="2" spans="2:18" x14ac:dyDescent="0.35">
      <c r="C2" s="1" t="s">
        <v>108</v>
      </c>
      <c r="D2" s="1"/>
      <c r="E2" s="1"/>
      <c r="F2" s="1"/>
      <c r="G2" s="1"/>
      <c r="M2" s="1" t="s">
        <v>109</v>
      </c>
      <c r="N2" s="1"/>
      <c r="O2" s="1"/>
      <c r="P2" s="1"/>
      <c r="Q2" s="1"/>
    </row>
    <row r="3" spans="2:18" ht="15.6" thickBot="1" x14ac:dyDescent="0.4"/>
    <row r="4" spans="2:18" ht="54.75" customHeight="1" x14ac:dyDescent="0.35">
      <c r="B4" s="386" t="s">
        <v>110</v>
      </c>
      <c r="C4" s="396"/>
      <c r="D4" s="387"/>
      <c r="E4" s="386" t="s">
        <v>91</v>
      </c>
      <c r="F4" s="387"/>
      <c r="G4" s="386" t="s">
        <v>92</v>
      </c>
      <c r="H4" s="387"/>
      <c r="L4" s="392" t="s">
        <v>111</v>
      </c>
      <c r="M4" s="392"/>
      <c r="N4" s="393"/>
      <c r="O4" s="386" t="s">
        <v>94</v>
      </c>
      <c r="P4" s="387"/>
      <c r="Q4" s="386" t="s">
        <v>95</v>
      </c>
      <c r="R4" s="387"/>
    </row>
    <row r="5" spans="2:18" ht="15.75" customHeight="1" x14ac:dyDescent="0.35">
      <c r="B5" s="390" t="s">
        <v>112</v>
      </c>
      <c r="C5" s="391"/>
      <c r="D5" s="36">
        <v>1</v>
      </c>
      <c r="E5" s="30" t="s">
        <v>113</v>
      </c>
      <c r="F5" s="31" t="s">
        <v>114</v>
      </c>
      <c r="G5" s="30" t="s">
        <v>113</v>
      </c>
      <c r="H5" s="31" t="s">
        <v>114</v>
      </c>
      <c r="L5" s="394" t="s">
        <v>112</v>
      </c>
      <c r="M5" s="395"/>
      <c r="N5" s="36">
        <v>1</v>
      </c>
      <c r="O5" s="328" t="s">
        <v>115</v>
      </c>
      <c r="P5" s="328" t="s">
        <v>116</v>
      </c>
      <c r="Q5" s="328" t="s">
        <v>115</v>
      </c>
      <c r="R5" s="328" t="s">
        <v>116</v>
      </c>
    </row>
    <row r="6" spans="2:18" ht="14.25" customHeight="1" x14ac:dyDescent="0.35">
      <c r="B6" s="388" t="s">
        <v>102</v>
      </c>
      <c r="C6" s="389"/>
      <c r="D6" s="36" t="s">
        <v>117</v>
      </c>
      <c r="E6" s="32" t="s">
        <v>118</v>
      </c>
      <c r="F6" s="33" t="s">
        <v>119</v>
      </c>
      <c r="G6" s="32" t="s">
        <v>118</v>
      </c>
      <c r="H6" s="33" t="s">
        <v>119</v>
      </c>
      <c r="L6" s="388" t="s">
        <v>102</v>
      </c>
      <c r="M6" s="389"/>
      <c r="N6" s="36" t="s">
        <v>117</v>
      </c>
      <c r="O6" s="32" t="s">
        <v>118</v>
      </c>
      <c r="P6" s="33" t="s">
        <v>119</v>
      </c>
      <c r="Q6" s="32" t="s">
        <v>118</v>
      </c>
      <c r="R6" s="33" t="s">
        <v>119</v>
      </c>
    </row>
    <row r="7" spans="2:18" x14ac:dyDescent="0.35">
      <c r="B7" s="32" t="s">
        <v>105</v>
      </c>
      <c r="C7" s="32" t="s">
        <v>106</v>
      </c>
      <c r="D7" s="33" t="s">
        <v>107</v>
      </c>
      <c r="E7" s="32" t="s">
        <v>107</v>
      </c>
      <c r="F7" s="33" t="s">
        <v>107</v>
      </c>
      <c r="G7" s="32" t="s">
        <v>107</v>
      </c>
      <c r="H7" s="33" t="s">
        <v>107</v>
      </c>
      <c r="L7" s="32" t="s">
        <v>105</v>
      </c>
      <c r="M7" s="32" t="s">
        <v>106</v>
      </c>
      <c r="N7" s="33" t="s">
        <v>107</v>
      </c>
      <c r="O7" s="32" t="s">
        <v>107</v>
      </c>
      <c r="P7" s="33" t="s">
        <v>107</v>
      </c>
      <c r="Q7" s="32" t="s">
        <v>107</v>
      </c>
      <c r="R7" s="33" t="s">
        <v>107</v>
      </c>
    </row>
    <row r="8" spans="2:18" ht="15" customHeight="1" x14ac:dyDescent="0.35">
      <c r="B8" s="121">
        <v>44147</v>
      </c>
      <c r="C8" s="121">
        <v>44511</v>
      </c>
      <c r="D8" s="217">
        <f>'Table 11'!F8</f>
        <v>8.44</v>
      </c>
      <c r="E8" s="34">
        <f>D8</f>
        <v>8.44</v>
      </c>
      <c r="F8" s="35">
        <f>E8</f>
        <v>8.44</v>
      </c>
      <c r="G8" s="217">
        <f>'Table 11'!H8</f>
        <v>126</v>
      </c>
      <c r="H8" s="217">
        <f>G8</f>
        <v>126</v>
      </c>
      <c r="L8" s="121">
        <v>44147</v>
      </c>
      <c r="M8" s="121">
        <v>44511</v>
      </c>
      <c r="N8" s="217">
        <f>'Table 11'!O8</f>
        <v>534.52</v>
      </c>
      <c r="O8" s="34">
        <f>N8</f>
        <v>534.52</v>
      </c>
      <c r="P8" s="35">
        <f>O8</f>
        <v>534.52</v>
      </c>
      <c r="Q8" s="217">
        <f>'Table 11'!Q8</f>
        <v>550</v>
      </c>
      <c r="R8" s="217">
        <f>Q8</f>
        <v>550</v>
      </c>
    </row>
  </sheetData>
  <mergeCells count="10">
    <mergeCell ref="O4:P4"/>
    <mergeCell ref="Q4:R4"/>
    <mergeCell ref="E4:F4"/>
    <mergeCell ref="G4:H4"/>
    <mergeCell ref="B6:C6"/>
    <mergeCell ref="B5:C5"/>
    <mergeCell ref="L4:N4"/>
    <mergeCell ref="L5:M5"/>
    <mergeCell ref="L6:M6"/>
    <mergeCell ref="B4:D4"/>
  </mergeCells>
  <pageMargins left="0.7" right="0.7" top="0.75" bottom="0.75" header="0" footer="0"/>
  <pageSetup paperSize="9" orientation="portrait"/>
  <ignoredErrors>
    <ignoredError sqref="G8 Q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B2:T49"/>
  <sheetViews>
    <sheetView showGridLines="0" zoomScale="90" zoomScaleNormal="90" workbookViewId="0">
      <selection activeCell="G18" sqref="G18"/>
    </sheetView>
  </sheetViews>
  <sheetFormatPr defaultColWidth="14.44140625" defaultRowHeight="15" customHeight="1" x14ac:dyDescent="0.35"/>
  <cols>
    <col min="1" max="1" width="8.21875" style="3" customWidth="1"/>
    <col min="2" max="2" width="20.77734375" style="105" customWidth="1"/>
    <col min="3" max="3" width="42.21875" style="3" customWidth="1"/>
    <col min="4" max="4" width="15.77734375" style="3" customWidth="1"/>
    <col min="5" max="5" width="14.21875" style="3" customWidth="1"/>
    <col min="6" max="6" width="19.5546875" style="3" customWidth="1"/>
    <col min="7" max="7" width="15.21875" style="3" customWidth="1"/>
    <col min="8" max="8" width="13.21875" style="3" customWidth="1"/>
    <col min="9" max="9" width="20.44140625" style="3" customWidth="1"/>
    <col min="10" max="10" width="16.5546875" style="3" customWidth="1"/>
    <col min="11" max="11" width="13.21875" style="105" customWidth="1"/>
    <col min="12" max="12" width="22.44140625" style="105" customWidth="1"/>
    <col min="13" max="13" width="17.77734375" style="105" customWidth="1"/>
    <col min="14" max="14" width="19.77734375" style="3" customWidth="1"/>
    <col min="15" max="15" width="21.5546875" style="3" customWidth="1"/>
    <col min="16" max="16" width="15.77734375" style="3" customWidth="1"/>
    <col min="17" max="17" width="14.44140625" style="3"/>
    <col min="18" max="18" width="35.44140625" style="3" customWidth="1"/>
    <col min="19" max="19" width="20.77734375" style="3" customWidth="1"/>
    <col min="20" max="20" width="18.77734375" style="3" customWidth="1"/>
    <col min="21" max="16384" width="14.44140625" style="3"/>
  </cols>
  <sheetData>
    <row r="2" spans="2:20" x14ac:dyDescent="0.35">
      <c r="B2" s="104"/>
      <c r="C2" s="407" t="s">
        <v>120</v>
      </c>
      <c r="D2" s="408"/>
      <c r="E2" s="408"/>
      <c r="F2" s="408"/>
      <c r="G2" s="408"/>
      <c r="H2" s="408"/>
      <c r="I2" s="408"/>
      <c r="J2" s="408"/>
      <c r="K2" s="408"/>
      <c r="L2" s="408"/>
      <c r="M2" s="408"/>
      <c r="N2" s="408"/>
      <c r="O2" s="408"/>
      <c r="P2" s="409"/>
      <c r="Q2" s="20"/>
      <c r="S2" s="79"/>
      <c r="T2" s="79"/>
    </row>
    <row r="3" spans="2:20" ht="25.5" customHeight="1" x14ac:dyDescent="0.35">
      <c r="B3" s="403" t="s">
        <v>121</v>
      </c>
      <c r="C3" s="404" t="s">
        <v>122</v>
      </c>
      <c r="D3" s="404" t="s">
        <v>123</v>
      </c>
      <c r="E3" s="380" t="s">
        <v>124</v>
      </c>
      <c r="F3" s="381"/>
      <c r="G3" s="382"/>
      <c r="H3" s="376" t="s">
        <v>125</v>
      </c>
      <c r="I3" s="406"/>
      <c r="J3" s="377"/>
      <c r="K3" s="380" t="s">
        <v>126</v>
      </c>
      <c r="L3" s="381"/>
      <c r="M3" s="382"/>
      <c r="N3" s="376" t="s">
        <v>127</v>
      </c>
      <c r="O3" s="406"/>
      <c r="P3" s="377"/>
      <c r="Q3" s="20"/>
      <c r="R3" s="99"/>
      <c r="S3" s="100"/>
      <c r="T3" s="100"/>
    </row>
    <row r="4" spans="2:20" ht="32.4" x14ac:dyDescent="0.35">
      <c r="B4" s="403"/>
      <c r="C4" s="405"/>
      <c r="D4" s="405"/>
      <c r="E4" s="24" t="s">
        <v>128</v>
      </c>
      <c r="F4" s="24" t="s">
        <v>129</v>
      </c>
      <c r="G4" s="24" t="s">
        <v>130</v>
      </c>
      <c r="H4" s="24" t="s">
        <v>131</v>
      </c>
      <c r="I4" s="24" t="s">
        <v>129</v>
      </c>
      <c r="J4" s="24" t="s">
        <v>132</v>
      </c>
      <c r="K4" s="24" t="s">
        <v>131</v>
      </c>
      <c r="L4" s="24" t="s">
        <v>129</v>
      </c>
      <c r="M4" s="24" t="s">
        <v>133</v>
      </c>
      <c r="N4" s="24" t="s">
        <v>134</v>
      </c>
      <c r="O4" s="24" t="s">
        <v>129</v>
      </c>
      <c r="P4" s="24" t="s">
        <v>135</v>
      </c>
      <c r="Q4" s="20"/>
      <c r="R4" s="18" t="s">
        <v>136</v>
      </c>
      <c r="S4" s="19" t="s">
        <v>137</v>
      </c>
      <c r="T4" s="19" t="s">
        <v>123</v>
      </c>
    </row>
    <row r="5" spans="2:20" ht="20.25" customHeight="1" x14ac:dyDescent="0.35">
      <c r="B5" s="127" t="s">
        <v>138</v>
      </c>
      <c r="C5" s="122" t="s">
        <v>139</v>
      </c>
      <c r="D5" s="82">
        <v>0.02</v>
      </c>
      <c r="E5" s="22">
        <v>262.2</v>
      </c>
      <c r="F5" s="22">
        <v>131.1</v>
      </c>
      <c r="G5" s="22">
        <v>480.69999999999993</v>
      </c>
      <c r="H5" s="22">
        <v>62.927999999999997</v>
      </c>
      <c r="I5" s="22">
        <v>31.463999999999999</v>
      </c>
      <c r="J5" s="22">
        <v>115.36799999999999</v>
      </c>
      <c r="K5" s="106">
        <v>0</v>
      </c>
      <c r="L5" s="106">
        <v>0</v>
      </c>
      <c r="M5" s="106">
        <v>0</v>
      </c>
      <c r="N5" s="22">
        <v>325.12799999999999</v>
      </c>
      <c r="O5" s="22">
        <v>162.56399999999999</v>
      </c>
      <c r="P5" s="22">
        <v>596.06799999999998</v>
      </c>
      <c r="Q5" s="20"/>
      <c r="R5" s="124" t="s">
        <v>139</v>
      </c>
      <c r="S5" s="80">
        <v>11191.254654513599</v>
      </c>
      <c r="T5" s="81">
        <v>1.5264665010784325E-2</v>
      </c>
    </row>
    <row r="6" spans="2:20" ht="20.25" customHeight="1" x14ac:dyDescent="0.35">
      <c r="B6" s="127" t="s">
        <v>140</v>
      </c>
      <c r="C6" s="122" t="s">
        <v>141</v>
      </c>
      <c r="D6" s="82">
        <v>0.7</v>
      </c>
      <c r="E6" s="22">
        <v>327.39999999999998</v>
      </c>
      <c r="F6" s="22">
        <v>163.69999999999999</v>
      </c>
      <c r="G6" s="22">
        <v>600.23333333333323</v>
      </c>
      <c r="H6" s="22">
        <v>78.575999999999993</v>
      </c>
      <c r="I6" s="22">
        <v>39.287999999999997</v>
      </c>
      <c r="J6" s="22">
        <v>144.05599999999998</v>
      </c>
      <c r="K6" s="106">
        <v>0</v>
      </c>
      <c r="L6" s="106">
        <v>0</v>
      </c>
      <c r="M6" s="106">
        <v>0</v>
      </c>
      <c r="N6" s="22">
        <v>405.976</v>
      </c>
      <c r="O6" s="22">
        <v>202.988</v>
      </c>
      <c r="P6" s="22">
        <v>744.28933333333316</v>
      </c>
      <c r="Q6" s="20"/>
      <c r="R6" s="124" t="s">
        <v>141</v>
      </c>
      <c r="S6" s="80">
        <v>511821.89360122598</v>
      </c>
      <c r="T6" s="81">
        <v>0.69811562619183165</v>
      </c>
    </row>
    <row r="7" spans="2:20" ht="20.25" customHeight="1" x14ac:dyDescent="0.35">
      <c r="B7" s="127" t="s">
        <v>140</v>
      </c>
      <c r="C7" s="122" t="s">
        <v>142</v>
      </c>
      <c r="D7" s="82">
        <v>0</v>
      </c>
      <c r="E7" s="22">
        <v>327.39999999999998</v>
      </c>
      <c r="F7" s="22">
        <v>163.69999999999999</v>
      </c>
      <c r="G7" s="22">
        <v>600.23333333333323</v>
      </c>
      <c r="H7" s="22">
        <v>78.575999999999993</v>
      </c>
      <c r="I7" s="22">
        <v>39.287999999999997</v>
      </c>
      <c r="J7" s="22">
        <v>144.05599999999998</v>
      </c>
      <c r="K7" s="106">
        <v>0</v>
      </c>
      <c r="L7" s="106">
        <v>0</v>
      </c>
      <c r="M7" s="106">
        <v>0</v>
      </c>
      <c r="N7" s="22">
        <v>405.976</v>
      </c>
      <c r="O7" s="22">
        <v>202.988</v>
      </c>
      <c r="P7" s="22">
        <v>744.28933333333316</v>
      </c>
      <c r="Q7" s="20"/>
      <c r="R7" s="124" t="s">
        <v>142</v>
      </c>
      <c r="S7" s="80">
        <v>434.94472735700299</v>
      </c>
      <c r="T7" s="81">
        <v>5.9325658885206836E-4</v>
      </c>
    </row>
    <row r="8" spans="2:20" ht="20.25" customHeight="1" x14ac:dyDescent="0.35">
      <c r="B8" s="127" t="s">
        <v>138</v>
      </c>
      <c r="C8" s="122" t="s">
        <v>143</v>
      </c>
      <c r="D8" s="82">
        <v>0.26</v>
      </c>
      <c r="E8" s="22">
        <v>225.46</v>
      </c>
      <c r="F8" s="22">
        <v>112.73</v>
      </c>
      <c r="G8" s="22">
        <v>413.34333333333331</v>
      </c>
      <c r="H8" s="22">
        <v>54.110399999999998</v>
      </c>
      <c r="I8" s="22">
        <v>27.055199999999999</v>
      </c>
      <c r="J8" s="22">
        <v>99.202399999999997</v>
      </c>
      <c r="K8" s="106">
        <v>0</v>
      </c>
      <c r="L8" s="106">
        <v>0</v>
      </c>
      <c r="M8" s="106">
        <v>0</v>
      </c>
      <c r="N8" s="22">
        <v>279.57040000000001</v>
      </c>
      <c r="O8" s="22">
        <v>139.7852</v>
      </c>
      <c r="P8" s="22">
        <v>512.54573333333326</v>
      </c>
      <c r="Q8" s="20"/>
      <c r="R8" s="124" t="s">
        <v>143</v>
      </c>
      <c r="S8" s="80">
        <v>193260.12056458401</v>
      </c>
      <c r="T8" s="81">
        <v>0.2636032412301838</v>
      </c>
    </row>
    <row r="9" spans="2:20" ht="20.25" customHeight="1" x14ac:dyDescent="0.35">
      <c r="B9" s="127" t="s">
        <v>138</v>
      </c>
      <c r="C9" s="122" t="s">
        <v>144</v>
      </c>
      <c r="D9" s="82">
        <v>0</v>
      </c>
      <c r="E9" s="22">
        <v>225.46</v>
      </c>
      <c r="F9" s="22">
        <v>112.73</v>
      </c>
      <c r="G9" s="22">
        <v>413.34333333333331</v>
      </c>
      <c r="H9" s="22">
        <v>54.110399999999998</v>
      </c>
      <c r="I9" s="22">
        <v>27.055199999999999</v>
      </c>
      <c r="J9" s="22">
        <v>99.202399999999997</v>
      </c>
      <c r="K9" s="106">
        <v>0</v>
      </c>
      <c r="L9" s="106">
        <v>0</v>
      </c>
      <c r="M9" s="106">
        <v>0</v>
      </c>
      <c r="N9" s="22">
        <v>279.57040000000001</v>
      </c>
      <c r="O9" s="22">
        <v>139.7852</v>
      </c>
      <c r="P9" s="22">
        <v>512.54573333333326</v>
      </c>
      <c r="Q9" s="20"/>
      <c r="R9" s="124" t="s">
        <v>144</v>
      </c>
      <c r="S9" s="80">
        <v>1887.3617822962401</v>
      </c>
      <c r="T9" s="81">
        <v>2.5743266729516766E-3</v>
      </c>
    </row>
    <row r="10" spans="2:20" ht="20.25" customHeight="1" x14ac:dyDescent="0.35">
      <c r="B10" s="127" t="s">
        <v>138</v>
      </c>
      <c r="C10" s="122" t="s">
        <v>145</v>
      </c>
      <c r="D10" s="82">
        <v>0</v>
      </c>
      <c r="E10" s="22">
        <v>50.74</v>
      </c>
      <c r="F10" s="22">
        <v>25.37</v>
      </c>
      <c r="G10" s="22">
        <v>93.023333333333326</v>
      </c>
      <c r="H10" s="22">
        <v>10.148000000000001</v>
      </c>
      <c r="I10" s="22">
        <v>5.0740000000000007</v>
      </c>
      <c r="J10" s="22">
        <v>18.60466666666667</v>
      </c>
      <c r="K10" s="106">
        <v>0</v>
      </c>
      <c r="L10" s="106">
        <v>0</v>
      </c>
      <c r="M10" s="106">
        <v>0</v>
      </c>
      <c r="N10" s="22">
        <v>60.888000000000005</v>
      </c>
      <c r="O10" s="22">
        <v>30.444000000000003</v>
      </c>
      <c r="P10" s="22">
        <v>111.628</v>
      </c>
      <c r="Q10" s="20"/>
      <c r="R10" s="124" t="s">
        <v>145</v>
      </c>
      <c r="S10" s="80">
        <v>710.06620107088395</v>
      </c>
      <c r="T10" s="81">
        <v>9.685172064649401E-4</v>
      </c>
    </row>
    <row r="11" spans="2:20" ht="20.25" customHeight="1" x14ac:dyDescent="0.35">
      <c r="B11" s="127" t="s">
        <v>138</v>
      </c>
      <c r="C11" s="122" t="s">
        <v>146</v>
      </c>
      <c r="D11" s="82">
        <v>0.01</v>
      </c>
      <c r="E11" s="22">
        <v>50.74</v>
      </c>
      <c r="F11" s="22">
        <v>25.37</v>
      </c>
      <c r="G11" s="22">
        <v>93.023333333333326</v>
      </c>
      <c r="H11" s="22">
        <v>10.148000000000001</v>
      </c>
      <c r="I11" s="22">
        <v>5.0740000000000007</v>
      </c>
      <c r="J11" s="22">
        <v>18.60466666666667</v>
      </c>
      <c r="K11" s="106">
        <v>0</v>
      </c>
      <c r="L11" s="106">
        <v>0</v>
      </c>
      <c r="M11" s="106">
        <v>0</v>
      </c>
      <c r="N11" s="22">
        <v>60.888000000000005</v>
      </c>
      <c r="O11" s="22">
        <v>30.444000000000003</v>
      </c>
      <c r="P11" s="22">
        <v>111.628</v>
      </c>
      <c r="Q11" s="20"/>
      <c r="R11" s="124" t="s">
        <v>146</v>
      </c>
      <c r="S11" s="80">
        <v>10255.235884801001</v>
      </c>
      <c r="T11" s="81">
        <v>1.3987952666676712E-2</v>
      </c>
    </row>
    <row r="12" spans="2:20" ht="21" customHeight="1" x14ac:dyDescent="0.35">
      <c r="B12" s="127" t="s">
        <v>138</v>
      </c>
      <c r="C12" s="123" t="s">
        <v>147</v>
      </c>
      <c r="D12" s="82">
        <v>0</v>
      </c>
      <c r="E12" s="22">
        <v>189.38</v>
      </c>
      <c r="F12" s="22">
        <v>94.69</v>
      </c>
      <c r="G12" s="22">
        <v>347.19666666666666</v>
      </c>
      <c r="H12" s="22">
        <v>45.4512</v>
      </c>
      <c r="I12" s="22">
        <v>22.7256</v>
      </c>
      <c r="J12" s="22">
        <v>83.327199999999991</v>
      </c>
      <c r="K12" s="106">
        <v>0</v>
      </c>
      <c r="L12" s="106">
        <v>0</v>
      </c>
      <c r="M12" s="106">
        <v>0</v>
      </c>
      <c r="N12" s="22">
        <v>234.8312</v>
      </c>
      <c r="O12" s="22">
        <v>117.4156</v>
      </c>
      <c r="P12" s="22">
        <v>430.52386666666666</v>
      </c>
      <c r="Q12" s="20"/>
      <c r="R12" s="124" t="s">
        <v>147</v>
      </c>
      <c r="S12" s="80">
        <v>3586.8625841510202</v>
      </c>
      <c r="T12" s="81">
        <v>4.8924144322548433E-3</v>
      </c>
    </row>
    <row r="13" spans="2:20" ht="27.75" customHeight="1" x14ac:dyDescent="0.35">
      <c r="B13" s="95"/>
      <c r="C13" s="91" t="s">
        <v>148</v>
      </c>
      <c r="D13" s="91"/>
      <c r="E13" s="91"/>
      <c r="F13" s="92"/>
      <c r="G13" s="26"/>
      <c r="H13" s="75"/>
      <c r="I13" s="75"/>
      <c r="J13" s="91"/>
      <c r="K13" s="92"/>
      <c r="L13" s="92"/>
      <c r="M13" s="92"/>
      <c r="N13" s="91"/>
      <c r="O13" s="91"/>
      <c r="P13" s="10"/>
      <c r="R13" s="83" t="s">
        <v>127</v>
      </c>
      <c r="S13" s="84">
        <v>733147.73999999976</v>
      </c>
      <c r="T13" s="86">
        <v>1</v>
      </c>
    </row>
    <row r="14" spans="2:20" x14ac:dyDescent="0.35">
      <c r="B14" s="95"/>
      <c r="C14" s="91"/>
      <c r="D14" s="91"/>
      <c r="E14" s="91"/>
      <c r="F14" s="92"/>
      <c r="G14" s="26"/>
      <c r="H14" s="75"/>
      <c r="I14" s="75"/>
      <c r="J14" s="91"/>
      <c r="K14" s="92"/>
      <c r="L14" s="92"/>
      <c r="M14" s="92"/>
      <c r="N14" s="91"/>
      <c r="O14" s="91"/>
      <c r="P14" s="10"/>
      <c r="R14" s="101"/>
      <c r="S14" s="102"/>
      <c r="T14" s="103"/>
    </row>
    <row r="15" spans="2:20" x14ac:dyDescent="0.35">
      <c r="B15" s="104"/>
      <c r="C15" s="407" t="s">
        <v>149</v>
      </c>
      <c r="D15" s="408"/>
      <c r="E15" s="408"/>
      <c r="F15" s="408"/>
      <c r="G15" s="408"/>
      <c r="H15" s="408"/>
      <c r="I15" s="408"/>
      <c r="J15" s="408"/>
      <c r="K15" s="408"/>
      <c r="L15" s="408"/>
      <c r="M15" s="408"/>
      <c r="N15" s="408"/>
      <c r="O15" s="408"/>
      <c r="P15" s="409"/>
      <c r="Q15" s="10"/>
      <c r="R15" s="101"/>
      <c r="S15" s="102"/>
      <c r="T15" s="103"/>
    </row>
    <row r="16" spans="2:20" ht="13.5" customHeight="1" x14ac:dyDescent="0.35">
      <c r="B16" s="403" t="s">
        <v>121</v>
      </c>
      <c r="C16" s="404" t="s">
        <v>122</v>
      </c>
      <c r="D16" s="404" t="s">
        <v>150</v>
      </c>
      <c r="E16" s="380" t="s">
        <v>124</v>
      </c>
      <c r="F16" s="381"/>
      <c r="G16" s="382"/>
      <c r="H16" s="376" t="s">
        <v>125</v>
      </c>
      <c r="I16" s="406"/>
      <c r="J16" s="377"/>
      <c r="K16" s="380" t="s">
        <v>126</v>
      </c>
      <c r="L16" s="381"/>
      <c r="M16" s="382"/>
      <c r="N16" s="376" t="s">
        <v>127</v>
      </c>
      <c r="O16" s="406"/>
      <c r="P16" s="377"/>
      <c r="Q16" s="10"/>
      <c r="R16" s="101"/>
      <c r="S16" s="102"/>
      <c r="T16" s="103"/>
    </row>
    <row r="17" spans="2:20" ht="35.25" customHeight="1" x14ac:dyDescent="0.35">
      <c r="B17" s="403"/>
      <c r="C17" s="405"/>
      <c r="D17" s="405"/>
      <c r="E17" s="24" t="s">
        <v>128</v>
      </c>
      <c r="F17" s="24" t="s">
        <v>129</v>
      </c>
      <c r="G17" s="24" t="s">
        <v>130</v>
      </c>
      <c r="H17" s="24" t="s">
        <v>131</v>
      </c>
      <c r="I17" s="24" t="s">
        <v>129</v>
      </c>
      <c r="J17" s="24" t="s">
        <v>132</v>
      </c>
      <c r="K17" s="24" t="s">
        <v>131</v>
      </c>
      <c r="L17" s="24" t="s">
        <v>129</v>
      </c>
      <c r="M17" s="24" t="s">
        <v>133</v>
      </c>
      <c r="N17" s="24" t="s">
        <v>134</v>
      </c>
      <c r="O17" s="24" t="s">
        <v>129</v>
      </c>
      <c r="P17" s="24" t="s">
        <v>135</v>
      </c>
      <c r="Q17" s="10"/>
      <c r="R17" s="18" t="s">
        <v>151</v>
      </c>
      <c r="S17" s="19" t="s">
        <v>137</v>
      </c>
      <c r="T17" s="19" t="s">
        <v>150</v>
      </c>
    </row>
    <row r="18" spans="2:20" ht="21" customHeight="1" x14ac:dyDescent="0.35">
      <c r="B18" s="127" t="s">
        <v>152</v>
      </c>
      <c r="C18" s="128" t="s">
        <v>143</v>
      </c>
      <c r="D18" s="82">
        <v>0.67129825059542381</v>
      </c>
      <c r="E18" s="22">
        <v>225.46</v>
      </c>
      <c r="F18" s="22">
        <v>112.73</v>
      </c>
      <c r="G18" s="217">
        <v>413.34</v>
      </c>
      <c r="H18" s="22">
        <v>54.110399999999998</v>
      </c>
      <c r="I18" s="22">
        <v>27.055199999999999</v>
      </c>
      <c r="J18" s="217">
        <v>99.2</v>
      </c>
      <c r="K18" s="106">
        <v>0</v>
      </c>
      <c r="L18" s="106">
        <v>0</v>
      </c>
      <c r="M18" s="262">
        <v>0</v>
      </c>
      <c r="N18" s="22">
        <v>279.57040000000001</v>
      </c>
      <c r="O18" s="22">
        <f>N18*$D$35</f>
        <v>139.7852</v>
      </c>
      <c r="P18" s="22">
        <f>G18+J18+M18</f>
        <v>512.54</v>
      </c>
      <c r="Q18" s="10"/>
      <c r="R18" s="124" t="s">
        <v>141</v>
      </c>
      <c r="S18" s="80">
        <v>13110.4178983739</v>
      </c>
      <c r="T18" s="81">
        <v>0.32870174940457625</v>
      </c>
    </row>
    <row r="19" spans="2:20" ht="19.5" customHeight="1" x14ac:dyDescent="0.35">
      <c r="B19" s="127" t="s">
        <v>152</v>
      </c>
      <c r="C19" s="128" t="s">
        <v>141</v>
      </c>
      <c r="D19" s="82">
        <v>0.32870174940457625</v>
      </c>
      <c r="E19" s="22">
        <v>327.39999999999998</v>
      </c>
      <c r="F19" s="22">
        <v>163.69999999999999</v>
      </c>
      <c r="G19" s="22">
        <v>600.23333333333323</v>
      </c>
      <c r="H19" s="22">
        <v>78.575999999999993</v>
      </c>
      <c r="I19" s="22">
        <v>39.287999999999997</v>
      </c>
      <c r="J19" s="22">
        <v>144.05599999999998</v>
      </c>
      <c r="K19" s="106">
        <v>0</v>
      </c>
      <c r="L19" s="106">
        <v>0</v>
      </c>
      <c r="M19" s="106">
        <v>0</v>
      </c>
      <c r="N19" s="22">
        <v>405.976</v>
      </c>
      <c r="O19" s="22">
        <f>N19*$D$35</f>
        <v>202.988</v>
      </c>
      <c r="P19" s="22">
        <v>744.28933333333316</v>
      </c>
      <c r="Q19" s="10"/>
      <c r="R19" s="124" t="s">
        <v>143</v>
      </c>
      <c r="S19" s="80">
        <v>26775.034254292299</v>
      </c>
      <c r="T19" s="81">
        <v>0.67129825059542381</v>
      </c>
    </row>
    <row r="20" spans="2:20" ht="26.25" customHeight="1" x14ac:dyDescent="0.35">
      <c r="B20" s="95"/>
      <c r="C20" s="91" t="s">
        <v>148</v>
      </c>
      <c r="D20" s="89"/>
      <c r="E20" s="89"/>
      <c r="F20" s="89"/>
      <c r="G20" s="89"/>
      <c r="H20" s="89"/>
      <c r="I20" s="89"/>
      <c r="J20" s="89"/>
      <c r="K20" s="107"/>
      <c r="L20" s="107"/>
      <c r="M20" s="107"/>
      <c r="N20" s="89"/>
      <c r="O20" s="89"/>
      <c r="P20" s="10"/>
      <c r="R20" s="83" t="s">
        <v>127</v>
      </c>
      <c r="S20" s="84">
        <v>39885.452152666199</v>
      </c>
      <c r="T20" s="85">
        <v>1</v>
      </c>
    </row>
    <row r="21" spans="2:20" x14ac:dyDescent="0.35">
      <c r="B21" s="95"/>
      <c r="C21" s="91"/>
      <c r="D21" s="91"/>
      <c r="E21" s="91"/>
      <c r="F21" s="92"/>
      <c r="G21" s="26"/>
      <c r="H21" s="75"/>
      <c r="I21" s="75"/>
      <c r="J21" s="91"/>
      <c r="K21" s="92"/>
      <c r="L21" s="92"/>
      <c r="M21" s="92"/>
      <c r="N21" s="91"/>
      <c r="O21" s="91"/>
      <c r="P21" s="10"/>
      <c r="R21" s="99" t="s">
        <v>153</v>
      </c>
      <c r="S21" s="100" t="s">
        <v>137</v>
      </c>
      <c r="T21" s="100" t="s">
        <v>154</v>
      </c>
    </row>
    <row r="22" spans="2:20" x14ac:dyDescent="0.35">
      <c r="B22" s="104"/>
      <c r="C22" s="407" t="s">
        <v>155</v>
      </c>
      <c r="D22" s="408"/>
      <c r="E22" s="408"/>
      <c r="F22" s="408"/>
      <c r="G22" s="408"/>
      <c r="H22" s="408"/>
      <c r="I22" s="408"/>
      <c r="J22" s="408"/>
      <c r="K22" s="408"/>
      <c r="L22" s="408"/>
      <c r="M22" s="408"/>
      <c r="N22" s="408"/>
      <c r="O22" s="408"/>
      <c r="P22" s="409"/>
      <c r="Q22" s="10"/>
      <c r="R22" s="101" t="s">
        <v>139</v>
      </c>
      <c r="S22" s="102"/>
      <c r="T22" s="103"/>
    </row>
    <row r="23" spans="2:20" x14ac:dyDescent="0.35">
      <c r="B23" s="403" t="s">
        <v>121</v>
      </c>
      <c r="C23" s="404" t="s">
        <v>122</v>
      </c>
      <c r="D23" s="404" t="s">
        <v>156</v>
      </c>
      <c r="E23" s="380" t="s">
        <v>124</v>
      </c>
      <c r="F23" s="381"/>
      <c r="G23" s="382"/>
      <c r="H23" s="376" t="s">
        <v>125</v>
      </c>
      <c r="I23" s="406"/>
      <c r="J23" s="377"/>
      <c r="K23" s="380" t="s">
        <v>126</v>
      </c>
      <c r="L23" s="381"/>
      <c r="M23" s="382"/>
      <c r="N23" s="376" t="s">
        <v>127</v>
      </c>
      <c r="O23" s="406"/>
      <c r="P23" s="377"/>
      <c r="Q23" s="10"/>
      <c r="R23" s="101" t="s">
        <v>141</v>
      </c>
      <c r="S23" s="102"/>
      <c r="T23" s="103"/>
    </row>
    <row r="24" spans="2:20" ht="32.4" x14ac:dyDescent="0.35">
      <c r="B24" s="403"/>
      <c r="C24" s="405"/>
      <c r="D24" s="405"/>
      <c r="E24" s="24" t="s">
        <v>128</v>
      </c>
      <c r="F24" s="24" t="s">
        <v>129</v>
      </c>
      <c r="G24" s="24" t="s">
        <v>130</v>
      </c>
      <c r="H24" s="24" t="s">
        <v>131</v>
      </c>
      <c r="I24" s="24" t="s">
        <v>129</v>
      </c>
      <c r="J24" s="24" t="s">
        <v>132</v>
      </c>
      <c r="K24" s="24" t="s">
        <v>131</v>
      </c>
      <c r="L24" s="24" t="s">
        <v>129</v>
      </c>
      <c r="M24" s="24" t="s">
        <v>133</v>
      </c>
      <c r="N24" s="24" t="s">
        <v>134</v>
      </c>
      <c r="O24" s="24" t="s">
        <v>129</v>
      </c>
      <c r="P24" s="24" t="s">
        <v>135</v>
      </c>
      <c r="Q24" s="10"/>
      <c r="R24" s="18" t="s">
        <v>153</v>
      </c>
      <c r="S24" s="19" t="s">
        <v>137</v>
      </c>
      <c r="T24" s="19" t="s">
        <v>156</v>
      </c>
    </row>
    <row r="25" spans="2:20" ht="18" customHeight="1" x14ac:dyDescent="0.35">
      <c r="B25" s="127" t="s">
        <v>152</v>
      </c>
      <c r="C25" s="128" t="s">
        <v>143</v>
      </c>
      <c r="D25" s="82">
        <v>0.30887654202482456</v>
      </c>
      <c r="E25" s="22">
        <v>225.46</v>
      </c>
      <c r="F25" s="22">
        <v>112.73</v>
      </c>
      <c r="G25" s="217">
        <f>G18</f>
        <v>413.34</v>
      </c>
      <c r="H25" s="217">
        <v>54.110399999999998</v>
      </c>
      <c r="I25" s="217">
        <v>27.055199999999999</v>
      </c>
      <c r="J25" s="217">
        <f>J18</f>
        <v>99.2</v>
      </c>
      <c r="K25" s="265">
        <v>0</v>
      </c>
      <c r="L25" s="265">
        <v>0</v>
      </c>
      <c r="M25" s="265">
        <f>M18</f>
        <v>0</v>
      </c>
      <c r="N25" s="22">
        <v>279.57040000000001</v>
      </c>
      <c r="O25" s="22">
        <v>139.7852</v>
      </c>
      <c r="P25" s="22">
        <f>P18</f>
        <v>512.54</v>
      </c>
      <c r="Q25" s="10"/>
      <c r="R25" s="124" t="s">
        <v>139</v>
      </c>
      <c r="S25" s="80">
        <v>4376.76</v>
      </c>
      <c r="T25" s="81">
        <v>5.5498248038402788E-2</v>
      </c>
    </row>
    <row r="26" spans="2:20" ht="18" customHeight="1" x14ac:dyDescent="0.35">
      <c r="B26" s="127" t="s">
        <v>152</v>
      </c>
      <c r="C26" s="128" t="s">
        <v>139</v>
      </c>
      <c r="D26" s="82">
        <v>5.5498248038402788E-2</v>
      </c>
      <c r="E26" s="22">
        <v>262.2</v>
      </c>
      <c r="F26" s="22">
        <v>131.1</v>
      </c>
      <c r="G26" s="217">
        <v>480.69999999999993</v>
      </c>
      <c r="H26" s="217">
        <v>62.927999999999997</v>
      </c>
      <c r="I26" s="217">
        <v>31.463999999999999</v>
      </c>
      <c r="J26" s="217">
        <v>115.36799999999999</v>
      </c>
      <c r="K26" s="265">
        <v>0</v>
      </c>
      <c r="L26" s="265">
        <v>0</v>
      </c>
      <c r="M26" s="265">
        <v>0</v>
      </c>
      <c r="N26" s="22">
        <v>325.12799999999999</v>
      </c>
      <c r="O26" s="22">
        <v>162.56399999999999</v>
      </c>
      <c r="P26" s="22">
        <v>596.06799999999998</v>
      </c>
      <c r="Q26" s="10"/>
      <c r="R26" s="124" t="s">
        <v>141</v>
      </c>
      <c r="S26" s="80">
        <v>50110.22</v>
      </c>
      <c r="T26" s="81">
        <v>0.63540825149629687</v>
      </c>
    </row>
    <row r="27" spans="2:20" ht="18" customHeight="1" x14ac:dyDescent="0.35">
      <c r="B27" s="127" t="s">
        <v>152</v>
      </c>
      <c r="C27" s="128" t="s">
        <v>141</v>
      </c>
      <c r="D27" s="82">
        <v>0.63540825149629687</v>
      </c>
      <c r="E27" s="22">
        <v>327.39999999999998</v>
      </c>
      <c r="F27" s="22">
        <v>163.69999999999999</v>
      </c>
      <c r="G27" s="217">
        <v>600.23333333333323</v>
      </c>
      <c r="H27" s="217">
        <v>78.575999999999993</v>
      </c>
      <c r="I27" s="217">
        <v>39.287999999999997</v>
      </c>
      <c r="J27" s="217">
        <v>144.05599999999998</v>
      </c>
      <c r="K27" s="265">
        <v>0</v>
      </c>
      <c r="L27" s="265">
        <v>0</v>
      </c>
      <c r="M27" s="265">
        <v>0</v>
      </c>
      <c r="N27" s="22">
        <v>405.976</v>
      </c>
      <c r="O27" s="22">
        <v>202.988</v>
      </c>
      <c r="P27" s="22">
        <v>744.28933333333316</v>
      </c>
      <c r="Q27" s="10"/>
      <c r="R27" s="124" t="s">
        <v>143</v>
      </c>
      <c r="S27" s="80">
        <v>24358.94</v>
      </c>
      <c r="T27" s="81">
        <v>0.30887654202482456</v>
      </c>
    </row>
    <row r="28" spans="2:20" ht="21" customHeight="1" x14ac:dyDescent="0.35">
      <c r="B28" s="127" t="s">
        <v>152</v>
      </c>
      <c r="C28" s="128" t="s">
        <v>144</v>
      </c>
      <c r="D28" s="82">
        <v>2.169584404758478E-4</v>
      </c>
      <c r="E28" s="22">
        <v>225.46</v>
      </c>
      <c r="F28" s="22">
        <v>112.73</v>
      </c>
      <c r="G28" s="22">
        <v>413.34333333333331</v>
      </c>
      <c r="H28" s="22">
        <v>54.110399999999998</v>
      </c>
      <c r="I28" s="22">
        <v>27.055199999999999</v>
      </c>
      <c r="J28" s="22">
        <v>99.202399999999997</v>
      </c>
      <c r="K28" s="265">
        <v>0</v>
      </c>
      <c r="L28" s="265">
        <v>0</v>
      </c>
      <c r="M28" s="265">
        <v>0</v>
      </c>
      <c r="N28" s="22">
        <v>279.57040000000001</v>
      </c>
      <c r="O28" s="22">
        <v>139.7852</v>
      </c>
      <c r="P28" s="22">
        <v>512.54573333333326</v>
      </c>
      <c r="Q28" s="10"/>
      <c r="R28" s="124" t="s">
        <v>144</v>
      </c>
      <c r="S28" s="80">
        <v>17.11</v>
      </c>
      <c r="T28" s="81">
        <v>2.169584404758478E-4</v>
      </c>
    </row>
    <row r="29" spans="2:20" ht="35.25" customHeight="1" x14ac:dyDescent="0.35">
      <c r="B29" s="95"/>
      <c r="C29" s="91" t="s">
        <v>148</v>
      </c>
      <c r="D29" s="91"/>
      <c r="E29" s="91"/>
      <c r="F29" s="92"/>
      <c r="G29" s="26"/>
      <c r="H29" s="75"/>
      <c r="I29" s="75"/>
      <c r="J29" s="91"/>
      <c r="K29" s="92"/>
      <c r="L29" s="92"/>
      <c r="M29" s="92"/>
      <c r="N29" s="91"/>
      <c r="O29" s="91"/>
      <c r="P29" s="10"/>
      <c r="Q29" s="10"/>
      <c r="R29" s="83" t="s">
        <v>127</v>
      </c>
      <c r="S29" s="84">
        <v>78863.03</v>
      </c>
      <c r="T29" s="86">
        <v>0.99978304155952413</v>
      </c>
    </row>
    <row r="30" spans="2:20" ht="17.25" customHeight="1" x14ac:dyDescent="0.35">
      <c r="B30" s="95"/>
      <c r="C30" s="91"/>
      <c r="D30" s="91"/>
      <c r="E30" s="91"/>
      <c r="F30" s="92"/>
      <c r="G30" s="26"/>
      <c r="H30" s="75"/>
      <c r="I30" s="75"/>
      <c r="J30" s="91"/>
      <c r="K30" s="92"/>
      <c r="L30" s="92"/>
      <c r="M30" s="92"/>
      <c r="N30" s="91"/>
      <c r="O30" s="91"/>
      <c r="P30" s="10"/>
    </row>
    <row r="31" spans="2:20" ht="38.25" customHeight="1" x14ac:dyDescent="0.35">
      <c r="B31" s="25" t="s">
        <v>121</v>
      </c>
      <c r="C31" s="24" t="s">
        <v>157</v>
      </c>
      <c r="D31" s="24" t="s">
        <v>158</v>
      </c>
      <c r="E31" s="24" t="s">
        <v>159</v>
      </c>
      <c r="F31" s="10"/>
      <c r="G31" s="91"/>
      <c r="H31" s="91"/>
      <c r="I31" s="91"/>
      <c r="J31" s="91"/>
      <c r="K31" s="92"/>
      <c r="L31" s="92"/>
      <c r="M31" s="92"/>
      <c r="N31" s="91"/>
      <c r="O31" s="91"/>
      <c r="P31" s="10"/>
      <c r="S31" s="62"/>
      <c r="T31" s="62"/>
    </row>
    <row r="32" spans="2:20" ht="30" x14ac:dyDescent="0.35">
      <c r="B32" s="96"/>
      <c r="C32" s="97" t="s">
        <v>160</v>
      </c>
      <c r="D32" s="22">
        <f>'Table 16'!G29</f>
        <v>9.1102981092640896</v>
      </c>
      <c r="E32" s="22">
        <f>'Table 16'!I29</f>
        <v>33.404426400634996</v>
      </c>
      <c r="F32" s="10"/>
      <c r="G32" s="91"/>
      <c r="H32" s="91"/>
      <c r="I32" s="91"/>
      <c r="J32" s="91"/>
      <c r="K32" s="92"/>
      <c r="L32" s="92"/>
      <c r="M32" s="92"/>
      <c r="N32" s="91"/>
      <c r="O32" s="91"/>
      <c r="P32" s="10"/>
      <c r="S32" s="99"/>
      <c r="T32" s="100"/>
    </row>
    <row r="33" spans="2:20" ht="15.75" customHeight="1" x14ac:dyDescent="0.35">
      <c r="B33" s="101"/>
      <c r="C33" s="10"/>
      <c r="D33" s="10"/>
      <c r="E33" s="26"/>
      <c r="F33" s="26"/>
      <c r="G33" s="91"/>
      <c r="H33" s="91"/>
      <c r="I33" s="91"/>
      <c r="J33" s="91"/>
      <c r="K33" s="92"/>
      <c r="L33" s="92"/>
      <c r="M33" s="92"/>
      <c r="N33" s="91"/>
      <c r="O33" s="91"/>
      <c r="P33" s="10"/>
      <c r="R33" s="20"/>
      <c r="S33" s="101"/>
      <c r="T33" s="102"/>
    </row>
    <row r="34" spans="2:20" ht="30" customHeight="1" x14ac:dyDescent="0.35">
      <c r="B34" s="95"/>
      <c r="C34" s="376" t="s">
        <v>161</v>
      </c>
      <c r="D34" s="377"/>
      <c r="E34" s="10"/>
      <c r="F34" s="10"/>
      <c r="G34" s="10"/>
      <c r="H34" s="10"/>
      <c r="I34" s="10"/>
      <c r="J34" s="10"/>
      <c r="K34" s="95"/>
      <c r="L34" s="95"/>
      <c r="M34" s="95"/>
      <c r="N34" s="90"/>
      <c r="O34" s="90"/>
      <c r="P34" s="10"/>
      <c r="R34" s="20"/>
      <c r="S34" s="101"/>
      <c r="T34" s="102"/>
    </row>
    <row r="35" spans="2:20" ht="30" customHeight="1" x14ac:dyDescent="0.35">
      <c r="B35" s="95"/>
      <c r="C35" s="14" t="s">
        <v>162</v>
      </c>
      <c r="D35" s="297">
        <v>0.5</v>
      </c>
      <c r="E35" s="10"/>
      <c r="F35" s="10"/>
      <c r="G35" s="10"/>
      <c r="H35" s="10"/>
      <c r="I35" s="10"/>
      <c r="J35" s="10"/>
      <c r="K35" s="95"/>
      <c r="L35" s="95"/>
      <c r="M35" s="95"/>
      <c r="N35" s="10"/>
      <c r="O35" s="10"/>
      <c r="P35" s="10"/>
      <c r="R35" s="20"/>
      <c r="S35" s="101"/>
      <c r="T35" s="102"/>
    </row>
    <row r="36" spans="2:20" ht="16.2" x14ac:dyDescent="0.35">
      <c r="B36" s="95"/>
      <c r="C36" s="38" t="s">
        <v>163</v>
      </c>
      <c r="D36" s="298">
        <v>3.6666666666666665</v>
      </c>
      <c r="E36" s="10"/>
      <c r="F36" s="10"/>
      <c r="G36" s="10"/>
      <c r="H36" s="10"/>
      <c r="I36" s="10"/>
      <c r="J36" s="10"/>
      <c r="K36" s="95"/>
      <c r="L36" s="95"/>
      <c r="M36" s="95"/>
      <c r="N36" s="10"/>
      <c r="O36" s="10"/>
      <c r="P36" s="10"/>
      <c r="R36" s="20"/>
      <c r="S36" s="101"/>
      <c r="T36" s="102"/>
    </row>
    <row r="41" spans="2:20" ht="15.75" customHeight="1" x14ac:dyDescent="0.35">
      <c r="C41" s="397" t="s">
        <v>164</v>
      </c>
      <c r="D41" s="398"/>
      <c r="E41" s="398"/>
      <c r="F41" s="398"/>
      <c r="G41" s="399"/>
      <c r="H41" s="10"/>
      <c r="I41" s="410" t="s">
        <v>165</v>
      </c>
      <c r="J41" s="411"/>
      <c r="K41" s="411"/>
      <c r="L41" s="411"/>
      <c r="M41" s="411"/>
      <c r="N41" s="411"/>
      <c r="O41" s="411"/>
      <c r="P41" s="411"/>
      <c r="Q41" s="411"/>
      <c r="R41" s="411"/>
      <c r="S41" s="412"/>
    </row>
    <row r="42" spans="2:20" ht="164.25" customHeight="1" thickBot="1" x14ac:dyDescent="0.4">
      <c r="C42" s="400"/>
      <c r="D42" s="401"/>
      <c r="E42" s="401"/>
      <c r="F42" s="401"/>
      <c r="G42" s="402"/>
      <c r="H42" s="10"/>
      <c r="I42" s="413"/>
      <c r="J42" s="414"/>
      <c r="K42" s="414"/>
      <c r="L42" s="414"/>
      <c r="M42" s="414"/>
      <c r="N42" s="414"/>
      <c r="O42" s="414"/>
      <c r="P42" s="414"/>
      <c r="Q42" s="414"/>
      <c r="R42" s="414"/>
      <c r="S42" s="415"/>
    </row>
    <row r="43" spans="2:20" ht="15.75" customHeight="1" thickBot="1" x14ac:dyDescent="0.4">
      <c r="C43" s="10"/>
      <c r="D43" s="10"/>
      <c r="E43" s="10"/>
      <c r="F43" s="10"/>
      <c r="G43" s="10"/>
      <c r="H43" s="10"/>
      <c r="I43" s="413"/>
      <c r="J43" s="414"/>
      <c r="K43" s="414"/>
      <c r="L43" s="414"/>
      <c r="M43" s="414"/>
      <c r="N43" s="414"/>
      <c r="O43" s="414"/>
      <c r="P43" s="414"/>
      <c r="Q43" s="414"/>
      <c r="R43" s="414"/>
      <c r="S43" s="415"/>
    </row>
    <row r="44" spans="2:20" ht="31.5" customHeight="1" thickBot="1" x14ac:dyDescent="0.4">
      <c r="C44" s="419" t="s">
        <v>166</v>
      </c>
      <c r="D44" s="420"/>
      <c r="E44" s="420"/>
      <c r="F44" s="420"/>
      <c r="G44" s="421"/>
      <c r="H44" s="92"/>
      <c r="I44" s="413"/>
      <c r="J44" s="414"/>
      <c r="K44" s="414"/>
      <c r="L44" s="414"/>
      <c r="M44" s="414"/>
      <c r="N44" s="414"/>
      <c r="O44" s="414"/>
      <c r="P44" s="414"/>
      <c r="Q44" s="414"/>
      <c r="R44" s="414"/>
      <c r="S44" s="415"/>
    </row>
    <row r="45" spans="2:20" ht="15.75" customHeight="1" thickBot="1" x14ac:dyDescent="0.4">
      <c r="C45" s="10"/>
      <c r="D45" s="95"/>
      <c r="E45" s="95"/>
      <c r="F45" s="95"/>
      <c r="G45" s="95"/>
      <c r="H45" s="10"/>
      <c r="I45" s="413"/>
      <c r="J45" s="414"/>
      <c r="K45" s="414"/>
      <c r="L45" s="414"/>
      <c r="M45" s="414"/>
      <c r="N45" s="414"/>
      <c r="O45" s="414"/>
      <c r="P45" s="414"/>
      <c r="Q45" s="414"/>
      <c r="R45" s="414"/>
      <c r="S45" s="415"/>
    </row>
    <row r="46" spans="2:20" ht="44.25" customHeight="1" thickBot="1" x14ac:dyDescent="0.4">
      <c r="C46" s="419" t="s">
        <v>167</v>
      </c>
      <c r="D46" s="420"/>
      <c r="E46" s="420"/>
      <c r="F46" s="420"/>
      <c r="G46" s="421"/>
      <c r="H46" s="10"/>
      <c r="I46" s="416"/>
      <c r="J46" s="417"/>
      <c r="K46" s="417"/>
      <c r="L46" s="417"/>
      <c r="M46" s="417"/>
      <c r="N46" s="417"/>
      <c r="O46" s="417"/>
      <c r="P46" s="417"/>
      <c r="Q46" s="417"/>
      <c r="R46" s="417"/>
      <c r="S46" s="418"/>
    </row>
    <row r="47" spans="2:20" ht="15.75" customHeight="1" thickBot="1" x14ac:dyDescent="0.4">
      <c r="C47" s="10"/>
      <c r="D47" s="10"/>
      <c r="E47" s="10"/>
      <c r="F47" s="10"/>
      <c r="G47" s="10"/>
      <c r="H47" s="10"/>
      <c r="I47" s="10"/>
      <c r="J47" s="10"/>
      <c r="K47" s="95"/>
      <c r="L47" s="95"/>
      <c r="M47" s="95"/>
      <c r="N47" s="10"/>
      <c r="O47" s="10"/>
      <c r="P47" s="10"/>
      <c r="Q47" s="10"/>
      <c r="R47" s="10"/>
      <c r="S47" s="10"/>
    </row>
    <row r="48" spans="2:20" ht="15.75" customHeight="1" x14ac:dyDescent="0.35">
      <c r="C48" s="397" t="s">
        <v>168</v>
      </c>
      <c r="D48" s="398"/>
      <c r="E48" s="398"/>
      <c r="F48" s="398"/>
      <c r="G48" s="399"/>
      <c r="H48" s="10"/>
      <c r="I48" s="10"/>
      <c r="J48" s="10"/>
      <c r="K48" s="95"/>
      <c r="L48" s="95"/>
      <c r="M48" s="95"/>
      <c r="N48" s="10"/>
      <c r="O48" s="10"/>
      <c r="P48" s="10"/>
      <c r="Q48" s="10"/>
      <c r="R48" s="10"/>
      <c r="S48" s="10"/>
    </row>
    <row r="49" spans="3:19" ht="41.25" customHeight="1" thickBot="1" x14ac:dyDescent="0.4">
      <c r="C49" s="400"/>
      <c r="D49" s="401"/>
      <c r="E49" s="401"/>
      <c r="F49" s="401"/>
      <c r="G49" s="402"/>
      <c r="H49" s="10"/>
      <c r="I49" s="10"/>
      <c r="J49" s="10"/>
      <c r="K49" s="95"/>
      <c r="L49" s="95"/>
      <c r="M49" s="95"/>
      <c r="N49" s="10"/>
      <c r="O49" s="10"/>
      <c r="P49" s="10"/>
      <c r="Q49" s="10"/>
      <c r="R49" s="10"/>
      <c r="S49" s="10"/>
    </row>
  </sheetData>
  <mergeCells count="30">
    <mergeCell ref="C41:G42"/>
    <mergeCell ref="C44:G44"/>
    <mergeCell ref="C46:G46"/>
    <mergeCell ref="C2:P2"/>
    <mergeCell ref="E3:G3"/>
    <mergeCell ref="C15:P15"/>
    <mergeCell ref="D16:D17"/>
    <mergeCell ref="E16:G16"/>
    <mergeCell ref="C3:C4"/>
    <mergeCell ref="H3:J3"/>
    <mergeCell ref="N3:P3"/>
    <mergeCell ref="N16:P16"/>
    <mergeCell ref="K3:M3"/>
    <mergeCell ref="K16:M16"/>
    <mergeCell ref="C48:G49"/>
    <mergeCell ref="B3:B4"/>
    <mergeCell ref="C23:C24"/>
    <mergeCell ref="H23:J23"/>
    <mergeCell ref="N23:P23"/>
    <mergeCell ref="C34:D34"/>
    <mergeCell ref="H16:J16"/>
    <mergeCell ref="C22:P22"/>
    <mergeCell ref="E23:G23"/>
    <mergeCell ref="C16:C17"/>
    <mergeCell ref="D23:D24"/>
    <mergeCell ref="D3:D4"/>
    <mergeCell ref="B16:B17"/>
    <mergeCell ref="B23:B24"/>
    <mergeCell ref="K23:M23"/>
    <mergeCell ref="I41:S46"/>
  </mergeCells>
  <pageMargins left="0.511811024" right="0.511811024" top="0.78740157499999996" bottom="0.78740157499999996"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B2:P30"/>
  <sheetViews>
    <sheetView showGridLines="0" topLeftCell="A21" zoomScale="90" zoomScaleNormal="90" workbookViewId="0">
      <selection activeCell="I13" sqref="I13"/>
    </sheetView>
  </sheetViews>
  <sheetFormatPr defaultColWidth="14.44140625" defaultRowHeight="15" customHeight="1" x14ac:dyDescent="0.35"/>
  <cols>
    <col min="1" max="1" width="11.77734375" style="3" customWidth="1"/>
    <col min="2" max="2" width="15.44140625" style="3" customWidth="1"/>
    <col min="3" max="8" width="13.21875" style="3" customWidth="1"/>
    <col min="9" max="9" width="17.21875" style="3" customWidth="1"/>
    <col min="10" max="12" width="13.21875" style="3" customWidth="1"/>
    <col min="13" max="13" width="24.21875" style="3" customWidth="1"/>
    <col min="14" max="14" width="16.77734375" style="3" customWidth="1"/>
    <col min="15" max="28" width="13.21875" style="3" customWidth="1"/>
    <col min="29" max="40" width="9.21875" style="3" customWidth="1"/>
    <col min="41" max="16384" width="14.44140625" style="3"/>
  </cols>
  <sheetData>
    <row r="2" spans="2:10" x14ac:dyDescent="0.35">
      <c r="B2" s="90" t="s">
        <v>169</v>
      </c>
      <c r="C2" s="26"/>
      <c r="D2" s="26"/>
      <c r="E2" s="26"/>
      <c r="F2" s="26"/>
      <c r="G2" s="26"/>
      <c r="H2" s="26"/>
      <c r="I2" s="26"/>
      <c r="J2" s="26"/>
    </row>
    <row r="3" spans="2:10" x14ac:dyDescent="0.35">
      <c r="B3" s="10" t="s">
        <v>170</v>
      </c>
      <c r="C3" s="26"/>
      <c r="D3" s="26"/>
      <c r="E3" s="26"/>
      <c r="F3" s="26"/>
      <c r="G3" s="26"/>
      <c r="H3" s="26"/>
      <c r="I3" s="26"/>
      <c r="J3" s="26"/>
    </row>
    <row r="4" spans="2:10" x14ac:dyDescent="0.35">
      <c r="B4" s="10"/>
      <c r="C4" s="26"/>
      <c r="D4" s="26"/>
      <c r="E4" s="26"/>
      <c r="F4" s="26"/>
      <c r="G4" s="26"/>
      <c r="H4" s="26"/>
      <c r="I4" s="26"/>
      <c r="J4" s="26"/>
    </row>
    <row r="5" spans="2:10" ht="15.6" thickBot="1" x14ac:dyDescent="0.4">
      <c r="B5" s="21" t="s">
        <v>171</v>
      </c>
      <c r="C5" s="26"/>
      <c r="D5" s="26"/>
      <c r="E5" s="26"/>
      <c r="F5" s="26"/>
      <c r="G5" s="26"/>
      <c r="H5" s="26"/>
      <c r="I5" s="26"/>
      <c r="J5" s="26"/>
    </row>
    <row r="6" spans="2:10" ht="15" customHeight="1" thickBot="1" x14ac:dyDescent="0.4">
      <c r="B6" s="76" t="s">
        <v>172</v>
      </c>
      <c r="C6" s="77"/>
      <c r="D6" s="77"/>
      <c r="E6" s="77"/>
      <c r="F6" s="77"/>
      <c r="G6" s="77"/>
      <c r="H6" s="77"/>
      <c r="I6" s="77"/>
      <c r="J6" s="77"/>
    </row>
    <row r="7" spans="2:10" ht="30.75" customHeight="1" x14ac:dyDescent="0.35">
      <c r="B7" s="429" t="s">
        <v>173</v>
      </c>
      <c r="C7" s="438" t="s">
        <v>174</v>
      </c>
      <c r="D7" s="439"/>
      <c r="E7" s="439"/>
      <c r="F7" s="439"/>
      <c r="G7" s="439"/>
      <c r="H7" s="439"/>
      <c r="I7" s="439"/>
      <c r="J7" s="439"/>
    </row>
    <row r="8" spans="2:10" ht="15" customHeight="1" x14ac:dyDescent="0.35">
      <c r="B8" s="430"/>
      <c r="C8" s="29" t="s">
        <v>102</v>
      </c>
      <c r="D8" s="432" t="s">
        <v>175</v>
      </c>
      <c r="E8" s="433"/>
      <c r="F8" s="433"/>
      <c r="G8" s="433"/>
      <c r="H8" s="433"/>
      <c r="I8" s="433"/>
      <c r="J8" s="434"/>
    </row>
    <row r="9" spans="2:10" ht="16.2" x14ac:dyDescent="0.35">
      <c r="B9" s="430"/>
      <c r="C9" s="29" t="s">
        <v>176</v>
      </c>
      <c r="D9" s="435">
        <v>1</v>
      </c>
      <c r="E9" s="436"/>
      <c r="F9" s="436"/>
      <c r="G9" s="436"/>
      <c r="H9" s="436"/>
      <c r="I9" s="436"/>
      <c r="J9" s="437"/>
    </row>
    <row r="10" spans="2:10" ht="16.2" x14ac:dyDescent="0.35">
      <c r="B10" s="430"/>
      <c r="C10" s="422" t="s">
        <v>177</v>
      </c>
      <c r="D10" s="377"/>
      <c r="E10" s="376" t="s">
        <v>178</v>
      </c>
      <c r="F10" s="377"/>
      <c r="G10" s="376" t="s">
        <v>179</v>
      </c>
      <c r="H10" s="377"/>
      <c r="I10" s="376" t="s">
        <v>180</v>
      </c>
      <c r="J10" s="377"/>
    </row>
    <row r="11" spans="2:10" x14ac:dyDescent="0.35">
      <c r="B11" s="430"/>
      <c r="C11" s="29" t="s">
        <v>181</v>
      </c>
      <c r="D11" s="23" t="s">
        <v>182</v>
      </c>
      <c r="E11" s="23" t="s">
        <v>181</v>
      </c>
      <c r="F11" s="23" t="s">
        <v>182</v>
      </c>
      <c r="G11" s="23" t="s">
        <v>181</v>
      </c>
      <c r="H11" s="23" t="s">
        <v>182</v>
      </c>
      <c r="I11" s="23" t="s">
        <v>181</v>
      </c>
      <c r="J11" s="23" t="s">
        <v>182</v>
      </c>
    </row>
    <row r="12" spans="2:10" ht="15.6" thickBot="1" x14ac:dyDescent="0.4">
      <c r="B12" s="431"/>
      <c r="C12" s="44" t="s">
        <v>183</v>
      </c>
      <c r="D12" s="45" t="s">
        <v>183</v>
      </c>
      <c r="E12" s="45" t="s">
        <v>183</v>
      </c>
      <c r="F12" s="45" t="s">
        <v>183</v>
      </c>
      <c r="G12" s="45" t="s">
        <v>183</v>
      </c>
      <c r="H12" s="45" t="s">
        <v>183</v>
      </c>
      <c r="I12" s="45" t="s">
        <v>183</v>
      </c>
      <c r="J12" s="45" t="s">
        <v>183</v>
      </c>
    </row>
    <row r="13" spans="2:10" ht="15.6" thickBot="1" x14ac:dyDescent="0.4">
      <c r="B13" s="43" t="s">
        <v>184</v>
      </c>
      <c r="C13" s="46">
        <f>'Carbon stock'!G18</f>
        <v>413.34</v>
      </c>
      <c r="D13" s="264">
        <v>29.37</v>
      </c>
      <c r="E13" s="48">
        <f>'Carbon stock'!J18</f>
        <v>99.2</v>
      </c>
      <c r="F13" s="264">
        <v>7.05</v>
      </c>
      <c r="G13" s="49">
        <f>'Carbon stock'!M18</f>
        <v>0</v>
      </c>
      <c r="H13" s="49">
        <v>0</v>
      </c>
      <c r="I13" s="47">
        <f>'Carbon stock'!P18</f>
        <v>512.54</v>
      </c>
      <c r="J13" s="264">
        <v>36.42</v>
      </c>
    </row>
    <row r="14" spans="2:10" ht="15.6" thickBot="1" x14ac:dyDescent="0.4">
      <c r="B14" s="43" t="s">
        <v>185</v>
      </c>
      <c r="C14" s="50">
        <f>C13</f>
        <v>413.34</v>
      </c>
      <c r="D14" s="264">
        <v>29.37</v>
      </c>
      <c r="E14" s="50">
        <f t="shared" ref="E14:J14" si="0">E13</f>
        <v>99.2</v>
      </c>
      <c r="F14" s="264">
        <v>7.05</v>
      </c>
      <c r="G14" s="50">
        <f t="shared" si="0"/>
        <v>0</v>
      </c>
      <c r="H14" s="266">
        <f t="shared" si="0"/>
        <v>0</v>
      </c>
      <c r="I14" s="50">
        <f t="shared" si="0"/>
        <v>512.54</v>
      </c>
      <c r="J14" s="266">
        <f t="shared" si="0"/>
        <v>36.42</v>
      </c>
    </row>
    <row r="17" spans="2:16" ht="15.6" thickBot="1" x14ac:dyDescent="0.4">
      <c r="B17" s="21" t="s">
        <v>186</v>
      </c>
      <c r="C17" s="26"/>
      <c r="D17" s="26"/>
      <c r="E17" s="26"/>
      <c r="F17" s="26"/>
      <c r="G17" s="26"/>
      <c r="H17" s="26"/>
      <c r="I17" s="26"/>
      <c r="J17" s="26"/>
      <c r="K17"/>
      <c r="L17"/>
      <c r="M17"/>
      <c r="N17"/>
      <c r="O17"/>
      <c r="P17"/>
    </row>
    <row r="18" spans="2:16" ht="15.75" customHeight="1" thickBot="1" x14ac:dyDescent="0.4">
      <c r="B18" s="78" t="s">
        <v>172</v>
      </c>
      <c r="C18" s="119"/>
      <c r="D18" s="77"/>
      <c r="E18" s="77"/>
      <c r="F18" s="77"/>
      <c r="G18" s="77"/>
      <c r="H18" s="77"/>
      <c r="I18" s="77"/>
      <c r="J18" s="120"/>
      <c r="K18"/>
      <c r="L18"/>
      <c r="M18"/>
      <c r="N18"/>
      <c r="O18"/>
      <c r="P18"/>
    </row>
    <row r="19" spans="2:16" ht="15.75" customHeight="1" thickBot="1" x14ac:dyDescent="0.4">
      <c r="B19" s="429" t="s">
        <v>173</v>
      </c>
      <c r="C19" s="423" t="s">
        <v>174</v>
      </c>
      <c r="D19" s="424"/>
      <c r="E19" s="424"/>
      <c r="F19" s="424"/>
      <c r="G19" s="424"/>
      <c r="H19" s="424"/>
      <c r="I19" s="424"/>
      <c r="J19" s="425"/>
      <c r="K19" s="11"/>
      <c r="L19" s="11"/>
      <c r="M19" s="11"/>
      <c r="N19" s="11"/>
      <c r="O19" s="11"/>
      <c r="P19" s="11"/>
    </row>
    <row r="20" spans="2:16" ht="14.25" customHeight="1" x14ac:dyDescent="0.35">
      <c r="B20" s="430"/>
      <c r="C20" s="54" t="s">
        <v>102</v>
      </c>
      <c r="D20" s="442" t="s">
        <v>175</v>
      </c>
      <c r="E20" s="443"/>
      <c r="F20" s="443"/>
      <c r="G20" s="443"/>
      <c r="H20" s="443"/>
      <c r="I20" s="443"/>
      <c r="J20" s="444"/>
      <c r="K20" s="39"/>
      <c r="L20" s="440"/>
      <c r="M20" s="440"/>
      <c r="N20" s="440"/>
      <c r="O20" s="440"/>
      <c r="P20" s="440"/>
    </row>
    <row r="21" spans="2:16" ht="15.75" customHeight="1" x14ac:dyDescent="0.35">
      <c r="B21" s="430"/>
      <c r="C21" s="29" t="s">
        <v>176</v>
      </c>
      <c r="D21" s="435">
        <v>1</v>
      </c>
      <c r="E21" s="436"/>
      <c r="F21" s="436"/>
      <c r="G21" s="436"/>
      <c r="H21" s="436"/>
      <c r="I21" s="436"/>
      <c r="J21" s="437"/>
      <c r="K21" s="39"/>
      <c r="L21" s="441"/>
      <c r="M21" s="441"/>
      <c r="N21" s="441"/>
      <c r="O21" s="441"/>
      <c r="P21" s="441"/>
    </row>
    <row r="22" spans="2:16" ht="15.75" customHeight="1" x14ac:dyDescent="0.35">
      <c r="B22" s="430"/>
      <c r="C22" s="422" t="s">
        <v>177</v>
      </c>
      <c r="D22" s="377"/>
      <c r="E22" s="376" t="s">
        <v>178</v>
      </c>
      <c r="F22" s="377"/>
      <c r="G22" s="376" t="s">
        <v>179</v>
      </c>
      <c r="H22" s="377"/>
      <c r="I22" s="376" t="s">
        <v>180</v>
      </c>
      <c r="J22" s="377"/>
      <c r="K22" s="449"/>
      <c r="L22" s="450"/>
      <c r="M22" s="445"/>
      <c r="N22" s="445"/>
      <c r="O22" s="445"/>
      <c r="P22" s="445"/>
    </row>
    <row r="23" spans="2:16" x14ac:dyDescent="0.35">
      <c r="B23" s="430"/>
      <c r="C23" s="28" t="s">
        <v>181</v>
      </c>
      <c r="D23" s="23" t="s">
        <v>182</v>
      </c>
      <c r="E23" s="24" t="s">
        <v>181</v>
      </c>
      <c r="F23" s="23" t="s">
        <v>182</v>
      </c>
      <c r="G23" s="23" t="s">
        <v>181</v>
      </c>
      <c r="H23" s="23" t="s">
        <v>182</v>
      </c>
      <c r="I23" s="24" t="s">
        <v>181</v>
      </c>
      <c r="J23" s="23" t="s">
        <v>182</v>
      </c>
      <c r="K23" s="41"/>
      <c r="L23" s="41"/>
      <c r="M23" s="41"/>
      <c r="N23" s="41"/>
      <c r="O23" s="41"/>
      <c r="P23" s="41"/>
    </row>
    <row r="24" spans="2:16" ht="15.75" customHeight="1" thickBot="1" x14ac:dyDescent="0.4">
      <c r="B24" s="431"/>
      <c r="C24" s="44" t="s">
        <v>183</v>
      </c>
      <c r="D24" s="45" t="s">
        <v>183</v>
      </c>
      <c r="E24" s="45" t="s">
        <v>183</v>
      </c>
      <c r="F24" s="45" t="s">
        <v>183</v>
      </c>
      <c r="G24" s="45" t="s">
        <v>183</v>
      </c>
      <c r="H24" s="45" t="s">
        <v>183</v>
      </c>
      <c r="I24" s="45" t="s">
        <v>183</v>
      </c>
      <c r="J24" s="45" t="s">
        <v>183</v>
      </c>
      <c r="K24" s="39"/>
      <c r="L24" s="39"/>
      <c r="M24" s="39"/>
      <c r="N24" s="39"/>
      <c r="O24" s="39"/>
      <c r="P24" s="39"/>
    </row>
    <row r="25" spans="2:16" ht="15.6" thickBot="1" x14ac:dyDescent="0.4">
      <c r="B25" s="98" t="s">
        <v>184</v>
      </c>
      <c r="C25" s="51">
        <v>413.34333333333331</v>
      </c>
      <c r="D25" s="52">
        <v>413.34333333333331</v>
      </c>
      <c r="E25" s="53">
        <v>99.202399999999997</v>
      </c>
      <c r="F25" s="52">
        <v>99.202399999999997</v>
      </c>
      <c r="G25" s="52">
        <v>0</v>
      </c>
      <c r="H25" s="52">
        <v>0</v>
      </c>
      <c r="I25" s="52">
        <v>512.54573333333326</v>
      </c>
      <c r="J25" s="52">
        <v>512.54573333333326</v>
      </c>
      <c r="K25" s="40"/>
      <c r="L25" s="40"/>
      <c r="M25" s="40"/>
      <c r="N25" s="40"/>
      <c r="O25" s="40"/>
      <c r="P25" s="40"/>
    </row>
    <row r="26" spans="2:16" x14ac:dyDescent="0.35">
      <c r="B26" s="98" t="s">
        <v>185</v>
      </c>
      <c r="C26" s="51">
        <v>413.34333333333331</v>
      </c>
      <c r="D26" s="52">
        <v>413.34333333333331</v>
      </c>
      <c r="E26" s="53">
        <v>99.202399999999997</v>
      </c>
      <c r="F26" s="52">
        <v>99.202399999999997</v>
      </c>
      <c r="G26" s="52">
        <v>0</v>
      </c>
      <c r="H26" s="52">
        <v>0</v>
      </c>
      <c r="I26" s="52">
        <v>512.54573333333326</v>
      </c>
      <c r="J26" s="52">
        <v>512.54573333333326</v>
      </c>
      <c r="K26" s="40"/>
      <c r="L26" s="40"/>
      <c r="M26" s="40"/>
      <c r="N26" s="40"/>
      <c r="O26" s="40"/>
      <c r="P26" s="40"/>
    </row>
    <row r="27" spans="2:16" ht="15.75" customHeight="1" x14ac:dyDescent="0.35">
      <c r="B27" s="10"/>
      <c r="C27" s="10"/>
      <c r="D27" s="10"/>
      <c r="E27" s="10"/>
      <c r="F27" s="10"/>
      <c r="G27" s="10"/>
      <c r="H27" s="10"/>
      <c r="I27" s="10"/>
      <c r="J27" s="10"/>
      <c r="K27" s="10"/>
      <c r="L27" s="10"/>
      <c r="M27" s="10"/>
      <c r="N27" s="10"/>
      <c r="O27" s="10"/>
      <c r="P27" s="10"/>
    </row>
    <row r="28" spans="2:16" ht="15.75" customHeight="1" x14ac:dyDescent="0.35">
      <c r="B28" s="10"/>
      <c r="C28" s="10"/>
      <c r="D28" s="10"/>
      <c r="E28" s="10"/>
      <c r="F28" s="10"/>
      <c r="G28" s="10"/>
      <c r="H28" s="10"/>
      <c r="I28" s="10"/>
      <c r="J28" s="10"/>
      <c r="K28" s="10"/>
      <c r="L28" s="10"/>
      <c r="M28" s="10"/>
      <c r="N28" s="10"/>
      <c r="O28" s="10"/>
      <c r="P28" s="10"/>
    </row>
    <row r="29" spans="2:16" ht="15.75" customHeight="1" x14ac:dyDescent="0.35">
      <c r="B29" s="426"/>
      <c r="C29" s="427"/>
      <c r="D29" s="427"/>
      <c r="E29" s="428"/>
      <c r="F29" s="10"/>
      <c r="G29" s="10"/>
      <c r="H29" s="10"/>
      <c r="I29" s="10"/>
      <c r="J29" s="426"/>
      <c r="K29" s="427"/>
      <c r="L29" s="427"/>
      <c r="M29" s="428"/>
      <c r="N29" s="10"/>
      <c r="O29" s="10"/>
      <c r="P29" s="10"/>
    </row>
    <row r="30" spans="2:16" ht="15.75" customHeight="1" x14ac:dyDescent="0.35">
      <c r="B30" s="446"/>
      <c r="C30" s="447"/>
      <c r="D30" s="447"/>
      <c r="E30" s="448"/>
      <c r="F30" s="10"/>
      <c r="G30" s="10"/>
      <c r="H30" s="10"/>
      <c r="I30" s="117"/>
      <c r="J30" s="446"/>
      <c r="K30" s="447"/>
      <c r="L30" s="447"/>
      <c r="M30" s="448"/>
      <c r="N30" s="10"/>
      <c r="O30" s="10"/>
      <c r="P30" s="10"/>
    </row>
  </sheetData>
  <mergeCells count="25">
    <mergeCell ref="L20:P20"/>
    <mergeCell ref="L21:P21"/>
    <mergeCell ref="D20:J20"/>
    <mergeCell ref="O22:P22"/>
    <mergeCell ref="B30:E30"/>
    <mergeCell ref="B19:B24"/>
    <mergeCell ref="J29:M29"/>
    <mergeCell ref="J30:M30"/>
    <mergeCell ref="C22:D22"/>
    <mergeCell ref="E22:F22"/>
    <mergeCell ref="I22:J22"/>
    <mergeCell ref="G22:H22"/>
    <mergeCell ref="D21:J21"/>
    <mergeCell ref="K22:L22"/>
    <mergeCell ref="M22:N22"/>
    <mergeCell ref="C10:D10"/>
    <mergeCell ref="E10:F10"/>
    <mergeCell ref="I10:J10"/>
    <mergeCell ref="C19:J19"/>
    <mergeCell ref="B29:E29"/>
    <mergeCell ref="B7:B12"/>
    <mergeCell ref="D8:J8"/>
    <mergeCell ref="D9:J9"/>
    <mergeCell ref="G10:H10"/>
    <mergeCell ref="C7:J7"/>
  </mergeCells>
  <pageMargins left="0.511811024" right="0.511811024" top="0.78740157499999996" bottom="0.78740157499999996" header="0" footer="0"/>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525F783AB94B8459D918E2BBB92D590" ma:contentTypeVersion="20" ma:contentTypeDescription="Crie um novo documento." ma:contentTypeScope="" ma:versionID="8e39f3ad990108aa1a9b749470d20c4d">
  <xsd:schema xmlns:xsd="http://www.w3.org/2001/XMLSchema" xmlns:xs="http://www.w3.org/2001/XMLSchema" xmlns:p="http://schemas.microsoft.com/office/2006/metadata/properties" xmlns:ns2="454f780d-1f44-4228-bea1-d7399f5baa5f" xmlns:ns3="75b6c085-43b3-47b3-8aa2-1a473660db0c" targetNamespace="http://schemas.microsoft.com/office/2006/metadata/properties" ma:root="true" ma:fieldsID="d4a5bd6dbdb42e256ae3daed0cdb946e" ns2:_="" ns3:_="">
    <xsd:import namespace="454f780d-1f44-4228-bea1-d7399f5baa5f"/>
    <xsd:import namespace="75b6c085-43b3-47b3-8aa2-1a473660db0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Coment_x00e1_rio"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f780d-1f44-4228-bea1-d7399f5baa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a8eac5ba-2dbf-40cb-9f5a-e6443bf46da1" ma:termSetId="09814cd3-568e-fe90-9814-8d621ff8fb84" ma:anchorId="fba54fb3-c3e1-fe81-a776-ca4b69148c4d" ma:open="true" ma:isKeyword="false">
      <xsd:complexType>
        <xsd:sequence>
          <xsd:element ref="pc:Terms" minOccurs="0" maxOccurs="1"/>
        </xsd:sequence>
      </xsd:complexType>
    </xsd:element>
    <xsd:element name="Coment_x00e1_rio" ma:index="24" nillable="true" ma:displayName="Comentário" ma:format="Dropdown" ma:internalName="Coment_x00e1_rio">
      <xsd:simpleType>
        <xsd:restriction base="dms:Text">
          <xsd:maxLength value="255"/>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_Flow_SignoffStatus" ma:index="27" nillable="true" ma:displayName="Status de liberação" ma:internalName="Status_x0020_de_x0020_libera_x00e7__x00e3_o">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b6c085-43b3-47b3-8aa2-1a473660db0c"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TaxCatchAll" ma:index="23" nillable="true" ma:displayName="Taxonomy Catch All Column" ma:hidden="true" ma:list="{02bc2fca-2de8-40e7-a2b7-d0d6fd250e50}" ma:internalName="TaxCatchAll" ma:showField="CatchAllData" ma:web="75b6c085-43b3-47b3-8aa2-1a473660db0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5b6c085-43b3-47b3-8aa2-1a473660db0c" xsi:nil="true"/>
    <lcf76f155ced4ddcb4097134ff3c332f xmlns="454f780d-1f44-4228-bea1-d7399f5baa5f">
      <Terms xmlns="http://schemas.microsoft.com/office/infopath/2007/PartnerControls"/>
    </lcf76f155ced4ddcb4097134ff3c332f>
    <_Flow_SignoffStatus xmlns="454f780d-1f44-4228-bea1-d7399f5baa5f" xsi:nil="true"/>
    <Coment_x00e1_rio xmlns="454f780d-1f44-4228-bea1-d7399f5baa5f" xsi:nil="true"/>
  </documentManagement>
</p:properties>
</file>

<file path=customXml/itemProps1.xml><?xml version="1.0" encoding="utf-8"?>
<ds:datastoreItem xmlns:ds="http://schemas.openxmlformats.org/officeDocument/2006/customXml" ds:itemID="{9A8561D6-F878-4F2E-810E-8EF026CF1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f780d-1f44-4228-bea1-d7399f5baa5f"/>
    <ds:schemaRef ds:uri="75b6c085-43b3-47b3-8aa2-1a473660db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AF94EE-5FA5-4555-B336-78374FAB703F}">
  <ds:schemaRefs>
    <ds:schemaRef ds:uri="http://schemas.microsoft.com/sharepoint/v3/contenttype/forms"/>
  </ds:schemaRefs>
</ds:datastoreItem>
</file>

<file path=customXml/itemProps3.xml><?xml version="1.0" encoding="utf-8"?>
<ds:datastoreItem xmlns:ds="http://schemas.openxmlformats.org/officeDocument/2006/customXml" ds:itemID="{EA7A425B-E557-4066-879C-8E5D97675194}">
  <ds:schemaRefs>
    <ds:schemaRef ds:uri="http://schemas.openxmlformats.org/package/2006/metadata/core-properties"/>
    <ds:schemaRef ds:uri="http://schemas.microsoft.com/office/infopath/2007/PartnerControls"/>
    <ds:schemaRef ds:uri="http://schemas.microsoft.com/office/2006/documentManagement/types"/>
    <ds:schemaRef ds:uri="http://purl.org/dc/dcmitype/"/>
    <ds:schemaRef ds:uri="http://schemas.microsoft.com/office/2006/metadata/properties"/>
    <ds:schemaRef ds:uri="75b6c085-43b3-47b3-8aa2-1a473660db0c"/>
    <ds:schemaRef ds:uri="http://purl.org/dc/terms/"/>
    <ds:schemaRef ds:uri="http://purl.org/dc/elements/1.1/"/>
    <ds:schemaRef ds:uri="454f780d-1f44-4228-bea1-d7399f5baa5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27</vt:i4>
      </vt:variant>
    </vt:vector>
  </HeadingPairs>
  <TitlesOfParts>
    <vt:vector size="27" baseType="lpstr">
      <vt:lpstr>Introduction</vt:lpstr>
      <vt:lpstr>Summary</vt:lpstr>
      <vt:lpstr>Lista suspensa</vt:lpstr>
      <vt:lpstr>Table 3</vt:lpstr>
      <vt:lpstr>Table 4</vt:lpstr>
      <vt:lpstr>Table 11</vt:lpstr>
      <vt:lpstr>Table_13</vt:lpstr>
      <vt:lpstr>Carbon stock</vt:lpstr>
      <vt:lpstr>Table 15</vt:lpstr>
      <vt:lpstr>Table 16</vt:lpstr>
      <vt:lpstr>Table 20</vt:lpstr>
      <vt:lpstr>Table 21</vt:lpstr>
      <vt:lpstr>Table 23</vt:lpstr>
      <vt:lpstr>Table 25a</vt:lpstr>
      <vt:lpstr>Table 25b</vt:lpstr>
      <vt:lpstr>Table 25d</vt:lpstr>
      <vt:lpstr>Table 25e-g</vt:lpstr>
      <vt:lpstr>Table 26b</vt:lpstr>
      <vt:lpstr>Table 26d</vt:lpstr>
      <vt:lpstr>Table 29</vt:lpstr>
      <vt:lpstr>Table 30b-c</vt:lpstr>
      <vt:lpstr>Table 31</vt:lpstr>
      <vt:lpstr>Table 32</vt:lpstr>
      <vt:lpstr>Table 33</vt:lpstr>
      <vt:lpstr>Table 35</vt:lpstr>
      <vt:lpstr>Table 36</vt:lpstr>
      <vt:lpstr>Summary net GHG 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AVMaffi</dc:creator>
  <cp:keywords/>
  <dc:description/>
  <cp:lastModifiedBy>Gabriella Hita</cp:lastModifiedBy>
  <cp:revision/>
  <dcterms:created xsi:type="dcterms:W3CDTF">2014-12-02T12:50:22Z</dcterms:created>
  <dcterms:modified xsi:type="dcterms:W3CDTF">2025-08-18T13:27:14Z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0x0101002525F783AB94B8459D918E2BBB92D590</vt:lpwstr>
  </property>
  <property fmtid="{D5CDD505-2E9C-101B-9397-08002B2CF9AE}" pid="3" name="Order">
    <vt:r8>3900</vt:r8>
  </property>
</Properties>
</file>