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256" yWindow="-276" windowWidth="13392" windowHeight="6048" activeTab="2"/>
  </bookViews>
  <sheets>
    <sheet name="OM" sheetId="6" r:id="rId1"/>
    <sheet name="Total CO2 for OM" sheetId="7" r:id="rId2"/>
    <sheet name="Latest PPs - BM&amp;CM" sheetId="4" r:id="rId3"/>
    <sheet name="Monitoring Plan" sheetId="8" r:id="rId4"/>
  </sheets>
  <definedNames>
    <definedName name="_xlnm._FilterDatabase" localSheetId="2">'Latest PPs - BM&amp;CM'!$A$4:$F$144</definedName>
  </definedNames>
  <calcPr calcId="145621"/>
</workbook>
</file>

<file path=xl/calcChain.xml><?xml version="1.0" encoding="utf-8"?>
<calcChain xmlns="http://schemas.openxmlformats.org/spreadsheetml/2006/main">
  <c r="G6" i="8" l="1"/>
  <c r="G15" i="8" s="1"/>
  <c r="G5" i="8"/>
  <c r="G4" i="8"/>
  <c r="G12" i="8" s="1"/>
  <c r="E22" i="8"/>
  <c r="C22" i="8"/>
  <c r="D42" i="6"/>
  <c r="C58" i="8"/>
  <c r="G46" i="8"/>
  <c r="D33" i="8"/>
  <c r="C46" i="8" l="1"/>
  <c r="G13" i="8"/>
  <c r="G20" i="8"/>
  <c r="G18" i="8"/>
  <c r="G16" i="8"/>
  <c r="G14" i="8"/>
  <c r="G21" i="8"/>
  <c r="G19" i="8"/>
  <c r="G17" i="8"/>
  <c r="K267" i="4"/>
  <c r="D421" i="4"/>
  <c r="F166" i="4"/>
  <c r="F422" i="4" s="1"/>
  <c r="F169" i="4"/>
  <c r="F173" i="4"/>
  <c r="K265" i="4" s="1"/>
  <c r="F176" i="4"/>
  <c r="K262" i="4" s="1"/>
  <c r="M31" i="6"/>
  <c r="L23" i="6"/>
  <c r="L22" i="6"/>
  <c r="L21" i="6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M264" i="4"/>
  <c r="M263" i="4"/>
  <c r="N263" i="4" s="1"/>
  <c r="Q263" i="4" s="1"/>
  <c r="M262" i="4"/>
  <c r="M267" i="4"/>
  <c r="M266" i="4"/>
  <c r="M265" i="4"/>
  <c r="F7" i="4"/>
  <c r="D422" i="4"/>
  <c r="E30" i="7"/>
  <c r="E41" i="7" s="1"/>
  <c r="D37" i="6"/>
  <c r="D41" i="6"/>
  <c r="D43" i="6" s="1"/>
  <c r="C41" i="6"/>
  <c r="B41" i="6"/>
  <c r="B43" i="6" s="1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85" i="4"/>
  <c r="G376" i="4"/>
  <c r="G353" i="4"/>
  <c r="G368" i="4"/>
  <c r="G332" i="4"/>
  <c r="G326" i="4"/>
  <c r="G327" i="4"/>
  <c r="G328" i="4"/>
  <c r="G329" i="4"/>
  <c r="G330" i="4"/>
  <c r="G331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9" i="4"/>
  <c r="G370" i="4"/>
  <c r="G371" i="4"/>
  <c r="G372" i="4"/>
  <c r="G373" i="4"/>
  <c r="G374" i="4"/>
  <c r="G375" i="4"/>
  <c r="G377" i="4"/>
  <c r="G378" i="4"/>
  <c r="G379" i="4"/>
  <c r="G380" i="4"/>
  <c r="G381" i="4"/>
  <c r="G382" i="4"/>
  <c r="G383" i="4"/>
  <c r="G384" i="4"/>
  <c r="G386" i="4"/>
  <c r="G387" i="4"/>
  <c r="G388" i="4"/>
  <c r="G389" i="4"/>
  <c r="G390" i="4"/>
  <c r="G288" i="4"/>
  <c r="G289" i="4"/>
  <c r="G290" i="4"/>
  <c r="G291" i="4"/>
  <c r="G292" i="4"/>
  <c r="G293" i="4"/>
  <c r="G294" i="4"/>
  <c r="G295" i="4"/>
  <c r="G296" i="4"/>
  <c r="G297" i="4"/>
  <c r="G298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287" i="4"/>
  <c r="L262" i="4"/>
  <c r="L265" i="4"/>
  <c r="L264" i="4"/>
  <c r="N264" i="4" s="1"/>
  <c r="Q264" i="4" s="1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62" i="4"/>
  <c r="G161" i="4"/>
  <c r="L267" i="4"/>
  <c r="L266" i="4"/>
  <c r="N266" i="4" s="1"/>
  <c r="F9" i="4"/>
  <c r="F12" i="4"/>
  <c r="F26" i="4"/>
  <c r="F32" i="4" s="1"/>
  <c r="F35" i="4"/>
  <c r="F50" i="4"/>
  <c r="F55" i="4"/>
  <c r="F113" i="4"/>
  <c r="F116" i="4"/>
  <c r="F122" i="4"/>
  <c r="F181" i="4"/>
  <c r="B37" i="6"/>
  <c r="B15" i="6" s="1"/>
  <c r="B16" i="6" s="1"/>
  <c r="B17" i="6" s="1"/>
  <c r="F41" i="7"/>
  <c r="E29" i="7"/>
  <c r="E40" i="7" s="1"/>
  <c r="D58" i="8"/>
  <c r="D46" i="8"/>
  <c r="F33" i="8"/>
  <c r="E46" i="8" s="1"/>
  <c r="C34" i="8"/>
  <c r="E34" i="8" s="1"/>
  <c r="G34" i="8" s="1"/>
  <c r="C33" i="8"/>
  <c r="E33" i="8"/>
  <c r="D69" i="8"/>
  <c r="G69" i="8" s="1"/>
  <c r="F32" i="7"/>
  <c r="F43" i="7" s="1"/>
  <c r="E32" i="7"/>
  <c r="E43" i="7" s="1"/>
  <c r="D32" i="7"/>
  <c r="D43" i="7" s="1"/>
  <c r="F31" i="7"/>
  <c r="F42" i="7" s="1"/>
  <c r="E31" i="7"/>
  <c r="E42" i="7" s="1"/>
  <c r="D31" i="7"/>
  <c r="D42" i="7" s="1"/>
  <c r="D41" i="7"/>
  <c r="F29" i="7"/>
  <c r="F40" i="7"/>
  <c r="D29" i="7"/>
  <c r="D40" i="7" s="1"/>
  <c r="F28" i="7"/>
  <c r="F39" i="7" s="1"/>
  <c r="E28" i="7"/>
  <c r="E39" i="7" s="1"/>
  <c r="D28" i="7"/>
  <c r="D39" i="7" s="1"/>
  <c r="F27" i="7"/>
  <c r="F38" i="7" s="1"/>
  <c r="E27" i="7"/>
  <c r="E38" i="7" s="1"/>
  <c r="D27" i="7"/>
  <c r="D38" i="7" s="1"/>
  <c r="F26" i="7"/>
  <c r="F37" i="7" s="1"/>
  <c r="E26" i="7"/>
  <c r="E37" i="7" s="1"/>
  <c r="E44" i="7" s="1"/>
  <c r="C24" i="6" s="1"/>
  <c r="D26" i="7"/>
  <c r="D37" i="7" s="1"/>
  <c r="D15" i="6"/>
  <c r="D16" i="6" s="1"/>
  <c r="D17" i="6" s="1"/>
  <c r="C37" i="6"/>
  <c r="C15" i="6" s="1"/>
  <c r="C16" i="6" s="1"/>
  <c r="C17" i="6" s="1"/>
  <c r="C43" i="6"/>
  <c r="L20" i="6"/>
  <c r="L19" i="6"/>
  <c r="L18" i="6"/>
  <c r="L17" i="6"/>
  <c r="L16" i="6"/>
  <c r="L15" i="6"/>
  <c r="F6" i="6"/>
  <c r="F10" i="6" s="1"/>
  <c r="E6" i="6"/>
  <c r="E10" i="6" s="1"/>
  <c r="D6" i="6"/>
  <c r="D10" i="6" s="1"/>
  <c r="C6" i="6"/>
  <c r="C10" i="6" s="1"/>
  <c r="B6" i="6"/>
  <c r="B10" i="6" s="1"/>
  <c r="M33" i="6"/>
  <c r="N28" i="6" s="1"/>
  <c r="C53" i="6" l="1"/>
  <c r="D44" i="7"/>
  <c r="B24" i="6" s="1"/>
  <c r="F44" i="7"/>
  <c r="D24" i="6" s="1"/>
  <c r="K268" i="4"/>
  <c r="N262" i="4"/>
  <c r="F423" i="4"/>
  <c r="L24" i="6"/>
  <c r="M21" i="6" s="1"/>
  <c r="B47" i="6"/>
  <c r="B49" i="6" s="1"/>
  <c r="B53" i="6" s="1"/>
  <c r="D47" i="6"/>
  <c r="D49" i="6" s="1"/>
  <c r="D53" i="6" s="1"/>
  <c r="N31" i="6"/>
  <c r="E43" i="6"/>
  <c r="M19" i="6"/>
  <c r="B11" i="6"/>
  <c r="E17" i="6"/>
  <c r="M22" i="6"/>
  <c r="C47" i="6"/>
  <c r="C49" i="6" s="1"/>
  <c r="N43" i="6"/>
  <c r="N29" i="6"/>
  <c r="N27" i="6"/>
  <c r="N32" i="6"/>
  <c r="N30" i="6"/>
  <c r="G22" i="8"/>
  <c r="F58" i="8"/>
  <c r="H69" i="8" s="1"/>
  <c r="F46" i="8"/>
  <c r="H46" i="8" s="1"/>
  <c r="I69" i="8"/>
  <c r="K69" i="8" s="1"/>
  <c r="L69" i="8" s="1"/>
  <c r="E58" i="8"/>
  <c r="G33" i="8"/>
  <c r="N267" i="4"/>
  <c r="N265" i="4"/>
  <c r="Q265" i="4" s="1"/>
  <c r="M268" i="4"/>
  <c r="Q262" i="4"/>
  <c r="L268" i="4"/>
  <c r="G58" i="8" l="1"/>
  <c r="M20" i="6"/>
  <c r="M18" i="6"/>
  <c r="M17" i="6"/>
  <c r="M16" i="6"/>
  <c r="M23" i="6"/>
  <c r="M15" i="6"/>
  <c r="B50" i="6"/>
  <c r="B54" i="6" s="1"/>
  <c r="Q268" i="4"/>
  <c r="N268" i="4"/>
  <c r="P269" i="4" l="1"/>
  <c r="R271" i="4" s="1"/>
  <c r="D12" i="8" l="1"/>
  <c r="F12" i="8" s="1"/>
  <c r="D21" i="8"/>
  <c r="F21" i="8" s="1"/>
  <c r="D14" i="8"/>
  <c r="D18" i="8"/>
  <c r="F18" i="8" s="1"/>
  <c r="D15" i="8"/>
  <c r="F15" i="8" s="1"/>
  <c r="D19" i="8"/>
  <c r="F19" i="8" s="1"/>
  <c r="D13" i="8"/>
  <c r="F13" i="8" s="1"/>
  <c r="D16" i="8"/>
  <c r="F16" i="8" s="1"/>
  <c r="D20" i="8"/>
  <c r="F20" i="8" s="1"/>
  <c r="D17" i="8"/>
  <c r="F17" i="8" s="1"/>
  <c r="F14" i="8"/>
  <c r="F22" i="8" l="1"/>
  <c r="D22" i="8"/>
</calcChain>
</file>

<file path=xl/comments1.xml><?xml version="1.0" encoding="utf-8"?>
<comments xmlns="http://schemas.openxmlformats.org/spreadsheetml/2006/main">
  <authors>
    <author>ramazana</author>
    <author>engin mert</author>
    <author>ramazan.aslan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20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36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38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12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137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8,0 MW - VER</t>
        </r>
      </text>
    </comment>
    <comment ref="D138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15,2 MW - VER</t>
        </r>
      </text>
    </comment>
    <comment ref="D139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7,2 MW - VER</t>
        </r>
      </text>
    </comment>
    <comment ref="D140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4,0 MW - VER</t>
        </r>
      </text>
    </comment>
    <comment ref="D141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10,9 MW - VER</t>
        </r>
      </text>
    </comment>
    <comment ref="D142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10,8 MW - VER</t>
        </r>
      </text>
    </comment>
    <comment ref="D143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11,2 MW - VER</t>
        </r>
      </text>
    </comment>
    <comment ref="D144" authorId="2">
      <text>
        <r>
          <rPr>
            <b/>
            <sz val="8"/>
            <color indexed="81"/>
            <rFont val="Tahoma"/>
            <family val="2"/>
            <charset val="162"/>
          </rPr>
          <t>ramazan.aslan:</t>
        </r>
        <r>
          <rPr>
            <sz val="8"/>
            <color indexed="81"/>
            <rFont val="Tahoma"/>
            <family val="2"/>
            <charset val="162"/>
          </rPr>
          <t xml:space="preserve">
20,0 MW - VER</t>
        </r>
      </text>
    </comment>
    <comment ref="D148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153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172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
</t>
        </r>
      </text>
    </comment>
    <comment ref="D177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182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83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84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85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86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87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88" authorId="0">
      <text>
        <r>
          <rPr>
            <b/>
            <sz val="8"/>
            <color indexed="81"/>
            <rFont val="Tahoma"/>
            <family val="2"/>
            <charset val="162"/>
          </rPr>
          <t>ramazana:</t>
        </r>
        <r>
          <rPr>
            <sz val="8"/>
            <color indexed="81"/>
            <rFont val="Tahoma"/>
            <family val="2"/>
            <charset val="162"/>
          </rPr>
          <t xml:space="preserve">
VER</t>
        </r>
      </text>
    </comment>
    <comment ref="D190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193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09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11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15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46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49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52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56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1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2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3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4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5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6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7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8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69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0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1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2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3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4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5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6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7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8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79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0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1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2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3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4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5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  <comment ref="D286" authorId="1">
      <text>
        <r>
          <rPr>
            <b/>
            <sz val="9"/>
            <color indexed="81"/>
            <rFont val="Tahoma"/>
            <family val="2"/>
            <charset val="162"/>
          </rPr>
          <t>engin mert:</t>
        </r>
        <r>
          <rPr>
            <sz val="9"/>
            <color indexed="81"/>
            <rFont val="Tahoma"/>
            <family val="2"/>
            <charset val="162"/>
          </rPr>
          <t xml:space="preserve">
Ver</t>
        </r>
      </text>
    </comment>
  </commentList>
</comments>
</file>

<file path=xl/sharedStrings.xml><?xml version="1.0" encoding="utf-8"?>
<sst xmlns="http://schemas.openxmlformats.org/spreadsheetml/2006/main" count="1392" uniqueCount="678">
  <si>
    <t>Lignite</t>
  </si>
  <si>
    <t>Natural Gas</t>
  </si>
  <si>
    <t>LPG</t>
  </si>
  <si>
    <t>TOTAL</t>
  </si>
  <si>
    <t>Gross production</t>
  </si>
  <si>
    <t>TOTAL LCR Production</t>
  </si>
  <si>
    <t>Hydro</t>
  </si>
  <si>
    <t>Share of LCRs</t>
  </si>
  <si>
    <t>Average of last five years</t>
  </si>
  <si>
    <t>Gross electricity production - fossil fuels</t>
  </si>
  <si>
    <t>Gross electricity production - fossil fuels - hydro</t>
  </si>
  <si>
    <t>% EE without hydro</t>
  </si>
  <si>
    <t>Coal</t>
  </si>
  <si>
    <t>Fuel Oil</t>
  </si>
  <si>
    <t>Motor Oil</t>
  </si>
  <si>
    <t>Naphtha</t>
  </si>
  <si>
    <t>Calculation of OM emission factor</t>
  </si>
  <si>
    <t>Others</t>
  </si>
  <si>
    <t>Wind</t>
  </si>
  <si>
    <t>Gross Production [GWh]</t>
  </si>
  <si>
    <t>Net Production [GWh]</t>
  </si>
  <si>
    <t>MW</t>
  </si>
  <si>
    <t>Relation</t>
  </si>
  <si>
    <t>Natural gas</t>
  </si>
  <si>
    <t>Liquid Fuels</t>
  </si>
  <si>
    <t>Total</t>
  </si>
  <si>
    <t>Total fossil fuels</t>
  </si>
  <si>
    <t>Net El. Prod. by fossil fuels</t>
  </si>
  <si>
    <t>Electricity Import</t>
  </si>
  <si>
    <t>Electricity supplied to grid by relevant sources</t>
  </si>
  <si>
    <t>OM Emission Factor</t>
  </si>
  <si>
    <t>3-year Generation Weighted Average OM</t>
  </si>
  <si>
    <r>
      <t>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-Emmissions [ktCO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]</t>
    </r>
  </si>
  <si>
    <t>N. Gas</t>
  </si>
  <si>
    <t>Capacity
in MW</t>
  </si>
  <si>
    <t>Fuel Type</t>
  </si>
  <si>
    <t>Waste Heat</t>
  </si>
  <si>
    <t>Steam</t>
  </si>
  <si>
    <t>Hydro (with Dam)</t>
  </si>
  <si>
    <t>Hydro (run of river)</t>
  </si>
  <si>
    <t>EROĞLU GİYİM (Çorlu) GR-I</t>
  </si>
  <si>
    <t>EKOLOJİK EN. (Kemerburgaz) GR-I</t>
  </si>
  <si>
    <t>HAYAT TEM. VE SAĞLIK GR I-II</t>
  </si>
  <si>
    <t>ANTALYA ENERJİ GR I-II-III-IV</t>
  </si>
  <si>
    <t>BOZ ENERJİ GR-I</t>
  </si>
  <si>
    <t>AMYLUM NİŞASTA (ADANA)</t>
  </si>
  <si>
    <t>KASTAMONU ENTEGRE (Balıkesir) GR-I</t>
  </si>
  <si>
    <t>ENTEK (Köseköy) GR-IV</t>
  </si>
  <si>
    <t>MARMARA ELEKTRİK (Çorlu) GR-I</t>
  </si>
  <si>
    <t>AYDIN ÖRME GR-I</t>
  </si>
  <si>
    <t>ERAK GİYİM GR-I</t>
  </si>
  <si>
    <t>EKOTEN TEKSTİL GR-I</t>
  </si>
  <si>
    <t>Biogas</t>
  </si>
  <si>
    <t>Geothermal</t>
  </si>
  <si>
    <t>ŞANLIURFA GR I-II</t>
  </si>
  <si>
    <t>MOLU EN. Zamantı Bahçelik GR I-II</t>
  </si>
  <si>
    <t>SU ENERJİ (Balıkesir) GR I-II</t>
  </si>
  <si>
    <t>EKİN (Başaran Hes) (Nazilli)</t>
  </si>
  <si>
    <t>NUH ENERJİ-2 GR-II</t>
  </si>
  <si>
    <t>N.Gas</t>
  </si>
  <si>
    <t>BOSEN</t>
  </si>
  <si>
    <t>ARENKO</t>
  </si>
  <si>
    <t>AKBAŞLAR</t>
  </si>
  <si>
    <t>STARWOOD</t>
  </si>
  <si>
    <t>KAREN</t>
  </si>
  <si>
    <t>AKTEKS</t>
  </si>
  <si>
    <t>KARTONSAN</t>
  </si>
  <si>
    <t>İGSAŞ</t>
  </si>
  <si>
    <t>DESA</t>
  </si>
  <si>
    <t>DENTAŞ</t>
  </si>
  <si>
    <t>İSKO</t>
  </si>
  <si>
    <t>SİİRT</t>
  </si>
  <si>
    <t>HABAŞ (ALİAĞA-ADDITION)</t>
  </si>
  <si>
    <t xml:space="preserve">MODERN ENERJİ </t>
  </si>
  <si>
    <t>ALTINMARKA GIDA</t>
  </si>
  <si>
    <t>TEKBOY ENERJİ</t>
  </si>
  <si>
    <t>VELSAN AKRİLİK</t>
  </si>
  <si>
    <t xml:space="preserve">AKBAŞLAR </t>
  </si>
  <si>
    <t>ORS RULMAN</t>
  </si>
  <si>
    <t>Acıbadem Sağlık Hiz.ve Tic.A.Ş(Nilüfer/BURSA)</t>
  </si>
  <si>
    <t>Acıbadem Sağlık Hiz.ve Tic.A.Ş(Kozyatağı Hast.)(İstanbul/Kadıköy)</t>
  </si>
  <si>
    <t>Acıbadem Sağlık Hiz.ve Tic.A.Ş(Kadıköy Hast.)(İstanbul/Kadıköy)</t>
  </si>
  <si>
    <t>AKATEKS Tekstil Sanayi ve Ticaret A.Ş.</t>
  </si>
  <si>
    <t>FLOKSER TEKSTİL SAN.AŞ.(Çatalça/istanbul)(Poliser Tesisi)</t>
  </si>
  <si>
    <t>FLOKSER TEKSTİL SAN.AŞ.(Çatalça/istanbul)(SüetserTesisi)</t>
  </si>
  <si>
    <t>FRİTOLAY GIDA SAN.VE TİC. AŞ.</t>
  </si>
  <si>
    <t>KIVANÇ TEKSTİL SAN.ve TİC.A.Ş.</t>
  </si>
  <si>
    <t>KİL-SAN KİL SAN.VE TİC. A.Ş</t>
  </si>
  <si>
    <t>SÜPERBOY BOYA SAN.ve Tic.Ltd.Şti.(Büyükçekmece/İstanbul)</t>
  </si>
  <si>
    <t>SWİSS OTEL(Anadolu Japan Turizm A.Ş (İstanbul)</t>
  </si>
  <si>
    <t>TAV Esenboğa Yatırım Yapım ve İşetme AŞ./ANKARA</t>
  </si>
  <si>
    <t>NUH ENERJİ-2(Nuh Çim.)</t>
  </si>
  <si>
    <t>TÜPRAŞ İZMİT RAFİNERİ</t>
  </si>
  <si>
    <t>UŞAK ŞEKER (NURİ ŞEKER)</t>
  </si>
  <si>
    <t>BOR ŞEKER</t>
  </si>
  <si>
    <t>SUSURLUK ŞEKER</t>
  </si>
  <si>
    <t>AFYON ŞEKER</t>
  </si>
  <si>
    <t>AĞRI ŞEKER</t>
  </si>
  <si>
    <t>ALPULLU ŞEKER</t>
  </si>
  <si>
    <t>BURDUR ŞEKER</t>
  </si>
  <si>
    <t>ÇARŞAMBA ŞEKER</t>
  </si>
  <si>
    <t>ÇORUM ŞEKER</t>
  </si>
  <si>
    <t>ELAZIĞ ŞEKER</t>
  </si>
  <si>
    <t>ELBİSTAN ŞEKER</t>
  </si>
  <si>
    <t>Motoroil</t>
  </si>
  <si>
    <t>ERCİŞ ŞEKER</t>
  </si>
  <si>
    <t>EREĞLİ ŞEKER</t>
  </si>
  <si>
    <t>KASTAMONU ŞEKER</t>
  </si>
  <si>
    <t>KÜTAHYA ŞEKER (BAHA ESAD TEKAND)</t>
  </si>
  <si>
    <t>MALATYA ŞEKER</t>
  </si>
  <si>
    <t>BOĞAZLIYAN ŞEKER</t>
  </si>
  <si>
    <t>ESKİŞEHİR END.ENERJİ</t>
  </si>
  <si>
    <t>ESKİŞEHİR ŞEKER (KAZIM TAŞKENT)</t>
  </si>
  <si>
    <t>SÜPER FİLMCİLİK</t>
  </si>
  <si>
    <t>Liqued Fuel + N.Gas</t>
  </si>
  <si>
    <t>ATAER ENERJİ</t>
  </si>
  <si>
    <t>BİL ENERJİ</t>
  </si>
  <si>
    <t>EDİP İPLİK</t>
  </si>
  <si>
    <t>EGE BİRLEŞİK ENERJİ</t>
  </si>
  <si>
    <t>Aliağa Çakmaktepe Enerji A.Ş.(Aliağa/İZMİR)</t>
  </si>
  <si>
    <t>BOSEN ENERJİ ELEKTRİK AŞ.</t>
  </si>
  <si>
    <t>Mamara Elektrik Üretim A.Ş.</t>
  </si>
  <si>
    <t>SAYENERJİ ELEKTRİK ÜRETİM AŞ. (Kayseri/OSB)</t>
  </si>
  <si>
    <t>T ENERJİ ÜRETİM AŞ.(İSTANBUL)</t>
  </si>
  <si>
    <t>Mardin Kızıltepe</t>
  </si>
  <si>
    <t>İDİL 2 (PS3 A- 2)</t>
  </si>
  <si>
    <t>İSKUR TEKSTİL (SÜLEYMANLI HES)</t>
  </si>
  <si>
    <t>BORÇKA HES</t>
  </si>
  <si>
    <t>KURTEKS Tekstil A.Ş./Kahramanmaraş(KARASU HES-Andırın)</t>
  </si>
  <si>
    <t>ÖZGÜR ELK.AŞ.(K.MARAŞ)(Tahta)</t>
  </si>
  <si>
    <t>ANEMON EN.ELEK.ÜRETİM.AŞ.</t>
  </si>
  <si>
    <t>BURGAZ RES (Doğal Enerji Üretim A.Ş.)</t>
  </si>
  <si>
    <t>Hydro (With Dam)</t>
  </si>
  <si>
    <t>RENEW.+WASTES</t>
  </si>
  <si>
    <t>VAN-2</t>
  </si>
  <si>
    <t>ALARKO ALTEK GR-III</t>
  </si>
  <si>
    <t>MARMARA PAMUK(Çorlu) GR-I</t>
  </si>
  <si>
    <t>ELSE TEKSTİL (Çorlu) GRI-II</t>
  </si>
  <si>
    <t>BARES IX GRUP</t>
  </si>
  <si>
    <t>SÖNMEZ ELEKTRİK (Çorlu) GRI-II</t>
  </si>
  <si>
    <t>MENDERES ELEKTRİK GR-I</t>
  </si>
  <si>
    <t>BARES X. ve XX. GRUPLAR</t>
  </si>
  <si>
    <t>ADANA ATIK SU ARITMA TESİSİ</t>
  </si>
  <si>
    <t>ŞIKMAKAS (Çorlu) GR-I</t>
  </si>
  <si>
    <t>ELBİSTAN B GR-III</t>
  </si>
  <si>
    <t>CAM İŞ ELEKTRİK (Mersin) GR-I</t>
  </si>
  <si>
    <t>ELBİSTAN B GR-II</t>
  </si>
  <si>
    <t>YILDIZ ENT. AĞAÇ (Kocaeli) GR-I</t>
  </si>
  <si>
    <t>ÇERKEZKÖY ENERJİ GR-I</t>
  </si>
  <si>
    <t>ENTEK (Köseköy) GR-V</t>
  </si>
  <si>
    <t>ITC-KA EN. MAMAK TOP.M. GR I-II-III</t>
  </si>
  <si>
    <t>ELBİSTAN B GR-IV</t>
  </si>
  <si>
    <t>MARE MANASTIR RÜZGAR (X GRUP)</t>
  </si>
  <si>
    <t>ÇIRAĞAN SARAYI GR-I</t>
  </si>
  <si>
    <t>ERTÜRK ELEKTRİK Tepe RES GR-I</t>
  </si>
  <si>
    <t>AKMAYA (Lüleburgaz) GR-I</t>
  </si>
  <si>
    <t>BURGAZ (Lüleburgaz) GR-I</t>
  </si>
  <si>
    <t>KARACAÖREN-II</t>
  </si>
  <si>
    <t>SEYHAN I-II</t>
  </si>
  <si>
    <t>BEREKET ENERJİ GÖKYAR HES 3 Grup</t>
  </si>
  <si>
    <t>BEREKET EN. (Mentaş Reg) GR I-II</t>
  </si>
  <si>
    <t>ERE (Sugözü rg. Kızıldüz hes) GR I-II</t>
  </si>
  <si>
    <t>ERE (AKSU REG. Ve ŞAHMALLAR HES) GR I-II</t>
  </si>
  <si>
    <t>TEKTUĞ (Kalealtı) GR I-II</t>
  </si>
  <si>
    <t>BEREKET EN. (Mentaş Reg) GR III</t>
  </si>
  <si>
    <t>Hydro (Run of River)</t>
  </si>
  <si>
    <t>ÖZGÜR ELK.AŞ.(K.MARAŞ)(Tahta)(Addition)</t>
  </si>
  <si>
    <t>YPM Ener.Yat.AŞ.(Konak Hydro)(Sivas/Suşehir)</t>
  </si>
  <si>
    <t>YPM Ener.Yat.AŞ.(Beypınar Hydro)(Sivas/Suşehir)</t>
  </si>
  <si>
    <t>YPM Ener.Yat.AŞ.(Altıntepe Hydro)(Sivas/Suşehir)</t>
  </si>
  <si>
    <t>TEKTUĞ(Keban River)</t>
  </si>
  <si>
    <t>İSKUR TEKSTİL (SÜLEYMANLI HYDRO)</t>
  </si>
  <si>
    <t>ZORLU EN.Kayseri (1 GT Addition)</t>
  </si>
  <si>
    <t>NUH ENERJİ-2 (Nuh Çim.)</t>
  </si>
  <si>
    <t>BİS Enerji Üretim AŞ.(Bursa)(Addition)</t>
  </si>
  <si>
    <t>BİS Enerji Üretim AŞ.(Bursa)(Revision)</t>
  </si>
  <si>
    <t>ITC-KA Enerji Üretim Aş.(Mamak)(Addition)</t>
  </si>
  <si>
    <t>ÇIRAĞAN SARAYI (Energy Ministry Omitted)</t>
  </si>
  <si>
    <t>DENİZLİ ÇİMENTO (Revision)</t>
  </si>
  <si>
    <t>EGm,y [GWh] (Sample Group for BM)</t>
  </si>
  <si>
    <t>Renewables</t>
  </si>
  <si>
    <t>Energy Source</t>
  </si>
  <si>
    <t>Effective CO2 emission factor (tCO2/TJ)</t>
  </si>
  <si>
    <t>CO2 Emission (ktCO2</t>
  </si>
  <si>
    <t>Sample Group Total Generation (GWh)</t>
  </si>
  <si>
    <t>Average Efficiency (ηm,y)</t>
  </si>
  <si>
    <t>CM</t>
  </si>
  <si>
    <t xml:space="preserve">    Hydro</t>
  </si>
  <si>
    <t xml:space="preserve">    Renewables and Waste</t>
  </si>
  <si>
    <t xml:space="preserve">    Geothermal and Wind</t>
  </si>
  <si>
    <t>Geot. and Wind</t>
  </si>
  <si>
    <t>Wind and Geo.</t>
  </si>
  <si>
    <t>Source</t>
  </si>
  <si>
    <t>Date of Commisioning</t>
  </si>
  <si>
    <t>Is the PP Low-Cost or Must Run?</t>
  </si>
  <si>
    <t>No</t>
  </si>
  <si>
    <t>Information to clearly identify the Plant (Name of the Plant)</t>
  </si>
  <si>
    <t/>
  </si>
  <si>
    <t>Annual Generation (GWh)</t>
  </si>
  <si>
    <t>Renew. and Wastes</t>
  </si>
  <si>
    <t>Sample Group for BM Factor Calculation (Latest Power Plants put in Operation in Turkey)</t>
  </si>
  <si>
    <t>1)</t>
  </si>
  <si>
    <t>2)</t>
  </si>
  <si>
    <t>3)</t>
  </si>
  <si>
    <t>(tCO2/MWh)</t>
  </si>
  <si>
    <t>Ref:</t>
  </si>
  <si>
    <t>References:</t>
  </si>
  <si>
    <t>BM</t>
  </si>
  <si>
    <t>4)</t>
  </si>
  <si>
    <t>http://www.epdk.org.tr/yayin_rapor/elektrik/yayin/uretimKapasiteProjeksiyonu.pdf</t>
  </si>
  <si>
    <t>http://www.epdk.org.tr/yayin_rapor/elektrik/yayin/uretimKapasiteProjeksiyonu2008_2017.pdf</t>
  </si>
  <si>
    <t>http://cdm.unfccc.int/methodologies/PAmethodologies/tools/am-tool-07-v2.pdf</t>
  </si>
  <si>
    <t>http://www.teias.gov.tr/istatistik2008/44.xls</t>
  </si>
  <si>
    <t>http://www.teias.gov.tr/istatistik2008/32(75-08).xls</t>
  </si>
  <si>
    <t xml:space="preserve">http://www.teias.gov.tr/projeksiyon/KAPASITEPROJEKSIYONU2009.pdf </t>
  </si>
  <si>
    <t>MB ŞEKER NİŞASTA SAN.A.Ş. (Sultanhanı)</t>
  </si>
  <si>
    <t>AKSA ENERJİ (Antalya)</t>
  </si>
  <si>
    <t>AKSA ENERJİ (Manisa)</t>
  </si>
  <si>
    <t>ANTALYA ENERJİ (Addition)</t>
  </si>
  <si>
    <t>ATAÇ İNŞAAT SAN. A.S.B. (ANTALYA)</t>
  </si>
  <si>
    <t>BAHÇIVAN GIDA (LÜLEBURGAZ)</t>
  </si>
  <si>
    <t>CAN ENERJİ (Çorlu - Tekirdağ) (Addition)</t>
  </si>
  <si>
    <t>FOUR SEASONS OTEL (ATİK PASHA TUR. A.Ş.)</t>
  </si>
  <si>
    <t>FRİTOLAY GIDA SAN.VE TİC. AŞ. (Addition)</t>
  </si>
  <si>
    <t>Waste</t>
  </si>
  <si>
    <t>KARKEY (SİLOPİ-5) (154 kV) (Addition)</t>
  </si>
  <si>
    <t>MELİKE TEKSTİL (GAZİANTEP)</t>
  </si>
  <si>
    <t>MİSİS APRE TEKSTİL BOYA EN. SAN.</t>
  </si>
  <si>
    <t>MODERN ENERJİ (LÜLEBURGAZ)</t>
  </si>
  <si>
    <t>ORTADOĞU ENERJİ (ODA YERİ) (Eyüp/İST.)</t>
  </si>
  <si>
    <t>POLAT TURZ. (POLAT RENAISSANCE İST. OT.)</t>
  </si>
  <si>
    <t>SARAYKÖY JEOTERMAL (Denizli)</t>
  </si>
  <si>
    <t>YILDIZ SUNTA (Uzunçiftlik - Köseköy) (Revision)</t>
  </si>
  <si>
    <t>SÖNMEZ Elektrik (Addition)</t>
  </si>
  <si>
    <t>AKKÖY ENERJİ (AKKÖY I HES)</t>
  </si>
  <si>
    <t>ALP ELEKTRİK (TINAZTEPE) ANTALYA</t>
  </si>
  <si>
    <t>CANSU ELEKTRİK (MURGUL/ARTVİN)</t>
  </si>
  <si>
    <t>ÇALDERE ELEKT. (ÇALDERE HES) Dalaman - MUĞLA</t>
  </si>
  <si>
    <t>DAREN HES ELKT. (SEYRANTEPE BARAJI VE HES)</t>
  </si>
  <si>
    <t>DEĞİRMENÜSTÜ EN. (KAHRAMANMARAŞ)</t>
  </si>
  <si>
    <t>GÖZEDE HES (TEMSA ELEKTRİK) BURSA</t>
  </si>
  <si>
    <t>H.G.M ENERJİ (KEKLİCEK HES) (Yeşilyurt)</t>
  </si>
  <si>
    <t>HAMZALI HES (TURKON MNG ELEKTRİK)</t>
  </si>
  <si>
    <t>HİDRO KNT. (YUKARI MANAHOZ REG. VE HES)</t>
  </si>
  <si>
    <t>İÇ-EN ELK. (ÇALKIŞLA REGÜLATÖRÜ VE HES)</t>
  </si>
  <si>
    <t>KALEN ENERJİ (KALEN II REGÜLAT. VE HES)</t>
  </si>
  <si>
    <t>MARAŞ ENERJİ (FIRNIS REGÜLATÖRÜ VE HES)</t>
  </si>
  <si>
    <t>SARMAŞIK I HES (FETAŞ FETHİYE ENERJİ)</t>
  </si>
  <si>
    <t>SARMAŞIK II HES (FETAŞ FETHİYE ENERJİ)</t>
  </si>
  <si>
    <t>TORUL</t>
  </si>
  <si>
    <t>YEŞİL ENERJİ ELEKTRİK (TAYFUN HES)</t>
  </si>
  <si>
    <t>ZORLU ENERJİ (MERCAN) (Revision)</t>
  </si>
  <si>
    <t>BAKİ ELEKTRİK ŞAMLI RÜZGAR</t>
  </si>
  <si>
    <t>DATÇA RES (Datça)</t>
  </si>
  <si>
    <t>ERTÜRK ELEKTRİK Çatalca RES</t>
  </si>
  <si>
    <t>İNNORES ELK YUNTDAĞ RÜZG. (Aliağa)</t>
  </si>
  <si>
    <t>LODOS RES (Taşoluk) (G.O.P./İSTANBUL)</t>
  </si>
  <si>
    <t>SAYALAR RÜZGAR (Doğal Enerji)</t>
  </si>
  <si>
    <t>SEBENOBA (DENİZLİ ELK.) (Samandağ - HATAY)</t>
  </si>
  <si>
    <t>TOTAL OF SAMPLE GROUP</t>
  </si>
  <si>
    <t>ANEMON EN.ELEK.ÜRETİM.AŞ. (Addition)</t>
  </si>
  <si>
    <t>DENİZ ELEK. ÜRETİM Ltd.Şti. (Karakurt)</t>
  </si>
  <si>
    <t>MARE MANASTIR RÜZGAR ENERJİ (Addition)</t>
  </si>
  <si>
    <t>REFs for Sample Group PPs:</t>
  </si>
  <si>
    <t>Page 95 for 2008 Plants and Pages 82-94 for Fuel Types and Generation Amounts</t>
  </si>
  <si>
    <t>For Efs see Table 1.4 of IPPC Guidelines (95% Lower Confidence Interval):</t>
  </si>
  <si>
    <t>http://www.ipcc-nggip.iges.or.jp/public/2006gl/pdf/2_Volume2/V2_1_Ch1_Introduction.pdf</t>
  </si>
  <si>
    <t>http://www.dpt.gov.tr/DocObjects/Icerik/4225/Enerji_Hammaddeleri_(Linyit_Taskömuru-Jeotermal)</t>
  </si>
  <si>
    <t>-For Fuel Oil Plants: 'Gas/Diesel Oil' data is used for conservativness</t>
  </si>
  <si>
    <t>And at the Table-2 in page 157 of the same report Taşkömürü is dived two groups:</t>
  </si>
  <si>
    <t xml:space="preserve">-For Coal, at the page 205 of the below offical document it is stated that Çolakoğlu and İçdaş uses 'Taşkömürü' (Hardcoal). </t>
  </si>
  <si>
    <t>Bituminous and Antharcite. Since Sub-Bituminous Coal is under Brown Coal in the same table and since Other Bituminous Coal</t>
  </si>
  <si>
    <t>has lower EF than Antharcite in 1.4 of IPCC Guidelines, EF for 'Other Bituminous Coal' is used.</t>
  </si>
  <si>
    <t xml:space="preserve">  -------&gt;</t>
  </si>
  <si>
    <t>Renew+Waste</t>
  </si>
  <si>
    <t>Heating Values of Fuels (Tcal)</t>
  </si>
  <si>
    <t>Energy Sources</t>
  </si>
  <si>
    <t>Hard Coal+Imported Coal</t>
  </si>
  <si>
    <t xml:space="preserve">Fuel Oil </t>
  </si>
  <si>
    <t>Diesel Oil</t>
  </si>
  <si>
    <t>Lpg</t>
  </si>
  <si>
    <t>Naphta</t>
  </si>
  <si>
    <t>Fossil Fuel Consumption Amounts (ton, 1000 m3 for Natural Gas)</t>
  </si>
  <si>
    <t>Tcal      =</t>
  </si>
  <si>
    <t>TJ</t>
  </si>
  <si>
    <t>Net Calorific Values of Fuels and Emission Factor (EFi)</t>
  </si>
  <si>
    <t>NCVi 2008 (TJ/Gg)</t>
  </si>
  <si>
    <t>EFCO2, I (kg/TJ)</t>
  </si>
  <si>
    <t>Total CO2 Emission Due to Fossil Fuels for Electricity Generation (ktCO2)</t>
  </si>
  <si>
    <r>
      <rPr>
        <b/>
        <sz val="8"/>
        <rFont val="Verdana"/>
        <family val="2"/>
        <charset val="162"/>
      </rPr>
      <t>Sheet</t>
    </r>
    <r>
      <rPr>
        <sz val="8"/>
        <rFont val="Verdana"/>
        <family val="2"/>
      </rPr>
      <t>: Total CO2 for OM</t>
    </r>
  </si>
  <si>
    <t>(page 18, it is stated that for the pulverized lignite PPS, the highest electrical efficiency rate is 38%)</t>
  </si>
  <si>
    <r>
      <rPr>
        <b/>
        <u/>
        <sz val="8"/>
        <rFont val="Verdana"/>
        <family val="2"/>
        <charset val="162"/>
      </rPr>
      <t>Notes:</t>
    </r>
    <r>
      <rPr>
        <sz val="8"/>
        <rFont val="Verdana"/>
        <family val="2"/>
      </rPr>
      <t xml:space="preserve"> For Additions, the generation amount is calculated by interpolating the total generation amount, total installed power and the capacity addition.</t>
    </r>
  </si>
  <si>
    <t>Presentation of Mr. Sefer Bütün (General Manager of EUAS) - Available to DOE</t>
  </si>
  <si>
    <t>MWh/year</t>
  </si>
  <si>
    <t>Year</t>
  </si>
  <si>
    <t>Estimation of baseline emissions 
(tonnes of CO2e)</t>
  </si>
  <si>
    <t>Estimation of leakage 
(tonnes of CO2e)</t>
  </si>
  <si>
    <t>Total (tonnes of CO2e)</t>
  </si>
  <si>
    <t>GS PASSPORT - MONITORING PLAN, TABLE NO: 1</t>
  </si>
  <si>
    <t>Calculation of Reduction of CO and NMVOC Emission Amounts for Air Quality Indicator of Sustainable Development Matrix</t>
  </si>
  <si>
    <t>Emissions</t>
  </si>
  <si>
    <t>Emission per GWh (tons/GWh)</t>
  </si>
  <si>
    <t>Net Annual Electricity Generation of Project Activity (GWh/y)</t>
  </si>
  <si>
    <t>Avoided Emission Amount by Project Activity per year (tons/y)</t>
  </si>
  <si>
    <t>CO</t>
  </si>
  <si>
    <t>NMVOC</t>
  </si>
  <si>
    <t>* For Nox:</t>
  </si>
  <si>
    <t>GS PASSPORT - MONITORING PLAN, TABLE NO: 2</t>
  </si>
  <si>
    <t>Calculation of Avoidance of  Wastewater Discharge Amount for Water Quality and Quantity Indicator of Sustainable Development Matrix</t>
  </si>
  <si>
    <t>Annual Electricity Generation of Project Activity (GWh/y)</t>
  </si>
  <si>
    <t>Amount of Avoided Wastewater Discharge per year by Project Activity (x1000 m3/y)</t>
  </si>
  <si>
    <t>Amount of Avoided Wastewater Discharge by Project Activity per year (x1000 m3/y) (3)</t>
  </si>
  <si>
    <t>Amount of Avoided Wastewater Discharge by Project Activity per year (x1000 m3/y)</t>
  </si>
  <si>
    <t>(1) For Wastewater discharged:</t>
  </si>
  <si>
    <t>(Below the page to be onepd , Table-2 cell A5)</t>
  </si>
  <si>
    <t>GS PASSPORT - MONITORING PLAN, TABLE NO: 3</t>
  </si>
  <si>
    <t>Calculation of Reduction of Nox Emission Amount for Soil Condition Indicator of Sustainable Development Matrix</t>
  </si>
  <si>
    <t>Emission</t>
  </si>
  <si>
    <t>Nox</t>
  </si>
  <si>
    <t>GS PASSPORT - MONITORING PLAN, TABLE NO: 8</t>
  </si>
  <si>
    <t>Calculation of Amount of Avoided Natural Gas Imported for Balance of Payment and Investment Indicator of Sustainable Development Matrix</t>
  </si>
  <si>
    <t>Amount of Natural Gas Combusted for Electricity Generation in 2008 (m3) (1)</t>
  </si>
  <si>
    <t>Amount of Electricity Generated with Natural Gas in 2008 (GWh) (2)</t>
  </si>
  <si>
    <t>Amount of Natural Gas Combusted for each GWh electricity Generation in 2008 (m3/GWh)</t>
  </si>
  <si>
    <t>Share of Import for Natural Gas Consumption in Turkey (3)</t>
  </si>
  <si>
    <t>Share of Natural Gas in Turkish Electricity Mix in 2008 (4)</t>
  </si>
  <si>
    <t>Amount of Avoided Imported Natural Gas by each GWh of Project Electricity Generation in 2008 (m3/GWh)</t>
  </si>
  <si>
    <t>Amount of Avoided Imported Natural Gas by Project Activity per year (m3)</t>
  </si>
  <si>
    <t>Natural Gas Unit Price (TL/m3) (5)</t>
  </si>
  <si>
    <t>Total Payment Avoided for Natural Gas Import by the Project per year (TL)</t>
  </si>
  <si>
    <t>Total Payment Avoided for Natural Gas Import by the Project per year (Euro)</t>
  </si>
  <si>
    <t>(1) See:</t>
  </si>
  <si>
    <t>(cell G43)</t>
  </si>
  <si>
    <t>(2) See:</t>
  </si>
  <si>
    <t>(cell L46)</t>
  </si>
  <si>
    <t>(3) See</t>
  </si>
  <si>
    <t xml:space="preserve">http://www.informaworld.com/smpp/content~content=a791654927&amp;db=all </t>
  </si>
  <si>
    <t>(Natural Gas production of Turkey is 3% of its consumption)</t>
  </si>
  <si>
    <t>(4) See:</t>
  </si>
  <si>
    <t>http://www.teias.gov.tr/istatistik2008/33.xls</t>
  </si>
  <si>
    <t>(cell J93)</t>
  </si>
  <si>
    <t>(5) See:</t>
  </si>
  <si>
    <t>http://www.igdas.com.tr/Dynamic/Institutional_Natural_Gas_Price_List.aspx?MI=3&amp;CMI=330&amp;MCI=122</t>
  </si>
  <si>
    <t>('Serbest Tüketici Fiyatı')</t>
  </si>
  <si>
    <t>(cell T7)</t>
  </si>
  <si>
    <t>* For CO:</t>
  </si>
  <si>
    <t>** From D29 cell of 'OM' sheet.</t>
  </si>
  <si>
    <t>(3) Water will be used only for daily consumption. 10 workers will be employed during operation. Daily water usage per worker is 0,15 m3</t>
  </si>
  <si>
    <t>Generation During Total Crediting Period</t>
  </si>
  <si>
    <t>(CM = OM*0,5 + BM*0,5)</t>
  </si>
  <si>
    <t>NCVi 2009 (TJ/Gg)</t>
  </si>
  <si>
    <t>TOTAL (2007-2009)</t>
  </si>
  <si>
    <t>ITC-KA ENERJİ MAMAK KATI ATIK TOP.MERK.</t>
  </si>
  <si>
    <t>ERDEMİR(Ereğli-Zonguldak)</t>
  </si>
  <si>
    <t>TAV İSTANBUL TERMİNAL İŞLETME. A.Ş.</t>
  </si>
  <si>
    <t>KASAR DUAL TEKSTİL SAN. A.Ş. (Çorlu)</t>
  </si>
  <si>
    <t>GÜRMAT ELEKT. (GÜRMAT JEOTERMAL)</t>
  </si>
  <si>
    <t xml:space="preserve">DELTA ENERJİ ÜRETİM VE TİC.A.Ş. </t>
  </si>
  <si>
    <t>KEN KİPAŞ ELKT. ÜR.(KAREN) (K.Maraş)</t>
  </si>
  <si>
    <t>TESKO KİPA KİTLE PAZ. TİC. VE GIDA A.Ş.</t>
  </si>
  <si>
    <t>SİLOPİ ELEKTRİK ÜRETİM A.Ş.</t>
  </si>
  <si>
    <t>MAURİ MAYA SAN. A.Ş.</t>
  </si>
  <si>
    <t>MARMARA PAMUKLU MENS. SN.TİC.A.Ş.</t>
  </si>
  <si>
    <t>ORTADOĞU ENERJİ (KÖMÜRCÜODA)</t>
  </si>
  <si>
    <t>ITC-KA ENERJİ (SİNCAN)</t>
  </si>
  <si>
    <t>GLOBAL ENERJİ (PELİTLİK)</t>
  </si>
  <si>
    <t>RASA ENERJİ (VAN)</t>
  </si>
  <si>
    <t>DALSAN ALÇI SAN. VE TİC. A.Ş.</t>
  </si>
  <si>
    <t>AK GIDA SAN. VE TİC. A.Ş. (Pamukova)</t>
  </si>
  <si>
    <t xml:space="preserve">SELKASAN KAĞIT PAKETLEME MALZ. İM. </t>
  </si>
  <si>
    <t>FALEZ ELEKTRİK ÜRETİMİ A.Ş.</t>
  </si>
  <si>
    <t>SİLOPİ ELEKTRİK ÜRETİM A.Ş.(ESENBOĞA)</t>
  </si>
  <si>
    <t>AKSA ENERJİ (MANİSA) (Addition)</t>
  </si>
  <si>
    <t>ORTADOĞU ENERJİ (ODA YERİ) (Addition)</t>
  </si>
  <si>
    <t>SÖNMEZ ELEKTRİK(Uşak) (Addition)</t>
  </si>
  <si>
    <t>NUH ÇİMENTO SAN. TİC. A.Ş.(Nuh Çim.) (Addition)</t>
  </si>
  <si>
    <t>AKSA ENERJİ (Antalya) (Addition)</t>
  </si>
  <si>
    <t>ZORLU ENERJİ (B.Karıştıran) (Addition)</t>
  </si>
  <si>
    <t>İÇDAŞ ÇELİK (Addition)</t>
  </si>
  <si>
    <t>DELTA ENERJİ ÜRETİM VE TİC.A.Ş. (Addition)</t>
  </si>
  <si>
    <t>CAM İŞ ELEKTRİK (Mersin) (Addition)</t>
  </si>
  <si>
    <t>TAŞOVA YENİDEREKÖY HES (HAMEKA A.Ş.)</t>
  </si>
  <si>
    <t>TEKTUĞ (Erkenek)</t>
  </si>
  <si>
    <t>BAĞIŞLI REG. VE HES (CEYKAR ELEKT.)</t>
  </si>
  <si>
    <t>TOCAK I HES (YURT ENERJİ ÜRETİM SN.)</t>
  </si>
  <si>
    <t>BEYOBASI EN. ÜR. A.Ş. (SIRMA HES)</t>
  </si>
  <si>
    <t>ÖZYAKUT ELEK. ÜR.A.Ş. (GÜNEŞLİ HES)</t>
  </si>
  <si>
    <t>LAMAS III - IV HES (TGT ENERJİ ÜRETİM)</t>
  </si>
  <si>
    <t>YPM SEVİNDİK HES (Suşehri/SİVAS)</t>
  </si>
  <si>
    <t>YPM GÖLOVA HES (Suşehri/SİVAS)</t>
  </si>
  <si>
    <t>BEREKET ENERJİ (KOYULHİSAR HES)</t>
  </si>
  <si>
    <t>KALEN ENERJİ (KALEN  I - II HES)</t>
  </si>
  <si>
    <t>CİNDERE HES (Denizli)</t>
  </si>
  <si>
    <t>ŞİRİKÇİOĞLU EL.(KOZAK BENDİ VE HES)</t>
  </si>
  <si>
    <t>AKUA ENERJİ (KAYALIK REG. VE HES)</t>
  </si>
  <si>
    <t xml:space="preserve">KAYEN ALFA ENERJİ (KALETEPE HES) </t>
  </si>
  <si>
    <t>OBRUK HES</t>
  </si>
  <si>
    <t>ANADOLU ELEKTRİK (ÇAKIRLAR HES)</t>
  </si>
  <si>
    <t>ÖZTAY ENERJİ (GÜNAYŞE REG.VE HES)</t>
  </si>
  <si>
    <t>AKÇAY HES ELEKTRİK ÜR. (AKÇAY HES)</t>
  </si>
  <si>
    <t xml:space="preserve">ELESTAŞ ELEKTRİK (YAYLABEL HES) </t>
  </si>
  <si>
    <t>FİLYOS ENERJİ (YALNIZCA REG. VE HES)</t>
  </si>
  <si>
    <t>ERVA ENERJİ (KABACA REG. VE HES)</t>
  </si>
  <si>
    <t xml:space="preserve">ELESTAŞ ELEKTRİK (YAZI HES) </t>
  </si>
  <si>
    <t>YAPISAN (KARICA REG. ve DARICA I HES)</t>
  </si>
  <si>
    <t>TÜM ENERJİ (PINAR REG. VE HES)</t>
  </si>
  <si>
    <t>REŞADİYE 3 HES (TURKON MNG ELEKT.)</t>
  </si>
  <si>
    <t>SARITEPE HES (GENEL DİNAMİK SİS.EL.)</t>
  </si>
  <si>
    <t>UZUNÇAYIR HES (Tunceli)</t>
  </si>
  <si>
    <t xml:space="preserve">YEŞİLBAŞ ENERJİ (YEŞİLBAŞ HES) </t>
  </si>
  <si>
    <t>ÖZGÜR ELEKTRİK (AZMAK II REG.VE HES)</t>
  </si>
  <si>
    <t>BAKİ ELEKTRİK  ŞAMLI RÜZGAR</t>
  </si>
  <si>
    <t>AYEN ENERJİ A.Ş. AKBÜK RÜZGAR</t>
  </si>
  <si>
    <t>ALİZE ENERJİ (ÇAMSEKİ RES)</t>
  </si>
  <si>
    <t>ALİZE ENERJİ (KELTEPE RES)</t>
  </si>
  <si>
    <t>ROTOR ELEKTRİK (OSMANİYE RES)</t>
  </si>
  <si>
    <t>ÜTOPYA ELEKTRİK (DÜZOVA RES)</t>
  </si>
  <si>
    <t xml:space="preserve">AK ENERJİ (AYYILDIZ RES) </t>
  </si>
  <si>
    <t>SOMA ENERJİ ÜRETİM (SOMA RES)</t>
  </si>
  <si>
    <t>MAZI-3 RES ELEKT.ÜR. A.Ş. (MAZI-3 RES)</t>
  </si>
  <si>
    <t>BORASKO ENERJİ (BANDIRMA RES)</t>
  </si>
  <si>
    <t>BELEN ELEKTRİK BELEN RÜZGAR-HATAY</t>
  </si>
  <si>
    <t>ALİZE ENERJİ (SARIKAYA RES) (Şarköy)</t>
  </si>
  <si>
    <t>KORES KOCADAĞ RES (Urla/İZMİR)</t>
  </si>
  <si>
    <t>Landfill Gas</t>
  </si>
  <si>
    <t>Imported coal</t>
  </si>
  <si>
    <t>TEKTUĞ (Erkenek) (Additon)</t>
  </si>
  <si>
    <t>AYEN ENERJİ A.Ş. AKBÜK RÜZGAR (Addition)</t>
  </si>
  <si>
    <t>DATÇA RES (Datça) (Addition)</t>
  </si>
  <si>
    <t>SOMA ENERJİ ÜRETİM (SOMA RES)(Addition)</t>
  </si>
  <si>
    <t>AKSA AKRİLİK KİMYA SN. A.Ş. (YALOVA)</t>
  </si>
  <si>
    <t>ARENKO ELEKTRİK ÜRETİM A.Ş. (Denizli)</t>
  </si>
  <si>
    <t xml:space="preserve">DESA ENERJİ ELEKTRİK ÜRETİM A.Ş. </t>
  </si>
  <si>
    <t>TÜPRAŞ  RAFİNERİ(Aliağa/İzmir)</t>
  </si>
  <si>
    <t>http://www.teias.gov.tr/projeksiyon/KAPASITE%20PROJEKSIYONU%202010.pdf</t>
  </si>
  <si>
    <t>Asphaltit</t>
  </si>
  <si>
    <t>GS368</t>
  </si>
  <si>
    <t>GS347</t>
  </si>
  <si>
    <t>GS439</t>
  </si>
  <si>
    <t>VCS66</t>
  </si>
  <si>
    <t>VCS363</t>
  </si>
  <si>
    <t>GS633</t>
  </si>
  <si>
    <t>GS351</t>
  </si>
  <si>
    <t>GS438</t>
  </si>
  <si>
    <t>GS367</t>
  </si>
  <si>
    <t>GS352</t>
  </si>
  <si>
    <t>GS369</t>
  </si>
  <si>
    <t>VCS553</t>
  </si>
  <si>
    <t>GS440</t>
  </si>
  <si>
    <t>GS707</t>
  </si>
  <si>
    <t>GS675</t>
  </si>
  <si>
    <t>GS636</t>
  </si>
  <si>
    <t>GS618</t>
  </si>
  <si>
    <t>VCS506</t>
  </si>
  <si>
    <t>GS645</t>
  </si>
  <si>
    <t>VCS554</t>
  </si>
  <si>
    <t>GS436</t>
  </si>
  <si>
    <t>GS399</t>
  </si>
  <si>
    <t>GS437</t>
  </si>
  <si>
    <t>GS474</t>
  </si>
  <si>
    <t>GS672</t>
  </si>
  <si>
    <t>GS634</t>
  </si>
  <si>
    <t>GS655</t>
  </si>
  <si>
    <t>GS388</t>
  </si>
  <si>
    <t>GS744</t>
  </si>
  <si>
    <t>GS390</t>
  </si>
  <si>
    <t>GS577</t>
  </si>
  <si>
    <t>GS601</t>
  </si>
  <si>
    <t>Project ID</t>
  </si>
  <si>
    <t xml:space="preserve">-For Coal, at the page 205 of the below offical document it is stated that İçdaş uses 'Taşkömürü' (Hardcoal). </t>
  </si>
  <si>
    <t xml:space="preserve">www.icdas.com.tr/icdas/enerji_en.htm </t>
  </si>
  <si>
    <t>For efficiency rates of Natural Gas and Fuel-Oil Power Plants See Annex-1 of the Tool (highest rate is applied to be conservative):</t>
  </si>
  <si>
    <t>Company webpage:</t>
  </si>
  <si>
    <t>In order to be conservative, highest efficiency rate for fludized bed type technologies in Annex-1 of the Tool is applied (41.5%).</t>
  </si>
  <si>
    <t>Page 98-100 for 2009 Plants and Pages 85-97 for Fuel Types and Generation Amounts</t>
  </si>
  <si>
    <t>Page 76-77 for 2006 Plants and 67-75 for Generation Amounts</t>
  </si>
  <si>
    <t>Page 121-122 for 2007 Plants and 111-120 for Generation Amounts (some dates are by error typed as 2003 by TEIAS)</t>
  </si>
  <si>
    <t>For efficiency rates of Lignite PP in Sample group (ie: Elbistan GR II-III-IV with ID No:88,94,99) see:</t>
  </si>
  <si>
    <t>For efficiency rate of Coal PP in sample group (ie: İÇDAŞ with ID No: 274 and 279) according to company information Fludized bed type technology is applied.</t>
  </si>
  <si>
    <t>Eti Soda</t>
  </si>
  <si>
    <t>Can Tekstil</t>
  </si>
  <si>
    <t>Gaziantep Landfill</t>
  </si>
  <si>
    <t>GS745</t>
  </si>
  <si>
    <t>Akbaşlar (Addition)</t>
  </si>
  <si>
    <t>Konya Şeker</t>
  </si>
  <si>
    <t>Yıldız Entegre Ağaç (kocaeli)</t>
  </si>
  <si>
    <t>Cengiz Enerji</t>
  </si>
  <si>
    <t>Simko (Kartal)</t>
  </si>
  <si>
    <t xml:space="preserve">Uğur Enerji </t>
  </si>
  <si>
    <t>Söktaş</t>
  </si>
  <si>
    <t>Nafta</t>
  </si>
  <si>
    <t>Aksa Enerji (Antalya)</t>
  </si>
  <si>
    <t>ALTEK ALARKO Elektrik Santralleri</t>
  </si>
  <si>
    <t>Eren Enerji</t>
  </si>
  <si>
    <t>Flokser Tekstil (Çerkezköy/Tekirdağ)</t>
  </si>
  <si>
    <t>RB Karesi İthalat İhracat Tekstil</t>
  </si>
  <si>
    <t>Keskinoğlu Tavukçuluk ve Dam. İşl.</t>
  </si>
  <si>
    <t>Binatom Elektrik Üretim A.Ş.</t>
  </si>
  <si>
    <t>CAN ENERJİ (Çorlu - Tekirdağ)</t>
  </si>
  <si>
    <t>Kurtoğlu Bakır Kurşun San.A.Ş.</t>
  </si>
  <si>
    <t>Sönmez Enerji Üretim (Uşak)</t>
  </si>
  <si>
    <t>Biomass</t>
  </si>
  <si>
    <t>ITC-KA Adana Biyokütle Sant.</t>
  </si>
  <si>
    <t>GS715</t>
  </si>
  <si>
    <t>Kırka Boraks</t>
  </si>
  <si>
    <t>Enerji-SA (Bandırma)</t>
  </si>
  <si>
    <t>Uğur Enerji (Addition)</t>
  </si>
  <si>
    <t>Eren Enerji (Addition)</t>
  </si>
  <si>
    <t>MARMARA PAMUKLU MENS. SN.TİC.A.Ş. (Addition)</t>
  </si>
  <si>
    <t>Aliağa Çakmaktepe Enerji A.Ş.(Aliağa/İZMİR) (Addition)</t>
  </si>
  <si>
    <t>Sönmez Enerji Üretim (Uşak) (Addition)</t>
  </si>
  <si>
    <t>Ak-Enerji (Uşak OSB)</t>
  </si>
  <si>
    <t>Ak-Enerji (DG+N) (Deba-Denizli)</t>
  </si>
  <si>
    <t>Polyplex Europa Polyester Film</t>
  </si>
  <si>
    <t>Aksa Enerji (Demirtaş/Bursa)</t>
  </si>
  <si>
    <t>RASA ENERJİ (VAN) (Addition)</t>
  </si>
  <si>
    <t>International Hospital Istanbul</t>
  </si>
  <si>
    <t>Tuzla Jeotermal</t>
  </si>
  <si>
    <t>GS353</t>
  </si>
  <si>
    <t>Menderes Jeotermal Dora-2</t>
  </si>
  <si>
    <t>GS445</t>
  </si>
  <si>
    <t>Selimoğlu Reg. Ve Hes</t>
  </si>
  <si>
    <t>GS635</t>
  </si>
  <si>
    <t>Kulp IV HES</t>
  </si>
  <si>
    <t>Bayburt Hes</t>
  </si>
  <si>
    <t>Cindere HES (Denizli) (Addition)</t>
  </si>
  <si>
    <t>UZUNÇAYIR HES (Tunceli) (Addition)</t>
  </si>
  <si>
    <t xml:space="preserve">Alakır Hes. </t>
  </si>
  <si>
    <t>Peta Müh. En. (Mursal II Hes.)</t>
  </si>
  <si>
    <t>Asa Enerji (Kale Reg. Ve Hes.)</t>
  </si>
  <si>
    <t>GS637</t>
  </si>
  <si>
    <t>Hetaş Hacısalihoğlu (Yıldızlı Hes)</t>
  </si>
  <si>
    <t>Doğubay Elektrik (Sarımehmet Hes)</t>
  </si>
  <si>
    <t>Nuryol Enerji (Defne Reg. Ve hes.)</t>
  </si>
  <si>
    <t>ÖZGÜR ELEKTRİK (AZMAK I REG.VE HES)</t>
  </si>
  <si>
    <t>Birim Hidr. Üretim A.Ş. (Erfelek Hes)</t>
  </si>
  <si>
    <t>Beytek El. Ür. A.Ş. (Çataloluk Hes.)</t>
  </si>
  <si>
    <t>GS872</t>
  </si>
  <si>
    <t>Nisan E. Mekanik En. (Başak Reg. Hes.)</t>
  </si>
  <si>
    <t>Fırtına Elektrik Üretim A.Ş. (Sümer Hes)</t>
  </si>
  <si>
    <t>Karadeniz El. Üret. (Uzundere-1 Hes)</t>
  </si>
  <si>
    <t>Akım Enerji (Cevizli Reg. Ve Hes.)</t>
  </si>
  <si>
    <t>Çakıt Hes. (Çakıt Enerji)</t>
  </si>
  <si>
    <t>VCS685</t>
  </si>
  <si>
    <t>Ceyhan Hes. (Oşkan Hes.) (Enova En.)</t>
  </si>
  <si>
    <t>Erenler Reg. Ve Hes. (BME Bir. Müt. En.)</t>
  </si>
  <si>
    <t>Paşa Reg. Ve Hes (Özgür Elektrik)</t>
  </si>
  <si>
    <t>GS681</t>
  </si>
  <si>
    <t>Güzelçay-I-II Hes (İlk Elektrik Enerji)</t>
  </si>
  <si>
    <t>Kale Reg. Ve Hes (Kale Enerji Ür.)</t>
  </si>
  <si>
    <t>Erikli-Akocak Reg. Ve Hes</t>
  </si>
  <si>
    <t>VCS535</t>
  </si>
  <si>
    <t>Çamlıkaya Reg. Ve Hes</t>
  </si>
  <si>
    <t>Dinar Hes. (Elda Elekrik Üretim)</t>
  </si>
  <si>
    <t>Damlapınar Hes. (Cenay Elektrik Üretim)</t>
  </si>
  <si>
    <t>Dim Hes (Diler Elektrik Üretim)</t>
  </si>
  <si>
    <t>Kirpilik Reg. Ve Hes (Özgür Elektrik)</t>
  </si>
  <si>
    <t>Yavuz Reg. Ve Hes (Masat Enerji)</t>
  </si>
  <si>
    <t>Kayabükü Reg. Ve Hes (Elite Elektrik)</t>
  </si>
  <si>
    <t>GS726</t>
  </si>
  <si>
    <t>Gök Reg. Ve Hes (Gök Enerji El. San.)</t>
  </si>
  <si>
    <t>Bulam Reg. Ve Hes (MEM Enerji ELK.)</t>
  </si>
  <si>
    <t>GS642</t>
  </si>
  <si>
    <t>Karşıyaka HES (Akua Enerji Üret.)</t>
  </si>
  <si>
    <t>Ceyhan Hes. (Berkman Hes) (Enova En.)</t>
  </si>
  <si>
    <t>Tektuğ Elektrik (Andırın Hes)</t>
  </si>
  <si>
    <t>Selen Elektrik (Kepezkaya Hes)</t>
  </si>
  <si>
    <t>GS644</t>
  </si>
  <si>
    <t>REŞADİYE 2 HES (TURKON MNG ELEKT.)</t>
  </si>
  <si>
    <t>Kozan Hes (Ser-Er Enerji)</t>
  </si>
  <si>
    <t>Kahraman Reg. Ve Hes (Katırcıoğlu)</t>
  </si>
  <si>
    <t>Narinkale Reg. Ve Hes (EBD Enerji)</t>
  </si>
  <si>
    <t>Erenköy Reg. Ve Hes (Türkerler)</t>
  </si>
  <si>
    <t>Kahta I HES (Erdemyıldız Elektrik Üretim)</t>
  </si>
  <si>
    <t>Ulubat Kuvvet Tüneli ve Hes</t>
  </si>
  <si>
    <t>REŞADİYE 1 HES (TURKON MNG ELEKT.)</t>
  </si>
  <si>
    <t>GS643</t>
  </si>
  <si>
    <t>Egemen 1 HES (Enersis Elektrik)</t>
  </si>
  <si>
    <t>GS755</t>
  </si>
  <si>
    <t>KAR-EN Karadeniz El. A.Ş. Aralık Hes</t>
  </si>
  <si>
    <t>GS663</t>
  </si>
  <si>
    <t>Güdül I Reg. Ve HES (Yaşam Enerji)</t>
  </si>
  <si>
    <t>Azmak II Reg. Ve Hes</t>
  </si>
  <si>
    <t>Sabunsuyu II HES (Ang Enerji Elk.)</t>
  </si>
  <si>
    <t>Burç Bendi ve Hes (Akkur Enerji)</t>
  </si>
  <si>
    <t>Murgul Bakır (Ç.kaya) (Addition)</t>
  </si>
  <si>
    <t>Güzelçay II Hes (İlk Elektrik Enerji) (Addition)</t>
  </si>
  <si>
    <t>GS711</t>
  </si>
  <si>
    <t>Yedigöze HES (Yedigöze Elektrik)</t>
  </si>
  <si>
    <t>Umut III Reg. Ve HES (Nisan Elek.)</t>
  </si>
  <si>
    <t>FEKE 2 Barajı ve HES (Nisan Elek.)</t>
  </si>
  <si>
    <t>Egemen 1B HES (Enersis Elektrik)</t>
  </si>
  <si>
    <t>Kalkandere Reg. Ve Yokuşlu HES.</t>
  </si>
  <si>
    <t>Asmakinsan (Bandırma 3 RES)</t>
  </si>
  <si>
    <t>GS683</t>
  </si>
  <si>
    <t>Soma Enerji Üretim (Soma Res)</t>
  </si>
  <si>
    <t>GS398</t>
  </si>
  <si>
    <t>Deniz Elektrik (Sebenoba Res)</t>
  </si>
  <si>
    <t>Akdeniz Elektrik (Mersin Res)</t>
  </si>
  <si>
    <t>GS753</t>
  </si>
  <si>
    <t>Boreas Enerji (Boreas I Enez Res)</t>
  </si>
  <si>
    <t>GS702</t>
  </si>
  <si>
    <t>Bergama Res En. Ür. A.Ş. Aliağa Res</t>
  </si>
  <si>
    <t>GS735</t>
  </si>
  <si>
    <t>Bakras En. Elek. Ür. A.Ş. Şenbük Res</t>
  </si>
  <si>
    <t>GS733</t>
  </si>
  <si>
    <t>ROTOR ELEKTRİK (Gökçedağ Res)</t>
  </si>
  <si>
    <t>Ziyaret Res (Ziyaret Res Elektirk)</t>
  </si>
  <si>
    <t>GS617</t>
  </si>
  <si>
    <t>Soma Res (Bilgin Rüzgar San. En. Ür.)</t>
  </si>
  <si>
    <t>Belen ELEKTRİK BELEN Res (Addition)</t>
  </si>
  <si>
    <t>ÜtOPYA ELEKTRİK (DÜZOVA RES) (Addition)</t>
  </si>
  <si>
    <t>Kuyucak Res (Alize Enerji Ür.)</t>
  </si>
  <si>
    <t>GS576</t>
  </si>
  <si>
    <t>Sares Res (Garet Enerji Üretim)</t>
  </si>
  <si>
    <t>GS963</t>
  </si>
  <si>
    <t>Turguttepe Res (Sabaş Elektrik Ür.)</t>
  </si>
  <si>
    <t>GS610</t>
  </si>
  <si>
    <t>Share of Low Cost Resource (LCR) Production 2006-2010 (Production in GWh)</t>
  </si>
  <si>
    <t>http://www.teias.gov.tr/istatistik2010/front%20page%202010-%C3%A7i%C3%A7ek%20kitap/uretim%20tuketim(22-45)/35(75-10).xls</t>
  </si>
  <si>
    <t>Share of EE excluding hydropower 2008-2010</t>
  </si>
  <si>
    <r>
      <t>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-Emissions by Electricity Production 2008-2010</t>
    </r>
  </si>
  <si>
    <t>Relation Net/Gross Electricity Production 2008-2010</t>
  </si>
  <si>
    <t xml:space="preserve"> Annual Development of Turkey’s Gross Electricity Generation of Primary Energy Resources (1975-2010):</t>
  </si>
  <si>
    <r>
      <t xml:space="preserve">Annual Development of </t>
    </r>
    <r>
      <rPr>
        <b/>
        <sz val="8"/>
        <rFont val="Arial"/>
        <family val="2"/>
        <charset val="162"/>
      </rPr>
      <t>Electricity Generation- Consumption and Losses</t>
    </r>
    <r>
      <rPr>
        <sz val="8"/>
        <rFont val="Arial"/>
        <family val="2"/>
        <charset val="162"/>
      </rPr>
      <t xml:space="preserve"> in Turkey (1984-2010):</t>
    </r>
  </si>
  <si>
    <t>Gross Electricity Production by Energy Source 2008-2010 [GWh]</t>
  </si>
  <si>
    <t>Net El. Production by fossil fuels and Import 2008-2010 [GWh]</t>
  </si>
  <si>
    <r>
      <t>OM Emission Factor 2008-2010 [tCO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/MWh]</t>
    </r>
  </si>
  <si>
    <t>for 2008 - 2010</t>
  </si>
  <si>
    <t>NCVi 2010 (TJ/Gg)</t>
  </si>
  <si>
    <t>http://www.teias.gov.tr/istatistik2010/front%20page%202010-%C3%A7i%C3%A7ek%20kitap/yak%C4%B1t46-49/49.xls</t>
  </si>
  <si>
    <t>http://www.teias.gov.tr/istatistik2010/front%20page%202010-%C3%A7i%C3%A7ek%20kitap/yak%C4%B1t46-49/47.xls</t>
  </si>
  <si>
    <t>http://www.epdk.org.tr/documents/10157/8edb1470-7667-4ce1-8ce5-21d1ce4e4761</t>
  </si>
  <si>
    <t>Gross Electricity Production by Fuel Types in 2010</t>
  </si>
  <si>
    <t>http://www.teias.gov.tr/istatistik2010/front%20page%202010-%C3%A7i%C3%A7ek%20kitap/kguc(1-12)/7.xls</t>
  </si>
  <si>
    <t>http://www.netinform.net/KE/Wegweiser/Guide2.aspx?ID=7052&amp;Ebene1_ID=49&amp;Ebene2_ID=2357&amp;mode=4</t>
  </si>
  <si>
    <t>http://www.netinform.net/KE/Wegweiser/Guide2.aspx?ID=5065&amp;Ebene1_ID=49&amp;Ebene2_ID=1587&amp;mode=4</t>
  </si>
  <si>
    <t>http://www.netinform.net/KE/Wegweiser/Guide2.aspx?ID=5064&amp;Ebene1_ID=49&amp;Ebene2_ID=1586&amp;mode=4</t>
  </si>
  <si>
    <t>Sample Group Generation Including The Latest PP: Aksa Enerji (Manisa)</t>
  </si>
  <si>
    <t>Sample Group Generation Excluding The Latest PP: Aksa Enerji (Manisa)</t>
  </si>
  <si>
    <t>Calculation of Emission Reduction of</t>
  </si>
  <si>
    <t>Net Electricity Generation in 2010** (GWh)</t>
  </si>
  <si>
    <t>Emission Amount due to Electricity Generation in 2010* (tons)</t>
  </si>
  <si>
    <t>http://www.tuik.gov.tr/PreHaberBultenleri.do?id=8537&amp;tb_id=7</t>
  </si>
  <si>
    <t>(cell U7)</t>
  </si>
  <si>
    <t>* For NMVOC</t>
  </si>
  <si>
    <t>http://www.tuik.gov.tr/PreHaberBultenleri.do?id=8537&amp;tb_id=8</t>
  </si>
  <si>
    <t>** Net electrcity Generation</t>
  </si>
  <si>
    <t xml:space="preserve">http://www.teias.gov.tr/istatistik2009/index.htm </t>
  </si>
  <si>
    <t>http://www.teias.gov.tr/istatistik2010/front%20page%202010-%C3%A7i%C3%A7ek%20kitap/ithalat-ihracat(50-54)/52.xls</t>
  </si>
  <si>
    <t>Total Waste Water Discharged by Thermal Power Plants in 2010 (x1000 m3) (1)</t>
  </si>
  <si>
    <t>Total Electricty Generation in 2010 (GWh) (2)</t>
  </si>
  <si>
    <t>Average Amount of Waste Water Discharged per each GWh Electricity Generation in 2010** (x1000 m3/GWh)</t>
  </si>
  <si>
    <t>http://www.turkstat.gov.tr/PreHaberBultenleri.do?id=10732&amp;tb_id=2</t>
  </si>
  <si>
    <t>(2) For 2010 Electricity Gen.</t>
  </si>
  <si>
    <t xml:space="preserve">     Hence total wastewater production in power plant per year becomes: 25*0,15*365/1000 =1,369 m3/year</t>
  </si>
  <si>
    <t>http://www.tuik.gov.tr/PreHaberBultenleri.do?id=8537&amp;tb_id=6</t>
  </si>
  <si>
    <t>http://www.teias.gov.tr/istatistik2010/front%20page%202010-%C3%A7i%C3%A7ek%20kitap/uretim%20tuketim(22-45)/33(84-10).xls</t>
  </si>
  <si>
    <t>Annual Electricity Generation of Molu Kayseri Landfill:</t>
  </si>
  <si>
    <t>Electricity Generation of the Plant (MWh)</t>
  </si>
  <si>
    <t xml:space="preserve">http://www.teias.gov.tr/istatistik2010/index.htm </t>
  </si>
  <si>
    <t>1. phase</t>
  </si>
  <si>
    <t>2. phase</t>
  </si>
  <si>
    <t>3. phase</t>
  </si>
  <si>
    <t>MWh/first 6 month of 2012</t>
  </si>
  <si>
    <t>MWh/second 6 month of 2012</t>
  </si>
  <si>
    <t>MWh/2013 and following years</t>
  </si>
  <si>
    <t>As Table 10 in PDD</t>
  </si>
  <si>
    <t>As table 9 in the PDD</t>
  </si>
  <si>
    <t>As Table 11 in the PDD</t>
  </si>
  <si>
    <t>As Table 12 in the PDD</t>
  </si>
  <si>
    <t>As Table 13 in the PDD</t>
  </si>
  <si>
    <t>As Table 14 in the PDD</t>
  </si>
  <si>
    <t>20% of 2010 Total Generation (GWh)*</t>
  </si>
  <si>
    <t>Page 101-106 for 2010 Plants and Pages 88-101 for Fuel Types and Generation Amounts</t>
  </si>
  <si>
    <t>As Table 15 and 16 in the PDD</t>
  </si>
  <si>
    <r>
      <t>Estimation of project activity emissions  
(tonnes of CO</t>
    </r>
    <r>
      <rPr>
        <b/>
        <vertAlign val="subscript"/>
        <sz val="10"/>
        <rFont val="Verdana"/>
        <family val="2"/>
        <charset val="162"/>
      </rPr>
      <t>2</t>
    </r>
    <r>
      <rPr>
        <b/>
        <sz val="10"/>
        <rFont val="Verdana"/>
        <family val="2"/>
        <charset val="162"/>
      </rPr>
      <t>e)</t>
    </r>
  </si>
  <si>
    <r>
      <t>Estimation of overall emission reductions (tonnes of CO</t>
    </r>
    <r>
      <rPr>
        <b/>
        <vertAlign val="subscript"/>
        <sz val="10"/>
        <rFont val="Verdana"/>
        <family val="2"/>
        <charset val="162"/>
      </rPr>
      <t>2</t>
    </r>
    <r>
      <rPr>
        <b/>
        <sz val="10"/>
        <rFont val="Verdana"/>
        <family val="2"/>
        <charset val="162"/>
      </rPr>
      <t>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</si>
</sst>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T_L_-;\-* #,##0.00\ _T_L_-;_-* &quot;-&quot;??\ _T_L_-;_-@_-"/>
    <numFmt numFmtId="164" formatCode="#,##0.0"/>
    <numFmt numFmtId="165" formatCode="0.0000"/>
    <numFmt numFmtId="166" formatCode="0.000"/>
    <numFmt numFmtId="167" formatCode="0.0"/>
    <numFmt numFmtId="168" formatCode="_-* #,##0.00\ _D_M_-;\-* #,##0.00\ _D_M_-;_-* &quot;-&quot;??\ _D_M_-;_-@_-"/>
    <numFmt numFmtId="169" formatCode="_-* #,##0\ _D_M_-;\-* #,##0\ _D_M_-;_-* &quot;-&quot;??\ _D_M_-;_-@_-"/>
    <numFmt numFmtId="170" formatCode="0.0%"/>
    <numFmt numFmtId="171" formatCode="_-* #,##0.0\ _T_L_-;\-* #,##0.0\ _T_L_-;_-* &quot;-&quot;??\ _T_L_-;_-@_-"/>
    <numFmt numFmtId="172" formatCode="#,##0.000000"/>
    <numFmt numFmtId="173" formatCode="#,##0.000"/>
  </numFmts>
  <fonts count="81"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Arial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u/>
      <sz val="7.5"/>
      <color indexed="12"/>
      <name val="Geneva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0"/>
      <name val="Arial Tur"/>
      <charset val="162"/>
    </font>
    <font>
      <b/>
      <sz val="8"/>
      <color indexed="81"/>
      <name val="Tahoma"/>
      <family val="2"/>
      <charset val="162"/>
    </font>
    <font>
      <sz val="8"/>
      <color indexed="81"/>
      <name val="Tahoma"/>
      <family val="2"/>
      <charset val="162"/>
    </font>
    <font>
      <sz val="10"/>
      <name val="Arial"/>
      <family val="2"/>
      <charset val="162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sz val="8"/>
      <name val="Verdana"/>
      <family val="2"/>
    </font>
    <font>
      <i/>
      <sz val="10"/>
      <name val="Verdana"/>
      <family val="2"/>
      <charset val="162"/>
    </font>
    <font>
      <b/>
      <sz val="10"/>
      <name val="Verdana"/>
      <family val="2"/>
      <charset val="162"/>
    </font>
    <font>
      <b/>
      <vertAlign val="subscript"/>
      <sz val="10"/>
      <name val="Verdana"/>
      <family val="2"/>
    </font>
    <font>
      <b/>
      <sz val="8"/>
      <name val="Verdana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sz val="8"/>
      <name val="Arial Tur"/>
      <family val="2"/>
      <charset val="162"/>
    </font>
    <font>
      <b/>
      <sz val="8"/>
      <name val="Verdana"/>
      <family val="2"/>
    </font>
    <font>
      <sz val="10"/>
      <name val="Verdana"/>
      <family val="2"/>
      <charset val="162"/>
    </font>
    <font>
      <sz val="8"/>
      <color indexed="8"/>
      <name val="Verdana"/>
      <family val="2"/>
      <charset val="162"/>
    </font>
    <font>
      <b/>
      <sz val="10"/>
      <name val="Arial"/>
      <family val="2"/>
      <charset val="162"/>
    </font>
    <font>
      <sz val="8"/>
      <color indexed="8"/>
      <name val="Verdana"/>
      <family val="2"/>
    </font>
    <font>
      <sz val="8"/>
      <name val="Verdana"/>
      <family val="2"/>
      <charset val="162"/>
    </font>
    <font>
      <b/>
      <sz val="9"/>
      <color indexed="8"/>
      <name val="Verdana"/>
      <family val="2"/>
      <charset val="162"/>
    </font>
    <font>
      <b/>
      <sz val="12"/>
      <name val="Verdana"/>
      <family val="2"/>
      <charset val="162"/>
    </font>
    <font>
      <sz val="9"/>
      <name val="Times New Roman"/>
      <family val="1"/>
    </font>
    <font>
      <b/>
      <i/>
      <sz val="10"/>
      <name val="Verdana"/>
      <family val="2"/>
      <charset val="162"/>
    </font>
    <font>
      <b/>
      <u/>
      <sz val="10"/>
      <name val="Verdana"/>
      <family val="2"/>
      <charset val="162"/>
    </font>
    <font>
      <b/>
      <sz val="11"/>
      <name val="Times New Roman"/>
      <family val="1"/>
      <charset val="162"/>
    </font>
    <font>
      <sz val="10"/>
      <name val="Arial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  <charset val="162"/>
    </font>
    <font>
      <i/>
      <sz val="9"/>
      <name val="Verdana"/>
      <family val="2"/>
      <charset val="162"/>
    </font>
    <font>
      <sz val="9"/>
      <name val="Verdana"/>
      <family val="2"/>
      <charset val="162"/>
    </font>
    <font>
      <sz val="10"/>
      <name val="Geneva"/>
      <charset val="162"/>
    </font>
    <font>
      <b/>
      <sz val="10"/>
      <name val="Times New Roman"/>
      <family val="1"/>
      <charset val="162"/>
    </font>
    <font>
      <sz val="11"/>
      <name val="Times New Roman"/>
      <family val="1"/>
      <charset val="162"/>
    </font>
    <font>
      <b/>
      <u/>
      <sz val="8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i/>
      <sz val="11"/>
      <name val="Times New Roman"/>
      <family val="1"/>
      <charset val="162"/>
    </font>
    <font>
      <b/>
      <sz val="11"/>
      <name val="Arial Tur"/>
      <charset val="162"/>
    </font>
    <font>
      <i/>
      <sz val="10"/>
      <name val="Arial Tur"/>
      <charset val="162"/>
    </font>
    <font>
      <b/>
      <i/>
      <sz val="11"/>
      <name val="Times New Roman"/>
      <family val="1"/>
      <charset val="162"/>
    </font>
    <font>
      <sz val="10"/>
      <name val="Arial Tur"/>
      <charset val="162"/>
    </font>
    <font>
      <sz val="9"/>
      <name val="Arial Tur"/>
      <charset val="162"/>
    </font>
    <font>
      <sz val="9"/>
      <color indexed="8"/>
      <name val="Arial Tur"/>
      <charset val="162"/>
    </font>
    <font>
      <sz val="8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rgb="FFFF0000"/>
      <name val="Verdana"/>
      <family val="2"/>
      <charset val="162"/>
    </font>
    <font>
      <sz val="9"/>
      <color rgb="FF000000"/>
      <name val="Arial"/>
      <family val="2"/>
      <charset val="162"/>
    </font>
    <font>
      <b/>
      <sz val="10"/>
      <color rgb="FFFF0000"/>
      <name val="Verdana"/>
      <family val="2"/>
      <charset val="162"/>
    </font>
    <font>
      <b/>
      <sz val="11"/>
      <color rgb="FFFF0000"/>
      <name val="Verdana"/>
      <family val="2"/>
      <charset val="162"/>
    </font>
    <font>
      <b/>
      <vertAlign val="subscript"/>
      <sz val="10"/>
      <name val="Verdana"/>
      <family val="2"/>
      <charset val="162"/>
    </font>
    <font>
      <u/>
      <sz val="10"/>
      <color indexed="12"/>
      <name val="Verdana"/>
      <family val="2"/>
      <charset val="162"/>
    </font>
    <font>
      <u/>
      <sz val="10"/>
      <color theme="10"/>
      <name val="Verdana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8" fillId="0" borderId="0" applyNumberFormat="0" applyFont="0" applyFill="0" applyBorder="0" applyProtection="0">
      <alignment horizontal="left" vertical="center" indent="2"/>
    </xf>
    <xf numFmtId="0" fontId="48" fillId="0" borderId="0" applyNumberFormat="0" applyFont="0" applyFill="0" applyBorder="0" applyProtection="0">
      <alignment horizontal="left" vertical="center" indent="5"/>
    </xf>
    <xf numFmtId="0" fontId="3" fillId="0" borderId="0" applyNumberFormat="0" applyFill="0" applyBorder="0" applyAlignment="0" applyProtection="0"/>
    <xf numFmtId="0" fontId="49" fillId="16" borderId="0" applyBorder="0" applyAlignment="0"/>
    <xf numFmtId="0" fontId="44" fillId="16" borderId="0" applyBorder="0">
      <alignment horizontal="right" vertical="center"/>
    </xf>
    <xf numFmtId="4" fontId="44" fillId="17" borderId="0" applyBorder="0">
      <alignment horizontal="right" vertical="center"/>
    </xf>
    <xf numFmtId="4" fontId="44" fillId="17" borderId="0" applyBorder="0">
      <alignment horizontal="right" vertical="center"/>
    </xf>
    <xf numFmtId="0" fontId="50" fillId="17" borderId="1">
      <alignment horizontal="right" vertical="center"/>
    </xf>
    <xf numFmtId="0" fontId="51" fillId="17" borderId="1">
      <alignment horizontal="right" vertical="center"/>
    </xf>
    <xf numFmtId="0" fontId="50" fillId="18" borderId="1">
      <alignment horizontal="right" vertical="center"/>
    </xf>
    <xf numFmtId="0" fontId="50" fillId="18" borderId="1">
      <alignment horizontal="right" vertical="center"/>
    </xf>
    <xf numFmtId="0" fontId="50" fillId="18" borderId="2">
      <alignment horizontal="right" vertical="center"/>
    </xf>
    <xf numFmtId="0" fontId="50" fillId="18" borderId="3">
      <alignment horizontal="right" vertical="center"/>
    </xf>
    <xf numFmtId="0" fontId="50" fillId="18" borderId="4">
      <alignment horizontal="right" vertical="center"/>
    </xf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50" fillId="0" borderId="0" applyNumberFormat="0">
      <alignment horizontal="right"/>
    </xf>
    <xf numFmtId="0" fontId="44" fillId="18" borderId="9">
      <alignment horizontal="left" vertical="center" wrapText="1" indent="2"/>
    </xf>
    <xf numFmtId="0" fontId="44" fillId="0" borderId="9">
      <alignment horizontal="left" vertical="center" wrapText="1" indent="2"/>
    </xf>
    <xf numFmtId="0" fontId="44" fillId="17" borderId="3">
      <alignment horizontal="left" vertical="center"/>
    </xf>
    <xf numFmtId="0" fontId="9" fillId="19" borderId="10" applyNumberFormat="0" applyAlignment="0" applyProtection="0"/>
    <xf numFmtId="43" fontId="10" fillId="0" borderId="0" applyFont="0" applyFill="0" applyBorder="0" applyAlignment="0" applyProtection="0"/>
    <xf numFmtId="0" fontId="50" fillId="0" borderId="11">
      <alignment horizontal="left" vertical="top" wrapText="1"/>
    </xf>
    <xf numFmtId="0" fontId="48" fillId="0" borderId="12"/>
    <xf numFmtId="0" fontId="11" fillId="7" borderId="13" applyNumberFormat="0" applyAlignment="0" applyProtection="0"/>
    <xf numFmtId="0" fontId="52" fillId="0" borderId="0" applyNumberFormat="0" applyFill="0" applyBorder="0" applyAlignment="0" applyProtection="0"/>
    <xf numFmtId="0" fontId="12" fillId="19" borderId="13" applyNumberFormat="0" applyAlignment="0" applyProtection="0"/>
    <xf numFmtId="4" fontId="44" fillId="0" borderId="0" applyBorder="0">
      <alignment horizontal="right" vertical="center"/>
    </xf>
    <xf numFmtId="0" fontId="44" fillId="0" borderId="1">
      <alignment horizontal="right" vertical="center"/>
    </xf>
    <xf numFmtId="1" fontId="53" fillId="17" borderId="0" applyBorder="0">
      <alignment horizontal="right" vertical="center"/>
    </xf>
    <xf numFmtId="0" fontId="13" fillId="20" borderId="14" applyNumberFormat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" fillId="0" borderId="0"/>
    <xf numFmtId="4" fontId="44" fillId="0" borderId="0" applyFill="0" applyBorder="0" applyProtection="0">
      <alignment horizontal="right" vertical="center"/>
    </xf>
    <xf numFmtId="0" fontId="49" fillId="0" borderId="0" applyNumberFormat="0" applyFill="0" applyBorder="0" applyProtection="0">
      <alignment horizontal="left" vertical="center"/>
    </xf>
    <xf numFmtId="0" fontId="44" fillId="0" borderId="1" applyNumberFormat="0" applyFill="0" applyAlignment="0" applyProtection="0"/>
    <xf numFmtId="0" fontId="48" fillId="21" borderId="0" applyNumberFormat="0" applyFont="0" applyBorder="0" applyAlignment="0" applyProtection="0"/>
    <xf numFmtId="0" fontId="23" fillId="0" borderId="0"/>
    <xf numFmtId="0" fontId="61" fillId="0" borderId="0"/>
    <xf numFmtId="0" fontId="57" fillId="0" borderId="0"/>
    <xf numFmtId="167" fontId="57" fillId="0" borderId="0"/>
    <xf numFmtId="0" fontId="68" fillId="0" borderId="0"/>
    <xf numFmtId="0" fontId="1" fillId="22" borderId="15" applyNumberFormat="0" applyFont="0" applyAlignment="0" applyProtection="0"/>
    <xf numFmtId="0" fontId="17" fillId="23" borderId="0" applyNumberFormat="0" applyBorder="0" applyAlignment="0" applyProtection="0"/>
    <xf numFmtId="0" fontId="44" fillId="21" borderId="1"/>
    <xf numFmtId="0" fontId="10" fillId="0" borderId="0"/>
    <xf numFmtId="0" fontId="62" fillId="0" borderId="0"/>
    <xf numFmtId="0" fontId="10" fillId="0" borderId="0"/>
    <xf numFmtId="0" fontId="18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4" fillId="0" borderId="0"/>
  </cellStyleXfs>
  <cellXfs count="307">
    <xf numFmtId="0" fontId="0" fillId="0" borderId="0" xfId="0"/>
    <xf numFmtId="170" fontId="24" fillId="0" borderId="0" xfId="85" applyNumberFormat="1" applyFont="1"/>
    <xf numFmtId="0" fontId="38" fillId="0" borderId="1" xfId="74" applyFont="1" applyFill="1" applyBorder="1" applyAlignment="1">
      <alignment wrapText="1"/>
    </xf>
    <xf numFmtId="164" fontId="38" fillId="0" borderId="1" xfId="47" applyNumberFormat="1" applyFont="1" applyFill="1" applyBorder="1" applyAlignment="1">
      <alignment horizontal="right" wrapText="1"/>
    </xf>
    <xf numFmtId="14" fontId="38" fillId="0" borderId="1" xfId="74" applyNumberFormat="1" applyFont="1" applyFill="1" applyBorder="1" applyAlignment="1">
      <alignment horizontal="right" wrapText="1"/>
    </xf>
    <xf numFmtId="0" fontId="38" fillId="0" borderId="1" xfId="74" applyFont="1" applyFill="1" applyBorder="1" applyAlignment="1">
      <alignment horizontal="left" vertical="center" wrapText="1"/>
    </xf>
    <xf numFmtId="0" fontId="41" fillId="0" borderId="1" xfId="66" applyFont="1" applyFill="1" applyBorder="1" applyAlignment="1">
      <alignment horizontal="left" wrapText="1"/>
    </xf>
    <xf numFmtId="164" fontId="41" fillId="0" borderId="1" xfId="66" applyNumberFormat="1" applyFont="1" applyFill="1" applyBorder="1" applyAlignment="1">
      <alignment horizontal="right" wrapText="1"/>
    </xf>
    <xf numFmtId="0" fontId="41" fillId="0" borderId="1" xfId="66" applyNumberFormat="1" applyFont="1" applyFill="1" applyBorder="1" applyAlignment="1">
      <alignment horizontal="right" wrapText="1"/>
    </xf>
    <xf numFmtId="0" fontId="41" fillId="0" borderId="1" xfId="66" applyFont="1" applyFill="1" applyBorder="1" applyAlignment="1">
      <alignment horizontal="left"/>
    </xf>
    <xf numFmtId="14" fontId="41" fillId="0" borderId="1" xfId="66" applyNumberFormat="1" applyFont="1" applyFill="1" applyBorder="1" applyAlignment="1">
      <alignment horizontal="right" wrapText="1"/>
    </xf>
    <xf numFmtId="0" fontId="29" fillId="0" borderId="0" xfId="74" applyFont="1" applyAlignment="1">
      <alignment horizontal="center"/>
    </xf>
    <xf numFmtId="0" fontId="37" fillId="0" borderId="0" xfId="74" applyFont="1"/>
    <xf numFmtId="0" fontId="27" fillId="0" borderId="0" xfId="74" applyFont="1"/>
    <xf numFmtId="43" fontId="29" fillId="0" borderId="0" xfId="47" applyFont="1" applyAlignment="1">
      <alignment horizontal="center"/>
    </xf>
    <xf numFmtId="0" fontId="42" fillId="18" borderId="1" xfId="74" applyFont="1" applyFill="1" applyBorder="1" applyAlignment="1">
      <alignment horizontal="center" vertical="center" wrapText="1"/>
    </xf>
    <xf numFmtId="0" fontId="37" fillId="0" borderId="0" xfId="74" applyFont="1" applyFill="1"/>
    <xf numFmtId="43" fontId="37" fillId="0" borderId="0" xfId="74" applyNumberFormat="1" applyFont="1"/>
    <xf numFmtId="0" fontId="38" fillId="0" borderId="1" xfId="74" applyNumberFormat="1" applyFont="1" applyFill="1" applyBorder="1" applyAlignment="1">
      <alignment horizontal="right" wrapText="1"/>
    </xf>
    <xf numFmtId="168" fontId="40" fillId="0" borderId="0" xfId="40" applyFont="1" applyFill="1" applyBorder="1" applyAlignment="1">
      <alignment wrapText="1"/>
    </xf>
    <xf numFmtId="0" fontId="41" fillId="0" borderId="1" xfId="66" applyFont="1" applyBorder="1" applyAlignment="1">
      <alignment horizontal="left" wrapText="1"/>
    </xf>
    <xf numFmtId="164" fontId="41" fillId="0" borderId="1" xfId="66" applyNumberFormat="1" applyFont="1" applyBorder="1" applyAlignment="1">
      <alignment horizontal="right" wrapText="1"/>
    </xf>
    <xf numFmtId="0" fontId="41" fillId="0" borderId="1" xfId="66" applyNumberFormat="1" applyFont="1" applyBorder="1" applyAlignment="1">
      <alignment horizontal="right" wrapText="1"/>
    </xf>
    <xf numFmtId="0" fontId="27" fillId="0" borderId="0" xfId="66" applyFont="1" applyFill="1" applyBorder="1" applyAlignment="1">
      <alignment horizontal="right" wrapText="1"/>
    </xf>
    <xf numFmtId="0" fontId="27" fillId="0" borderId="0" xfId="74" applyFont="1" applyBorder="1"/>
    <xf numFmtId="167" fontId="26" fillId="0" borderId="0" xfId="74" applyNumberFormat="1" applyFont="1" applyBorder="1"/>
    <xf numFmtId="14" fontId="37" fillId="0" borderId="0" xfId="74" applyNumberFormat="1" applyFont="1"/>
    <xf numFmtId="0" fontId="41" fillId="0" borderId="1" xfId="66" applyFont="1" applyBorder="1" applyAlignment="1">
      <alignment horizontal="left"/>
    </xf>
    <xf numFmtId="14" fontId="41" fillId="0" borderId="1" xfId="66" applyNumberFormat="1" applyFont="1" applyBorder="1" applyAlignment="1">
      <alignment horizontal="right" wrapText="1"/>
    </xf>
    <xf numFmtId="0" fontId="20" fillId="28" borderId="1" xfId="66" applyFont="1" applyFill="1" applyBorder="1"/>
    <xf numFmtId="0" fontId="23" fillId="28" borderId="1" xfId="66" applyFill="1" applyBorder="1"/>
    <xf numFmtId="0" fontId="39" fillId="28" borderId="1" xfId="66" applyFont="1" applyFill="1" applyBorder="1" applyAlignment="1">
      <alignment horizontal="center" vertical="center" wrapText="1"/>
    </xf>
    <xf numFmtId="0" fontId="20" fillId="28" borderId="1" xfId="66" applyFont="1" applyFill="1" applyBorder="1" applyAlignment="1">
      <alignment horizontal="center" vertical="center" wrapText="1"/>
    </xf>
    <xf numFmtId="0" fontId="23" fillId="28" borderId="1" xfId="66" applyFont="1" applyFill="1" applyBorder="1"/>
    <xf numFmtId="164" fontId="23" fillId="28" borderId="1" xfId="66" applyNumberFormat="1" applyFont="1" applyFill="1" applyBorder="1"/>
    <xf numFmtId="0" fontId="37" fillId="0" borderId="1" xfId="74" applyFont="1" applyBorder="1"/>
    <xf numFmtId="43" fontId="37" fillId="0" borderId="0" xfId="47" applyFont="1"/>
    <xf numFmtId="165" fontId="37" fillId="0" borderId="0" xfId="74" applyNumberFormat="1" applyFont="1"/>
    <xf numFmtId="0" fontId="15" fillId="0" borderId="0" xfId="58" applyAlignment="1" applyProtection="1"/>
    <xf numFmtId="0" fontId="43" fillId="0" borderId="17" xfId="74" applyFont="1" applyBorder="1"/>
    <xf numFmtId="0" fontId="15" fillId="0" borderId="0" xfId="58" applyAlignment="1" applyProtection="1">
      <alignment horizontal="justify"/>
    </xf>
    <xf numFmtId="10" fontId="24" fillId="0" borderId="0" xfId="85" applyNumberFormat="1" applyFont="1"/>
    <xf numFmtId="164" fontId="38" fillId="0" borderId="1" xfId="47" applyNumberFormat="1" applyFont="1" applyFill="1" applyBorder="1" applyAlignment="1">
      <alignment horizontal="center" wrapText="1"/>
    </xf>
    <xf numFmtId="0" fontId="41" fillId="0" borderId="1" xfId="66" applyFont="1" applyFill="1" applyBorder="1" applyAlignment="1">
      <alignment horizontal="left" vertical="center"/>
    </xf>
    <xf numFmtId="14" fontId="41" fillId="0" borderId="1" xfId="66" applyNumberFormat="1" applyFont="1" applyFill="1" applyBorder="1" applyAlignment="1">
      <alignment horizontal="right" vertical="center" wrapText="1"/>
    </xf>
    <xf numFmtId="164" fontId="38" fillId="0" borderId="1" xfId="47" applyNumberFormat="1" applyFont="1" applyFill="1" applyBorder="1" applyAlignment="1">
      <alignment horizontal="right" vertical="center" wrapText="1"/>
    </xf>
    <xf numFmtId="164" fontId="38" fillId="0" borderId="1" xfId="47" applyNumberFormat="1" applyFont="1" applyFill="1" applyBorder="1" applyAlignment="1">
      <alignment horizontal="center" vertical="center" wrapText="1"/>
    </xf>
    <xf numFmtId="0" fontId="43" fillId="0" borderId="1" xfId="74" applyFont="1" applyBorder="1"/>
    <xf numFmtId="43" fontId="37" fillId="0" borderId="0" xfId="74" applyNumberFormat="1" applyFont="1" applyAlignment="1">
      <alignment horizontal="left"/>
    </xf>
    <xf numFmtId="0" fontId="46" fillId="0" borderId="0" xfId="74" applyFont="1"/>
    <xf numFmtId="10" fontId="23" fillId="0" borderId="1" xfId="85" applyNumberFormat="1" applyFont="1" applyFill="1" applyBorder="1"/>
    <xf numFmtId="10" fontId="23" fillId="28" borderId="1" xfId="85" applyNumberFormat="1" applyFont="1" applyFill="1" applyBorder="1"/>
    <xf numFmtId="0" fontId="47" fillId="0" borderId="0" xfId="0" applyFont="1" applyAlignment="1">
      <alignment horizontal="justify"/>
    </xf>
    <xf numFmtId="0" fontId="29" fillId="0" borderId="0" xfId="74" applyFont="1"/>
    <xf numFmtId="10" fontId="37" fillId="0" borderId="0" xfId="74" applyNumberFormat="1" applyFont="1" applyBorder="1"/>
    <xf numFmtId="0" fontId="20" fillId="0" borderId="0" xfId="0" applyFont="1"/>
    <xf numFmtId="49" fontId="41" fillId="0" borderId="1" xfId="66" applyNumberFormat="1" applyFont="1" applyBorder="1" applyAlignment="1">
      <alignment horizontal="right" wrapText="1"/>
    </xf>
    <xf numFmtId="0" fontId="41" fillId="0" borderId="1" xfId="66" applyFont="1" applyBorder="1" applyAlignment="1">
      <alignment horizontal="left" vertical="center"/>
    </xf>
    <xf numFmtId="49" fontId="41" fillId="0" borderId="1" xfId="66" applyNumberFormat="1" applyFont="1" applyBorder="1" applyAlignment="1">
      <alignment horizontal="right" vertical="center" wrapText="1"/>
    </xf>
    <xf numFmtId="0" fontId="38" fillId="0" borderId="1" xfId="74" applyFont="1" applyFill="1" applyBorder="1" applyAlignment="1">
      <alignment vertical="center" wrapText="1"/>
    </xf>
    <xf numFmtId="171" fontId="29" fillId="0" borderId="0" xfId="47" applyNumberFormat="1" applyFont="1" applyAlignment="1"/>
    <xf numFmtId="0" fontId="37" fillId="0" borderId="0" xfId="74" applyFont="1" applyBorder="1" applyAlignment="1">
      <alignment vertical="center" wrapText="1"/>
    </xf>
    <xf numFmtId="164" fontId="20" fillId="28" borderId="1" xfId="66" applyNumberFormat="1" applyFont="1" applyFill="1" applyBorder="1"/>
    <xf numFmtId="0" fontId="15" fillId="0" borderId="0" xfId="58" applyNumberFormat="1" applyAlignment="1" applyProtection="1"/>
    <xf numFmtId="0" fontId="37" fillId="0" borderId="0" xfId="74" quotePrefix="1" applyFont="1"/>
    <xf numFmtId="0" fontId="24" fillId="0" borderId="0" xfId="67" applyFont="1"/>
    <xf numFmtId="0" fontId="25" fillId="0" borderId="0" xfId="67" applyFont="1" applyBorder="1"/>
    <xf numFmtId="1" fontId="25" fillId="0" borderId="0" xfId="67" applyNumberFormat="1" applyFont="1" applyBorder="1"/>
    <xf numFmtId="0" fontId="0" fillId="0" borderId="0" xfId="0" quotePrefix="1"/>
    <xf numFmtId="0" fontId="25" fillId="0" borderId="0" xfId="67" applyFont="1"/>
    <xf numFmtId="0" fontId="24" fillId="0" borderId="18" xfId="67" applyFont="1" applyBorder="1"/>
    <xf numFmtId="0" fontId="26" fillId="0" borderId="19" xfId="67" applyFont="1" applyFill="1" applyBorder="1" applyAlignment="1">
      <alignment horizontal="center"/>
    </xf>
    <xf numFmtId="0" fontId="26" fillId="0" borderId="18" xfId="67" applyFont="1" applyBorder="1" applyAlignment="1">
      <alignment horizontal="center"/>
    </xf>
    <xf numFmtId="0" fontId="27" fillId="0" borderId="0" xfId="75" applyFont="1" applyBorder="1" applyAlignment="1">
      <alignment horizontal="center" vertical="center"/>
    </xf>
    <xf numFmtId="0" fontId="24" fillId="0" borderId="1" xfId="67" applyFont="1" applyBorder="1"/>
    <xf numFmtId="164" fontId="24" fillId="0" borderId="1" xfId="67" applyNumberFormat="1" applyFont="1" applyFill="1" applyBorder="1"/>
    <xf numFmtId="0" fontId="61" fillId="0" borderId="0" xfId="67" applyBorder="1" applyAlignment="1">
      <alignment horizontal="center" vertical="center"/>
    </xf>
    <xf numFmtId="0" fontId="26" fillId="29" borderId="1" xfId="67" applyFont="1" applyFill="1" applyBorder="1"/>
    <xf numFmtId="10" fontId="28" fillId="0" borderId="1" xfId="67" applyNumberFormat="1" applyFont="1" applyBorder="1"/>
    <xf numFmtId="169" fontId="27" fillId="0" borderId="0" xfId="41" applyNumberFormat="1" applyFont="1" applyFill="1" applyBorder="1" applyAlignment="1"/>
    <xf numFmtId="0" fontId="24" fillId="0" borderId="0" xfId="67" applyFont="1" applyBorder="1"/>
    <xf numFmtId="10" fontId="24" fillId="0" borderId="0" xfId="67" applyNumberFormat="1" applyFont="1" applyBorder="1"/>
    <xf numFmtId="164" fontId="24" fillId="0" borderId="0" xfId="67" applyNumberFormat="1" applyFont="1" applyBorder="1"/>
    <xf numFmtId="169" fontId="27" fillId="0" borderId="0" xfId="41" applyNumberFormat="1" applyFont="1" applyFill="1" applyBorder="1" applyAlignment="1">
      <alignment horizontal="center"/>
    </xf>
    <xf numFmtId="0" fontId="26" fillId="0" borderId="18" xfId="67" applyFont="1" applyFill="1" applyBorder="1"/>
    <xf numFmtId="0" fontId="31" fillId="0" borderId="0" xfId="67" applyFont="1" applyBorder="1"/>
    <xf numFmtId="169" fontId="27" fillId="0" borderId="0" xfId="41" applyNumberFormat="1" applyFont="1" applyFill="1" applyBorder="1"/>
    <xf numFmtId="0" fontId="27" fillId="0" borderId="20" xfId="67" applyFont="1" applyBorder="1"/>
    <xf numFmtId="164" fontId="24" fillId="0" borderId="1" xfId="67" applyNumberFormat="1" applyFont="1" applyBorder="1"/>
    <xf numFmtId="0" fontId="27" fillId="0" borderId="1" xfId="67" applyFont="1" applyBorder="1"/>
    <xf numFmtId="164" fontId="27" fillId="0" borderId="1" xfId="67" applyNumberFormat="1" applyFont="1" applyFill="1" applyBorder="1"/>
    <xf numFmtId="0" fontId="27" fillId="0" borderId="17" xfId="67" applyFont="1" applyBorder="1"/>
    <xf numFmtId="10" fontId="24" fillId="0" borderId="1" xfId="67" applyNumberFormat="1" applyFont="1" applyBorder="1"/>
    <xf numFmtId="10" fontId="45" fillId="0" borderId="21" xfId="67" applyNumberFormat="1" applyFont="1" applyFill="1" applyBorder="1"/>
    <xf numFmtId="0" fontId="27" fillId="0" borderId="0" xfId="67" applyFont="1" applyBorder="1"/>
    <xf numFmtId="10" fontId="24" fillId="0" borderId="0" xfId="67" applyNumberFormat="1" applyFont="1" applyFill="1" applyBorder="1"/>
    <xf numFmtId="0" fontId="24" fillId="0" borderId="0" xfId="67" applyFont="1" applyFill="1"/>
    <xf numFmtId="0" fontId="27" fillId="0" borderId="0" xfId="67" applyFont="1"/>
    <xf numFmtId="0" fontId="31" fillId="0" borderId="22" xfId="67" applyFont="1" applyBorder="1"/>
    <xf numFmtId="164" fontId="31" fillId="0" borderId="23" xfId="67" applyNumberFormat="1" applyFont="1" applyBorder="1"/>
    <xf numFmtId="0" fontId="33" fillId="0" borderId="0" xfId="67" applyFont="1"/>
    <xf numFmtId="4" fontId="24" fillId="0" borderId="1" xfId="67" applyNumberFormat="1" applyFont="1" applyBorder="1" applyAlignment="1">
      <alignment horizontal="right"/>
    </xf>
    <xf numFmtId="167" fontId="35" fillId="0" borderId="0" xfId="67" applyNumberFormat="1" applyFont="1" applyBorder="1"/>
    <xf numFmtId="4" fontId="24" fillId="0" borderId="1" xfId="67" quotePrefix="1" applyNumberFormat="1" applyFont="1" applyBorder="1" applyAlignment="1">
      <alignment horizontal="right"/>
    </xf>
    <xf numFmtId="0" fontId="29" fillId="0" borderId="0" xfId="67" applyFont="1"/>
    <xf numFmtId="0" fontId="29" fillId="0" borderId="0" xfId="67" applyFont="1" applyAlignment="1">
      <alignment horizontal="right"/>
    </xf>
    <xf numFmtId="0" fontId="27" fillId="0" borderId="1" xfId="67" applyFont="1" applyFill="1" applyBorder="1" applyAlignment="1">
      <alignment horizontal="left"/>
    </xf>
    <xf numFmtId="0" fontId="63" fillId="0" borderId="0" xfId="59" applyFont="1" applyAlignment="1" applyProtection="1"/>
    <xf numFmtId="0" fontId="27" fillId="0" borderId="24" xfId="67" applyFont="1" applyFill="1" applyBorder="1" applyAlignment="1">
      <alignment horizontal="left"/>
    </xf>
    <xf numFmtId="0" fontId="36" fillId="0" borderId="25" xfId="67" applyFont="1" applyFill="1" applyBorder="1" applyAlignment="1">
      <alignment horizontal="left"/>
    </xf>
    <xf numFmtId="4" fontId="36" fillId="0" borderId="26" xfId="41" applyNumberFormat="1" applyFont="1" applyFill="1" applyBorder="1" applyAlignment="1">
      <alignment horizontal="right"/>
    </xf>
    <xf numFmtId="0" fontId="27" fillId="0" borderId="0" xfId="67" applyFont="1" applyFill="1" applyBorder="1" applyAlignment="1">
      <alignment horizontal="left" indent="2"/>
    </xf>
    <xf numFmtId="169" fontId="36" fillId="0" borderId="0" xfId="41" applyNumberFormat="1" applyFont="1" applyFill="1" applyBorder="1" applyAlignment="1">
      <alignment horizontal="right"/>
    </xf>
    <xf numFmtId="164" fontId="26" fillId="0" borderId="1" xfId="67" applyNumberFormat="1" applyFont="1" applyBorder="1"/>
    <xf numFmtId="164" fontId="24" fillId="0" borderId="0" xfId="67" applyNumberFormat="1" applyFont="1"/>
    <xf numFmtId="0" fontId="26" fillId="0" borderId="1" xfId="67" applyNumberFormat="1" applyFont="1" applyBorder="1" applyAlignment="1">
      <alignment horizontal="left" wrapText="1"/>
    </xf>
    <xf numFmtId="0" fontId="29" fillId="0" borderId="1" xfId="67" applyFont="1" applyBorder="1"/>
    <xf numFmtId="10" fontId="24" fillId="0" borderId="0" xfId="67" applyNumberFormat="1" applyFont="1"/>
    <xf numFmtId="0" fontId="36" fillId="0" borderId="0" xfId="67" applyFont="1" applyFill="1" applyBorder="1"/>
    <xf numFmtId="169" fontId="36" fillId="0" borderId="0" xfId="41" applyNumberFormat="1" applyFont="1" applyFill="1" applyBorder="1"/>
    <xf numFmtId="0" fontId="61" fillId="0" borderId="0" xfId="67" applyAlignment="1"/>
    <xf numFmtId="166" fontId="24" fillId="0" borderId="0" xfId="67" applyNumberFormat="1" applyFont="1"/>
    <xf numFmtId="0" fontId="24" fillId="0" borderId="0" xfId="67" applyFont="1" applyFill="1" applyBorder="1"/>
    <xf numFmtId="0" fontId="37" fillId="0" borderId="18" xfId="67" applyFont="1" applyBorder="1"/>
    <xf numFmtId="165" fontId="37" fillId="0" borderId="1" xfId="67" applyNumberFormat="1" applyFont="1" applyFill="1" applyBorder="1"/>
    <xf numFmtId="165" fontId="26" fillId="0" borderId="0" xfId="67" applyNumberFormat="1" applyFont="1"/>
    <xf numFmtId="0" fontId="37" fillId="0" borderId="1" xfId="67" applyFont="1" applyBorder="1"/>
    <xf numFmtId="0" fontId="20" fillId="0" borderId="1" xfId="0" applyFont="1" applyBorder="1" applyAlignment="1">
      <alignment horizontal="center" vertical="center"/>
    </xf>
    <xf numFmtId="1" fontId="47" fillId="0" borderId="1" xfId="68" applyNumberFormat="1" applyFont="1" applyBorder="1" applyAlignment="1">
      <alignment horizontal="center" vertical="center"/>
    </xf>
    <xf numFmtId="0" fontId="64" fillId="0" borderId="1" xfId="68" applyFont="1" applyBorder="1"/>
    <xf numFmtId="3" fontId="59" fillId="0" borderId="1" xfId="68" applyNumberFormat="1" applyFont="1" applyBorder="1" applyAlignment="1"/>
    <xf numFmtId="3" fontId="59" fillId="0" borderId="1" xfId="68" applyNumberFormat="1" applyFont="1" applyBorder="1"/>
    <xf numFmtId="0" fontId="47" fillId="0" borderId="17" xfId="68" applyFont="1" applyBorder="1" applyAlignment="1"/>
    <xf numFmtId="0" fontId="47" fillId="0" borderId="27" xfId="68" applyFont="1" applyBorder="1" applyAlignment="1"/>
    <xf numFmtId="0" fontId="47" fillId="0" borderId="27" xfId="68" applyFont="1" applyBorder="1"/>
    <xf numFmtId="0" fontId="47" fillId="0" borderId="21" xfId="68" applyFont="1" applyBorder="1"/>
    <xf numFmtId="0" fontId="65" fillId="0" borderId="0" xfId="68" applyFont="1" applyBorder="1" applyAlignment="1"/>
    <xf numFmtId="0" fontId="65" fillId="0" borderId="0" xfId="68" quotePrefix="1" applyFont="1" applyAlignment="1">
      <alignment horizontal="center"/>
    </xf>
    <xf numFmtId="0" fontId="47" fillId="0" borderId="0" xfId="68" applyFont="1" applyBorder="1" applyAlignment="1"/>
    <xf numFmtId="0" fontId="47" fillId="0" borderId="0" xfId="68" applyFont="1" applyBorder="1"/>
    <xf numFmtId="0" fontId="20" fillId="0" borderId="28" xfId="0" applyFont="1" applyBorder="1" applyAlignment="1">
      <alignment horizontal="center" vertical="center"/>
    </xf>
    <xf numFmtId="0" fontId="58" fillId="28" borderId="29" xfId="0" applyFont="1" applyFill="1" applyBorder="1" applyAlignment="1">
      <alignment horizontal="center" vertical="center" wrapText="1"/>
    </xf>
    <xf numFmtId="0" fontId="58" fillId="28" borderId="30" xfId="0" applyFont="1" applyFill="1" applyBorder="1" applyAlignment="1">
      <alignment horizontal="center" vertical="center" wrapText="1"/>
    </xf>
    <xf numFmtId="0" fontId="58" fillId="28" borderId="31" xfId="0" applyFont="1" applyFill="1" applyBorder="1" applyAlignment="1">
      <alignment horizontal="center" vertical="center" wrapText="1"/>
    </xf>
    <xf numFmtId="0" fontId="58" fillId="28" borderId="32" xfId="0" applyFont="1" applyFill="1" applyBorder="1" applyAlignment="1">
      <alignment horizontal="center" vertical="center" wrapText="1"/>
    </xf>
    <xf numFmtId="0" fontId="37" fillId="0" borderId="0" xfId="76" applyFont="1"/>
    <xf numFmtId="0" fontId="64" fillId="0" borderId="9" xfId="68" applyFont="1" applyBorder="1"/>
    <xf numFmtId="2" fontId="0" fillId="28" borderId="1" xfId="0" applyNumberFormat="1" applyFill="1" applyBorder="1"/>
    <xf numFmtId="2" fontId="0" fillId="28" borderId="17" xfId="0" applyNumberFormat="1" applyFill="1" applyBorder="1"/>
    <xf numFmtId="2" fontId="0" fillId="28" borderId="4" xfId="0" applyNumberFormat="1" applyFill="1" applyBorder="1"/>
    <xf numFmtId="2" fontId="66" fillId="28" borderId="33" xfId="0" applyNumberFormat="1" applyFont="1" applyFill="1" applyBorder="1"/>
    <xf numFmtId="0" fontId="37" fillId="0" borderId="0" xfId="76" quotePrefix="1" applyFont="1"/>
    <xf numFmtId="14" fontId="37" fillId="0" borderId="0" xfId="76" applyNumberFormat="1" applyFont="1"/>
    <xf numFmtId="0" fontId="64" fillId="0" borderId="34" xfId="68" applyFont="1" applyBorder="1"/>
    <xf numFmtId="2" fontId="0" fillId="28" borderId="35" xfId="0" applyNumberFormat="1" applyFill="1" applyBorder="1"/>
    <xf numFmtId="2" fontId="0" fillId="28" borderId="36" xfId="0" applyNumberFormat="1" applyFill="1" applyBorder="1"/>
    <xf numFmtId="2" fontId="0" fillId="28" borderId="37" xfId="0" applyNumberFormat="1" applyFill="1" applyBorder="1"/>
    <xf numFmtId="2" fontId="66" fillId="28" borderId="38" xfId="0" applyNumberFormat="1" applyFont="1" applyFill="1" applyBorder="1"/>
    <xf numFmtId="0" fontId="47" fillId="0" borderId="0" xfId="68" applyFont="1" applyFill="1" applyBorder="1"/>
    <xf numFmtId="0" fontId="67" fillId="0" borderId="1" xfId="68" applyFont="1" applyFill="1" applyBorder="1"/>
    <xf numFmtId="3" fontId="47" fillId="0" borderId="1" xfId="0" applyNumberFormat="1" applyFont="1" applyBorder="1"/>
    <xf numFmtId="4" fontId="59" fillId="0" borderId="0" xfId="0" applyNumberFormat="1" applyFont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/>
    <xf numFmtId="0" fontId="26" fillId="0" borderId="1" xfId="67" applyFont="1" applyBorder="1" applyAlignment="1">
      <alignment horizontal="left"/>
    </xf>
    <xf numFmtId="0" fontId="24" fillId="0" borderId="0" xfId="67" applyFont="1" applyAlignment="1">
      <alignment horizontal="left"/>
    </xf>
    <xf numFmtId="0" fontId="24" fillId="0" borderId="1" xfId="67" applyFont="1" applyBorder="1" applyAlignment="1">
      <alignment horizontal="left"/>
    </xf>
    <xf numFmtId="164" fontId="24" fillId="0" borderId="0" xfId="67" applyNumberFormat="1" applyFont="1" applyAlignment="1">
      <alignment horizontal="left"/>
    </xf>
    <xf numFmtId="3" fontId="24" fillId="0" borderId="1" xfId="67" applyNumberFormat="1" applyFont="1" applyFill="1" applyBorder="1" applyAlignment="1">
      <alignment horizontal="right"/>
    </xf>
    <xf numFmtId="10" fontId="26" fillId="0" borderId="1" xfId="67" applyNumberFormat="1" applyFont="1" applyFill="1" applyBorder="1" applyAlignment="1">
      <alignment horizontal="right"/>
    </xf>
    <xf numFmtId="164" fontId="24" fillId="0" borderId="1" xfId="67" applyNumberFormat="1" applyFont="1" applyFill="1" applyBorder="1" applyAlignment="1">
      <alignment horizontal="right"/>
    </xf>
    <xf numFmtId="0" fontId="24" fillId="0" borderId="0" xfId="67" applyFont="1" applyAlignment="1">
      <alignment horizontal="right"/>
    </xf>
    <xf numFmtId="164" fontId="26" fillId="0" borderId="1" xfId="67" applyNumberFormat="1" applyFont="1" applyBorder="1" applyAlignment="1">
      <alignment horizontal="right"/>
    </xf>
    <xf numFmtId="165" fontId="74" fillId="0" borderId="1" xfId="74" applyNumberFormat="1" applyFont="1" applyBorder="1"/>
    <xf numFmtId="0" fontId="38" fillId="30" borderId="1" xfId="74" applyFont="1" applyFill="1" applyBorder="1" applyAlignment="1">
      <alignment horizontal="left" vertical="center" wrapText="1"/>
    </xf>
    <xf numFmtId="14" fontId="38" fillId="30" borderId="1" xfId="74" applyNumberFormat="1" applyFont="1" applyFill="1" applyBorder="1" applyAlignment="1">
      <alignment horizontal="right" wrapText="1"/>
    </xf>
    <xf numFmtId="164" fontId="38" fillId="30" borderId="1" xfId="47" applyNumberFormat="1" applyFont="1" applyFill="1" applyBorder="1" applyAlignment="1">
      <alignment horizontal="right" wrapText="1"/>
    </xf>
    <xf numFmtId="0" fontId="38" fillId="30" borderId="1" xfId="74" applyFont="1" applyFill="1" applyBorder="1" applyAlignment="1">
      <alignment wrapText="1"/>
    </xf>
    <xf numFmtId="164" fontId="38" fillId="30" borderId="1" xfId="47" applyNumberFormat="1" applyFont="1" applyFill="1" applyBorder="1" applyAlignment="1">
      <alignment horizontal="center" wrapText="1"/>
    </xf>
    <xf numFmtId="0" fontId="37" fillId="30" borderId="0" xfId="74" applyFont="1" applyFill="1"/>
    <xf numFmtId="0" fontId="28" fillId="0" borderId="0" xfId="74" applyFont="1"/>
    <xf numFmtId="0" fontId="15" fillId="0" borderId="0" xfId="58" applyFill="1" applyBorder="1" applyAlignment="1" applyProtection="1">
      <alignment horizontal="left"/>
    </xf>
    <xf numFmtId="173" fontId="70" fillId="30" borderId="21" xfId="70" applyNumberFormat="1" applyFont="1" applyFill="1" applyBorder="1"/>
    <xf numFmtId="173" fontId="70" fillId="30" borderId="1" xfId="70" applyNumberFormat="1" applyFont="1" applyFill="1" applyBorder="1"/>
    <xf numFmtId="173" fontId="70" fillId="30" borderId="17" xfId="70" applyNumberFormat="1" applyFont="1" applyFill="1" applyBorder="1"/>
    <xf numFmtId="173" fontId="70" fillId="30" borderId="17" xfId="70" applyNumberFormat="1" applyFont="1" applyFill="1" applyBorder="1" applyAlignment="1"/>
    <xf numFmtId="0" fontId="70" fillId="30" borderId="17" xfId="70" applyFont="1" applyFill="1" applyBorder="1"/>
    <xf numFmtId="0" fontId="69" fillId="30" borderId="1" xfId="70" applyFont="1" applyFill="1" applyBorder="1"/>
    <xf numFmtId="0" fontId="69" fillId="30" borderId="1" xfId="70" applyFont="1" applyFill="1" applyBorder="1" applyAlignment="1">
      <alignment horizontal="left"/>
    </xf>
    <xf numFmtId="0" fontId="69" fillId="30" borderId="18" xfId="70" applyFont="1" applyFill="1" applyBorder="1"/>
    <xf numFmtId="0" fontId="69" fillId="30" borderId="22" xfId="70" applyFont="1" applyFill="1" applyBorder="1"/>
    <xf numFmtId="0" fontId="69" fillId="30" borderId="22" xfId="70" applyFont="1" applyFill="1" applyBorder="1" applyAlignment="1">
      <alignment horizontal="left"/>
    </xf>
    <xf numFmtId="0" fontId="70" fillId="30" borderId="17" xfId="70" applyFont="1" applyFill="1" applyBorder="1" applyAlignment="1">
      <alignment horizontal="left"/>
    </xf>
    <xf numFmtId="0" fontId="69" fillId="30" borderId="17" xfId="70" applyFont="1" applyFill="1" applyBorder="1"/>
    <xf numFmtId="0" fontId="71" fillId="0" borderId="1" xfId="70" applyFont="1" applyBorder="1"/>
    <xf numFmtId="173" fontId="69" fillId="0" borderId="1" xfId="70" applyNumberFormat="1" applyFont="1" applyBorder="1"/>
    <xf numFmtId="0" fontId="69" fillId="0" borderId="17" xfId="70" applyFont="1" applyBorder="1"/>
    <xf numFmtId="0" fontId="70" fillId="0" borderId="17" xfId="70" applyFont="1" applyBorder="1" applyAlignment="1">
      <alignment horizontal="left"/>
    </xf>
    <xf numFmtId="0" fontId="69" fillId="0" borderId="1" xfId="70" applyFont="1" applyBorder="1"/>
    <xf numFmtId="0" fontId="70" fillId="0" borderId="1" xfId="70" applyFont="1" applyBorder="1" applyAlignment="1">
      <alignment horizontal="left"/>
    </xf>
    <xf numFmtId="0" fontId="69" fillId="0" borderId="1" xfId="70" applyFont="1" applyBorder="1" applyAlignment="1">
      <alignment horizontal="left"/>
    </xf>
    <xf numFmtId="173" fontId="70" fillId="0" borderId="1" xfId="70" applyNumberFormat="1" applyFont="1" applyBorder="1"/>
    <xf numFmtId="0" fontId="69" fillId="0" borderId="1" xfId="70" applyFont="1" applyFill="1" applyBorder="1"/>
    <xf numFmtId="2" fontId="70" fillId="30" borderId="1" xfId="70" applyNumberFormat="1" applyFont="1" applyFill="1" applyBorder="1" applyAlignment="1">
      <alignment horizontal="right"/>
    </xf>
    <xf numFmtId="2" fontId="70" fillId="0" borderId="1" xfId="70" applyNumberFormat="1" applyFont="1" applyBorder="1" applyAlignment="1">
      <alignment horizontal="right"/>
    </xf>
    <xf numFmtId="0" fontId="75" fillId="0" borderId="0" xfId="0" applyFont="1"/>
    <xf numFmtId="0" fontId="69" fillId="30" borderId="1" xfId="70" applyFont="1" applyFill="1" applyBorder="1" applyAlignment="1"/>
    <xf numFmtId="0" fontId="41" fillId="0" borderId="1" xfId="66" applyFont="1" applyBorder="1" applyAlignment="1">
      <alignment horizontal="right"/>
    </xf>
    <xf numFmtId="4" fontId="29" fillId="0" borderId="1" xfId="74" applyNumberFormat="1" applyFont="1" applyBorder="1" applyAlignment="1">
      <alignment vertical="center" wrapText="1"/>
    </xf>
    <xf numFmtId="4" fontId="29" fillId="31" borderId="21" xfId="74" applyNumberFormat="1" applyFont="1" applyFill="1" applyBorder="1" applyAlignment="1">
      <alignment vertical="center" wrapText="1"/>
    </xf>
    <xf numFmtId="4" fontId="20" fillId="28" borderId="1" xfId="66" applyNumberFormat="1" applyFont="1" applyFill="1" applyBorder="1"/>
    <xf numFmtId="0" fontId="29" fillId="0" borderId="0" xfId="74" applyFont="1" applyFill="1" applyBorder="1" applyAlignment="1">
      <alignment horizontal="center" vertical="center" wrapText="1"/>
    </xf>
    <xf numFmtId="0" fontId="28" fillId="0" borderId="0" xfId="74" applyFont="1" applyFill="1" applyBorder="1"/>
    <xf numFmtId="0" fontId="29" fillId="0" borderId="0" xfId="74" applyFont="1" applyFill="1" applyBorder="1"/>
    <xf numFmtId="0" fontId="37" fillId="0" borderId="0" xfId="74" applyFont="1" applyFill="1" applyBorder="1"/>
    <xf numFmtId="14" fontId="37" fillId="0" borderId="0" xfId="74" applyNumberFormat="1" applyFont="1" applyFill="1" applyBorder="1"/>
    <xf numFmtId="3" fontId="37" fillId="0" borderId="0" xfId="74" applyNumberFormat="1" applyFont="1" applyFill="1" applyBorder="1"/>
    <xf numFmtId="10" fontId="37" fillId="0" borderId="0" xfId="74" applyNumberFormat="1" applyFont="1" applyFill="1" applyBorder="1"/>
    <xf numFmtId="165" fontId="37" fillId="0" borderId="0" xfId="74" applyNumberFormat="1" applyFont="1" applyFill="1" applyBorder="1"/>
    <xf numFmtId="10" fontId="37" fillId="0" borderId="0" xfId="85" applyNumberFormat="1" applyFont="1" applyFill="1" applyBorder="1"/>
    <xf numFmtId="0" fontId="55" fillId="0" borderId="0" xfId="74" applyFont="1" applyFill="1" applyBorder="1"/>
    <xf numFmtId="0" fontId="15" fillId="0" borderId="0" xfId="58" applyFill="1" applyBorder="1" applyAlignment="1" applyProtection="1"/>
    <xf numFmtId="3" fontId="56" fillId="0" borderId="0" xfId="74" applyNumberFormat="1" applyFont="1" applyFill="1" applyBorder="1"/>
    <xf numFmtId="0" fontId="56" fillId="0" borderId="0" xfId="74" applyFont="1" applyFill="1" applyBorder="1"/>
    <xf numFmtId="10" fontId="29" fillId="0" borderId="0" xfId="85" applyNumberFormat="1" applyFont="1" applyFill="1" applyBorder="1"/>
    <xf numFmtId="0" fontId="41" fillId="0" borderId="1" xfId="74" applyFont="1" applyBorder="1" applyAlignment="1">
      <alignment vertical="center" wrapText="1"/>
    </xf>
    <xf numFmtId="49" fontId="41" fillId="30" borderId="1" xfId="66" applyNumberFormat="1" applyFont="1" applyFill="1" applyBorder="1" applyAlignment="1">
      <alignment horizontal="right" wrapText="1"/>
    </xf>
    <xf numFmtId="0" fontId="26" fillId="0" borderId="1" xfId="67" applyFont="1" applyFill="1" applyBorder="1" applyAlignment="1">
      <alignment horizontal="center"/>
    </xf>
    <xf numFmtId="0" fontId="41" fillId="30" borderId="1" xfId="66" applyFont="1" applyFill="1" applyBorder="1" applyAlignment="1">
      <alignment horizontal="left"/>
    </xf>
    <xf numFmtId="164" fontId="38" fillId="30" borderId="1" xfId="47" applyNumberFormat="1" applyFont="1" applyFill="1" applyBorder="1" applyAlignment="1">
      <alignment horizontal="center" vertical="center" wrapText="1"/>
    </xf>
    <xf numFmtId="0" fontId="41" fillId="30" borderId="1" xfId="66" applyFont="1" applyFill="1" applyBorder="1" applyAlignment="1">
      <alignment horizontal="left" wrapText="1"/>
    </xf>
    <xf numFmtId="14" fontId="41" fillId="30" borderId="1" xfId="66" applyNumberFormat="1" applyFont="1" applyFill="1" applyBorder="1" applyAlignment="1">
      <alignment horizontal="right" wrapText="1"/>
    </xf>
    <xf numFmtId="164" fontId="41" fillId="30" borderId="1" xfId="66" applyNumberFormat="1" applyFont="1" applyFill="1" applyBorder="1" applyAlignment="1">
      <alignment horizontal="right" wrapText="1"/>
    </xf>
    <xf numFmtId="14" fontId="41" fillId="30" borderId="1" xfId="74" applyNumberFormat="1" applyFont="1" applyFill="1" applyBorder="1"/>
    <xf numFmtId="167" fontId="41" fillId="30" borderId="1" xfId="74" applyNumberFormat="1" applyFont="1" applyFill="1" applyBorder="1"/>
    <xf numFmtId="0" fontId="41" fillId="30" borderId="1" xfId="74" applyFont="1" applyFill="1" applyBorder="1"/>
    <xf numFmtId="0" fontId="27" fillId="32" borderId="0" xfId="74" applyFont="1" applyFill="1"/>
    <xf numFmtId="0" fontId="41" fillId="32" borderId="1" xfId="66" applyFont="1" applyFill="1" applyBorder="1" applyAlignment="1">
      <alignment horizontal="left"/>
    </xf>
    <xf numFmtId="49" fontId="41" fillId="32" borderId="1" xfId="66" applyNumberFormat="1" applyFont="1" applyFill="1" applyBorder="1" applyAlignment="1">
      <alignment horizontal="right" wrapText="1"/>
    </xf>
    <xf numFmtId="164" fontId="38" fillId="32" borderId="1" xfId="47" applyNumberFormat="1" applyFont="1" applyFill="1" applyBorder="1" applyAlignment="1">
      <alignment horizontal="right" wrapText="1"/>
    </xf>
    <xf numFmtId="0" fontId="38" fillId="32" borderId="1" xfId="74" applyFont="1" applyFill="1" applyBorder="1" applyAlignment="1">
      <alignment wrapText="1"/>
    </xf>
    <xf numFmtId="164" fontId="38" fillId="32" borderId="1" xfId="47" applyNumberFormat="1" applyFont="1" applyFill="1" applyBorder="1" applyAlignment="1">
      <alignment horizontal="center" vertical="center" wrapText="1"/>
    </xf>
    <xf numFmtId="0" fontId="37" fillId="0" borderId="0" xfId="0" applyFont="1"/>
    <xf numFmtId="0" fontId="15" fillId="0" borderId="0" xfId="58" applyFill="1" applyAlignment="1" applyProtection="1"/>
    <xf numFmtId="4" fontId="24" fillId="0" borderId="1" xfId="67" quotePrefix="1" applyNumberFormat="1" applyFont="1" applyFill="1" applyBorder="1" applyAlignment="1">
      <alignment horizontal="right"/>
    </xf>
    <xf numFmtId="0" fontId="26" fillId="0" borderId="0" xfId="67" applyFont="1" applyBorder="1" applyAlignment="1">
      <alignment horizontal="left"/>
    </xf>
    <xf numFmtId="10" fontId="26" fillId="0" borderId="0" xfId="67" applyNumberFormat="1" applyFont="1" applyFill="1" applyBorder="1" applyAlignment="1">
      <alignment horizontal="right"/>
    </xf>
    <xf numFmtId="10" fontId="45" fillId="0" borderId="0" xfId="67" applyNumberFormat="1" applyFont="1" applyFill="1" applyBorder="1"/>
    <xf numFmtId="3" fontId="24" fillId="0" borderId="0" xfId="67" applyNumberFormat="1" applyFont="1" applyFill="1" applyBorder="1" applyAlignment="1">
      <alignment horizontal="right"/>
    </xf>
    <xf numFmtId="164" fontId="31" fillId="0" borderId="0" xfId="67" applyNumberFormat="1" applyFont="1" applyBorder="1"/>
    <xf numFmtId="0" fontId="24" fillId="33" borderId="0" xfId="67" applyFont="1" applyFill="1"/>
    <xf numFmtId="0" fontId="24" fillId="33" borderId="0" xfId="67" applyFont="1" applyFill="1" applyAlignment="1">
      <alignment horizontal="left"/>
    </xf>
    <xf numFmtId="0" fontId="29" fillId="0" borderId="0" xfId="0" applyFont="1"/>
    <xf numFmtId="0" fontId="29" fillId="0" borderId="1" xfId="0" applyFont="1" applyBorder="1"/>
    <xf numFmtId="3" fontId="29" fillId="0" borderId="1" xfId="0" applyNumberFormat="1" applyFont="1" applyBorder="1" applyAlignment="1"/>
    <xf numFmtId="0" fontId="37" fillId="0" borderId="1" xfId="0" applyFont="1" applyBorder="1" applyAlignment="1">
      <alignment horizontal="left"/>
    </xf>
    <xf numFmtId="0" fontId="37" fillId="0" borderId="0" xfId="0" applyFont="1" applyAlignment="1">
      <alignment horizontal="left"/>
    </xf>
    <xf numFmtId="3" fontId="29" fillId="0" borderId="1" xfId="0" applyNumberFormat="1" applyFont="1" applyBorder="1"/>
    <xf numFmtId="0" fontId="29" fillId="0" borderId="0" xfId="0" applyFont="1" applyBorder="1"/>
    <xf numFmtId="3" fontId="37" fillId="0" borderId="0" xfId="0" applyNumberFormat="1" applyFont="1" applyBorder="1"/>
    <xf numFmtId="0" fontId="37" fillId="0" borderId="0" xfId="0" applyFont="1" applyBorder="1" applyAlignment="1">
      <alignment horizontal="left"/>
    </xf>
    <xf numFmtId="0" fontId="37" fillId="0" borderId="1" xfId="0" applyFont="1" applyBorder="1" applyAlignment="1">
      <alignment horizontal="justify" vertical="top" wrapText="1"/>
    </xf>
    <xf numFmtId="0" fontId="37" fillId="0" borderId="1" xfId="0" applyFont="1" applyBorder="1" applyAlignment="1">
      <alignment horizontal="center" vertical="top" wrapText="1"/>
    </xf>
    <xf numFmtId="3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/>
    <xf numFmtId="164" fontId="37" fillId="0" borderId="1" xfId="0" applyNumberFormat="1" applyFont="1" applyBorder="1"/>
    <xf numFmtId="166" fontId="37" fillId="0" borderId="1" xfId="0" applyNumberFormat="1" applyFont="1" applyBorder="1"/>
    <xf numFmtId="4" fontId="37" fillId="0" borderId="1" xfId="0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67" fontId="37" fillId="0" borderId="1" xfId="0" applyNumberFormat="1" applyFont="1" applyBorder="1" applyAlignment="1">
      <alignment horizontal="center"/>
    </xf>
    <xf numFmtId="173" fontId="37" fillId="0" borderId="1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/>
    </xf>
    <xf numFmtId="166" fontId="37" fillId="0" borderId="1" xfId="0" applyNumberFormat="1" applyFont="1" applyBorder="1" applyAlignment="1">
      <alignment horizontal="center" vertical="center"/>
    </xf>
    <xf numFmtId="3" fontId="37" fillId="0" borderId="1" xfId="0" applyNumberFormat="1" applyFont="1" applyBorder="1"/>
    <xf numFmtId="164" fontId="37" fillId="0" borderId="39" xfId="69" applyNumberFormat="1" applyFont="1" applyBorder="1" applyAlignment="1">
      <alignment horizontal="center"/>
    </xf>
    <xf numFmtId="9" fontId="37" fillId="0" borderId="1" xfId="85" applyNumberFormat="1" applyFont="1" applyBorder="1"/>
    <xf numFmtId="10" fontId="37" fillId="0" borderId="1" xfId="85" applyNumberFormat="1" applyFont="1" applyBorder="1"/>
    <xf numFmtId="3" fontId="37" fillId="0" borderId="1" xfId="0" applyNumberFormat="1" applyFont="1" applyBorder="1" applyAlignment="1">
      <alignment horizontal="center" vertical="center"/>
    </xf>
    <xf numFmtId="172" fontId="37" fillId="0" borderId="1" xfId="0" applyNumberFormat="1" applyFont="1" applyBorder="1" applyAlignment="1">
      <alignment horizontal="center"/>
    </xf>
    <xf numFmtId="43" fontId="37" fillId="0" borderId="0" xfId="39" applyFont="1"/>
    <xf numFmtId="3" fontId="37" fillId="0" borderId="0" xfId="0" applyNumberFormat="1" applyFont="1"/>
    <xf numFmtId="3" fontId="37" fillId="0" borderId="1" xfId="0" applyNumberFormat="1" applyFont="1" applyBorder="1" applyAlignment="1">
      <alignment horizontal="center" wrapText="1"/>
    </xf>
    <xf numFmtId="0" fontId="46" fillId="0" borderId="0" xfId="0" applyFont="1"/>
    <xf numFmtId="0" fontId="79" fillId="0" borderId="0" xfId="58" applyFont="1" applyAlignment="1" applyProtection="1"/>
    <xf numFmtId="0" fontId="80" fillId="0" borderId="0" xfId="58" applyFont="1" applyAlignment="1" applyProtection="1"/>
    <xf numFmtId="0" fontId="26" fillId="29" borderId="1" xfId="67" applyFont="1" applyFill="1" applyBorder="1" applyAlignment="1">
      <alignment horizontal="left"/>
    </xf>
    <xf numFmtId="164" fontId="29" fillId="0" borderId="1" xfId="67" applyNumberFormat="1" applyFont="1" applyBorder="1" applyAlignment="1">
      <alignment horizontal="center"/>
    </xf>
    <xf numFmtId="0" fontId="26" fillId="29" borderId="1" xfId="67" applyFont="1" applyFill="1" applyBorder="1" applyAlignment="1">
      <alignment horizontal="center"/>
    </xf>
    <xf numFmtId="165" fontId="76" fillId="0" borderId="1" xfId="67" applyNumberFormat="1" applyFont="1" applyBorder="1" applyAlignment="1">
      <alignment horizontal="center"/>
    </xf>
    <xf numFmtId="10" fontId="29" fillId="0" borderId="1" xfId="67" applyNumberFormat="1" applyFont="1" applyBorder="1" applyAlignment="1">
      <alignment horizontal="center"/>
    </xf>
    <xf numFmtId="0" fontId="29" fillId="0" borderId="0" xfId="74" applyFont="1" applyAlignment="1">
      <alignment horizontal="center"/>
    </xf>
    <xf numFmtId="165" fontId="77" fillId="0" borderId="17" xfId="74" applyNumberFormat="1" applyFont="1" applyBorder="1" applyAlignment="1">
      <alignment horizontal="center"/>
    </xf>
    <xf numFmtId="165" fontId="77" fillId="0" borderId="27" xfId="74" applyNumberFormat="1" applyFont="1" applyBorder="1" applyAlignment="1">
      <alignment horizontal="center"/>
    </xf>
    <xf numFmtId="165" fontId="77" fillId="0" borderId="21" xfId="74" applyNumberFormat="1" applyFont="1" applyBorder="1" applyAlignment="1">
      <alignment horizontal="center"/>
    </xf>
    <xf numFmtId="0" fontId="24" fillId="33" borderId="39" xfId="67" applyFont="1" applyFill="1" applyBorder="1" applyAlignment="1">
      <alignment horizontal="center"/>
    </xf>
    <xf numFmtId="0" fontId="29" fillId="29" borderId="1" xfId="0" applyFont="1" applyFill="1" applyBorder="1" applyAlignment="1">
      <alignment vertical="center" wrapText="1"/>
    </xf>
    <xf numFmtId="0" fontId="29" fillId="29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/>
    </xf>
    <xf numFmtId="164" fontId="37" fillId="0" borderId="24" xfId="0" applyNumberFormat="1" applyFont="1" applyBorder="1" applyAlignment="1">
      <alignment horizontal="center" vertical="center"/>
    </xf>
    <xf numFmtId="164" fontId="37" fillId="0" borderId="18" xfId="0" applyNumberFormat="1" applyFont="1" applyBorder="1" applyAlignment="1">
      <alignment horizontal="center" vertical="center"/>
    </xf>
  </cellXfs>
  <cellStyles count="88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2x indented GHG Textfiels" xfId="19"/>
    <cellStyle name="5x indented GHG Textfiels" xfId="20"/>
    <cellStyle name="Açıklama Metni" xfId="21" builtinId="53" customBuiltin="1"/>
    <cellStyle name="AggblueBoldCels" xfId="22"/>
    <cellStyle name="AggblueCels" xfId="23"/>
    <cellStyle name="AggBoldCells" xfId="24"/>
    <cellStyle name="AggCels" xfId="25"/>
    <cellStyle name="AggGreen" xfId="26"/>
    <cellStyle name="AggGreen12" xfId="27"/>
    <cellStyle name="AggOrange" xfId="28"/>
    <cellStyle name="AggOrange9" xfId="29"/>
    <cellStyle name="AggOrangeLB_2x" xfId="30"/>
    <cellStyle name="AggOrangeLBorder" xfId="31"/>
    <cellStyle name="AggOrangeRBorder" xfId="32"/>
    <cellStyle name="Ana Başlık" xfId="33" builtinId="15" customBuiltin="1"/>
    <cellStyle name="Bağlı Hücre" xfId="34" builtinId="24" customBuiltin="1"/>
    <cellStyle name="Başlık 1" xfId="35" builtinId="16" customBuiltin="1"/>
    <cellStyle name="Başlık 2" xfId="36" builtinId="17" customBuiltin="1"/>
    <cellStyle name="Başlık 3" xfId="37" builtinId="18" customBuiltin="1"/>
    <cellStyle name="Başlık 4" xfId="38" builtinId="19" customBuiltin="1"/>
    <cellStyle name="Binlik Ayracı_Calculation_CM_12(1).11.08-VER2" xfId="40"/>
    <cellStyle name="Binlik Ayracı_Calculation_CM_12(1).11.08-VER2 2" xfId="41"/>
    <cellStyle name="Constants" xfId="42"/>
    <cellStyle name="CustomCellsOrange" xfId="43"/>
    <cellStyle name="CustomizationCells" xfId="44"/>
    <cellStyle name="CustomizationGreenCells" xfId="45"/>
    <cellStyle name="Çıkış" xfId="46" builtinId="21" customBuiltin="1"/>
    <cellStyle name="Dezimal_Recent Power Plants and Wind Power Plants" xfId="47"/>
    <cellStyle name="DocBox_EmptyRow" xfId="48"/>
    <cellStyle name="Empty_B_border" xfId="49"/>
    <cellStyle name="Giriş" xfId="50" builtinId="20" customBuiltin="1"/>
    <cellStyle name="Headline" xfId="51"/>
    <cellStyle name="Hesaplama" xfId="52" builtinId="22" customBuiltin="1"/>
    <cellStyle name="InputCells" xfId="53"/>
    <cellStyle name="InputCells12" xfId="54"/>
    <cellStyle name="IntCells" xfId="55"/>
    <cellStyle name="İşaretli Hücre" xfId="56" builtinId="23" customBuiltin="1"/>
    <cellStyle name="İyi" xfId="57" builtinId="26" customBuiltin="1"/>
    <cellStyle name="Köprü" xfId="58" builtinId="8"/>
    <cellStyle name="Köprü_Calculation_CM_12(1).11.08-VER2 2" xfId="59"/>
    <cellStyle name="Kötü" xfId="60" builtinId="27" customBuiltin="1"/>
    <cellStyle name="Normal" xfId="0" builtinId="0"/>
    <cellStyle name="Normal 2" xfId="61"/>
    <cellStyle name="Normal GHG Numbers (0.00)" xfId="62"/>
    <cellStyle name="Normal GHG Textfiels Bold" xfId="63"/>
    <cellStyle name="Normal GHG whole table" xfId="64"/>
    <cellStyle name="Normal GHG-Shade" xfId="65"/>
    <cellStyle name="Normal_Calculation_CM_12(1).11.08-VER2" xfId="66"/>
    <cellStyle name="Normal_Calculation_CM_12(1).11.08-VER2 2" xfId="67"/>
    <cellStyle name="Normal_OM Calculation-New (20(1).03.2008)" xfId="68"/>
    <cellStyle name="Normal_Sayfa1_1" xfId="69"/>
    <cellStyle name="Normal_Sayfa6-7" xfId="70"/>
    <cellStyle name="Not" xfId="71" builtinId="10" customBuiltin="1"/>
    <cellStyle name="Nötr" xfId="72" builtinId="28" customBuiltin="1"/>
    <cellStyle name="Shade" xfId="73"/>
    <cellStyle name="Standard_Recent Power Plants and Wind Power Plants" xfId="74"/>
    <cellStyle name="Standard_Recent Power Plants and Wind Power Plants 2" xfId="75"/>
    <cellStyle name="Standard_Recent Power Plants and Wind Power Plants 3" xfId="76"/>
    <cellStyle name="Toplam" xfId="77" builtinId="25" customBuiltin="1"/>
    <cellStyle name="Uyarı Metni" xfId="78" builtinId="11" customBuiltin="1"/>
    <cellStyle name="Virgül" xfId="39" builtinId="3"/>
    <cellStyle name="Vurgu1" xfId="79" builtinId="29" customBuiltin="1"/>
    <cellStyle name="Vurgu2" xfId="80" builtinId="33" customBuiltin="1"/>
    <cellStyle name="Vurgu3" xfId="81" builtinId="37" customBuiltin="1"/>
    <cellStyle name="Vurgu4" xfId="82" builtinId="41" customBuiltin="1"/>
    <cellStyle name="Vurgu5" xfId="83" builtinId="45" customBuiltin="1"/>
    <cellStyle name="Vurgu6" xfId="84" builtinId="49" customBuiltin="1"/>
    <cellStyle name="Yüzde" xfId="85" builtinId="5"/>
    <cellStyle name="Гиперссылка" xfId="86"/>
    <cellStyle name="Обычный_2++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Fuel share in electricity generation 2010</a:t>
            </a:r>
          </a:p>
          <a:p>
            <a:pPr>
              <a:defRPr/>
            </a:pPr>
            <a:r>
              <a:rPr lang="tr-TR"/>
              <a:t>Total 211.2 GWh</a:t>
            </a:r>
          </a:p>
        </c:rich>
      </c:tx>
      <c:layout>
        <c:manualLayout>
          <c:xMode val="edge"/>
          <c:yMode val="edge"/>
          <c:x val="0.20952420947381575"/>
          <c:y val="3.2338308457711566E-2"/>
        </c:manualLayout>
      </c:layout>
      <c:overlay val="0"/>
    </c:title>
    <c:autoTitleDeleted val="0"/>
    <c:view3D>
      <c:rotX val="1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19076672389642"/>
          <c:y val="0.5174141922569534"/>
          <c:w val="0.6800012648833057"/>
          <c:h val="0.3507471207126494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5538577677790291"/>
                  <c:y val="3.001005471331008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5752430946131733E-2"/>
                  <c:y val="-6.1056920123790534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648560309502708E-2"/>
                  <c:y val="-1.8907281852868621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6652840911538983"/>
                  <c:y val="-0.1405385428906254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9808535897172044"/>
                  <c:y val="-0.18901282231669381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6736430855691767E-2"/>
                  <c:y val="-0.1740874129246652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122618342022219"/>
                  <c:y val="-1.239547784436593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3320165381355567"/>
                  <c:y val="-7.8193417700907014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0440128167411362"/>
                  <c:y val="-0.1900510173791350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5.3909293730457636E-3"/>
                  <c:y val="-4.6810997483354828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>OM!$L$15:$L$23</c:f>
              <c:numCache>
                <c:formatCode>#,##0.0</c:formatCode>
                <c:ptCount val="9"/>
                <c:pt idx="0">
                  <c:v>98143.7</c:v>
                </c:pt>
                <c:pt idx="1">
                  <c:v>35942.1</c:v>
                </c:pt>
                <c:pt idx="2">
                  <c:v>19104.3</c:v>
                </c:pt>
                <c:pt idx="3">
                  <c:v>2143.8000000000002</c:v>
                </c:pt>
                <c:pt idx="4">
                  <c:v>31.9</c:v>
                </c:pt>
                <c:pt idx="5">
                  <c:v>0</c:v>
                </c:pt>
                <c:pt idx="6">
                  <c:v>3584.6</c:v>
                </c:pt>
                <c:pt idx="7">
                  <c:v>457.5</c:v>
                </c:pt>
                <c:pt idx="8">
                  <c:v>51795.5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000000000000366" r="0.75000000000000366" t="1" header="0.49212598450000178" footer="0.49212598450000178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Fuel share in energy capacity 2010</a:t>
            </a:r>
          </a:p>
          <a:p>
            <a:pPr>
              <a:defRPr/>
            </a:pPr>
            <a:r>
              <a:rPr lang="tr-TR"/>
              <a:t>Total 44.2 GW</a:t>
            </a:r>
          </a:p>
        </c:rich>
      </c:tx>
      <c:layout>
        <c:manualLayout>
          <c:xMode val="edge"/>
          <c:yMode val="edge"/>
          <c:x val="0.2417797001680399"/>
          <c:y val="4.3392504930966795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52817064359668"/>
          <c:y val="0.39940828402367262"/>
          <c:w val="0.71566798732545345"/>
          <c:h val="0.4319526627218961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5343974289921072E-2"/>
                  <c:y val="-0.1419046731584587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5776359676510452E-2"/>
                  <c:y val="-8.8410132165432267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2217187514565119E-2"/>
                  <c:y val="-4.8280917548028504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9753812861128514E-2"/>
                  <c:y val="-6.6742145397505781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57640286546752739"/>
                  <c:y val="0.26331360946745797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>OM!$M$43:$M$44</c:f>
              <c:numCache>
                <c:formatCode>#,##0.0</c:formatCode>
                <c:ptCount val="2"/>
                <c:pt idx="0">
                  <c:v>13302.1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000000000000366" r="0.75000000000000366" t="1" header="0.49212598450000178" footer="0.4921259845000017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0</xdr:rowOff>
    </xdr:from>
    <xdr:to>
      <xdr:col>19</xdr:col>
      <xdr:colOff>704850</xdr:colOff>
      <xdr:row>22</xdr:row>
      <xdr:rowOff>19050</xdr:rowOff>
    </xdr:to>
    <xdr:graphicFrame macro="">
      <xdr:nvGraphicFramePr>
        <xdr:cNvPr id="5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23</xdr:row>
      <xdr:rowOff>47625</xdr:rowOff>
    </xdr:from>
    <xdr:to>
      <xdr:col>20</xdr:col>
      <xdr:colOff>714375</xdr:colOff>
      <xdr:row>48</xdr:row>
      <xdr:rowOff>0</xdr:rowOff>
    </xdr:to>
    <xdr:graphicFrame macro="">
      <xdr:nvGraphicFramePr>
        <xdr:cNvPr id="5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ias.gov.tr/istatistik2010/front%20page%202010-%C3%A7i%C3%A7ek%20kitap/uretim%20tuketim(22-45)/35(75-10).xl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teias.gov.tr/istatistik2010/front%20page%202010-%C3%A7i%C3%A7ek%20kitap/kguc(1-12)/7.xls" TargetMode="External"/><Relationship Id="rId1" Type="http://schemas.openxmlformats.org/officeDocument/2006/relationships/hyperlink" Target="http://www.teias.gov.tr/istatistik2010/front%20page%202010-%C3%A7i%C3%A7ek%20kitap/uretim%20tuketim(22-45)/35(75-10).xl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teias.gov.tr/istatistik2010/front%20page%202010-%C3%A7i%C3%A7ek%20kitap/uretim%20tuketim(22-45)/33(84-10).xls" TargetMode="External"/><Relationship Id="rId4" Type="http://schemas.openxmlformats.org/officeDocument/2006/relationships/hyperlink" Target="http://www.teias.gov.tr/istatistik2010/front%20page%202010-%C3%A7i%C3%A7ek%20kitap/ithalat-ihracat(50-54)/52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pt.gov.tr/DocObjects/Icerik/4225/Enerji_Hammaddeleri_(Linyit_Task&#246;muru-Jeotermal)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teias.gov.tr/istatistik2010/front%20page%202010-%C3%A7i%C3%A7ek%20kitap/yak%C4%B1t46-49/49.xl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teias.gov.tr/istatistik2010/front%20page%202010-%C3%A7i%C3%A7ek%20kitap/yak%C4%B1t46-49/47.xl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cdas.com.tr/icdas/enerji_en.htm" TargetMode="External"/><Relationship Id="rId3" Type="http://schemas.openxmlformats.org/officeDocument/2006/relationships/hyperlink" Target="http://www.dpt.gov.tr/DocObjects/Icerik/4225/Enerji_Hammaddeleri_(Linyit_Task&#246;muru-Jeotermal)" TargetMode="External"/><Relationship Id="rId7" Type="http://schemas.openxmlformats.org/officeDocument/2006/relationships/hyperlink" Target="http://www.epdk.org.tr/yayin_rapor/elektrik/yayin/uretimKapasiteProjeksiyonu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cdm.unfccc.int/methodologies/PAmethodologies/tools/am-tool-07-v2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epdk.org.tr/yayin_rapor/elektrik/yayin/uretimKapasiteProjeksiyonu2008_2017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teias.gov.tr/projeksiyon/KAPASITEPROJEKSIYONU2009.pdf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teias.gov.tr/projeksiyon/KAPASITE%20PROJEKSIYONU%202010.pdf" TargetMode="External"/><Relationship Id="rId9" Type="http://schemas.openxmlformats.org/officeDocument/2006/relationships/hyperlink" Target="http://www.epdk.org.tr/documents/10157/8edb1470-7667-4ce1-8ce5-21d1ce4e476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ias.gov.tr/istatistik2008/44.xls" TargetMode="External"/><Relationship Id="rId3" Type="http://schemas.openxmlformats.org/officeDocument/2006/relationships/hyperlink" Target="http://www.igdas.com.tr/Dynamic/Institutional_Natural_Gas_Price_List.aspx?MI=3&amp;CMI=330&amp;MCI=122" TargetMode="External"/><Relationship Id="rId7" Type="http://schemas.openxmlformats.org/officeDocument/2006/relationships/hyperlink" Target="http://www.teias.gov.tr/istatistik2009/index.htm" TargetMode="External"/><Relationship Id="rId2" Type="http://schemas.openxmlformats.org/officeDocument/2006/relationships/hyperlink" Target="http://www.teias.gov.tr/istatistik2008/33.xls" TargetMode="External"/><Relationship Id="rId1" Type="http://schemas.openxmlformats.org/officeDocument/2006/relationships/hyperlink" Target="http://www.informaworld.com/smpp/content~content=a791654927&amp;db=all" TargetMode="External"/><Relationship Id="rId6" Type="http://schemas.openxmlformats.org/officeDocument/2006/relationships/hyperlink" Target="http://www.teias.gov.tr/istatistik2010/index.htm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://www.tuik.gov.tr/PreHaberBultenleri.do?id=8537&amp;tb_id=7" TargetMode="External"/><Relationship Id="rId10" Type="http://schemas.openxmlformats.org/officeDocument/2006/relationships/hyperlink" Target="http://www.tuik.gov.tr/PreHaberBultenleri.do?id=8537&amp;tb_id=6" TargetMode="External"/><Relationship Id="rId4" Type="http://schemas.openxmlformats.org/officeDocument/2006/relationships/hyperlink" Target="http://www.tuik.gov.tr/PreHaberBultenleri.do?id=8537&amp;tb_id=8" TargetMode="External"/><Relationship Id="rId9" Type="http://schemas.openxmlformats.org/officeDocument/2006/relationships/hyperlink" Target="http://www.turkstat.gov.tr/PreHaberBultenleri.do?id=10732&amp;tb_id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N54"/>
  <sheetViews>
    <sheetView topLeftCell="A37" workbookViewId="0">
      <selection activeCell="D44" sqref="D44"/>
    </sheetView>
  </sheetViews>
  <sheetFormatPr defaultColWidth="11.44140625" defaultRowHeight="12.6"/>
  <cols>
    <col min="1" max="1" width="52.33203125" style="65" customWidth="1"/>
    <col min="2" max="3" width="14.44140625" style="65" bestFit="1" customWidth="1"/>
    <col min="4" max="4" width="12.44140625" style="65" customWidth="1"/>
    <col min="5" max="5" width="11.6640625" style="65" customWidth="1"/>
    <col min="6" max="6" width="11.44140625" style="65" customWidth="1"/>
    <col min="7" max="7" width="8.88671875" style="65" customWidth="1"/>
    <col min="8" max="8" width="11.44140625" style="65" customWidth="1"/>
    <col min="9" max="9" width="17" style="65" customWidth="1"/>
    <col min="10" max="10" width="22" style="65" customWidth="1"/>
    <col min="11" max="11" width="17" style="65" customWidth="1"/>
    <col min="12" max="12" width="14" style="65" customWidth="1"/>
    <col min="13" max="13" width="12.6640625" style="65" customWidth="1"/>
    <col min="14" max="16384" width="11.44140625" style="65"/>
  </cols>
  <sheetData>
    <row r="2" spans="1:13">
      <c r="A2" s="252" t="s">
        <v>668</v>
      </c>
      <c r="B2" s="66"/>
      <c r="H2" s="67"/>
    </row>
    <row r="3" spans="1:13" ht="13.2">
      <c r="A3" s="289" t="s">
        <v>618</v>
      </c>
      <c r="B3" s="289"/>
      <c r="C3" s="289"/>
      <c r="D3" s="289"/>
      <c r="E3" s="289"/>
      <c r="F3" s="289"/>
      <c r="G3" s="68" t="s">
        <v>273</v>
      </c>
      <c r="H3" s="69" t="s">
        <v>623</v>
      </c>
    </row>
    <row r="4" spans="1:13">
      <c r="A4" s="70"/>
      <c r="B4" s="72">
        <v>2006</v>
      </c>
      <c r="C4" s="71">
        <v>2007</v>
      </c>
      <c r="D4" s="71">
        <v>2008</v>
      </c>
      <c r="E4" s="71">
        <v>2009</v>
      </c>
      <c r="F4" s="229">
        <v>2010</v>
      </c>
      <c r="H4" s="38" t="s">
        <v>619</v>
      </c>
      <c r="M4" s="73"/>
    </row>
    <row r="5" spans="1:13" ht="13.2">
      <c r="A5" s="74" t="s">
        <v>4</v>
      </c>
      <c r="B5" s="75">
        <v>176299.8</v>
      </c>
      <c r="C5" s="75">
        <v>191558.12940900002</v>
      </c>
      <c r="D5" s="75">
        <v>198418</v>
      </c>
      <c r="E5" s="75">
        <v>194812.9</v>
      </c>
      <c r="F5" s="75">
        <v>211207.7</v>
      </c>
      <c r="M5" s="76"/>
    </row>
    <row r="6" spans="1:13" ht="13.2">
      <c r="A6" s="77" t="s">
        <v>5</v>
      </c>
      <c r="B6" s="75">
        <f>SUM(B7:B9)</f>
        <v>44618.7</v>
      </c>
      <c r="C6" s="75">
        <f>SUM(C7:C9)</f>
        <v>36575.629408999994</v>
      </c>
      <c r="D6" s="75">
        <f>SUM(D7:D9)</f>
        <v>34498.600000000006</v>
      </c>
      <c r="E6" s="75">
        <f>SUM(E7:E9)</f>
        <v>38229.599999999999</v>
      </c>
      <c r="F6" s="75">
        <f>SUM(F7:F9)</f>
        <v>55837.599999999999</v>
      </c>
      <c r="M6" s="76"/>
    </row>
    <row r="7" spans="1:13" ht="12.75" customHeight="1">
      <c r="A7" s="74" t="s">
        <v>187</v>
      </c>
      <c r="B7" s="75">
        <v>44244.2</v>
      </c>
      <c r="C7" s="75">
        <v>35850.829408999998</v>
      </c>
      <c r="D7" s="75">
        <v>33269.800000000003</v>
      </c>
      <c r="E7" s="75">
        <v>35958.400000000001</v>
      </c>
      <c r="F7" s="75">
        <v>51795.5</v>
      </c>
      <c r="M7" s="76"/>
    </row>
    <row r="8" spans="1:13" ht="12.75" customHeight="1">
      <c r="A8" s="74" t="s">
        <v>188</v>
      </c>
      <c r="B8" s="75">
        <v>154</v>
      </c>
      <c r="C8" s="75">
        <v>213.7</v>
      </c>
      <c r="D8" s="75">
        <v>219.9</v>
      </c>
      <c r="E8" s="75">
        <v>340.1</v>
      </c>
      <c r="F8" s="75">
        <v>457.5</v>
      </c>
      <c r="M8" s="76"/>
    </row>
    <row r="9" spans="1:13" ht="13.2">
      <c r="A9" s="74" t="s">
        <v>189</v>
      </c>
      <c r="B9" s="75">
        <v>220.5</v>
      </c>
      <c r="C9" s="75">
        <v>511.1</v>
      </c>
      <c r="D9" s="75">
        <v>1008.9</v>
      </c>
      <c r="E9" s="75">
        <v>1931.1</v>
      </c>
      <c r="F9" s="75">
        <v>3584.6</v>
      </c>
      <c r="M9" s="76"/>
    </row>
    <row r="10" spans="1:13">
      <c r="A10" s="74" t="s">
        <v>7</v>
      </c>
      <c r="B10" s="78">
        <f>B6/B5</f>
        <v>0.25308423492255805</v>
      </c>
      <c r="C10" s="78">
        <f>C6/C5</f>
        <v>0.19093749517101702</v>
      </c>
      <c r="D10" s="78">
        <f>D6/D5</f>
        <v>0.17386829823907107</v>
      </c>
      <c r="E10" s="78">
        <f>E6/E5</f>
        <v>0.19623751815203203</v>
      </c>
      <c r="F10" s="78">
        <f>F6/F5</f>
        <v>0.26437293716090843</v>
      </c>
      <c r="M10" s="79"/>
    </row>
    <row r="11" spans="1:13">
      <c r="A11" s="74" t="s">
        <v>8</v>
      </c>
      <c r="B11" s="293">
        <f>AVERAGE(B10:F10)</f>
        <v>0.2157000967291173</v>
      </c>
      <c r="C11" s="293"/>
      <c r="D11" s="293"/>
      <c r="E11" s="293"/>
      <c r="F11" s="293"/>
      <c r="M11" s="79"/>
    </row>
    <row r="12" spans="1:13">
      <c r="A12" s="80"/>
      <c r="B12" s="81"/>
      <c r="C12" s="81"/>
      <c r="D12" s="81"/>
      <c r="E12" s="82"/>
      <c r="M12" s="83"/>
    </row>
    <row r="13" spans="1:13" ht="15" customHeight="1">
      <c r="A13" s="291" t="s">
        <v>620</v>
      </c>
      <c r="B13" s="291"/>
      <c r="C13" s="291"/>
      <c r="D13" s="291"/>
      <c r="M13" s="83"/>
    </row>
    <row r="14" spans="1:13" ht="15" customHeight="1">
      <c r="B14" s="84">
        <v>2008</v>
      </c>
      <c r="C14" s="84">
        <v>2009</v>
      </c>
      <c r="D14" s="84">
        <v>2010</v>
      </c>
      <c r="K14" s="85" t="s">
        <v>633</v>
      </c>
      <c r="M14" s="86"/>
    </row>
    <row r="15" spans="1:13">
      <c r="A15" s="87" t="s">
        <v>9</v>
      </c>
      <c r="B15" s="88">
        <f>D5-B37</f>
        <v>34498.600000000006</v>
      </c>
      <c r="C15" s="88">
        <f>E5-C37</f>
        <v>38229.5</v>
      </c>
      <c r="D15" s="88">
        <f>F5-D37</f>
        <v>55837.600000000064</v>
      </c>
      <c r="K15" s="89" t="s">
        <v>1</v>
      </c>
      <c r="L15" s="90">
        <f>D29</f>
        <v>98143.7</v>
      </c>
      <c r="M15" s="41">
        <f t="shared" ref="M15:M23" si="0">L15/$L$24</f>
        <v>0.46468806846859478</v>
      </c>
    </row>
    <row r="16" spans="1:13" ht="15" customHeight="1">
      <c r="A16" s="87" t="s">
        <v>10</v>
      </c>
      <c r="B16" s="88">
        <f>B15-D7</f>
        <v>1228.8000000000029</v>
      </c>
      <c r="C16" s="88">
        <f>C15-E7</f>
        <v>2271.0999999999985</v>
      </c>
      <c r="D16" s="88">
        <f>D15-F7</f>
        <v>4042.100000000064</v>
      </c>
      <c r="K16" s="89" t="s">
        <v>0</v>
      </c>
      <c r="L16" s="90">
        <f>D30</f>
        <v>35942.1</v>
      </c>
      <c r="M16" s="41">
        <f t="shared" si="0"/>
        <v>0.17017765812482188</v>
      </c>
    </row>
    <row r="17" spans="1:14" ht="14.25" customHeight="1">
      <c r="A17" s="91" t="s">
        <v>11</v>
      </c>
      <c r="B17" s="92">
        <f>B16/D5</f>
        <v>6.192986523400109E-3</v>
      </c>
      <c r="C17" s="92">
        <f>C16/E5</f>
        <v>1.1657852226418264E-2</v>
      </c>
      <c r="D17" s="92">
        <f>D16/F5</f>
        <v>1.9138033319808245E-2</v>
      </c>
      <c r="E17" s="93">
        <f>SUM(B17:D17)/3</f>
        <v>1.2329624023208871E-2</v>
      </c>
      <c r="K17" s="89" t="s">
        <v>12</v>
      </c>
      <c r="L17" s="90">
        <f>D31</f>
        <v>19104.3</v>
      </c>
      <c r="M17" s="41">
        <f t="shared" si="0"/>
        <v>9.0454509728536581E-2</v>
      </c>
    </row>
    <row r="18" spans="1:14">
      <c r="A18" s="94"/>
      <c r="B18" s="81"/>
      <c r="C18" s="81"/>
      <c r="D18" s="95"/>
      <c r="K18" s="89" t="s">
        <v>13</v>
      </c>
      <c r="L18" s="90">
        <f>D32</f>
        <v>2143.8000000000002</v>
      </c>
      <c r="M18" s="41">
        <f t="shared" si="0"/>
        <v>1.0150404775680697E-2</v>
      </c>
    </row>
    <row r="19" spans="1:14" ht="11.25" customHeight="1">
      <c r="A19" s="94"/>
      <c r="B19" s="81"/>
      <c r="C19" s="81"/>
      <c r="D19" s="95"/>
      <c r="K19" s="89" t="s">
        <v>15</v>
      </c>
      <c r="L19" s="90">
        <f>D34</f>
        <v>31.9</v>
      </c>
      <c r="M19" s="41">
        <f t="shared" si="0"/>
        <v>1.5103923516382787E-4</v>
      </c>
    </row>
    <row r="20" spans="1:14" ht="12.75" customHeight="1">
      <c r="K20" s="89" t="s">
        <v>2</v>
      </c>
      <c r="L20" s="90">
        <f>D35</f>
        <v>0</v>
      </c>
      <c r="M20" s="41">
        <f t="shared" si="0"/>
        <v>0</v>
      </c>
    </row>
    <row r="21" spans="1:14">
      <c r="A21" s="77" t="s">
        <v>16</v>
      </c>
      <c r="B21" s="77">
        <v>2008</v>
      </c>
      <c r="C21" s="77">
        <v>2009</v>
      </c>
      <c r="D21" s="77">
        <v>2010</v>
      </c>
      <c r="F21" s="96"/>
      <c r="K21" s="89" t="s">
        <v>190</v>
      </c>
      <c r="L21" s="90">
        <f>F9</f>
        <v>3584.6</v>
      </c>
      <c r="M21" s="41">
        <f t="shared" si="0"/>
        <v>1.6972264651042551E-2</v>
      </c>
    </row>
    <row r="22" spans="1:14">
      <c r="A22" s="252" t="s">
        <v>667</v>
      </c>
      <c r="C22" s="96"/>
      <c r="D22" s="96"/>
      <c r="F22" s="97"/>
      <c r="K22" s="89" t="s">
        <v>199</v>
      </c>
      <c r="L22" s="90">
        <f>F8</f>
        <v>457.5</v>
      </c>
      <c r="M22" s="41">
        <f t="shared" si="0"/>
        <v>2.16615830995145E-3</v>
      </c>
    </row>
    <row r="23" spans="1:14" ht="15">
      <c r="A23" s="289" t="s">
        <v>621</v>
      </c>
      <c r="B23" s="289"/>
      <c r="C23" s="289"/>
      <c r="D23" s="289"/>
      <c r="K23" s="89" t="s">
        <v>6</v>
      </c>
      <c r="L23" s="90">
        <f>F7</f>
        <v>51795.5</v>
      </c>
      <c r="M23" s="41">
        <f t="shared" si="0"/>
        <v>0.24523989670620838</v>
      </c>
    </row>
    <row r="24" spans="1:14" ht="13.5" customHeight="1">
      <c r="A24" s="166" t="s">
        <v>32</v>
      </c>
      <c r="B24" s="170">
        <f>'Total CO2 for OM'!D44</f>
        <v>103351.93800083999</v>
      </c>
      <c r="C24" s="170">
        <f>'Total CO2 for OM'!E44</f>
        <v>97863.399217841739</v>
      </c>
      <c r="D24" s="170">
        <f>'Total CO2 for OM'!F44</f>
        <v>98477.958516840008</v>
      </c>
      <c r="E24" s="68" t="s">
        <v>273</v>
      </c>
      <c r="F24" s="97" t="s">
        <v>289</v>
      </c>
      <c r="K24" s="98" t="s">
        <v>3</v>
      </c>
      <c r="L24" s="99">
        <f>SUM(L15:L23)</f>
        <v>211203.39999999997</v>
      </c>
    </row>
    <row r="25" spans="1:14" ht="13.5" customHeight="1">
      <c r="A25" s="247"/>
      <c r="B25" s="250"/>
      <c r="C25" s="250"/>
      <c r="D25" s="250"/>
      <c r="E25" s="68"/>
      <c r="F25" s="97"/>
      <c r="K25" s="85"/>
      <c r="L25" s="251"/>
    </row>
    <row r="26" spans="1:14" ht="13.5" customHeight="1">
      <c r="A26" s="247"/>
      <c r="B26" s="250"/>
      <c r="C26" s="250"/>
      <c r="D26" s="250"/>
      <c r="E26" s="68"/>
      <c r="F26" s="97"/>
      <c r="K26" s="85"/>
      <c r="L26" s="251"/>
    </row>
    <row r="27" spans="1:14">
      <c r="A27" s="253" t="s">
        <v>669</v>
      </c>
      <c r="B27" s="167"/>
      <c r="C27" s="167"/>
      <c r="D27" s="167"/>
      <c r="L27" s="106" t="s">
        <v>0</v>
      </c>
      <c r="M27" s="90">
        <v>8199.2999999999993</v>
      </c>
      <c r="N27" s="41">
        <f t="shared" ref="N27:N32" si="1">M27/$M$33</f>
        <v>0.6163913968471143</v>
      </c>
    </row>
    <row r="28" spans="1:14" ht="13.2">
      <c r="A28" s="289" t="s">
        <v>625</v>
      </c>
      <c r="B28" s="289"/>
      <c r="C28" s="289"/>
      <c r="D28" s="289"/>
      <c r="E28" s="68" t="s">
        <v>273</v>
      </c>
      <c r="F28" s="69" t="s">
        <v>623</v>
      </c>
      <c r="L28" s="106" t="s">
        <v>12</v>
      </c>
      <c r="M28" s="90">
        <v>3751</v>
      </c>
      <c r="N28" s="41">
        <f t="shared" si="1"/>
        <v>0.28198555115357726</v>
      </c>
    </row>
    <row r="29" spans="1:14">
      <c r="A29" s="168" t="s">
        <v>1</v>
      </c>
      <c r="B29" s="172">
        <v>98685.3</v>
      </c>
      <c r="C29" s="172">
        <v>96094.7</v>
      </c>
      <c r="D29" s="172">
        <v>98143.7</v>
      </c>
      <c r="E29" s="69"/>
      <c r="F29" s="38" t="s">
        <v>619</v>
      </c>
      <c r="K29" s="73"/>
      <c r="L29" s="106" t="s">
        <v>24</v>
      </c>
      <c r="M29" s="90">
        <v>1593.3</v>
      </c>
      <c r="N29" s="41">
        <f t="shared" si="1"/>
        <v>0.11977808015275783</v>
      </c>
    </row>
    <row r="30" spans="1:14">
      <c r="A30" s="168" t="s">
        <v>0</v>
      </c>
      <c r="B30" s="172">
        <v>41858.1</v>
      </c>
      <c r="C30" s="172">
        <v>39089.5</v>
      </c>
      <c r="D30" s="172">
        <v>35942.1</v>
      </c>
      <c r="F30" s="69"/>
      <c r="L30" s="106" t="s">
        <v>6</v>
      </c>
      <c r="M30" s="90">
        <v>15831.2</v>
      </c>
      <c r="N30" s="41">
        <f t="shared" si="1"/>
        <v>1.1901278745461243</v>
      </c>
    </row>
    <row r="31" spans="1:14" ht="13.2">
      <c r="A31" s="168" t="s">
        <v>12</v>
      </c>
      <c r="B31" s="172">
        <v>15857.5</v>
      </c>
      <c r="C31" s="172">
        <v>16595.599999999999</v>
      </c>
      <c r="D31" s="172">
        <v>19104.3</v>
      </c>
      <c r="E31" s="67"/>
      <c r="F31" s="107"/>
      <c r="L31" s="106" t="s">
        <v>191</v>
      </c>
      <c r="M31" s="90">
        <f>1320.2+94.2</f>
        <v>1414.4</v>
      </c>
      <c r="N31" s="41">
        <f t="shared" si="1"/>
        <v>0.10632907586020253</v>
      </c>
    </row>
    <row r="32" spans="1:14" ht="13.2" thickBot="1">
      <c r="A32" s="168" t="s">
        <v>13</v>
      </c>
      <c r="B32" s="172">
        <v>7208.6</v>
      </c>
      <c r="C32" s="172">
        <v>4439.8</v>
      </c>
      <c r="D32" s="172">
        <v>2143.8000000000002</v>
      </c>
      <c r="E32" s="67"/>
      <c r="L32" s="108" t="s">
        <v>274</v>
      </c>
      <c r="M32" s="90">
        <v>107.2</v>
      </c>
      <c r="N32" s="41">
        <f t="shared" si="1"/>
        <v>8.0588779215311872E-3</v>
      </c>
    </row>
    <row r="33" spans="1:14" ht="13.2" thickBot="1">
      <c r="A33" s="168" t="s">
        <v>14</v>
      </c>
      <c r="B33" s="172">
        <v>266.3</v>
      </c>
      <c r="C33" s="172">
        <v>345.8</v>
      </c>
      <c r="D33" s="172">
        <v>4.3</v>
      </c>
      <c r="L33" s="109" t="s">
        <v>25</v>
      </c>
      <c r="M33" s="110">
        <f>SUM(M43:M44)</f>
        <v>13302.1</v>
      </c>
    </row>
    <row r="34" spans="1:14">
      <c r="A34" s="168" t="s">
        <v>15</v>
      </c>
      <c r="B34" s="172">
        <v>43.6</v>
      </c>
      <c r="C34" s="172">
        <v>17.600000000000001</v>
      </c>
      <c r="D34" s="172">
        <v>31.9</v>
      </c>
    </row>
    <row r="35" spans="1:14">
      <c r="A35" s="168" t="s">
        <v>2</v>
      </c>
      <c r="B35" s="172">
        <v>0</v>
      </c>
      <c r="C35" s="172">
        <v>0.4</v>
      </c>
      <c r="D35" s="172">
        <v>0</v>
      </c>
      <c r="G35" s="111"/>
      <c r="I35" s="86"/>
      <c r="L35" s="183" t="s">
        <v>634</v>
      </c>
      <c r="M35" s="112"/>
    </row>
    <row r="36" spans="1:14" hidden="1">
      <c r="A36" s="167" t="s">
        <v>17</v>
      </c>
      <c r="B36" s="173"/>
      <c r="C36" s="173"/>
      <c r="D36" s="173"/>
      <c r="G36" s="111"/>
      <c r="I36" s="86"/>
    </row>
    <row r="37" spans="1:14">
      <c r="A37" s="166" t="s">
        <v>26</v>
      </c>
      <c r="B37" s="174">
        <f>SUM(B29:B36)</f>
        <v>163919.4</v>
      </c>
      <c r="C37" s="174">
        <f>SUM(C29:C36)</f>
        <v>156583.4</v>
      </c>
      <c r="D37" s="174">
        <f>SUM(D29:D36)</f>
        <v>155370.09999999995</v>
      </c>
      <c r="G37" s="111"/>
      <c r="I37" s="86"/>
      <c r="L37" s="114"/>
      <c r="M37" s="1"/>
    </row>
    <row r="38" spans="1:14" ht="13.5" customHeight="1">
      <c r="A38" s="247"/>
      <c r="B38" s="250"/>
      <c r="C38" s="250"/>
      <c r="D38" s="250"/>
      <c r="E38" s="68"/>
      <c r="F38" s="97"/>
      <c r="K38" s="85"/>
      <c r="L38" s="251"/>
    </row>
    <row r="39" spans="1:14">
      <c r="A39" s="253" t="s">
        <v>670</v>
      </c>
      <c r="B39" s="167"/>
      <c r="C39" s="167"/>
      <c r="D39" s="167"/>
    </row>
    <row r="40" spans="1:14" ht="13.2">
      <c r="A40" s="289" t="s">
        <v>622</v>
      </c>
      <c r="B40" s="289"/>
      <c r="C40" s="289"/>
      <c r="D40" s="289"/>
      <c r="E40" s="68" t="s">
        <v>273</v>
      </c>
      <c r="F40" s="100" t="s">
        <v>624</v>
      </c>
    </row>
    <row r="41" spans="1:14">
      <c r="A41" s="168" t="s">
        <v>19</v>
      </c>
      <c r="B41" s="101">
        <f>D5</f>
        <v>198418</v>
      </c>
      <c r="C41" s="101">
        <f>E5</f>
        <v>194812.9</v>
      </c>
      <c r="D41" s="101">
        <f>F5</f>
        <v>211207.7</v>
      </c>
      <c r="E41" s="102"/>
      <c r="F41" s="245" t="s">
        <v>657</v>
      </c>
      <c r="G41" s="96"/>
      <c r="H41" s="96"/>
      <c r="I41" s="96"/>
    </row>
    <row r="42" spans="1:14">
      <c r="A42" s="168" t="s">
        <v>20</v>
      </c>
      <c r="B42" s="103">
        <v>189761.9</v>
      </c>
      <c r="C42" s="103">
        <v>186619.3</v>
      </c>
      <c r="D42" s="246">
        <f>203046.1</f>
        <v>203046.1</v>
      </c>
      <c r="L42" s="104" t="s">
        <v>192</v>
      </c>
      <c r="M42" s="105" t="s">
        <v>21</v>
      </c>
    </row>
    <row r="43" spans="1:14">
      <c r="A43" s="166" t="s">
        <v>22</v>
      </c>
      <c r="B43" s="171">
        <f>B42/B41</f>
        <v>0.95637442167545283</v>
      </c>
      <c r="C43" s="171">
        <f>C42/C41</f>
        <v>0.95794118356638602</v>
      </c>
      <c r="D43" s="171">
        <f>D42/D41</f>
        <v>0.96135746944832023</v>
      </c>
      <c r="E43" s="93">
        <f>AVERAGE(B43:D43)</f>
        <v>0.95855769156338633</v>
      </c>
      <c r="L43" s="106" t="s">
        <v>23</v>
      </c>
      <c r="M43" s="90">
        <v>13302.1</v>
      </c>
      <c r="N43" s="41">
        <f>M43/$M$33</f>
        <v>1</v>
      </c>
    </row>
    <row r="44" spans="1:14">
      <c r="A44" s="247"/>
      <c r="B44" s="248"/>
      <c r="C44" s="248"/>
      <c r="D44" s="248"/>
      <c r="E44" s="249"/>
      <c r="L44" s="106"/>
      <c r="M44" s="90"/>
      <c r="N44" s="41"/>
    </row>
    <row r="45" spans="1:14">
      <c r="A45" s="253" t="s">
        <v>671</v>
      </c>
      <c r="B45" s="167"/>
      <c r="C45" s="169"/>
      <c r="D45" s="169"/>
      <c r="G45" s="111"/>
      <c r="I45" s="79"/>
    </row>
    <row r="46" spans="1:14">
      <c r="A46" s="289" t="s">
        <v>626</v>
      </c>
      <c r="B46" s="289"/>
      <c r="C46" s="289"/>
      <c r="D46" s="289"/>
      <c r="G46" s="111"/>
      <c r="I46" s="86"/>
    </row>
    <row r="47" spans="1:14">
      <c r="A47" s="74" t="s">
        <v>27</v>
      </c>
      <c r="B47" s="75">
        <f>B37*B43</f>
        <v>156768.3213763872</v>
      </c>
      <c r="C47" s="75">
        <f>C37*C43</f>
        <v>149997.68752284884</v>
      </c>
      <c r="D47" s="75">
        <f>D37*D43</f>
        <v>149366.20616393242</v>
      </c>
      <c r="G47" s="111"/>
      <c r="I47" s="86"/>
    </row>
    <row r="48" spans="1:14" ht="13.2">
      <c r="A48" s="74" t="s">
        <v>28</v>
      </c>
      <c r="B48" s="88">
        <v>789.4</v>
      </c>
      <c r="C48" s="88">
        <v>812</v>
      </c>
      <c r="D48" s="244">
        <v>1143.8</v>
      </c>
      <c r="E48" s="68" t="s">
        <v>273</v>
      </c>
      <c r="F48" s="100" t="s">
        <v>624</v>
      </c>
    </row>
    <row r="49" spans="1:9">
      <c r="A49" s="115" t="s">
        <v>29</v>
      </c>
      <c r="B49" s="113">
        <f>SUM(B47:B48)</f>
        <v>157557.7213763872</v>
      </c>
      <c r="C49" s="113">
        <f>SUM(C47:C48)</f>
        <v>150809.68752284884</v>
      </c>
      <c r="D49" s="113">
        <f>SUM(D47:D48)</f>
        <v>150510.00616393241</v>
      </c>
      <c r="F49" s="245" t="s">
        <v>649</v>
      </c>
      <c r="G49" s="96"/>
      <c r="H49" s="96"/>
      <c r="I49" s="96"/>
    </row>
    <row r="50" spans="1:9" ht="14.25" customHeight="1">
      <c r="A50" s="116" t="s">
        <v>351</v>
      </c>
      <c r="B50" s="290">
        <f>SUM(B49:D49)</f>
        <v>458877.41506316839</v>
      </c>
      <c r="C50" s="290"/>
      <c r="D50" s="290"/>
      <c r="E50" s="117"/>
      <c r="G50" s="118"/>
      <c r="I50" s="119"/>
    </row>
    <row r="51" spans="1:9">
      <c r="A51" s="253" t="s">
        <v>672</v>
      </c>
      <c r="B51" s="117"/>
      <c r="C51" s="117"/>
      <c r="D51" s="117"/>
      <c r="E51" s="117"/>
      <c r="G51" s="118"/>
      <c r="I51" s="119"/>
    </row>
    <row r="52" spans="1:9" ht="15">
      <c r="A52" s="291" t="s">
        <v>627</v>
      </c>
      <c r="B52" s="291"/>
      <c r="C52" s="291"/>
      <c r="D52" s="291"/>
      <c r="E52" s="120"/>
      <c r="F52" s="121"/>
      <c r="G52" s="122"/>
      <c r="I52" s="122"/>
    </row>
    <row r="53" spans="1:9">
      <c r="A53" s="123" t="s">
        <v>30</v>
      </c>
      <c r="B53" s="124">
        <f>B24/B49</f>
        <v>0.65596238063093171</v>
      </c>
      <c r="C53" s="124">
        <f>C24/C49</f>
        <v>0.64891984610083275</v>
      </c>
      <c r="D53" s="124">
        <f>D24/D49</f>
        <v>0.65429509324170665</v>
      </c>
      <c r="E53" s="125"/>
      <c r="G53" s="122"/>
      <c r="I53" s="122"/>
    </row>
    <row r="54" spans="1:9">
      <c r="A54" s="126" t="s">
        <v>31</v>
      </c>
      <c r="B54" s="292">
        <f>(B49*B53+C49*C53+D49*D53)/B50</f>
        <v>0.65310099363741048</v>
      </c>
      <c r="C54" s="292"/>
      <c r="D54" s="292"/>
    </row>
  </sheetData>
  <mergeCells count="10">
    <mergeCell ref="A46:D46"/>
    <mergeCell ref="B50:D50"/>
    <mergeCell ref="A52:D52"/>
    <mergeCell ref="B54:D54"/>
    <mergeCell ref="A3:F3"/>
    <mergeCell ref="B11:F11"/>
    <mergeCell ref="A13:D13"/>
    <mergeCell ref="A23:D23"/>
    <mergeCell ref="A40:D40"/>
    <mergeCell ref="A28:D28"/>
  </mergeCells>
  <hyperlinks>
    <hyperlink ref="H4" r:id="rId1"/>
    <hyperlink ref="L35" r:id="rId2"/>
    <hyperlink ref="F29" r:id="rId3"/>
    <hyperlink ref="F49" r:id="rId4"/>
    <hyperlink ref="F41" r:id="rId5"/>
  </hyperlinks>
  <pageMargins left="0.75" right="0.75" top="1" bottom="1" header="0.4921259845" footer="0.4921259845"/>
  <pageSetup paperSize="9" orientation="portrait" horizontalDpi="4294967293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57"/>
  <sheetViews>
    <sheetView topLeftCell="A22" workbookViewId="0">
      <selection activeCell="F44" sqref="F44"/>
    </sheetView>
  </sheetViews>
  <sheetFormatPr defaultRowHeight="13.2"/>
  <cols>
    <col min="3" max="3" width="26" bestFit="1" customWidth="1"/>
    <col min="4" max="6" width="10.109375" bestFit="1" customWidth="1"/>
    <col min="10" max="10" width="16.44140625" customWidth="1"/>
    <col min="11" max="11" width="13.44140625" bestFit="1" customWidth="1"/>
    <col min="12" max="12" width="16.109375" customWidth="1"/>
  </cols>
  <sheetData>
    <row r="2" spans="3:11">
      <c r="C2" s="55" t="s">
        <v>275</v>
      </c>
    </row>
    <row r="3" spans="3:11" ht="13.8">
      <c r="C3" s="127" t="s">
        <v>276</v>
      </c>
      <c r="D3" s="128">
        <v>2008</v>
      </c>
      <c r="E3" s="128">
        <v>2009</v>
      </c>
      <c r="F3" s="128">
        <v>2010</v>
      </c>
      <c r="H3" s="55" t="s">
        <v>205</v>
      </c>
    </row>
    <row r="4" spans="3:11" ht="13.8">
      <c r="C4" s="129" t="s">
        <v>277</v>
      </c>
      <c r="D4" s="130">
        <v>33310</v>
      </c>
      <c r="E4" s="130">
        <v>35130</v>
      </c>
      <c r="F4" s="130">
        <v>39546</v>
      </c>
      <c r="G4" s="68" t="s">
        <v>273</v>
      </c>
      <c r="H4" s="38" t="s">
        <v>630</v>
      </c>
      <c r="K4" t="s">
        <v>628</v>
      </c>
    </row>
    <row r="5" spans="3:11" ht="13.8">
      <c r="C5" s="129" t="s">
        <v>0</v>
      </c>
      <c r="D5" s="130">
        <v>108227</v>
      </c>
      <c r="E5" s="131">
        <v>97651.556000000011</v>
      </c>
      <c r="F5" s="131">
        <v>96551</v>
      </c>
    </row>
    <row r="6" spans="3:11" ht="13.8">
      <c r="C6" s="129" t="s">
        <v>278</v>
      </c>
      <c r="D6" s="131">
        <v>20607</v>
      </c>
      <c r="E6" s="131">
        <v>15159.902</v>
      </c>
      <c r="F6" s="131">
        <v>8569</v>
      </c>
    </row>
    <row r="7" spans="3:11" ht="13.8">
      <c r="C7" s="129" t="s">
        <v>279</v>
      </c>
      <c r="D7" s="131">
        <v>1328</v>
      </c>
      <c r="E7" s="131">
        <v>1830.2260000000001</v>
      </c>
      <c r="F7" s="131">
        <v>209</v>
      </c>
    </row>
    <row r="8" spans="3:11" ht="13.8">
      <c r="C8" s="129" t="s">
        <v>280</v>
      </c>
      <c r="D8" s="131">
        <v>0</v>
      </c>
      <c r="E8" s="131">
        <v>1</v>
      </c>
      <c r="F8" s="131">
        <v>0</v>
      </c>
    </row>
    <row r="9" spans="3:11" ht="13.8">
      <c r="C9" s="129" t="s">
        <v>281</v>
      </c>
      <c r="D9" s="131">
        <v>113</v>
      </c>
      <c r="E9" s="131">
        <v>84</v>
      </c>
      <c r="F9" s="131">
        <v>105</v>
      </c>
    </row>
    <row r="10" spans="3:11" ht="13.8">
      <c r="C10" s="129" t="s">
        <v>1</v>
      </c>
      <c r="D10" s="130">
        <v>189057</v>
      </c>
      <c r="E10" s="130">
        <v>186266</v>
      </c>
      <c r="F10" s="130">
        <v>194487</v>
      </c>
    </row>
    <row r="12" spans="3:11">
      <c r="C12" s="55" t="s">
        <v>282</v>
      </c>
    </row>
    <row r="13" spans="3:11" ht="13.8">
      <c r="C13" s="127" t="s">
        <v>276</v>
      </c>
      <c r="D13" s="128">
        <v>2008</v>
      </c>
      <c r="E13" s="128">
        <v>2009</v>
      </c>
      <c r="F13" s="128">
        <v>2010</v>
      </c>
      <c r="H13" s="55" t="s">
        <v>205</v>
      </c>
    </row>
    <row r="14" spans="3:11" ht="13.8">
      <c r="C14" s="129" t="s">
        <v>277</v>
      </c>
      <c r="D14" s="130">
        <v>6270008</v>
      </c>
      <c r="E14" s="130">
        <v>6621177</v>
      </c>
      <c r="F14" s="130">
        <v>7419703</v>
      </c>
      <c r="G14" s="68" t="s">
        <v>273</v>
      </c>
      <c r="H14" s="38" t="s">
        <v>631</v>
      </c>
      <c r="K14" t="s">
        <v>628</v>
      </c>
    </row>
    <row r="15" spans="3:11" ht="13.8">
      <c r="C15" s="129" t="s">
        <v>0</v>
      </c>
      <c r="D15" s="130">
        <v>66374120</v>
      </c>
      <c r="E15" s="130">
        <v>63620518</v>
      </c>
      <c r="F15" s="130">
        <v>56689392</v>
      </c>
    </row>
    <row r="16" spans="3:11" ht="13.8">
      <c r="C16" s="129" t="s">
        <v>278</v>
      </c>
      <c r="D16" s="131">
        <v>2173371</v>
      </c>
      <c r="E16" s="131">
        <v>1594321</v>
      </c>
      <c r="F16" s="131">
        <v>891782</v>
      </c>
    </row>
    <row r="17" spans="3:11" ht="13.8">
      <c r="C17" s="129" t="s">
        <v>279</v>
      </c>
      <c r="D17" s="131">
        <v>131206</v>
      </c>
      <c r="E17" s="131">
        <v>180857</v>
      </c>
      <c r="F17" s="131">
        <v>20354</v>
      </c>
    </row>
    <row r="18" spans="3:11" ht="13.8">
      <c r="C18" s="129" t="s">
        <v>2</v>
      </c>
      <c r="D18" s="131">
        <v>0</v>
      </c>
      <c r="E18" s="131">
        <v>111</v>
      </c>
      <c r="F18" s="131">
        <v>0</v>
      </c>
    </row>
    <row r="19" spans="3:11" ht="13.8">
      <c r="C19" s="129" t="s">
        <v>281</v>
      </c>
      <c r="D19" s="131">
        <v>10606</v>
      </c>
      <c r="E19" s="131">
        <v>8077</v>
      </c>
      <c r="F19" s="131">
        <v>13140</v>
      </c>
    </row>
    <row r="20" spans="3:11" ht="13.8">
      <c r="C20" s="129" t="s">
        <v>1</v>
      </c>
      <c r="D20" s="130">
        <v>21607635</v>
      </c>
      <c r="E20" s="130">
        <v>20978040</v>
      </c>
      <c r="F20" s="130">
        <v>925276</v>
      </c>
    </row>
    <row r="22" spans="3:11" ht="13.8">
      <c r="C22" s="132">
        <v>1</v>
      </c>
      <c r="D22" s="133" t="s">
        <v>283</v>
      </c>
      <c r="E22" s="134">
        <v>4.1867999999999999</v>
      </c>
      <c r="F22" s="135" t="s">
        <v>284</v>
      </c>
      <c r="G22" s="136"/>
      <c r="H22" s="136"/>
      <c r="I22" s="137"/>
    </row>
    <row r="23" spans="3:11" ht="13.8">
      <c r="C23" s="138"/>
      <c r="D23" s="139"/>
      <c r="E23" s="139"/>
      <c r="G23" s="136"/>
      <c r="H23" s="136"/>
      <c r="I23" s="137"/>
    </row>
    <row r="24" spans="3:11" ht="14.4" thickBot="1">
      <c r="C24" s="55" t="s">
        <v>285</v>
      </c>
      <c r="H24" s="136"/>
      <c r="I24" s="137"/>
      <c r="J24" s="55" t="s">
        <v>205</v>
      </c>
    </row>
    <row r="25" spans="3:11" ht="26.4">
      <c r="C25" s="140" t="s">
        <v>276</v>
      </c>
      <c r="D25" s="141" t="s">
        <v>286</v>
      </c>
      <c r="E25" s="142" t="s">
        <v>350</v>
      </c>
      <c r="F25" s="143" t="s">
        <v>629</v>
      </c>
      <c r="G25" s="144" t="s">
        <v>287</v>
      </c>
      <c r="H25" s="68" t="s">
        <v>273</v>
      </c>
      <c r="J25" s="145" t="s">
        <v>265</v>
      </c>
      <c r="K25" s="145"/>
    </row>
    <row r="26" spans="3:11" ht="13.8">
      <c r="C26" s="146" t="s">
        <v>277</v>
      </c>
      <c r="D26" s="147">
        <f t="shared" ref="D26:F29" si="0">D4*$E$22/D14*1000</f>
        <v>22.242763964575481</v>
      </c>
      <c r="E26" s="148">
        <f t="shared" si="0"/>
        <v>22.213918159867948</v>
      </c>
      <c r="F26" s="149">
        <f t="shared" si="0"/>
        <v>22.315070131513348</v>
      </c>
      <c r="G26" s="150">
        <v>89.5</v>
      </c>
      <c r="J26" s="38" t="s">
        <v>266</v>
      </c>
      <c r="K26" s="145"/>
    </row>
    <row r="27" spans="3:11" ht="13.8">
      <c r="C27" s="146" t="s">
        <v>0</v>
      </c>
      <c r="D27" s="147">
        <f t="shared" si="0"/>
        <v>6.8268295474199885</v>
      </c>
      <c r="E27" s="148">
        <f t="shared" si="0"/>
        <v>6.4263471520429931</v>
      </c>
      <c r="F27" s="149">
        <f t="shared" si="0"/>
        <v>7.1307825421729696</v>
      </c>
      <c r="G27" s="150">
        <v>90.9</v>
      </c>
      <c r="J27" s="151" t="s">
        <v>268</v>
      </c>
      <c r="K27" s="145"/>
    </row>
    <row r="28" spans="3:11" ht="13.8">
      <c r="C28" s="146" t="s">
        <v>278</v>
      </c>
      <c r="D28" s="147">
        <f t="shared" si="0"/>
        <v>39.697496469769767</v>
      </c>
      <c r="E28" s="148">
        <f t="shared" si="0"/>
        <v>39.81097764728684</v>
      </c>
      <c r="F28" s="149">
        <f t="shared" si="0"/>
        <v>40.230335664994357</v>
      </c>
      <c r="G28" s="150">
        <v>72.599999999999994</v>
      </c>
      <c r="J28" s="151" t="s">
        <v>270</v>
      </c>
      <c r="K28" s="145"/>
    </row>
    <row r="29" spans="3:11" ht="13.8">
      <c r="C29" s="146" t="s">
        <v>279</v>
      </c>
      <c r="D29" s="147">
        <f t="shared" si="0"/>
        <v>42.376647409417245</v>
      </c>
      <c r="E29" s="148">
        <f>E7*$E$22/E17*1000</f>
        <v>42.36933166424302</v>
      </c>
      <c r="F29" s="149">
        <f t="shared" si="0"/>
        <v>42.99111722511546</v>
      </c>
      <c r="G29" s="150">
        <v>72.599999999999994</v>
      </c>
      <c r="J29" s="145" t="s">
        <v>269</v>
      </c>
      <c r="K29" s="145"/>
    </row>
    <row r="30" spans="3:11" ht="13.8">
      <c r="C30" s="146" t="s">
        <v>2</v>
      </c>
      <c r="D30" s="147">
        <v>0</v>
      </c>
      <c r="E30" s="148">
        <f>E8*$E$22/E18*1000</f>
        <v>37.718918918918916</v>
      </c>
      <c r="F30" s="149">
        <v>0</v>
      </c>
      <c r="G30" s="150">
        <v>61.6</v>
      </c>
      <c r="J30" s="152" t="s">
        <v>271</v>
      </c>
      <c r="K30" s="145"/>
    </row>
    <row r="31" spans="3:11" ht="13.8">
      <c r="C31" s="146" t="s">
        <v>281</v>
      </c>
      <c r="D31" s="147">
        <f t="shared" ref="D31:F32" si="1">D9*$E$22/D19*1000</f>
        <v>44.607618329247586</v>
      </c>
      <c r="E31" s="148">
        <f t="shared" si="1"/>
        <v>43.54230531137798</v>
      </c>
      <c r="F31" s="149">
        <f t="shared" si="1"/>
        <v>33.456164383561642</v>
      </c>
      <c r="G31" s="150">
        <v>69.3</v>
      </c>
      <c r="J31" s="145" t="s">
        <v>272</v>
      </c>
      <c r="K31" s="145"/>
    </row>
    <row r="32" spans="3:11" ht="14.4" thickBot="1">
      <c r="C32" s="153" t="s">
        <v>1</v>
      </c>
      <c r="D32" s="154">
        <f t="shared" si="1"/>
        <v>36.632599893509862</v>
      </c>
      <c r="E32" s="155">
        <f t="shared" si="1"/>
        <v>37.17499293546966</v>
      </c>
      <c r="F32" s="156">
        <f t="shared" si="1"/>
        <v>880.03814170042233</v>
      </c>
      <c r="G32" s="157">
        <v>54.3</v>
      </c>
      <c r="J32" s="38" t="s">
        <v>267</v>
      </c>
      <c r="K32" s="145"/>
    </row>
    <row r="35" spans="3:9" ht="13.8">
      <c r="C35" s="158" t="s">
        <v>288</v>
      </c>
    </row>
    <row r="36" spans="3:9" ht="13.8">
      <c r="C36" s="127" t="s">
        <v>276</v>
      </c>
      <c r="D36" s="128">
        <v>2008</v>
      </c>
      <c r="E36" s="128">
        <v>2009</v>
      </c>
      <c r="F36" s="128">
        <v>2010</v>
      </c>
    </row>
    <row r="37" spans="3:9" ht="13.8">
      <c r="C37" s="129" t="s">
        <v>277</v>
      </c>
      <c r="D37" s="130">
        <f t="shared" ref="D37:F43" si="2">D14*D26*$G26/1000000</f>
        <v>12481.876565999999</v>
      </c>
      <c r="E37" s="130">
        <f t="shared" si="2"/>
        <v>13163.864417999997</v>
      </c>
      <c r="F37" s="130">
        <f t="shared" si="2"/>
        <v>14818.621755599999</v>
      </c>
    </row>
    <row r="38" spans="3:9" ht="13.8">
      <c r="C38" s="129" t="s">
        <v>0</v>
      </c>
      <c r="D38" s="130">
        <f t="shared" si="2"/>
        <v>41189.044647240007</v>
      </c>
      <c r="E38" s="130">
        <f t="shared" si="2"/>
        <v>37164.240900666715</v>
      </c>
      <c r="F38" s="130">
        <f t="shared" si="2"/>
        <v>36745.391166120004</v>
      </c>
    </row>
    <row r="39" spans="3:9" ht="13.8">
      <c r="C39" s="129" t="s">
        <v>278</v>
      </c>
      <c r="D39" s="130">
        <f t="shared" si="2"/>
        <v>6263.7383397599997</v>
      </c>
      <c r="E39" s="130">
        <f t="shared" si="2"/>
        <v>4608.0292805553599</v>
      </c>
      <c r="F39" s="130">
        <f t="shared" si="2"/>
        <v>2604.6476359199996</v>
      </c>
    </row>
    <row r="40" spans="3:9" ht="13.8">
      <c r="C40" s="129" t="s">
        <v>279</v>
      </c>
      <c r="D40" s="130">
        <f t="shared" si="2"/>
        <v>403.66111103999992</v>
      </c>
      <c r="E40" s="130">
        <f t="shared" si="2"/>
        <v>556.3185697396799</v>
      </c>
      <c r="F40" s="130">
        <f t="shared" si="2"/>
        <v>63.527991119999996</v>
      </c>
    </row>
    <row r="41" spans="3:9" ht="13.8">
      <c r="C41" s="129" t="s">
        <v>280</v>
      </c>
      <c r="D41" s="130">
        <f t="shared" si="2"/>
        <v>0</v>
      </c>
      <c r="E41" s="130">
        <f>E18*E30*$G30/1000000</f>
        <v>0.25790687999999995</v>
      </c>
      <c r="F41" s="130">
        <f>F18*F30*$G30/1000000</f>
        <v>0</v>
      </c>
    </row>
    <row r="42" spans="3:9" ht="13.8">
      <c r="C42" s="129" t="s">
        <v>281</v>
      </c>
      <c r="D42" s="130">
        <f t="shared" si="2"/>
        <v>32.786412119999994</v>
      </c>
      <c r="E42" s="130">
        <f t="shared" si="2"/>
        <v>24.372200159999995</v>
      </c>
      <c r="F42" s="130">
        <f t="shared" si="2"/>
        <v>30.4652502</v>
      </c>
    </row>
    <row r="43" spans="3:9" ht="13.8">
      <c r="C43" s="129" t="s">
        <v>1</v>
      </c>
      <c r="D43" s="130">
        <f t="shared" si="2"/>
        <v>42980.830924679998</v>
      </c>
      <c r="E43" s="130">
        <f t="shared" si="2"/>
        <v>42346.315941839996</v>
      </c>
      <c r="F43" s="130">
        <f t="shared" si="2"/>
        <v>44215.304717879997</v>
      </c>
    </row>
    <row r="44" spans="3:9" ht="14.4">
      <c r="C44" s="159" t="s">
        <v>3</v>
      </c>
      <c r="D44" s="160">
        <f>SUM(D37:D43)</f>
        <v>103351.93800083999</v>
      </c>
      <c r="E44" s="160">
        <f>SUM(E37:E43)</f>
        <v>97863.399217841739</v>
      </c>
      <c r="F44" s="160">
        <f>SUM(F37:F43)</f>
        <v>98477.958516840008</v>
      </c>
    </row>
    <row r="46" spans="3:9" ht="13.8">
      <c r="D46" s="161"/>
      <c r="E46" s="161"/>
      <c r="F46" s="162"/>
      <c r="G46" s="163"/>
      <c r="H46" s="163"/>
      <c r="I46" s="163"/>
    </row>
    <row r="47" spans="3:9">
      <c r="D47" s="163"/>
      <c r="E47" s="163"/>
      <c r="F47" s="163"/>
      <c r="G47" s="163"/>
      <c r="H47" s="163"/>
      <c r="I47" s="163"/>
    </row>
    <row r="48" spans="3:9">
      <c r="D48" s="164"/>
      <c r="E48" s="164"/>
      <c r="F48" s="163"/>
      <c r="G48" s="163"/>
      <c r="H48" s="163"/>
      <c r="I48" s="163"/>
    </row>
    <row r="49" spans="4:9">
      <c r="D49" s="164"/>
      <c r="E49" s="164"/>
      <c r="F49" s="163"/>
      <c r="G49" s="163"/>
      <c r="H49" s="163"/>
      <c r="I49" s="163"/>
    </row>
    <row r="50" spans="4:9">
      <c r="D50" s="163"/>
      <c r="E50" s="163"/>
      <c r="F50" s="163"/>
      <c r="G50" s="163"/>
      <c r="H50" s="163"/>
      <c r="I50" s="163"/>
    </row>
    <row r="51" spans="4:9">
      <c r="D51" s="163"/>
      <c r="E51" s="163"/>
      <c r="F51" s="163"/>
      <c r="G51" s="163"/>
      <c r="H51" s="163"/>
      <c r="I51" s="163"/>
    </row>
    <row r="57" spans="4:9">
      <c r="G57" s="165"/>
    </row>
  </sheetData>
  <hyperlinks>
    <hyperlink ref="H4" r:id="rId1"/>
    <hyperlink ref="J26" r:id="rId2"/>
    <hyperlink ref="J32" r:id="rId3"/>
    <hyperlink ref="H14" r:id="rId4"/>
  </hyperlinks>
  <pageMargins left="0.75" right="0.75" top="1" bottom="1" header="0.5" footer="0.5"/>
  <pageSetup paperSize="9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32"/>
  <sheetViews>
    <sheetView tabSelected="1" topLeftCell="K1" workbookViewId="0">
      <pane ySplit="4" topLeftCell="A260" activePane="bottomLeft" state="frozen"/>
      <selection pane="bottomLeft" activeCell="R271" sqref="R271"/>
    </sheetView>
  </sheetViews>
  <sheetFormatPr defaultColWidth="9.109375" defaultRowHeight="12.6"/>
  <cols>
    <col min="1" max="1" width="3.6640625" style="13" customWidth="1"/>
    <col min="2" max="2" width="63.44140625" style="12" customWidth="1"/>
    <col min="3" max="3" width="16" style="12" customWidth="1"/>
    <col min="4" max="4" width="14" style="36" customWidth="1"/>
    <col min="5" max="5" width="18.88671875" style="12" customWidth="1"/>
    <col min="6" max="6" width="17" style="36" customWidth="1"/>
    <col min="7" max="7" width="18.109375" style="12" customWidth="1"/>
    <col min="8" max="8" width="11.5546875" style="12" bestFit="1" customWidth="1"/>
    <col min="9" max="9" width="19.88671875" style="12" customWidth="1"/>
    <col min="10" max="10" width="22.44140625" style="12" customWidth="1"/>
    <col min="11" max="11" width="21.109375" style="12" customWidth="1"/>
    <col min="12" max="12" width="10.88671875" style="12" bestFit="1" customWidth="1"/>
    <col min="13" max="13" width="15.109375" style="12" customWidth="1"/>
    <col min="14" max="14" width="19.33203125" style="12" customWidth="1"/>
    <col min="15" max="15" width="19.109375" style="12" customWidth="1"/>
    <col min="16" max="16" width="14.88671875" style="12" customWidth="1"/>
    <col min="17" max="18" width="11.5546875" style="12" bestFit="1" customWidth="1"/>
    <col min="19" max="19" width="10.109375" style="12" customWidth="1"/>
    <col min="20" max="16384" width="9.109375" style="12"/>
  </cols>
  <sheetData>
    <row r="2" spans="1:8">
      <c r="A2" s="294" t="s">
        <v>200</v>
      </c>
      <c r="B2" s="294"/>
      <c r="C2" s="294"/>
      <c r="D2" s="294"/>
      <c r="E2" s="294"/>
      <c r="F2" s="294"/>
      <c r="G2" s="294"/>
    </row>
    <row r="3" spans="1:8">
      <c r="B3" s="11"/>
      <c r="D3" s="14"/>
      <c r="E3" s="11"/>
      <c r="F3" s="14"/>
    </row>
    <row r="4" spans="1:8" ht="33.75" customHeight="1">
      <c r="A4" s="15" t="s">
        <v>195</v>
      </c>
      <c r="B4" s="15" t="s">
        <v>196</v>
      </c>
      <c r="C4" s="15" t="s">
        <v>193</v>
      </c>
      <c r="D4" s="15" t="s">
        <v>34</v>
      </c>
      <c r="E4" s="15" t="s">
        <v>35</v>
      </c>
      <c r="F4" s="15" t="s">
        <v>198</v>
      </c>
      <c r="G4" s="15" t="s">
        <v>194</v>
      </c>
      <c r="H4" s="15" t="s">
        <v>468</v>
      </c>
    </row>
    <row r="5" spans="1:8" s="16" customFormat="1" ht="12.9" customHeight="1">
      <c r="A5" s="13">
        <v>1</v>
      </c>
      <c r="B5" s="176" t="s">
        <v>51</v>
      </c>
      <c r="C5" s="235">
        <v>38764</v>
      </c>
      <c r="D5" s="236">
        <v>1.9319999999999999</v>
      </c>
      <c r="E5" s="179" t="s">
        <v>33</v>
      </c>
      <c r="F5" s="237">
        <v>14</v>
      </c>
      <c r="G5" s="42" t="s">
        <v>195</v>
      </c>
    </row>
    <row r="6" spans="1:8" s="16" customFormat="1" ht="12.9" customHeight="1">
      <c r="A6" s="13">
        <f>A5+1</f>
        <v>2</v>
      </c>
      <c r="B6" s="5" t="s">
        <v>50</v>
      </c>
      <c r="C6" s="4">
        <v>38770</v>
      </c>
      <c r="D6" s="3">
        <v>1.365</v>
      </c>
      <c r="E6" s="2" t="s">
        <v>33</v>
      </c>
      <c r="F6" s="3">
        <v>10</v>
      </c>
      <c r="G6" s="42" t="s">
        <v>195</v>
      </c>
    </row>
    <row r="7" spans="1:8" s="16" customFormat="1" ht="12.9" customHeight="1">
      <c r="A7" s="13">
        <f t="shared" ref="A7:A70" si="0">A6+1</f>
        <v>3</v>
      </c>
      <c r="B7" s="5" t="s">
        <v>135</v>
      </c>
      <c r="C7" s="4">
        <v>38771</v>
      </c>
      <c r="D7" s="3">
        <v>21.89</v>
      </c>
      <c r="E7" s="5" t="s">
        <v>37</v>
      </c>
      <c r="F7" s="3">
        <f>173</f>
        <v>173</v>
      </c>
      <c r="G7" s="42" t="s">
        <v>195</v>
      </c>
    </row>
    <row r="8" spans="1:8" s="16" customFormat="1" ht="12.9" customHeight="1">
      <c r="A8" s="13">
        <f t="shared" si="0"/>
        <v>4</v>
      </c>
      <c r="B8" s="5" t="s">
        <v>49</v>
      </c>
      <c r="C8" s="4">
        <v>38773</v>
      </c>
      <c r="D8" s="3">
        <v>7.52</v>
      </c>
      <c r="E8" s="2" t="s">
        <v>33</v>
      </c>
      <c r="F8" s="3">
        <v>60</v>
      </c>
      <c r="G8" s="42" t="s">
        <v>195</v>
      </c>
    </row>
    <row r="9" spans="1:8" s="16" customFormat="1" ht="12.9" customHeight="1">
      <c r="A9" s="13">
        <f t="shared" si="0"/>
        <v>5</v>
      </c>
      <c r="B9" s="5" t="s">
        <v>58</v>
      </c>
      <c r="C9" s="4">
        <v>38778</v>
      </c>
      <c r="D9" s="3">
        <v>26.08</v>
      </c>
      <c r="E9" s="5" t="s">
        <v>37</v>
      </c>
      <c r="F9" s="3">
        <f>504/73*D9</f>
        <v>180.05917808219178</v>
      </c>
      <c r="G9" s="42" t="s">
        <v>195</v>
      </c>
    </row>
    <row r="10" spans="1:8" s="16" customFormat="1" ht="12.9" customHeight="1">
      <c r="A10" s="13">
        <f t="shared" si="0"/>
        <v>6</v>
      </c>
      <c r="B10" s="5" t="s">
        <v>48</v>
      </c>
      <c r="C10" s="4">
        <v>38820</v>
      </c>
      <c r="D10" s="3">
        <v>8.73</v>
      </c>
      <c r="E10" s="2" t="s">
        <v>33</v>
      </c>
      <c r="F10" s="3">
        <v>63</v>
      </c>
      <c r="G10" s="42" t="s">
        <v>195</v>
      </c>
    </row>
    <row r="11" spans="1:8" s="16" customFormat="1" ht="12.9" customHeight="1">
      <c r="A11" s="13">
        <f t="shared" si="0"/>
        <v>7</v>
      </c>
      <c r="B11" s="5" t="s">
        <v>136</v>
      </c>
      <c r="C11" s="4">
        <v>38820</v>
      </c>
      <c r="D11" s="3">
        <v>8.73</v>
      </c>
      <c r="E11" s="2" t="s">
        <v>33</v>
      </c>
      <c r="F11" s="3">
        <v>63</v>
      </c>
      <c r="G11" s="42" t="s">
        <v>195</v>
      </c>
    </row>
    <row r="12" spans="1:8" s="16" customFormat="1" ht="12.9" customHeight="1">
      <c r="A12" s="13">
        <f t="shared" si="0"/>
        <v>8</v>
      </c>
      <c r="B12" s="5" t="s">
        <v>47</v>
      </c>
      <c r="C12" s="4">
        <v>38821</v>
      </c>
      <c r="D12" s="3">
        <v>47.62</v>
      </c>
      <c r="E12" s="2" t="s">
        <v>33</v>
      </c>
      <c r="F12" s="3">
        <f>1150/144.8*D12</f>
        <v>378.19751381215468</v>
      </c>
      <c r="G12" s="42" t="s">
        <v>195</v>
      </c>
    </row>
    <row r="13" spans="1:8" s="16" customFormat="1" ht="12.9" customHeight="1">
      <c r="A13" s="13">
        <f t="shared" si="0"/>
        <v>9</v>
      </c>
      <c r="B13" s="5" t="s">
        <v>137</v>
      </c>
      <c r="C13" s="4">
        <v>38822</v>
      </c>
      <c r="D13" s="3">
        <v>3.16</v>
      </c>
      <c r="E13" s="2" t="s">
        <v>33</v>
      </c>
      <c r="F13" s="3">
        <v>25</v>
      </c>
      <c r="G13" s="42" t="s">
        <v>195</v>
      </c>
    </row>
    <row r="14" spans="1:8" s="16" customFormat="1" ht="12.9" customHeight="1">
      <c r="A14" s="13">
        <f t="shared" si="0"/>
        <v>10</v>
      </c>
      <c r="B14" s="176" t="s">
        <v>138</v>
      </c>
      <c r="C14" s="177">
        <v>38827</v>
      </c>
      <c r="D14" s="178">
        <v>13.5</v>
      </c>
      <c r="E14" s="176" t="s">
        <v>18</v>
      </c>
      <c r="F14" s="178">
        <v>0</v>
      </c>
      <c r="G14" s="180" t="s">
        <v>197</v>
      </c>
    </row>
    <row r="15" spans="1:8" s="16" customFormat="1" ht="12.9" customHeight="1">
      <c r="A15" s="13">
        <f t="shared" si="0"/>
        <v>11</v>
      </c>
      <c r="B15" s="5" t="s">
        <v>139</v>
      </c>
      <c r="C15" s="4">
        <v>38840</v>
      </c>
      <c r="D15" s="3">
        <v>17.46</v>
      </c>
      <c r="E15" s="2" t="s">
        <v>33</v>
      </c>
      <c r="F15" s="3">
        <v>126</v>
      </c>
      <c r="G15" s="42" t="s">
        <v>195</v>
      </c>
    </row>
    <row r="16" spans="1:8" s="16" customFormat="1" ht="12.9" customHeight="1">
      <c r="A16" s="13">
        <f t="shared" si="0"/>
        <v>12</v>
      </c>
      <c r="B16" s="5" t="s">
        <v>178</v>
      </c>
      <c r="C16" s="4">
        <v>38841</v>
      </c>
      <c r="D16" s="3">
        <v>0.44500000000000001</v>
      </c>
      <c r="E16" s="5" t="s">
        <v>59</v>
      </c>
      <c r="F16" s="3">
        <v>0</v>
      </c>
      <c r="G16" s="42" t="s">
        <v>197</v>
      </c>
    </row>
    <row r="17" spans="1:7" s="16" customFormat="1" ht="12.9" customHeight="1">
      <c r="A17" s="13">
        <f t="shared" si="0"/>
        <v>13</v>
      </c>
      <c r="B17" s="5" t="s">
        <v>140</v>
      </c>
      <c r="C17" s="4">
        <v>38847</v>
      </c>
      <c r="D17" s="3">
        <v>7.9509999999999996</v>
      </c>
      <c r="E17" s="5" t="s">
        <v>53</v>
      </c>
      <c r="F17" s="3">
        <v>56</v>
      </c>
      <c r="G17" s="42" t="s">
        <v>195</v>
      </c>
    </row>
    <row r="18" spans="1:7" s="16" customFormat="1" ht="12.9" customHeight="1">
      <c r="A18" s="13">
        <f t="shared" si="0"/>
        <v>14</v>
      </c>
      <c r="B18" s="5" t="s">
        <v>46</v>
      </c>
      <c r="C18" s="4">
        <v>38861</v>
      </c>
      <c r="D18" s="3">
        <v>7.52</v>
      </c>
      <c r="E18" s="2" t="s">
        <v>33</v>
      </c>
      <c r="F18" s="3">
        <v>54</v>
      </c>
      <c r="G18" s="42" t="s">
        <v>195</v>
      </c>
    </row>
    <row r="19" spans="1:7" s="16" customFormat="1" ht="12.9" customHeight="1">
      <c r="A19" s="13">
        <f t="shared" si="0"/>
        <v>15</v>
      </c>
      <c r="B19" s="5" t="s">
        <v>177</v>
      </c>
      <c r="C19" s="4">
        <v>38861</v>
      </c>
      <c r="D19" s="3">
        <v>-1.3580000000000001</v>
      </c>
      <c r="E19" s="5" t="s">
        <v>59</v>
      </c>
      <c r="F19" s="3">
        <v>0</v>
      </c>
      <c r="G19" s="42" t="s">
        <v>197</v>
      </c>
    </row>
    <row r="20" spans="1:7" s="16" customFormat="1" ht="12.9" customHeight="1">
      <c r="A20" s="13">
        <f t="shared" si="0"/>
        <v>16</v>
      </c>
      <c r="B20" s="176" t="s">
        <v>141</v>
      </c>
      <c r="C20" s="177">
        <v>38863</v>
      </c>
      <c r="D20" s="178">
        <v>16.5</v>
      </c>
      <c r="E20" s="176" t="s">
        <v>18</v>
      </c>
      <c r="F20" s="178">
        <v>0</v>
      </c>
      <c r="G20" s="180" t="s">
        <v>197</v>
      </c>
    </row>
    <row r="21" spans="1:7" s="16" customFormat="1" ht="12.9" customHeight="1">
      <c r="A21" s="13">
        <f t="shared" si="0"/>
        <v>17</v>
      </c>
      <c r="B21" s="5" t="s">
        <v>44</v>
      </c>
      <c r="C21" s="4">
        <v>38877</v>
      </c>
      <c r="D21" s="3">
        <v>8.73</v>
      </c>
      <c r="E21" s="2" t="s">
        <v>33</v>
      </c>
      <c r="F21" s="3">
        <v>70</v>
      </c>
      <c r="G21" s="42" t="s">
        <v>195</v>
      </c>
    </row>
    <row r="22" spans="1:7" s="16" customFormat="1" ht="12.9" customHeight="1">
      <c r="A22" s="13">
        <f t="shared" si="0"/>
        <v>18</v>
      </c>
      <c r="B22" s="5" t="s">
        <v>142</v>
      </c>
      <c r="C22" s="4">
        <v>38877</v>
      </c>
      <c r="D22" s="3">
        <v>0.80300000000000005</v>
      </c>
      <c r="E22" s="5" t="s">
        <v>52</v>
      </c>
      <c r="F22" s="3">
        <v>6</v>
      </c>
      <c r="G22" s="42" t="s">
        <v>195</v>
      </c>
    </row>
    <row r="23" spans="1:7" s="16" customFormat="1" ht="12.9" customHeight="1">
      <c r="A23" s="13">
        <f t="shared" si="0"/>
        <v>19</v>
      </c>
      <c r="B23" s="5" t="s">
        <v>45</v>
      </c>
      <c r="C23" s="4">
        <v>38877</v>
      </c>
      <c r="D23" s="3">
        <v>-6.2</v>
      </c>
      <c r="E23" s="5" t="s">
        <v>13</v>
      </c>
      <c r="F23" s="3">
        <v>0</v>
      </c>
      <c r="G23" s="42" t="s">
        <v>197</v>
      </c>
    </row>
    <row r="24" spans="1:7" s="16" customFormat="1">
      <c r="A24" s="13">
        <f t="shared" si="0"/>
        <v>20</v>
      </c>
      <c r="B24" s="5" t="s">
        <v>45</v>
      </c>
      <c r="C24" s="4">
        <v>38877</v>
      </c>
      <c r="D24" s="3">
        <v>14.25</v>
      </c>
      <c r="E24" s="2" t="s">
        <v>33</v>
      </c>
      <c r="F24" s="3">
        <v>34</v>
      </c>
      <c r="G24" s="42" t="s">
        <v>195</v>
      </c>
    </row>
    <row r="25" spans="1:7" s="16" customFormat="1" ht="12.9" customHeight="1">
      <c r="A25" s="13">
        <f t="shared" si="0"/>
        <v>21</v>
      </c>
      <c r="B25" s="5" t="s">
        <v>143</v>
      </c>
      <c r="C25" s="4">
        <v>38890</v>
      </c>
      <c r="D25" s="3">
        <v>1.58</v>
      </c>
      <c r="E25" s="2" t="s">
        <v>33</v>
      </c>
      <c r="F25" s="3">
        <v>13</v>
      </c>
      <c r="G25" s="42" t="s">
        <v>195</v>
      </c>
    </row>
    <row r="26" spans="1:7" ht="12.9" customHeight="1">
      <c r="A26" s="13">
        <f t="shared" si="0"/>
        <v>22</v>
      </c>
      <c r="B26" s="5" t="s">
        <v>144</v>
      </c>
      <c r="C26" s="4">
        <v>38891</v>
      </c>
      <c r="D26" s="3">
        <v>360</v>
      </c>
      <c r="E26" s="5" t="s">
        <v>0</v>
      </c>
      <c r="F26" s="3">
        <f>9360/1440*D26</f>
        <v>2340</v>
      </c>
      <c r="G26" s="42" t="s">
        <v>195</v>
      </c>
    </row>
    <row r="27" spans="1:7" s="181" customFormat="1">
      <c r="A27" s="13">
        <f t="shared" si="0"/>
        <v>23</v>
      </c>
      <c r="B27" s="176" t="s">
        <v>43</v>
      </c>
      <c r="C27" s="177">
        <v>38897</v>
      </c>
      <c r="D27" s="178">
        <v>34.92</v>
      </c>
      <c r="E27" s="179" t="s">
        <v>33</v>
      </c>
      <c r="F27" s="178">
        <v>245</v>
      </c>
      <c r="G27" s="180" t="s">
        <v>195</v>
      </c>
    </row>
    <row r="28" spans="1:7" ht="12.9" customHeight="1">
      <c r="A28" s="13">
        <f t="shared" si="0"/>
        <v>24</v>
      </c>
      <c r="B28" s="5" t="s">
        <v>42</v>
      </c>
      <c r="C28" s="4">
        <v>38898</v>
      </c>
      <c r="D28" s="3">
        <v>15.04</v>
      </c>
      <c r="E28" s="2" t="s">
        <v>33</v>
      </c>
      <c r="F28" s="3">
        <v>108</v>
      </c>
      <c r="G28" s="42" t="s">
        <v>195</v>
      </c>
    </row>
    <row r="29" spans="1:7">
      <c r="A29" s="13">
        <f t="shared" si="0"/>
        <v>25</v>
      </c>
      <c r="B29" s="5" t="s">
        <v>41</v>
      </c>
      <c r="C29" s="4">
        <v>38929</v>
      </c>
      <c r="D29" s="3">
        <v>0.98</v>
      </c>
      <c r="E29" s="5" t="s">
        <v>36</v>
      </c>
      <c r="F29" s="3">
        <v>6</v>
      </c>
      <c r="G29" s="42" t="s">
        <v>195</v>
      </c>
    </row>
    <row r="30" spans="1:7" ht="12.9" customHeight="1">
      <c r="A30" s="13">
        <f t="shared" si="0"/>
        <v>26</v>
      </c>
      <c r="B30" s="5" t="s">
        <v>40</v>
      </c>
      <c r="C30" s="4">
        <v>38930</v>
      </c>
      <c r="D30" s="3">
        <v>1.165</v>
      </c>
      <c r="E30" s="2" t="s">
        <v>33</v>
      </c>
      <c r="F30" s="3">
        <v>9</v>
      </c>
      <c r="G30" s="42" t="s">
        <v>195</v>
      </c>
    </row>
    <row r="31" spans="1:7" ht="12.9" customHeight="1">
      <c r="A31" s="13">
        <f t="shared" si="0"/>
        <v>27</v>
      </c>
      <c r="B31" s="5" t="s">
        <v>145</v>
      </c>
      <c r="C31" s="4">
        <v>38973</v>
      </c>
      <c r="D31" s="3">
        <v>126.1</v>
      </c>
      <c r="E31" s="2" t="s">
        <v>33</v>
      </c>
      <c r="F31" s="3">
        <v>1008</v>
      </c>
      <c r="G31" s="42" t="s">
        <v>195</v>
      </c>
    </row>
    <row r="32" spans="1:7" ht="12.9" customHeight="1">
      <c r="A32" s="13">
        <f t="shared" si="0"/>
        <v>28</v>
      </c>
      <c r="B32" s="5" t="s">
        <v>146</v>
      </c>
      <c r="C32" s="4">
        <v>38977</v>
      </c>
      <c r="D32" s="3">
        <v>360</v>
      </c>
      <c r="E32" s="5" t="s">
        <v>0</v>
      </c>
      <c r="F32" s="3">
        <f>F26</f>
        <v>2340</v>
      </c>
      <c r="G32" s="42" t="s">
        <v>195</v>
      </c>
    </row>
    <row r="33" spans="1:8" ht="12.9" customHeight="1">
      <c r="A33" s="13">
        <f t="shared" si="0"/>
        <v>29</v>
      </c>
      <c r="B33" s="5" t="s">
        <v>147</v>
      </c>
      <c r="C33" s="4">
        <v>38981</v>
      </c>
      <c r="D33" s="3">
        <v>6.1840000000000002</v>
      </c>
      <c r="E33" s="2" t="s">
        <v>33</v>
      </c>
      <c r="F33" s="3">
        <v>40</v>
      </c>
      <c r="G33" s="42" t="s">
        <v>195</v>
      </c>
    </row>
    <row r="34" spans="1:8" ht="12.9" customHeight="1">
      <c r="A34" s="13">
        <f t="shared" si="0"/>
        <v>30</v>
      </c>
      <c r="B34" s="5" t="s">
        <v>148</v>
      </c>
      <c r="C34" s="4">
        <v>38996</v>
      </c>
      <c r="D34" s="3">
        <v>49.164000000000001</v>
      </c>
      <c r="E34" s="2" t="s">
        <v>33</v>
      </c>
      <c r="F34" s="3">
        <v>390</v>
      </c>
      <c r="G34" s="42" t="s">
        <v>195</v>
      </c>
    </row>
    <row r="35" spans="1:8" ht="12.9" customHeight="1">
      <c r="A35" s="13">
        <f t="shared" si="0"/>
        <v>31</v>
      </c>
      <c r="B35" s="5" t="s">
        <v>149</v>
      </c>
      <c r="C35" s="4">
        <v>39024</v>
      </c>
      <c r="D35" s="3">
        <v>37</v>
      </c>
      <c r="E35" s="2" t="s">
        <v>33</v>
      </c>
      <c r="F35" s="3">
        <f>1150/144.8*D35</f>
        <v>293.85359116022096</v>
      </c>
      <c r="G35" s="42" t="s">
        <v>195</v>
      </c>
    </row>
    <row r="36" spans="1:8" ht="12.9" customHeight="1">
      <c r="A36" s="13">
        <f t="shared" si="0"/>
        <v>32</v>
      </c>
      <c r="B36" s="5" t="s">
        <v>150</v>
      </c>
      <c r="C36" s="4">
        <v>39024</v>
      </c>
      <c r="D36" s="3">
        <v>4.2389999999999999</v>
      </c>
      <c r="E36" s="5" t="s">
        <v>36</v>
      </c>
      <c r="F36" s="3">
        <v>0</v>
      </c>
      <c r="G36" s="42"/>
      <c r="H36" s="12" t="s">
        <v>448</v>
      </c>
    </row>
    <row r="37" spans="1:8">
      <c r="A37" s="13">
        <f t="shared" si="0"/>
        <v>33</v>
      </c>
      <c r="B37" s="5" t="s">
        <v>151</v>
      </c>
      <c r="C37" s="4">
        <v>39034</v>
      </c>
      <c r="D37" s="3">
        <v>360</v>
      </c>
      <c r="E37" s="5" t="s">
        <v>0</v>
      </c>
      <c r="F37" s="3">
        <v>2340</v>
      </c>
      <c r="G37" s="42" t="s">
        <v>195</v>
      </c>
    </row>
    <row r="38" spans="1:8">
      <c r="A38" s="13">
        <f t="shared" si="0"/>
        <v>34</v>
      </c>
      <c r="B38" s="5" t="s">
        <v>152</v>
      </c>
      <c r="C38" s="4">
        <v>39059</v>
      </c>
      <c r="D38" s="3">
        <v>8</v>
      </c>
      <c r="E38" s="5" t="s">
        <v>18</v>
      </c>
      <c r="F38" s="3">
        <v>0</v>
      </c>
      <c r="G38" s="42" t="s">
        <v>197</v>
      </c>
      <c r="H38" s="12" t="s">
        <v>436</v>
      </c>
    </row>
    <row r="39" spans="1:8">
      <c r="A39" s="13">
        <f t="shared" si="0"/>
        <v>35</v>
      </c>
      <c r="B39" s="5" t="s">
        <v>153</v>
      </c>
      <c r="C39" s="4">
        <v>39052</v>
      </c>
      <c r="D39" s="3">
        <v>1.3240000000000001</v>
      </c>
      <c r="E39" s="2" t="s">
        <v>33</v>
      </c>
      <c r="F39" s="3">
        <v>11</v>
      </c>
      <c r="G39" s="42" t="s">
        <v>195</v>
      </c>
    </row>
    <row r="40" spans="1:8" ht="12.9" customHeight="1">
      <c r="A40" s="13">
        <f t="shared" si="0"/>
        <v>36</v>
      </c>
      <c r="B40" s="5" t="s">
        <v>154</v>
      </c>
      <c r="C40" s="4">
        <v>39073</v>
      </c>
      <c r="D40" s="3">
        <v>0.85</v>
      </c>
      <c r="E40" s="5" t="s">
        <v>18</v>
      </c>
      <c r="F40" s="3">
        <v>2</v>
      </c>
      <c r="G40" s="42" t="s">
        <v>195</v>
      </c>
    </row>
    <row r="41" spans="1:8" ht="12.9" customHeight="1">
      <c r="A41" s="13">
        <f t="shared" si="0"/>
        <v>37</v>
      </c>
      <c r="B41" s="5" t="s">
        <v>155</v>
      </c>
      <c r="C41" s="4">
        <v>39074</v>
      </c>
      <c r="D41" s="3">
        <v>6.91</v>
      </c>
      <c r="E41" s="2" t="s">
        <v>33</v>
      </c>
      <c r="F41" s="3">
        <v>50</v>
      </c>
      <c r="G41" s="42" t="s">
        <v>195</v>
      </c>
    </row>
    <row r="42" spans="1:8" ht="12.9" customHeight="1">
      <c r="A42" s="13">
        <f t="shared" si="0"/>
        <v>38</v>
      </c>
      <c r="B42" s="5" t="s">
        <v>156</v>
      </c>
      <c r="C42" s="4">
        <v>39074</v>
      </c>
      <c r="D42" s="3">
        <v>6.91</v>
      </c>
      <c r="E42" s="2" t="s">
        <v>33</v>
      </c>
      <c r="F42" s="3">
        <v>54</v>
      </c>
      <c r="G42" s="42" t="s">
        <v>195</v>
      </c>
    </row>
    <row r="43" spans="1:8" ht="12.9" customHeight="1">
      <c r="A43" s="13">
        <f t="shared" si="0"/>
        <v>39</v>
      </c>
      <c r="B43" s="5" t="s">
        <v>134</v>
      </c>
      <c r="C43" s="18">
        <v>2006</v>
      </c>
      <c r="D43" s="3">
        <v>-24.7</v>
      </c>
      <c r="E43" s="5"/>
      <c r="F43" s="3">
        <v>0</v>
      </c>
      <c r="G43" s="42" t="s">
        <v>197</v>
      </c>
    </row>
    <row r="44" spans="1:8">
      <c r="A44" s="13">
        <f t="shared" si="0"/>
        <v>40</v>
      </c>
      <c r="B44" s="5" t="s">
        <v>157</v>
      </c>
      <c r="C44" s="4">
        <v>38768</v>
      </c>
      <c r="D44" s="3">
        <v>-0.8</v>
      </c>
      <c r="E44" s="5" t="s">
        <v>38</v>
      </c>
      <c r="F44" s="3">
        <v>0</v>
      </c>
      <c r="G44" s="42" t="s">
        <v>197</v>
      </c>
    </row>
    <row r="45" spans="1:8">
      <c r="A45" s="13">
        <f t="shared" si="0"/>
        <v>41</v>
      </c>
      <c r="B45" s="5" t="s">
        <v>158</v>
      </c>
      <c r="C45" s="4">
        <v>38768</v>
      </c>
      <c r="D45" s="3">
        <v>0.3</v>
      </c>
      <c r="E45" s="5" t="s">
        <v>38</v>
      </c>
      <c r="F45" s="3">
        <v>0</v>
      </c>
      <c r="G45" s="42" t="s">
        <v>197</v>
      </c>
    </row>
    <row r="46" spans="1:8" ht="12.9" customHeight="1">
      <c r="A46" s="13">
        <f t="shared" si="0"/>
        <v>42</v>
      </c>
      <c r="B46" s="5" t="s">
        <v>54</v>
      </c>
      <c r="C46" s="4">
        <v>38777</v>
      </c>
      <c r="D46" s="3">
        <v>51.8</v>
      </c>
      <c r="E46" s="5" t="s">
        <v>165</v>
      </c>
      <c r="F46" s="3">
        <v>124</v>
      </c>
      <c r="G46" s="42" t="s">
        <v>195</v>
      </c>
    </row>
    <row r="47" spans="1:8" ht="12.9" customHeight="1">
      <c r="A47" s="13">
        <f t="shared" si="0"/>
        <v>43</v>
      </c>
      <c r="B47" s="5" t="s">
        <v>159</v>
      </c>
      <c r="C47" s="4">
        <v>38842</v>
      </c>
      <c r="D47" s="3">
        <v>11.62</v>
      </c>
      <c r="E47" s="5" t="s">
        <v>165</v>
      </c>
      <c r="F47" s="3">
        <v>43.3</v>
      </c>
      <c r="G47" s="42" t="s">
        <v>195</v>
      </c>
    </row>
    <row r="48" spans="1:8" ht="12.9" customHeight="1">
      <c r="A48" s="13">
        <f t="shared" si="0"/>
        <v>44</v>
      </c>
      <c r="B48" s="5" t="s">
        <v>55</v>
      </c>
      <c r="C48" s="4">
        <v>38868</v>
      </c>
      <c r="D48" s="3">
        <v>4.22</v>
      </c>
      <c r="E48" s="5" t="s">
        <v>165</v>
      </c>
      <c r="F48" s="3">
        <v>16.7</v>
      </c>
      <c r="G48" s="42" t="s">
        <v>195</v>
      </c>
    </row>
    <row r="49" spans="1:9" ht="12.9" customHeight="1">
      <c r="A49" s="13">
        <f t="shared" si="0"/>
        <v>45</v>
      </c>
      <c r="B49" s="5" t="s">
        <v>56</v>
      </c>
      <c r="C49" s="4">
        <v>38895</v>
      </c>
      <c r="D49" s="3">
        <v>4.6029999999999998</v>
      </c>
      <c r="E49" s="5" t="s">
        <v>165</v>
      </c>
      <c r="F49" s="3">
        <v>20.7</v>
      </c>
      <c r="G49" s="42" t="s">
        <v>195</v>
      </c>
    </row>
    <row r="50" spans="1:9" ht="12.9" customHeight="1">
      <c r="A50" s="13">
        <f t="shared" si="0"/>
        <v>46</v>
      </c>
      <c r="B50" s="5" t="s">
        <v>160</v>
      </c>
      <c r="C50" s="4">
        <v>38929</v>
      </c>
      <c r="D50" s="3">
        <v>26.6</v>
      </c>
      <c r="E50" s="5" t="s">
        <v>165</v>
      </c>
      <c r="F50" s="3">
        <f>163.1/39.9*D50</f>
        <v>108.73333333333333</v>
      </c>
      <c r="G50" s="42" t="s">
        <v>195</v>
      </c>
      <c r="I50" s="16"/>
    </row>
    <row r="51" spans="1:9" ht="12.9" customHeight="1">
      <c r="A51" s="13">
        <f t="shared" si="0"/>
        <v>47</v>
      </c>
      <c r="B51" s="5" t="s">
        <v>57</v>
      </c>
      <c r="C51" s="4">
        <v>38940</v>
      </c>
      <c r="D51" s="3">
        <v>0.6</v>
      </c>
      <c r="E51" s="5" t="s">
        <v>165</v>
      </c>
      <c r="F51" s="3">
        <v>4.5</v>
      </c>
      <c r="G51" s="42" t="s">
        <v>195</v>
      </c>
      <c r="I51" s="16"/>
    </row>
    <row r="52" spans="1:9" ht="12.9" customHeight="1">
      <c r="A52" s="13">
        <f t="shared" si="0"/>
        <v>48</v>
      </c>
      <c r="B52" s="5" t="s">
        <v>161</v>
      </c>
      <c r="C52" s="4">
        <v>38968</v>
      </c>
      <c r="D52" s="3">
        <v>15.432</v>
      </c>
      <c r="E52" s="5" t="s">
        <v>165</v>
      </c>
      <c r="F52" s="3">
        <v>31.6</v>
      </c>
      <c r="G52" s="42" t="s">
        <v>195</v>
      </c>
      <c r="I52" s="16"/>
    </row>
    <row r="53" spans="1:9" ht="12.9" customHeight="1">
      <c r="A53" s="13">
        <f t="shared" si="0"/>
        <v>49</v>
      </c>
      <c r="B53" s="5" t="s">
        <v>162</v>
      </c>
      <c r="C53" s="4">
        <v>39037</v>
      </c>
      <c r="D53" s="3">
        <v>14</v>
      </c>
      <c r="E53" s="5" t="s">
        <v>165</v>
      </c>
      <c r="F53" s="3">
        <v>26.7</v>
      </c>
      <c r="G53" s="42" t="s">
        <v>195</v>
      </c>
    </row>
    <row r="54" spans="1:9">
      <c r="A54" s="13">
        <f t="shared" si="0"/>
        <v>50</v>
      </c>
      <c r="B54" s="5" t="s">
        <v>163</v>
      </c>
      <c r="C54" s="4">
        <v>39051</v>
      </c>
      <c r="D54" s="3">
        <v>15</v>
      </c>
      <c r="E54" s="5" t="s">
        <v>165</v>
      </c>
      <c r="F54" s="3">
        <v>52</v>
      </c>
      <c r="G54" s="42" t="s">
        <v>195</v>
      </c>
    </row>
    <row r="55" spans="1:9" ht="12.9" customHeight="1">
      <c r="A55" s="13">
        <f t="shared" si="0"/>
        <v>51</v>
      </c>
      <c r="B55" s="5" t="s">
        <v>164</v>
      </c>
      <c r="C55" s="4">
        <v>39064</v>
      </c>
      <c r="D55" s="3">
        <v>13.3</v>
      </c>
      <c r="E55" s="5" t="s">
        <v>165</v>
      </c>
      <c r="F55" s="3">
        <f>163.1/39.9*D55</f>
        <v>54.366666666666667</v>
      </c>
      <c r="G55" s="42" t="s">
        <v>195</v>
      </c>
    </row>
    <row r="56" spans="1:9" ht="12.9" customHeight="1">
      <c r="A56" s="13">
        <f t="shared" si="0"/>
        <v>52</v>
      </c>
      <c r="B56" s="232" t="s">
        <v>72</v>
      </c>
      <c r="C56" s="233">
        <v>39204</v>
      </c>
      <c r="D56" s="234">
        <v>9.1</v>
      </c>
      <c r="E56" s="179" t="s">
        <v>33</v>
      </c>
      <c r="F56" s="234">
        <v>35.299999999999997</v>
      </c>
      <c r="G56" s="42" t="s">
        <v>195</v>
      </c>
      <c r="I56" s="19"/>
    </row>
    <row r="57" spans="1:9" ht="12.9" customHeight="1">
      <c r="A57" s="13">
        <f t="shared" si="0"/>
        <v>53</v>
      </c>
      <c r="B57" s="20" t="s">
        <v>60</v>
      </c>
      <c r="C57" s="22">
        <v>2007</v>
      </c>
      <c r="D57" s="21">
        <v>-123.5</v>
      </c>
      <c r="E57" s="2" t="s">
        <v>33</v>
      </c>
      <c r="F57" s="21">
        <v>0</v>
      </c>
      <c r="G57" s="42" t="s">
        <v>197</v>
      </c>
      <c r="I57" s="19"/>
    </row>
    <row r="58" spans="1:9" ht="12.9" customHeight="1">
      <c r="A58" s="13">
        <f t="shared" si="0"/>
        <v>54</v>
      </c>
      <c r="B58" s="6" t="s">
        <v>73</v>
      </c>
      <c r="C58" s="8">
        <v>2007</v>
      </c>
      <c r="D58" s="7">
        <v>5.2</v>
      </c>
      <c r="E58" s="2" t="s">
        <v>33</v>
      </c>
      <c r="F58" s="7">
        <v>38</v>
      </c>
      <c r="G58" s="42" t="s">
        <v>195</v>
      </c>
      <c r="I58" s="23"/>
    </row>
    <row r="59" spans="1:9" ht="12.9" customHeight="1">
      <c r="A59" s="13">
        <f t="shared" si="0"/>
        <v>55</v>
      </c>
      <c r="B59" s="6" t="s">
        <v>61</v>
      </c>
      <c r="C59" s="8">
        <v>2007</v>
      </c>
      <c r="D59" s="7">
        <v>0.7</v>
      </c>
      <c r="E59" s="2" t="s">
        <v>33</v>
      </c>
      <c r="F59" s="7">
        <v>0</v>
      </c>
      <c r="G59" s="42" t="s">
        <v>197</v>
      </c>
      <c r="I59" s="23"/>
    </row>
    <row r="60" spans="1:9" ht="12.9" customHeight="1">
      <c r="A60" s="13">
        <f t="shared" si="0"/>
        <v>56</v>
      </c>
      <c r="B60" s="6" t="s">
        <v>74</v>
      </c>
      <c r="C60" s="8">
        <v>2007</v>
      </c>
      <c r="D60" s="7">
        <v>0.1</v>
      </c>
      <c r="E60" s="2" t="s">
        <v>33</v>
      </c>
      <c r="F60" s="7">
        <v>0</v>
      </c>
      <c r="G60" s="42" t="s">
        <v>197</v>
      </c>
    </row>
    <row r="61" spans="1:9" ht="12.9" customHeight="1">
      <c r="A61" s="13">
        <f t="shared" si="0"/>
        <v>57</v>
      </c>
      <c r="B61" s="6" t="s">
        <v>75</v>
      </c>
      <c r="C61" s="8">
        <v>2007</v>
      </c>
      <c r="D61" s="7">
        <v>0.1</v>
      </c>
      <c r="E61" s="2" t="s">
        <v>33</v>
      </c>
      <c r="F61" s="7">
        <v>0</v>
      </c>
      <c r="G61" s="42" t="s">
        <v>197</v>
      </c>
      <c r="I61" s="24"/>
    </row>
    <row r="62" spans="1:9" ht="12.9" customHeight="1">
      <c r="A62" s="13">
        <f t="shared" si="0"/>
        <v>58</v>
      </c>
      <c r="B62" s="6" t="s">
        <v>76</v>
      </c>
      <c r="C62" s="8">
        <v>2007</v>
      </c>
      <c r="D62" s="7">
        <v>0.1</v>
      </c>
      <c r="E62" s="2" t="s">
        <v>33</v>
      </c>
      <c r="F62" s="7">
        <v>0</v>
      </c>
      <c r="G62" s="42" t="s">
        <v>197</v>
      </c>
      <c r="I62" s="24"/>
    </row>
    <row r="63" spans="1:9">
      <c r="A63" s="13">
        <f t="shared" si="0"/>
        <v>59</v>
      </c>
      <c r="B63" s="20" t="s">
        <v>77</v>
      </c>
      <c r="C63" s="22">
        <v>2007</v>
      </c>
      <c r="D63" s="3">
        <v>-0.1</v>
      </c>
      <c r="E63" s="2" t="s">
        <v>33</v>
      </c>
      <c r="F63" s="3">
        <v>0</v>
      </c>
      <c r="G63" s="42" t="s">
        <v>197</v>
      </c>
      <c r="I63" s="25"/>
    </row>
    <row r="64" spans="1:9">
      <c r="A64" s="13">
        <f t="shared" si="0"/>
        <v>60</v>
      </c>
      <c r="B64" s="20" t="s">
        <v>78</v>
      </c>
      <c r="C64" s="22">
        <v>2007</v>
      </c>
      <c r="D64" s="3">
        <v>-0.3</v>
      </c>
      <c r="E64" s="2" t="s">
        <v>33</v>
      </c>
      <c r="F64" s="3">
        <v>0</v>
      </c>
      <c r="G64" s="42" t="s">
        <v>197</v>
      </c>
    </row>
    <row r="65" spans="1:20">
      <c r="A65" s="13">
        <f t="shared" si="0"/>
        <v>61</v>
      </c>
      <c r="B65" s="9" t="s">
        <v>81</v>
      </c>
      <c r="C65" s="10">
        <v>39252</v>
      </c>
      <c r="D65" s="3">
        <v>0.5</v>
      </c>
      <c r="E65" s="2" t="s">
        <v>33</v>
      </c>
      <c r="F65" s="3">
        <v>4</v>
      </c>
      <c r="G65" s="42" t="s">
        <v>195</v>
      </c>
    </row>
    <row r="66" spans="1:20">
      <c r="A66" s="13">
        <f t="shared" si="0"/>
        <v>62</v>
      </c>
      <c r="B66" s="9" t="s">
        <v>80</v>
      </c>
      <c r="C66" s="10">
        <v>39378</v>
      </c>
      <c r="D66" s="3">
        <v>0.6</v>
      </c>
      <c r="E66" s="2" t="s">
        <v>33</v>
      </c>
      <c r="F66" s="3">
        <v>5</v>
      </c>
      <c r="G66" s="42" t="s">
        <v>195</v>
      </c>
      <c r="O66" s="26"/>
    </row>
    <row r="67" spans="1:20">
      <c r="A67" s="13">
        <f t="shared" si="0"/>
        <v>63</v>
      </c>
      <c r="B67" s="9" t="s">
        <v>79</v>
      </c>
      <c r="C67" s="10">
        <v>39322</v>
      </c>
      <c r="D67" s="3">
        <v>1.3</v>
      </c>
      <c r="E67" s="2" t="s">
        <v>33</v>
      </c>
      <c r="F67" s="3">
        <v>11</v>
      </c>
      <c r="G67" s="42" t="s">
        <v>195</v>
      </c>
    </row>
    <row r="68" spans="1:20">
      <c r="A68" s="13">
        <f t="shared" si="0"/>
        <v>64</v>
      </c>
      <c r="B68" s="6" t="s">
        <v>82</v>
      </c>
      <c r="C68" s="10">
        <v>39293</v>
      </c>
      <c r="D68" s="3">
        <v>1.8</v>
      </c>
      <c r="E68" s="2" t="s">
        <v>33</v>
      </c>
      <c r="F68" s="3">
        <v>14</v>
      </c>
      <c r="G68" s="42" t="s">
        <v>195</v>
      </c>
    </row>
    <row r="69" spans="1:20">
      <c r="A69" s="13">
        <f t="shared" si="0"/>
        <v>65</v>
      </c>
      <c r="B69" s="9" t="s">
        <v>84</v>
      </c>
      <c r="C69" s="10">
        <v>39419</v>
      </c>
      <c r="D69" s="3">
        <v>2.1</v>
      </c>
      <c r="E69" s="2" t="s">
        <v>33</v>
      </c>
      <c r="F69" s="3">
        <v>17</v>
      </c>
      <c r="G69" s="42" t="s">
        <v>195</v>
      </c>
    </row>
    <row r="70" spans="1:20">
      <c r="A70" s="13">
        <f t="shared" si="0"/>
        <v>66</v>
      </c>
      <c r="B70" s="9" t="s">
        <v>83</v>
      </c>
      <c r="C70" s="10">
        <v>39419</v>
      </c>
      <c r="D70" s="3">
        <v>2.1</v>
      </c>
      <c r="E70" s="2" t="s">
        <v>33</v>
      </c>
      <c r="F70" s="3">
        <v>17</v>
      </c>
      <c r="G70" s="42" t="s">
        <v>195</v>
      </c>
    </row>
    <row r="71" spans="1:20">
      <c r="A71" s="13">
        <f t="shared" ref="A71:A134" si="1">A70+1</f>
        <v>67</v>
      </c>
      <c r="B71" s="6" t="s">
        <v>85</v>
      </c>
      <c r="C71" s="10">
        <v>39105</v>
      </c>
      <c r="D71" s="3">
        <v>0.5</v>
      </c>
      <c r="E71" s="2" t="s">
        <v>33</v>
      </c>
      <c r="F71" s="3">
        <v>4</v>
      </c>
      <c r="G71" s="42" t="s">
        <v>195</v>
      </c>
    </row>
    <row r="72" spans="1:20">
      <c r="A72" s="13">
        <f t="shared" si="1"/>
        <v>68</v>
      </c>
      <c r="B72" s="6" t="s">
        <v>86</v>
      </c>
      <c r="C72" s="10">
        <v>39161</v>
      </c>
      <c r="D72" s="3">
        <v>3.9</v>
      </c>
      <c r="E72" s="2" t="s">
        <v>33</v>
      </c>
      <c r="F72" s="3">
        <v>33</v>
      </c>
      <c r="G72" s="42" t="s">
        <v>195</v>
      </c>
    </row>
    <row r="73" spans="1:20">
      <c r="A73" s="13">
        <f t="shared" si="1"/>
        <v>69</v>
      </c>
      <c r="B73" s="6" t="s">
        <v>87</v>
      </c>
      <c r="C73" s="10">
        <v>39132</v>
      </c>
      <c r="D73" s="3">
        <v>3.2</v>
      </c>
      <c r="E73" s="2" t="s">
        <v>33</v>
      </c>
      <c r="F73" s="3">
        <v>25</v>
      </c>
      <c r="G73" s="42" t="s">
        <v>195</v>
      </c>
    </row>
    <row r="74" spans="1:20">
      <c r="A74" s="13">
        <f t="shared" si="1"/>
        <v>70</v>
      </c>
      <c r="B74" s="9" t="s">
        <v>88</v>
      </c>
      <c r="C74" s="10">
        <v>39421</v>
      </c>
      <c r="D74" s="3">
        <v>1</v>
      </c>
      <c r="E74" s="2" t="s">
        <v>33</v>
      </c>
      <c r="F74" s="3">
        <v>8</v>
      </c>
      <c r="G74" s="42" t="s">
        <v>195</v>
      </c>
    </row>
    <row r="75" spans="1:20">
      <c r="A75" s="13">
        <f t="shared" si="1"/>
        <v>71</v>
      </c>
      <c r="B75" s="9" t="s">
        <v>89</v>
      </c>
      <c r="C75" s="10">
        <v>39295</v>
      </c>
      <c r="D75" s="3">
        <v>1.6</v>
      </c>
      <c r="E75" s="2" t="s">
        <v>33</v>
      </c>
      <c r="F75" s="3">
        <v>11</v>
      </c>
      <c r="G75" s="42" t="s">
        <v>195</v>
      </c>
      <c r="H75" s="26"/>
      <c r="R75" s="26"/>
      <c r="S75" s="26"/>
    </row>
    <row r="76" spans="1:20">
      <c r="A76" s="13">
        <f t="shared" si="1"/>
        <v>72</v>
      </c>
      <c r="B76" s="9" t="s">
        <v>90</v>
      </c>
      <c r="C76" s="10">
        <v>39344</v>
      </c>
      <c r="D76" s="3">
        <v>3.9</v>
      </c>
      <c r="E76" s="2" t="s">
        <v>33</v>
      </c>
      <c r="F76" s="3">
        <v>33</v>
      </c>
      <c r="G76" s="42" t="s">
        <v>195</v>
      </c>
      <c r="H76" s="26"/>
      <c r="R76" s="26"/>
      <c r="S76" s="26"/>
    </row>
    <row r="77" spans="1:20">
      <c r="A77" s="13">
        <f t="shared" si="1"/>
        <v>73</v>
      </c>
      <c r="B77" s="27" t="s">
        <v>63</v>
      </c>
      <c r="C77" s="28">
        <v>39357</v>
      </c>
      <c r="D77" s="3">
        <v>-17.3</v>
      </c>
      <c r="E77" s="2" t="s">
        <v>33</v>
      </c>
      <c r="F77" s="3">
        <v>0</v>
      </c>
      <c r="G77" s="42" t="s">
        <v>197</v>
      </c>
      <c r="Q77" s="26"/>
    </row>
    <row r="78" spans="1:20">
      <c r="A78" s="13">
        <f t="shared" si="1"/>
        <v>74</v>
      </c>
      <c r="B78" s="9" t="s">
        <v>91</v>
      </c>
      <c r="C78" s="10">
        <v>39446</v>
      </c>
      <c r="D78" s="3">
        <v>73</v>
      </c>
      <c r="E78" s="2" t="s">
        <v>33</v>
      </c>
      <c r="F78" s="3">
        <v>0</v>
      </c>
      <c r="G78" s="42" t="s">
        <v>197</v>
      </c>
      <c r="T78" s="26"/>
    </row>
    <row r="79" spans="1:20">
      <c r="A79" s="13">
        <f t="shared" si="1"/>
        <v>75</v>
      </c>
      <c r="B79" s="27" t="s">
        <v>64</v>
      </c>
      <c r="C79" s="22">
        <v>2007</v>
      </c>
      <c r="D79" s="3">
        <v>-24.3</v>
      </c>
      <c r="E79" s="2" t="s">
        <v>13</v>
      </c>
      <c r="F79" s="3">
        <v>0</v>
      </c>
      <c r="G79" s="42" t="s">
        <v>197</v>
      </c>
      <c r="Q79" s="26"/>
    </row>
    <row r="80" spans="1:20">
      <c r="A80" s="13">
        <f t="shared" si="1"/>
        <v>76</v>
      </c>
      <c r="B80" s="9" t="s">
        <v>65</v>
      </c>
      <c r="C80" s="8">
        <v>2007</v>
      </c>
      <c r="D80" s="3">
        <v>0.8</v>
      </c>
      <c r="E80" s="2" t="s">
        <v>13</v>
      </c>
      <c r="F80" s="3">
        <v>0</v>
      </c>
      <c r="G80" s="42" t="s">
        <v>197</v>
      </c>
      <c r="Q80" s="26"/>
    </row>
    <row r="81" spans="1:21">
      <c r="A81" s="13">
        <f t="shared" si="1"/>
        <v>77</v>
      </c>
      <c r="B81" s="27" t="s">
        <v>92</v>
      </c>
      <c r="C81" s="22">
        <v>2007</v>
      </c>
      <c r="D81" s="3">
        <v>-0.9</v>
      </c>
      <c r="E81" s="2" t="s">
        <v>13</v>
      </c>
      <c r="F81" s="3">
        <v>0</v>
      </c>
      <c r="G81" s="42" t="s">
        <v>197</v>
      </c>
      <c r="H81" s="26"/>
      <c r="R81" s="26"/>
      <c r="S81" s="26"/>
    </row>
    <row r="82" spans="1:21">
      <c r="A82" s="13">
        <f t="shared" si="1"/>
        <v>78</v>
      </c>
      <c r="B82" s="27" t="s">
        <v>62</v>
      </c>
      <c r="C82" s="22">
        <v>2007</v>
      </c>
      <c r="D82" s="3">
        <v>-3.8</v>
      </c>
      <c r="E82" s="2" t="s">
        <v>13</v>
      </c>
      <c r="F82" s="3">
        <v>0</v>
      </c>
      <c r="G82" s="42" t="s">
        <v>197</v>
      </c>
      <c r="Q82" s="26"/>
    </row>
    <row r="83" spans="1:21">
      <c r="A83" s="13">
        <f t="shared" si="1"/>
        <v>79</v>
      </c>
      <c r="B83" s="9" t="s">
        <v>93</v>
      </c>
      <c r="C83" s="8">
        <v>2007</v>
      </c>
      <c r="D83" s="3">
        <v>1.7</v>
      </c>
      <c r="E83" s="2" t="s">
        <v>0</v>
      </c>
      <c r="F83" s="3">
        <v>0</v>
      </c>
      <c r="G83" s="42" t="s">
        <v>197</v>
      </c>
      <c r="H83" s="26"/>
      <c r="R83" s="26"/>
      <c r="S83" s="26"/>
    </row>
    <row r="84" spans="1:21">
      <c r="A84" s="13">
        <f t="shared" si="1"/>
        <v>80</v>
      </c>
      <c r="B84" s="27" t="s">
        <v>94</v>
      </c>
      <c r="C84" s="22">
        <v>2007</v>
      </c>
      <c r="D84" s="3">
        <v>-0.6</v>
      </c>
      <c r="E84" s="2" t="s">
        <v>0</v>
      </c>
      <c r="F84" s="3">
        <v>0</v>
      </c>
      <c r="G84" s="42" t="s">
        <v>197</v>
      </c>
      <c r="Q84" s="26"/>
    </row>
    <row r="85" spans="1:21">
      <c r="A85" s="13">
        <f t="shared" si="1"/>
        <v>81</v>
      </c>
      <c r="B85" s="27" t="s">
        <v>95</v>
      </c>
      <c r="C85" s="22">
        <v>2007</v>
      </c>
      <c r="D85" s="3">
        <v>-0.6</v>
      </c>
      <c r="E85" s="2" t="s">
        <v>0</v>
      </c>
      <c r="F85" s="3">
        <v>0</v>
      </c>
      <c r="G85" s="42" t="s">
        <v>197</v>
      </c>
      <c r="T85" s="26"/>
    </row>
    <row r="86" spans="1:21">
      <c r="A86" s="13">
        <f t="shared" si="1"/>
        <v>82</v>
      </c>
      <c r="B86" s="27" t="s">
        <v>96</v>
      </c>
      <c r="C86" s="22">
        <v>2007</v>
      </c>
      <c r="D86" s="3">
        <v>-0.8</v>
      </c>
      <c r="E86" s="2" t="s">
        <v>104</v>
      </c>
      <c r="F86" s="3">
        <v>0</v>
      </c>
      <c r="G86" s="42" t="s">
        <v>197</v>
      </c>
      <c r="U86" s="26"/>
    </row>
    <row r="87" spans="1:21">
      <c r="A87" s="13">
        <f t="shared" si="1"/>
        <v>83</v>
      </c>
      <c r="B87" s="27" t="s">
        <v>97</v>
      </c>
      <c r="C87" s="22">
        <v>2007</v>
      </c>
      <c r="D87" s="3">
        <v>-1</v>
      </c>
      <c r="E87" s="2" t="s">
        <v>104</v>
      </c>
      <c r="F87" s="3">
        <v>0</v>
      </c>
      <c r="G87" s="42" t="s">
        <v>197</v>
      </c>
      <c r="N87" s="26"/>
    </row>
    <row r="88" spans="1:21">
      <c r="A88" s="13">
        <f t="shared" si="1"/>
        <v>84</v>
      </c>
      <c r="B88" s="27" t="s">
        <v>98</v>
      </c>
      <c r="C88" s="22">
        <v>2007</v>
      </c>
      <c r="D88" s="3">
        <v>-0.9</v>
      </c>
      <c r="E88" s="2" t="s">
        <v>104</v>
      </c>
      <c r="F88" s="3">
        <v>0</v>
      </c>
      <c r="G88" s="42" t="s">
        <v>197</v>
      </c>
      <c r="P88" s="26"/>
    </row>
    <row r="89" spans="1:21">
      <c r="A89" s="13">
        <f t="shared" si="1"/>
        <v>85</v>
      </c>
      <c r="B89" s="27" t="s">
        <v>99</v>
      </c>
      <c r="C89" s="22">
        <v>2007</v>
      </c>
      <c r="D89" s="3">
        <v>-0.8</v>
      </c>
      <c r="E89" s="2" t="s">
        <v>104</v>
      </c>
      <c r="F89" s="3">
        <v>0</v>
      </c>
      <c r="G89" s="42" t="s">
        <v>197</v>
      </c>
    </row>
    <row r="90" spans="1:21">
      <c r="A90" s="13">
        <f t="shared" si="1"/>
        <v>86</v>
      </c>
      <c r="B90" s="27" t="s">
        <v>100</v>
      </c>
      <c r="C90" s="22">
        <v>2007</v>
      </c>
      <c r="D90" s="3">
        <v>-0.8</v>
      </c>
      <c r="E90" s="2" t="s">
        <v>104</v>
      </c>
      <c r="F90" s="3">
        <v>0</v>
      </c>
      <c r="G90" s="42" t="s">
        <v>197</v>
      </c>
    </row>
    <row r="91" spans="1:21">
      <c r="A91" s="13">
        <f t="shared" si="1"/>
        <v>87</v>
      </c>
      <c r="B91" s="27" t="s">
        <v>101</v>
      </c>
      <c r="C91" s="22">
        <v>2007</v>
      </c>
      <c r="D91" s="3">
        <v>-0.8</v>
      </c>
      <c r="E91" s="2" t="s">
        <v>104</v>
      </c>
      <c r="F91" s="3">
        <v>0</v>
      </c>
      <c r="G91" s="42" t="s">
        <v>197</v>
      </c>
    </row>
    <row r="92" spans="1:21">
      <c r="A92" s="13">
        <f t="shared" si="1"/>
        <v>88</v>
      </c>
      <c r="B92" s="27" t="s">
        <v>102</v>
      </c>
      <c r="C92" s="22">
        <v>2007</v>
      </c>
      <c r="D92" s="3">
        <v>-0.5</v>
      </c>
      <c r="E92" s="2" t="s">
        <v>104</v>
      </c>
      <c r="F92" s="3">
        <v>0</v>
      </c>
      <c r="G92" s="42" t="s">
        <v>197</v>
      </c>
    </row>
    <row r="93" spans="1:21">
      <c r="A93" s="13">
        <f t="shared" si="1"/>
        <v>89</v>
      </c>
      <c r="B93" s="27" t="s">
        <v>103</v>
      </c>
      <c r="C93" s="22">
        <v>2007</v>
      </c>
      <c r="D93" s="3">
        <v>-0.8</v>
      </c>
      <c r="E93" s="2" t="s">
        <v>104</v>
      </c>
      <c r="F93" s="3">
        <v>0</v>
      </c>
      <c r="G93" s="42" t="s">
        <v>197</v>
      </c>
    </row>
    <row r="94" spans="1:21">
      <c r="A94" s="13">
        <f t="shared" si="1"/>
        <v>90</v>
      </c>
      <c r="B94" s="27" t="s">
        <v>105</v>
      </c>
      <c r="C94" s="22">
        <v>2007</v>
      </c>
      <c r="D94" s="3">
        <v>-0.8</v>
      </c>
      <c r="E94" s="2" t="s">
        <v>104</v>
      </c>
      <c r="F94" s="3">
        <v>0</v>
      </c>
      <c r="G94" s="42" t="s">
        <v>197</v>
      </c>
    </row>
    <row r="95" spans="1:21">
      <c r="A95" s="13">
        <f t="shared" si="1"/>
        <v>91</v>
      </c>
      <c r="B95" s="27" t="s">
        <v>106</v>
      </c>
      <c r="C95" s="22">
        <v>2007</v>
      </c>
      <c r="D95" s="3">
        <v>-0.8</v>
      </c>
      <c r="E95" s="2" t="s">
        <v>104</v>
      </c>
      <c r="F95" s="3">
        <v>0</v>
      </c>
      <c r="G95" s="42" t="s">
        <v>197</v>
      </c>
    </row>
    <row r="96" spans="1:21">
      <c r="A96" s="13">
        <f t="shared" si="1"/>
        <v>92</v>
      </c>
      <c r="B96" s="27" t="s">
        <v>107</v>
      </c>
      <c r="C96" s="22">
        <v>2007</v>
      </c>
      <c r="D96" s="3">
        <v>-0.2</v>
      </c>
      <c r="E96" s="2" t="s">
        <v>104</v>
      </c>
      <c r="F96" s="3">
        <v>0</v>
      </c>
      <c r="G96" s="42" t="s">
        <v>197</v>
      </c>
    </row>
    <row r="97" spans="1:8">
      <c r="A97" s="13">
        <f t="shared" si="1"/>
        <v>93</v>
      </c>
      <c r="B97" s="27" t="s">
        <v>108</v>
      </c>
      <c r="C97" s="22">
        <v>2007</v>
      </c>
      <c r="D97" s="3">
        <v>-0.7</v>
      </c>
      <c r="E97" s="2" t="s">
        <v>104</v>
      </c>
      <c r="F97" s="3">
        <v>0</v>
      </c>
      <c r="G97" s="42" t="s">
        <v>197</v>
      </c>
    </row>
    <row r="98" spans="1:8">
      <c r="A98" s="13">
        <f t="shared" si="1"/>
        <v>94</v>
      </c>
      <c r="B98" s="27" t="s">
        <v>109</v>
      </c>
      <c r="C98" s="22">
        <v>2007</v>
      </c>
      <c r="D98" s="3">
        <v>-0.5</v>
      </c>
      <c r="E98" s="2" t="s">
        <v>104</v>
      </c>
      <c r="F98" s="3">
        <v>0</v>
      </c>
      <c r="G98" s="42" t="s">
        <v>197</v>
      </c>
    </row>
    <row r="99" spans="1:8">
      <c r="A99" s="13">
        <f t="shared" si="1"/>
        <v>95</v>
      </c>
      <c r="B99" s="9" t="s">
        <v>110</v>
      </c>
      <c r="C99" s="8">
        <v>2007</v>
      </c>
      <c r="D99" s="3">
        <v>16.399999999999999</v>
      </c>
      <c r="E99" s="2" t="s">
        <v>114</v>
      </c>
      <c r="F99" s="3">
        <v>0</v>
      </c>
      <c r="G99" s="42" t="s">
        <v>197</v>
      </c>
    </row>
    <row r="100" spans="1:8">
      <c r="A100" s="13">
        <f t="shared" si="1"/>
        <v>96</v>
      </c>
      <c r="B100" s="9" t="s">
        <v>66</v>
      </c>
      <c r="C100" s="8">
        <v>2007</v>
      </c>
      <c r="D100" s="3">
        <v>5</v>
      </c>
      <c r="E100" s="2" t="s">
        <v>114</v>
      </c>
      <c r="F100" s="3">
        <v>40</v>
      </c>
      <c r="G100" s="42" t="s">
        <v>195</v>
      </c>
    </row>
    <row r="101" spans="1:8">
      <c r="A101" s="13">
        <f t="shared" si="1"/>
        <v>97</v>
      </c>
      <c r="B101" s="9" t="s">
        <v>111</v>
      </c>
      <c r="C101" s="8">
        <v>2007</v>
      </c>
      <c r="D101" s="3">
        <v>3.5</v>
      </c>
      <c r="E101" s="2" t="s">
        <v>114</v>
      </c>
      <c r="F101" s="3">
        <v>26.8</v>
      </c>
      <c r="G101" s="42" t="s">
        <v>195</v>
      </c>
    </row>
    <row r="102" spans="1:8">
      <c r="A102" s="13">
        <f t="shared" si="1"/>
        <v>98</v>
      </c>
      <c r="B102" s="9" t="s">
        <v>112</v>
      </c>
      <c r="C102" s="8">
        <v>2007</v>
      </c>
      <c r="D102" s="3">
        <v>2.9</v>
      </c>
      <c r="E102" s="2" t="s">
        <v>114</v>
      </c>
      <c r="F102" s="3">
        <v>0</v>
      </c>
      <c r="G102" s="42" t="s">
        <v>197</v>
      </c>
    </row>
    <row r="103" spans="1:8">
      <c r="A103" s="13">
        <f t="shared" si="1"/>
        <v>99</v>
      </c>
      <c r="B103" s="9" t="s">
        <v>67</v>
      </c>
      <c r="C103" s="8">
        <v>2007</v>
      </c>
      <c r="D103" s="3">
        <v>2.2000000000000002</v>
      </c>
      <c r="E103" s="2" t="s">
        <v>114</v>
      </c>
      <c r="F103" s="3">
        <v>15.2</v>
      </c>
      <c r="G103" s="42" t="s">
        <v>195</v>
      </c>
    </row>
    <row r="104" spans="1:8">
      <c r="A104" s="13">
        <f t="shared" si="1"/>
        <v>100</v>
      </c>
      <c r="B104" s="9" t="s">
        <v>68</v>
      </c>
      <c r="C104" s="8">
        <v>2007</v>
      </c>
      <c r="D104" s="3">
        <v>0.7</v>
      </c>
      <c r="E104" s="2" t="s">
        <v>114</v>
      </c>
      <c r="F104" s="3">
        <v>0</v>
      </c>
      <c r="G104" s="42" t="s">
        <v>197</v>
      </c>
    </row>
    <row r="105" spans="1:8">
      <c r="A105" s="13">
        <f t="shared" si="1"/>
        <v>101</v>
      </c>
      <c r="B105" s="9" t="s">
        <v>69</v>
      </c>
      <c r="C105" s="8">
        <v>2007</v>
      </c>
      <c r="D105" s="3">
        <v>0.3</v>
      </c>
      <c r="E105" s="2" t="s">
        <v>114</v>
      </c>
      <c r="F105" s="3">
        <v>0</v>
      </c>
      <c r="G105" s="42" t="s">
        <v>197</v>
      </c>
    </row>
    <row r="106" spans="1:8">
      <c r="A106" s="13">
        <f t="shared" si="1"/>
        <v>102</v>
      </c>
      <c r="B106" s="9" t="s">
        <v>113</v>
      </c>
      <c r="C106" s="8">
        <v>2007</v>
      </c>
      <c r="D106" s="3">
        <v>0.1</v>
      </c>
      <c r="E106" s="2" t="s">
        <v>114</v>
      </c>
      <c r="F106" s="3">
        <v>0</v>
      </c>
      <c r="G106" s="42" t="s">
        <v>197</v>
      </c>
    </row>
    <row r="107" spans="1:8">
      <c r="A107" s="13">
        <f t="shared" si="1"/>
        <v>103</v>
      </c>
      <c r="B107" s="9" t="s">
        <v>115</v>
      </c>
      <c r="C107" s="8">
        <v>2007</v>
      </c>
      <c r="D107" s="3">
        <v>0.1</v>
      </c>
      <c r="E107" s="2" t="s">
        <v>114</v>
      </c>
      <c r="F107" s="3">
        <v>0</v>
      </c>
      <c r="G107" s="42" t="s">
        <v>197</v>
      </c>
    </row>
    <row r="108" spans="1:8">
      <c r="A108" s="13">
        <f t="shared" si="1"/>
        <v>104</v>
      </c>
      <c r="B108" s="9" t="s">
        <v>116</v>
      </c>
      <c r="C108" s="8">
        <v>2007</v>
      </c>
      <c r="D108" s="3">
        <v>0.1</v>
      </c>
      <c r="E108" s="2" t="s">
        <v>114</v>
      </c>
      <c r="F108" s="3">
        <v>0</v>
      </c>
      <c r="G108" s="42" t="s">
        <v>197</v>
      </c>
    </row>
    <row r="109" spans="1:8">
      <c r="A109" s="13">
        <f t="shared" si="1"/>
        <v>105</v>
      </c>
      <c r="B109" s="27" t="s">
        <v>117</v>
      </c>
      <c r="C109" s="22">
        <v>2007</v>
      </c>
      <c r="D109" s="3">
        <v>-0.1</v>
      </c>
      <c r="E109" s="2" t="s">
        <v>114</v>
      </c>
      <c r="F109" s="3">
        <v>0</v>
      </c>
      <c r="G109" s="42" t="s">
        <v>197</v>
      </c>
    </row>
    <row r="110" spans="1:8">
      <c r="A110" s="13">
        <f t="shared" si="1"/>
        <v>106</v>
      </c>
      <c r="B110" s="27" t="s">
        <v>118</v>
      </c>
      <c r="C110" s="22">
        <v>2007</v>
      </c>
      <c r="D110" s="3">
        <v>-0.3</v>
      </c>
      <c r="E110" s="2" t="s">
        <v>114</v>
      </c>
      <c r="F110" s="3">
        <v>0</v>
      </c>
      <c r="G110" s="42" t="s">
        <v>197</v>
      </c>
    </row>
    <row r="111" spans="1:8">
      <c r="A111" s="13">
        <f t="shared" si="1"/>
        <v>107</v>
      </c>
      <c r="B111" s="27" t="s">
        <v>70</v>
      </c>
      <c r="C111" s="22">
        <v>2007</v>
      </c>
      <c r="D111" s="3">
        <v>-1.8</v>
      </c>
      <c r="E111" s="2" t="s">
        <v>114</v>
      </c>
      <c r="F111" s="3">
        <v>0</v>
      </c>
      <c r="G111" s="42" t="s">
        <v>197</v>
      </c>
    </row>
    <row r="112" spans="1:8">
      <c r="A112" s="13">
        <f t="shared" si="1"/>
        <v>108</v>
      </c>
      <c r="B112" s="9" t="s">
        <v>176</v>
      </c>
      <c r="C112" s="10">
        <v>39224</v>
      </c>
      <c r="D112" s="3">
        <v>1.4</v>
      </c>
      <c r="E112" s="5" t="s">
        <v>36</v>
      </c>
      <c r="F112" s="3">
        <v>0</v>
      </c>
      <c r="G112" s="42"/>
      <c r="H112" s="12" t="s">
        <v>448</v>
      </c>
    </row>
    <row r="113" spans="1:20">
      <c r="A113" s="13">
        <f t="shared" si="1"/>
        <v>109</v>
      </c>
      <c r="B113" s="9" t="s">
        <v>174</v>
      </c>
      <c r="C113" s="10">
        <v>39232</v>
      </c>
      <c r="D113" s="3">
        <v>43</v>
      </c>
      <c r="E113" s="2" t="s">
        <v>33</v>
      </c>
      <c r="F113" s="3">
        <f>3383/410*D113</f>
        <v>354.80243902439025</v>
      </c>
      <c r="G113" s="42" t="s">
        <v>195</v>
      </c>
    </row>
    <row r="114" spans="1:20">
      <c r="A114" s="13">
        <f t="shared" si="1"/>
        <v>110</v>
      </c>
      <c r="B114" s="9" t="s">
        <v>119</v>
      </c>
      <c r="C114" s="10">
        <v>39338</v>
      </c>
      <c r="D114" s="3">
        <v>34.799999999999997</v>
      </c>
      <c r="E114" s="2" t="s">
        <v>33</v>
      </c>
      <c r="F114" s="3">
        <v>278</v>
      </c>
      <c r="G114" s="42" t="s">
        <v>195</v>
      </c>
    </row>
    <row r="115" spans="1:20">
      <c r="A115" s="13">
        <f t="shared" si="1"/>
        <v>111</v>
      </c>
      <c r="B115" s="9" t="s">
        <v>175</v>
      </c>
      <c r="C115" s="10">
        <v>39336</v>
      </c>
      <c r="D115" s="3">
        <v>28.3</v>
      </c>
      <c r="E115" s="2" t="s">
        <v>33</v>
      </c>
      <c r="F115" s="3">
        <v>0</v>
      </c>
      <c r="G115" s="42" t="s">
        <v>197</v>
      </c>
    </row>
    <row r="116" spans="1:20">
      <c r="A116" s="13">
        <f t="shared" si="1"/>
        <v>112</v>
      </c>
      <c r="B116" s="9" t="s">
        <v>174</v>
      </c>
      <c r="C116" s="10">
        <v>39324</v>
      </c>
      <c r="D116" s="3">
        <v>48</v>
      </c>
      <c r="E116" s="2" t="s">
        <v>33</v>
      </c>
      <c r="F116" s="3">
        <f>3383/410*D116</f>
        <v>396.05853658536591</v>
      </c>
      <c r="G116" s="42" t="s">
        <v>195</v>
      </c>
    </row>
    <row r="117" spans="1:20">
      <c r="A117" s="13">
        <f t="shared" si="1"/>
        <v>113</v>
      </c>
      <c r="B117" s="9" t="s">
        <v>120</v>
      </c>
      <c r="C117" s="10">
        <v>39100</v>
      </c>
      <c r="D117" s="3">
        <v>142.80000000000001</v>
      </c>
      <c r="E117" s="2" t="s">
        <v>33</v>
      </c>
      <c r="F117" s="3">
        <v>1071</v>
      </c>
      <c r="G117" s="42" t="s">
        <v>195</v>
      </c>
    </row>
    <row r="118" spans="1:20">
      <c r="A118" s="13">
        <f t="shared" si="1"/>
        <v>114</v>
      </c>
      <c r="B118" s="27" t="s">
        <v>121</v>
      </c>
      <c r="C118" s="28">
        <v>39350</v>
      </c>
      <c r="D118" s="3">
        <v>-8.6999999999999993</v>
      </c>
      <c r="E118" s="2" t="s">
        <v>59</v>
      </c>
      <c r="F118" s="3">
        <v>0</v>
      </c>
      <c r="G118" s="42" t="s">
        <v>197</v>
      </c>
    </row>
    <row r="119" spans="1:20">
      <c r="A119" s="13">
        <f t="shared" si="1"/>
        <v>115</v>
      </c>
      <c r="B119" s="27" t="s">
        <v>173</v>
      </c>
      <c r="C119" s="28">
        <v>39446</v>
      </c>
      <c r="D119" s="3">
        <v>-73</v>
      </c>
      <c r="E119" s="2" t="s">
        <v>59</v>
      </c>
      <c r="F119" s="3">
        <v>0</v>
      </c>
      <c r="G119" s="42" t="s">
        <v>197</v>
      </c>
    </row>
    <row r="120" spans="1:20">
      <c r="A120" s="13">
        <f t="shared" si="1"/>
        <v>116</v>
      </c>
      <c r="B120" s="9" t="s">
        <v>122</v>
      </c>
      <c r="C120" s="10">
        <v>39266</v>
      </c>
      <c r="D120" s="3">
        <v>5.9</v>
      </c>
      <c r="E120" s="2" t="s">
        <v>33</v>
      </c>
      <c r="F120" s="3">
        <v>47</v>
      </c>
      <c r="G120" s="42" t="s">
        <v>195</v>
      </c>
      <c r="P120" s="26"/>
    </row>
    <row r="121" spans="1:20">
      <c r="A121" s="13">
        <f t="shared" si="1"/>
        <v>117</v>
      </c>
      <c r="B121" s="9" t="s">
        <v>123</v>
      </c>
      <c r="C121" s="10">
        <v>39176</v>
      </c>
      <c r="D121" s="3">
        <v>1.6</v>
      </c>
      <c r="E121" s="2" t="s">
        <v>33</v>
      </c>
      <c r="F121" s="3">
        <v>13</v>
      </c>
      <c r="G121" s="42" t="s">
        <v>195</v>
      </c>
      <c r="P121" s="26"/>
    </row>
    <row r="122" spans="1:20">
      <c r="A122" s="13">
        <f t="shared" si="1"/>
        <v>118</v>
      </c>
      <c r="B122" s="9" t="s">
        <v>172</v>
      </c>
      <c r="C122" s="10">
        <v>39099</v>
      </c>
      <c r="D122" s="3">
        <v>7.2</v>
      </c>
      <c r="E122" s="2" t="s">
        <v>33</v>
      </c>
      <c r="F122" s="3">
        <f>1439/188.5*D122</f>
        <v>54.964456233421757</v>
      </c>
      <c r="G122" s="42" t="s">
        <v>195</v>
      </c>
      <c r="P122" s="26"/>
      <c r="T122" s="26"/>
    </row>
    <row r="123" spans="1:20">
      <c r="A123" s="13">
        <f t="shared" si="1"/>
        <v>119</v>
      </c>
      <c r="B123" s="9" t="s">
        <v>71</v>
      </c>
      <c r="C123" s="8">
        <v>2007</v>
      </c>
      <c r="D123" s="3">
        <v>25.6</v>
      </c>
      <c r="E123" s="2" t="s">
        <v>13</v>
      </c>
      <c r="F123" s="3">
        <v>190</v>
      </c>
      <c r="G123" s="42" t="s">
        <v>195</v>
      </c>
      <c r="H123" s="26"/>
      <c r="P123" s="26"/>
      <c r="R123" s="26"/>
      <c r="S123" s="26"/>
    </row>
    <row r="124" spans="1:20">
      <c r="A124" s="13">
        <f t="shared" si="1"/>
        <v>120</v>
      </c>
      <c r="B124" s="9" t="s">
        <v>124</v>
      </c>
      <c r="C124" s="8">
        <v>2007</v>
      </c>
      <c r="D124" s="3">
        <v>34.1</v>
      </c>
      <c r="E124" s="2" t="s">
        <v>13</v>
      </c>
      <c r="F124" s="3">
        <v>250</v>
      </c>
      <c r="G124" s="42" t="s">
        <v>195</v>
      </c>
      <c r="H124" s="26"/>
      <c r="P124" s="26"/>
      <c r="R124" s="26"/>
      <c r="S124" s="26"/>
    </row>
    <row r="125" spans="1:20">
      <c r="A125" s="13">
        <f t="shared" si="1"/>
        <v>121</v>
      </c>
      <c r="B125" s="9" t="s">
        <v>64</v>
      </c>
      <c r="C125" s="8">
        <v>2007</v>
      </c>
      <c r="D125" s="3">
        <v>24.3</v>
      </c>
      <c r="E125" s="2" t="s">
        <v>13</v>
      </c>
      <c r="F125" s="3">
        <v>180</v>
      </c>
      <c r="G125" s="42" t="s">
        <v>195</v>
      </c>
      <c r="H125" s="26"/>
      <c r="R125" s="26"/>
      <c r="S125" s="26"/>
    </row>
    <row r="126" spans="1:20">
      <c r="A126" s="13">
        <f t="shared" si="1"/>
        <v>122</v>
      </c>
      <c r="B126" s="9" t="s">
        <v>125</v>
      </c>
      <c r="C126" s="8">
        <v>2007</v>
      </c>
      <c r="D126" s="3">
        <v>24.4</v>
      </c>
      <c r="E126" s="2" t="s">
        <v>13</v>
      </c>
      <c r="F126" s="3">
        <v>180</v>
      </c>
      <c r="G126" s="42" t="s">
        <v>195</v>
      </c>
      <c r="H126" s="26"/>
      <c r="R126" s="26"/>
      <c r="S126" s="26"/>
    </row>
    <row r="127" spans="1:20">
      <c r="A127" s="13">
        <f t="shared" si="1"/>
        <v>123</v>
      </c>
      <c r="B127" s="27" t="s">
        <v>171</v>
      </c>
      <c r="C127" s="28">
        <v>39446</v>
      </c>
      <c r="D127" s="3">
        <v>-4.5999999999999996</v>
      </c>
      <c r="E127" s="5" t="s">
        <v>39</v>
      </c>
      <c r="F127" s="3">
        <v>0</v>
      </c>
      <c r="G127" s="42" t="s">
        <v>197</v>
      </c>
      <c r="H127" s="26"/>
      <c r="R127" s="26"/>
      <c r="S127" s="26"/>
    </row>
    <row r="128" spans="1:20">
      <c r="A128" s="13">
        <f t="shared" si="1"/>
        <v>124</v>
      </c>
      <c r="B128" s="9" t="s">
        <v>127</v>
      </c>
      <c r="C128" s="10">
        <v>39140</v>
      </c>
      <c r="D128" s="3">
        <v>300.60000000000002</v>
      </c>
      <c r="E128" s="5" t="s">
        <v>132</v>
      </c>
      <c r="F128" s="3">
        <v>1039</v>
      </c>
      <c r="G128" s="42" t="s">
        <v>195</v>
      </c>
      <c r="H128" s="26"/>
      <c r="R128" s="26"/>
      <c r="S128" s="26"/>
    </row>
    <row r="129" spans="1:25">
      <c r="A129" s="13">
        <f t="shared" si="1"/>
        <v>125</v>
      </c>
      <c r="B129" s="9" t="s">
        <v>170</v>
      </c>
      <c r="C129" s="10">
        <v>39210</v>
      </c>
      <c r="D129" s="3">
        <v>5</v>
      </c>
      <c r="E129" s="5" t="s">
        <v>39</v>
      </c>
      <c r="F129" s="3">
        <v>32</v>
      </c>
      <c r="G129" s="42" t="s">
        <v>195</v>
      </c>
    </row>
    <row r="130" spans="1:25">
      <c r="A130" s="13">
        <f t="shared" si="1"/>
        <v>126</v>
      </c>
      <c r="B130" s="9" t="s">
        <v>169</v>
      </c>
      <c r="C130" s="10">
        <v>39239</v>
      </c>
      <c r="D130" s="3">
        <v>4</v>
      </c>
      <c r="E130" s="5" t="s">
        <v>39</v>
      </c>
      <c r="F130" s="3">
        <v>18</v>
      </c>
      <c r="G130" s="42" t="s">
        <v>195</v>
      </c>
      <c r="H130" s="26"/>
      <c r="R130" s="26"/>
      <c r="S130" s="26"/>
      <c r="T130" s="26"/>
    </row>
    <row r="131" spans="1:25">
      <c r="A131" s="13">
        <f t="shared" si="1"/>
        <v>127</v>
      </c>
      <c r="B131" s="9" t="s">
        <v>168</v>
      </c>
      <c r="C131" s="10">
        <v>39239</v>
      </c>
      <c r="D131" s="3">
        <v>3.6</v>
      </c>
      <c r="E131" s="5" t="s">
        <v>39</v>
      </c>
      <c r="F131" s="3">
        <v>18</v>
      </c>
      <c r="G131" s="42" t="s">
        <v>195</v>
      </c>
      <c r="H131" s="26"/>
      <c r="P131" s="26"/>
      <c r="R131" s="26"/>
      <c r="S131" s="26"/>
    </row>
    <row r="132" spans="1:25">
      <c r="A132" s="13">
        <f t="shared" si="1"/>
        <v>128</v>
      </c>
      <c r="B132" s="9" t="s">
        <v>167</v>
      </c>
      <c r="C132" s="10">
        <v>39282</v>
      </c>
      <c r="D132" s="3">
        <v>4</v>
      </c>
      <c r="E132" s="5" t="s">
        <v>39</v>
      </c>
      <c r="F132" s="3">
        <v>19</v>
      </c>
      <c r="G132" s="42" t="s">
        <v>195</v>
      </c>
      <c r="R132" s="26"/>
    </row>
    <row r="133" spans="1:25">
      <c r="A133" s="13">
        <f t="shared" si="1"/>
        <v>129</v>
      </c>
      <c r="B133" s="9" t="s">
        <v>128</v>
      </c>
      <c r="C133" s="10">
        <v>39414</v>
      </c>
      <c r="D133" s="3">
        <v>2.4</v>
      </c>
      <c r="E133" s="5" t="s">
        <v>39</v>
      </c>
      <c r="F133" s="3">
        <v>19</v>
      </c>
      <c r="G133" s="42" t="s">
        <v>195</v>
      </c>
    </row>
    <row r="134" spans="1:25">
      <c r="A134" s="13">
        <f t="shared" si="1"/>
        <v>130</v>
      </c>
      <c r="B134" s="9" t="s">
        <v>126</v>
      </c>
      <c r="C134" s="10">
        <v>39446</v>
      </c>
      <c r="D134" s="3">
        <v>4.5999999999999996</v>
      </c>
      <c r="E134" s="5" t="s">
        <v>39</v>
      </c>
      <c r="F134" s="3">
        <v>18</v>
      </c>
      <c r="G134" s="42" t="s">
        <v>195</v>
      </c>
    </row>
    <row r="135" spans="1:25">
      <c r="A135" s="13">
        <f t="shared" ref="A135:A198" si="2">A134+1</f>
        <v>131</v>
      </c>
      <c r="B135" s="9" t="s">
        <v>129</v>
      </c>
      <c r="C135" s="10">
        <v>39205</v>
      </c>
      <c r="D135" s="3">
        <v>6.3</v>
      </c>
      <c r="E135" s="5" t="s">
        <v>39</v>
      </c>
      <c r="F135" s="3">
        <v>27</v>
      </c>
      <c r="G135" s="42" t="s">
        <v>195</v>
      </c>
    </row>
    <row r="136" spans="1:25">
      <c r="A136" s="13">
        <f t="shared" si="2"/>
        <v>132</v>
      </c>
      <c r="B136" s="43" t="s">
        <v>166</v>
      </c>
      <c r="C136" s="44">
        <v>39226</v>
      </c>
      <c r="D136" s="45">
        <v>6.3</v>
      </c>
      <c r="E136" s="5" t="s">
        <v>39</v>
      </c>
      <c r="F136" s="45">
        <v>27</v>
      </c>
      <c r="G136" s="46" t="s">
        <v>195</v>
      </c>
    </row>
    <row r="137" spans="1:25">
      <c r="A137" s="13">
        <f t="shared" si="2"/>
        <v>133</v>
      </c>
      <c r="B137" s="27" t="s">
        <v>130</v>
      </c>
      <c r="C137" s="28">
        <v>39134</v>
      </c>
      <c r="D137" s="3">
        <v>8</v>
      </c>
      <c r="E137" s="2" t="s">
        <v>18</v>
      </c>
      <c r="F137" s="3">
        <v>0</v>
      </c>
      <c r="G137" s="46"/>
      <c r="H137" s="26" t="s">
        <v>437</v>
      </c>
    </row>
    <row r="138" spans="1:25">
      <c r="A138" s="13">
        <f t="shared" si="2"/>
        <v>134</v>
      </c>
      <c r="B138" s="27" t="s">
        <v>260</v>
      </c>
      <c r="C138" s="28">
        <v>39310</v>
      </c>
      <c r="D138" s="3">
        <v>15.2</v>
      </c>
      <c r="E138" s="2" t="s">
        <v>18</v>
      </c>
      <c r="F138" s="3">
        <v>0</v>
      </c>
      <c r="G138" s="46"/>
      <c r="H138" s="26" t="s">
        <v>437</v>
      </c>
    </row>
    <row r="139" spans="1:25">
      <c r="A139" s="13">
        <f t="shared" si="2"/>
        <v>135</v>
      </c>
      <c r="B139" s="27" t="s">
        <v>260</v>
      </c>
      <c r="C139" s="28">
        <v>39407</v>
      </c>
      <c r="D139" s="3">
        <v>7.2</v>
      </c>
      <c r="E139" s="2" t="s">
        <v>18</v>
      </c>
      <c r="F139" s="3">
        <v>0</v>
      </c>
      <c r="G139" s="46"/>
      <c r="H139" s="26" t="s">
        <v>437</v>
      </c>
    </row>
    <row r="140" spans="1:25">
      <c r="A140" s="13">
        <f t="shared" si="2"/>
        <v>136</v>
      </c>
      <c r="B140" s="27" t="s">
        <v>131</v>
      </c>
      <c r="C140" s="28">
        <v>39308</v>
      </c>
      <c r="D140" s="3">
        <v>4</v>
      </c>
      <c r="E140" s="2" t="s">
        <v>18</v>
      </c>
      <c r="F140" s="3">
        <v>0</v>
      </c>
      <c r="G140" s="46"/>
      <c r="H140" s="12" t="s">
        <v>438</v>
      </c>
    </row>
    <row r="141" spans="1:25">
      <c r="A141" s="13">
        <f t="shared" si="2"/>
        <v>137</v>
      </c>
      <c r="B141" s="27" t="s">
        <v>131</v>
      </c>
      <c r="C141" s="28">
        <v>39446</v>
      </c>
      <c r="D141" s="3">
        <v>10.9</v>
      </c>
      <c r="E141" s="2" t="s">
        <v>18</v>
      </c>
      <c r="F141" s="3">
        <v>0</v>
      </c>
      <c r="G141" s="46"/>
      <c r="H141" s="12" t="s">
        <v>438</v>
      </c>
      <c r="X141" s="38"/>
    </row>
    <row r="142" spans="1:25">
      <c r="A142" s="13">
        <f t="shared" si="2"/>
        <v>138</v>
      </c>
      <c r="B142" s="27" t="s">
        <v>261</v>
      </c>
      <c r="C142" s="28">
        <v>39229</v>
      </c>
      <c r="D142" s="3">
        <v>10.8</v>
      </c>
      <c r="E142" s="2" t="s">
        <v>18</v>
      </c>
      <c r="F142" s="3">
        <v>0</v>
      </c>
      <c r="G142" s="46"/>
      <c r="H142" s="12" t="s">
        <v>439</v>
      </c>
      <c r="X142" s="63"/>
      <c r="Y142" s="26"/>
    </row>
    <row r="143" spans="1:25">
      <c r="A143" s="13">
        <f t="shared" si="2"/>
        <v>139</v>
      </c>
      <c r="B143" s="27" t="s">
        <v>262</v>
      </c>
      <c r="C143" s="28">
        <v>39107</v>
      </c>
      <c r="D143" s="3">
        <v>11.2</v>
      </c>
      <c r="E143" s="2" t="s">
        <v>18</v>
      </c>
      <c r="F143" s="3">
        <v>0</v>
      </c>
      <c r="G143" s="46"/>
      <c r="H143" s="12" t="s">
        <v>436</v>
      </c>
    </row>
    <row r="144" spans="1:25">
      <c r="A144" s="13">
        <f t="shared" si="2"/>
        <v>140</v>
      </c>
      <c r="B144" s="27" t="s">
        <v>262</v>
      </c>
      <c r="C144" s="28">
        <v>39184</v>
      </c>
      <c r="D144" s="3">
        <v>20</v>
      </c>
      <c r="E144" s="2" t="s">
        <v>18</v>
      </c>
      <c r="F144" s="3">
        <v>0</v>
      </c>
      <c r="G144" s="46"/>
      <c r="H144" s="12" t="s">
        <v>436</v>
      </c>
    </row>
    <row r="145" spans="1:22">
      <c r="A145" s="13">
        <f t="shared" si="2"/>
        <v>141</v>
      </c>
      <c r="B145" s="230" t="s">
        <v>234</v>
      </c>
      <c r="C145" s="228">
        <v>2008</v>
      </c>
      <c r="D145" s="178">
        <v>101.94</v>
      </c>
      <c r="E145" s="179" t="s">
        <v>38</v>
      </c>
      <c r="F145" s="178">
        <v>408</v>
      </c>
      <c r="G145" s="231" t="s">
        <v>195</v>
      </c>
    </row>
    <row r="146" spans="1:22">
      <c r="A146" s="13">
        <f t="shared" si="2"/>
        <v>142</v>
      </c>
      <c r="B146" s="27" t="s">
        <v>235</v>
      </c>
      <c r="C146" s="56">
        <v>2008</v>
      </c>
      <c r="D146" s="3">
        <v>7.6890000000000001</v>
      </c>
      <c r="E146" s="2" t="s">
        <v>39</v>
      </c>
      <c r="F146" s="3">
        <v>29</v>
      </c>
      <c r="G146" s="46" t="s">
        <v>195</v>
      </c>
    </row>
    <row r="147" spans="1:22">
      <c r="A147" s="13">
        <f t="shared" si="2"/>
        <v>143</v>
      </c>
      <c r="B147" s="27" t="s">
        <v>236</v>
      </c>
      <c r="C147" s="56">
        <v>2008</v>
      </c>
      <c r="D147" s="3">
        <v>9.18</v>
      </c>
      <c r="E147" s="2" t="s">
        <v>39</v>
      </c>
      <c r="F147" s="3">
        <v>47</v>
      </c>
      <c r="G147" s="46" t="s">
        <v>195</v>
      </c>
    </row>
    <row r="148" spans="1:22">
      <c r="A148" s="13">
        <f t="shared" si="2"/>
        <v>144</v>
      </c>
      <c r="B148" s="27" t="s">
        <v>237</v>
      </c>
      <c r="C148" s="56">
        <v>2008</v>
      </c>
      <c r="D148" s="3">
        <v>8.74</v>
      </c>
      <c r="E148" s="2" t="s">
        <v>39</v>
      </c>
      <c r="F148" s="3">
        <v>0</v>
      </c>
      <c r="G148" s="46" t="s">
        <v>195</v>
      </c>
      <c r="H148" s="12" t="s">
        <v>440</v>
      </c>
    </row>
    <row r="149" spans="1:22">
      <c r="A149" s="13">
        <f t="shared" si="2"/>
        <v>145</v>
      </c>
      <c r="B149" s="27" t="s">
        <v>238</v>
      </c>
      <c r="C149" s="56">
        <v>2008</v>
      </c>
      <c r="D149" s="3">
        <v>49.7</v>
      </c>
      <c r="E149" s="27" t="s">
        <v>132</v>
      </c>
      <c r="F149" s="3">
        <v>182</v>
      </c>
      <c r="G149" s="46" t="s">
        <v>195</v>
      </c>
    </row>
    <row r="150" spans="1:22">
      <c r="A150" s="13">
        <f t="shared" si="2"/>
        <v>146</v>
      </c>
      <c r="B150" s="27" t="s">
        <v>239</v>
      </c>
      <c r="C150" s="56">
        <v>2008</v>
      </c>
      <c r="D150" s="3">
        <v>25.7</v>
      </c>
      <c r="E150" s="2" t="s">
        <v>132</v>
      </c>
      <c r="F150" s="3">
        <v>69</v>
      </c>
      <c r="G150" s="46" t="s">
        <v>195</v>
      </c>
    </row>
    <row r="151" spans="1:22">
      <c r="A151" s="13">
        <f t="shared" si="2"/>
        <v>147</v>
      </c>
      <c r="B151" s="27" t="s">
        <v>240</v>
      </c>
      <c r="C151" s="56">
        <v>2008</v>
      </c>
      <c r="D151" s="3">
        <v>2.4</v>
      </c>
      <c r="E151" s="2" t="s">
        <v>39</v>
      </c>
      <c r="F151" s="3">
        <v>10</v>
      </c>
      <c r="G151" s="46" t="s">
        <v>195</v>
      </c>
    </row>
    <row r="152" spans="1:22">
      <c r="A152" s="13">
        <f t="shared" si="2"/>
        <v>148</v>
      </c>
      <c r="B152" s="27" t="s">
        <v>241</v>
      </c>
      <c r="C152" s="56">
        <v>2008</v>
      </c>
      <c r="D152" s="3">
        <v>8.6739999999999995</v>
      </c>
      <c r="E152" s="2" t="s">
        <v>39</v>
      </c>
      <c r="F152" s="3">
        <v>18</v>
      </c>
      <c r="G152" s="46" t="s">
        <v>195</v>
      </c>
    </row>
    <row r="153" spans="1:22">
      <c r="A153" s="13">
        <f t="shared" si="2"/>
        <v>149</v>
      </c>
      <c r="B153" s="27" t="s">
        <v>242</v>
      </c>
      <c r="C153" s="56">
        <v>2008</v>
      </c>
      <c r="D153" s="3">
        <v>16.7</v>
      </c>
      <c r="E153" s="2" t="s">
        <v>39</v>
      </c>
      <c r="F153" s="3">
        <v>0</v>
      </c>
      <c r="G153" s="46"/>
      <c r="H153" s="12" t="s">
        <v>441</v>
      </c>
      <c r="V153" s="26"/>
    </row>
    <row r="154" spans="1:22">
      <c r="A154" s="13">
        <f t="shared" si="2"/>
        <v>150</v>
      </c>
      <c r="B154" s="27" t="s">
        <v>243</v>
      </c>
      <c r="C154" s="56">
        <v>2008</v>
      </c>
      <c r="D154" s="3">
        <v>22.4</v>
      </c>
      <c r="E154" s="2" t="s">
        <v>39</v>
      </c>
      <c r="F154" s="3">
        <v>79</v>
      </c>
      <c r="G154" s="46" t="s">
        <v>195</v>
      </c>
      <c r="V154" s="26"/>
    </row>
    <row r="155" spans="1:22">
      <c r="A155" s="13">
        <f t="shared" si="2"/>
        <v>151</v>
      </c>
      <c r="B155" s="27" t="s">
        <v>244</v>
      </c>
      <c r="C155" s="56">
        <v>2008</v>
      </c>
      <c r="D155" s="3">
        <v>7.66</v>
      </c>
      <c r="E155" s="2" t="s">
        <v>39</v>
      </c>
      <c r="F155" s="3">
        <v>18</v>
      </c>
      <c r="G155" s="46" t="s">
        <v>195</v>
      </c>
    </row>
    <row r="156" spans="1:22">
      <c r="A156" s="13">
        <f t="shared" si="2"/>
        <v>152</v>
      </c>
      <c r="B156" s="27" t="s">
        <v>245</v>
      </c>
      <c r="C156" s="56">
        <v>2008</v>
      </c>
      <c r="D156" s="3">
        <v>15.65</v>
      </c>
      <c r="E156" s="2" t="s">
        <v>39</v>
      </c>
      <c r="F156" s="3">
        <v>50</v>
      </c>
      <c r="G156" s="46" t="s">
        <v>195</v>
      </c>
    </row>
    <row r="157" spans="1:22">
      <c r="A157" s="13">
        <f t="shared" si="2"/>
        <v>153</v>
      </c>
      <c r="B157" s="27" t="s">
        <v>246</v>
      </c>
      <c r="C157" s="56">
        <v>2008</v>
      </c>
      <c r="D157" s="3">
        <v>7.22</v>
      </c>
      <c r="E157" s="2" t="s">
        <v>39</v>
      </c>
      <c r="F157" s="3">
        <v>36</v>
      </c>
      <c r="G157" s="46" t="s">
        <v>195</v>
      </c>
    </row>
    <row r="158" spans="1:22">
      <c r="A158" s="13">
        <f t="shared" si="2"/>
        <v>154</v>
      </c>
      <c r="B158" s="57" t="s">
        <v>247</v>
      </c>
      <c r="C158" s="58">
        <v>2008</v>
      </c>
      <c r="D158" s="45">
        <v>21.04</v>
      </c>
      <c r="E158" s="59" t="s">
        <v>39</v>
      </c>
      <c r="F158" s="45">
        <v>96</v>
      </c>
      <c r="G158" s="46" t="s">
        <v>195</v>
      </c>
    </row>
    <row r="159" spans="1:22">
      <c r="A159" s="13">
        <f t="shared" si="2"/>
        <v>155</v>
      </c>
      <c r="B159" s="27" t="s">
        <v>248</v>
      </c>
      <c r="C159" s="56">
        <v>2008</v>
      </c>
      <c r="D159" s="3">
        <v>21.58</v>
      </c>
      <c r="E159" s="2" t="s">
        <v>39</v>
      </c>
      <c r="F159" s="3">
        <v>108</v>
      </c>
      <c r="G159" s="46" t="s">
        <v>195</v>
      </c>
      <c r="H159" s="26"/>
    </row>
    <row r="160" spans="1:22">
      <c r="A160" s="13">
        <f t="shared" si="2"/>
        <v>156</v>
      </c>
      <c r="B160" s="27" t="s">
        <v>249</v>
      </c>
      <c r="C160" s="56">
        <v>2008</v>
      </c>
      <c r="D160" s="3">
        <v>105.6</v>
      </c>
      <c r="E160" s="2" t="s">
        <v>132</v>
      </c>
      <c r="F160" s="3">
        <v>322</v>
      </c>
      <c r="G160" s="46" t="s">
        <v>195</v>
      </c>
      <c r="H160" s="26"/>
    </row>
    <row r="161" spans="1:22">
      <c r="A161" s="13">
        <f t="shared" si="2"/>
        <v>157</v>
      </c>
      <c r="B161" s="27" t="s">
        <v>250</v>
      </c>
      <c r="C161" s="56">
        <v>2008</v>
      </c>
      <c r="D161" s="3">
        <v>0.82</v>
      </c>
      <c r="E161" s="2" t="s">
        <v>39</v>
      </c>
      <c r="F161" s="3">
        <v>5</v>
      </c>
      <c r="G161" s="46" t="str">
        <f>IF(F161&lt;&gt;0,"No","")</f>
        <v>No</v>
      </c>
    </row>
    <row r="162" spans="1:22">
      <c r="A162" s="13">
        <f t="shared" si="2"/>
        <v>158</v>
      </c>
      <c r="B162" s="27" t="s">
        <v>251</v>
      </c>
      <c r="C162" s="56">
        <v>2008</v>
      </c>
      <c r="D162" s="3">
        <v>1.2749999999999999</v>
      </c>
      <c r="E162" s="2" t="s">
        <v>39</v>
      </c>
      <c r="F162" s="3">
        <v>0</v>
      </c>
      <c r="G162" s="46" t="str">
        <f>IF(F162&lt;&gt;0,"No","")</f>
        <v/>
      </c>
    </row>
    <row r="163" spans="1:22">
      <c r="A163" s="13">
        <f t="shared" si="2"/>
        <v>159</v>
      </c>
      <c r="B163" s="232" t="s">
        <v>215</v>
      </c>
      <c r="C163" s="56">
        <v>2008</v>
      </c>
      <c r="D163" s="234">
        <v>8.8000000000000007</v>
      </c>
      <c r="E163" s="179" t="s">
        <v>1</v>
      </c>
      <c r="F163" s="234">
        <v>60</v>
      </c>
      <c r="G163" s="46" t="s">
        <v>195</v>
      </c>
    </row>
    <row r="164" spans="1:22">
      <c r="A164" s="13">
        <f t="shared" si="2"/>
        <v>160</v>
      </c>
      <c r="B164" s="27" t="s">
        <v>216</v>
      </c>
      <c r="C164" s="56">
        <v>2008</v>
      </c>
      <c r="D164" s="3">
        <v>183.8</v>
      </c>
      <c r="E164" s="2" t="s">
        <v>1</v>
      </c>
      <c r="F164" s="3">
        <v>1290</v>
      </c>
      <c r="G164" s="46" t="s">
        <v>195</v>
      </c>
    </row>
    <row r="165" spans="1:22">
      <c r="A165" s="238">
        <f t="shared" si="2"/>
        <v>161</v>
      </c>
      <c r="B165" s="239" t="s">
        <v>217</v>
      </c>
      <c r="C165" s="240">
        <v>2008</v>
      </c>
      <c r="D165" s="241">
        <v>52.38</v>
      </c>
      <c r="E165" s="242" t="s">
        <v>1</v>
      </c>
      <c r="F165" s="241">
        <v>370</v>
      </c>
      <c r="G165" s="243" t="s">
        <v>195</v>
      </c>
      <c r="H165" s="26"/>
      <c r="L165" s="213"/>
      <c r="M165" s="213"/>
      <c r="N165" s="213"/>
      <c r="O165" s="213"/>
      <c r="P165" s="215"/>
      <c r="Q165" s="216"/>
      <c r="R165" s="216"/>
      <c r="S165" s="216"/>
      <c r="T165" s="216"/>
      <c r="U165" s="217"/>
    </row>
    <row r="166" spans="1:22">
      <c r="A166" s="13">
        <f t="shared" si="2"/>
        <v>162</v>
      </c>
      <c r="B166" s="27" t="s">
        <v>218</v>
      </c>
      <c r="C166" s="56">
        <v>2008</v>
      </c>
      <c r="D166" s="3">
        <v>17.46</v>
      </c>
      <c r="E166" s="2" t="s">
        <v>1</v>
      </c>
      <c r="F166" s="3">
        <f>367/52.4*D166</f>
        <v>122.28664122137407</v>
      </c>
      <c r="G166" s="46" t="s">
        <v>195</v>
      </c>
      <c r="H166" s="26"/>
      <c r="J166" s="214"/>
      <c r="K166" s="216"/>
      <c r="L166" s="218"/>
      <c r="M166" s="216"/>
      <c r="N166" s="216"/>
      <c r="O166" s="219"/>
      <c r="P166" s="216"/>
      <c r="Q166" s="216"/>
      <c r="R166" s="216"/>
      <c r="S166" s="216"/>
      <c r="T166" s="216"/>
      <c r="U166" s="216"/>
      <c r="V166" s="26"/>
    </row>
    <row r="167" spans="1:22">
      <c r="A167" s="13">
        <f t="shared" si="2"/>
        <v>163</v>
      </c>
      <c r="B167" s="27" t="s">
        <v>219</v>
      </c>
      <c r="C167" s="56">
        <v>2008</v>
      </c>
      <c r="D167" s="3">
        <v>5.4</v>
      </c>
      <c r="E167" s="2" t="s">
        <v>1</v>
      </c>
      <c r="F167" s="3">
        <v>37</v>
      </c>
      <c r="G167" s="46" t="s">
        <v>195</v>
      </c>
      <c r="J167" s="214"/>
      <c r="K167" s="216"/>
      <c r="L167" s="218"/>
      <c r="M167" s="216"/>
      <c r="N167" s="216"/>
      <c r="O167" s="219"/>
      <c r="P167" s="216"/>
      <c r="Q167" s="216"/>
      <c r="R167" s="216"/>
      <c r="S167" s="216"/>
      <c r="T167" s="216"/>
      <c r="U167" s="216"/>
      <c r="V167" s="26"/>
    </row>
    <row r="168" spans="1:22">
      <c r="A168" s="13">
        <f t="shared" si="2"/>
        <v>164</v>
      </c>
      <c r="B168" s="27" t="s">
        <v>220</v>
      </c>
      <c r="C168" s="56">
        <v>2008</v>
      </c>
      <c r="D168" s="3">
        <v>1.165</v>
      </c>
      <c r="E168" s="2" t="s">
        <v>1</v>
      </c>
      <c r="F168" s="3">
        <v>8</v>
      </c>
      <c r="G168" s="46" t="s">
        <v>195</v>
      </c>
      <c r="J168" s="214"/>
      <c r="K168" s="216"/>
      <c r="L168" s="218"/>
      <c r="M168" s="216"/>
      <c r="N168" s="216"/>
      <c r="O168" s="219"/>
      <c r="P168" s="216"/>
      <c r="Q168" s="216"/>
      <c r="R168" s="217"/>
      <c r="S168" s="216"/>
      <c r="T168" s="216"/>
      <c r="U168" s="216"/>
    </row>
    <row r="169" spans="1:22">
      <c r="A169" s="13">
        <f t="shared" si="2"/>
        <v>165</v>
      </c>
      <c r="B169" s="27" t="s">
        <v>221</v>
      </c>
      <c r="C169" s="56">
        <v>2008</v>
      </c>
      <c r="D169" s="3">
        <v>52.38</v>
      </c>
      <c r="E169" s="2" t="s">
        <v>1</v>
      </c>
      <c r="F169" s="3">
        <f>327/56.3*D169</f>
        <v>304.23197158081706</v>
      </c>
      <c r="G169" s="46" t="s">
        <v>195</v>
      </c>
      <c r="J169" s="222"/>
      <c r="K169" s="223"/>
      <c r="L169" s="224"/>
      <c r="M169" s="225"/>
      <c r="N169" s="216"/>
      <c r="O169" s="219"/>
      <c r="P169" s="216"/>
      <c r="Q169" s="216"/>
      <c r="R169" s="217"/>
      <c r="S169" s="216"/>
      <c r="T169" s="216"/>
      <c r="U169" s="216"/>
    </row>
    <row r="170" spans="1:22">
      <c r="A170" s="13">
        <f t="shared" si="2"/>
        <v>166</v>
      </c>
      <c r="B170" s="27" t="s">
        <v>222</v>
      </c>
      <c r="C170" s="56">
        <v>2008</v>
      </c>
      <c r="D170" s="3">
        <v>1.165</v>
      </c>
      <c r="E170" s="2" t="s">
        <v>1</v>
      </c>
      <c r="F170" s="3">
        <v>7</v>
      </c>
      <c r="G170" s="46" t="s">
        <v>195</v>
      </c>
      <c r="J170" s="222"/>
      <c r="K170" s="223"/>
      <c r="L170" s="224"/>
      <c r="M170" s="225"/>
      <c r="N170" s="216"/>
      <c r="O170" s="219"/>
      <c r="P170" s="216"/>
      <c r="Q170" s="216"/>
      <c r="R170" s="217"/>
      <c r="S170" s="216"/>
      <c r="T170" s="216"/>
      <c r="U170" s="216"/>
    </row>
    <row r="171" spans="1:22">
      <c r="A171" s="13">
        <f t="shared" si="2"/>
        <v>167</v>
      </c>
      <c r="B171" s="27" t="s">
        <v>223</v>
      </c>
      <c r="C171" s="56">
        <v>2008</v>
      </c>
      <c r="D171" s="3">
        <v>0.06</v>
      </c>
      <c r="E171" s="2" t="s">
        <v>1</v>
      </c>
      <c r="F171" s="3">
        <v>4</v>
      </c>
      <c r="G171" s="46" t="s">
        <v>195</v>
      </c>
      <c r="J171" s="222"/>
      <c r="K171" s="225"/>
      <c r="L171" s="224"/>
      <c r="M171" s="225"/>
      <c r="N171" s="216"/>
      <c r="O171" s="219"/>
      <c r="P171" s="216"/>
      <c r="Q171" s="216"/>
      <c r="R171" s="217"/>
      <c r="S171" s="216"/>
      <c r="T171" s="216"/>
      <c r="U171" s="216"/>
    </row>
    <row r="172" spans="1:22">
      <c r="A172" s="13">
        <f t="shared" si="2"/>
        <v>168</v>
      </c>
      <c r="B172" s="27" t="s">
        <v>176</v>
      </c>
      <c r="C172" s="56">
        <v>2008</v>
      </c>
      <c r="D172" s="3">
        <v>14.13</v>
      </c>
      <c r="E172" s="2" t="s">
        <v>224</v>
      </c>
      <c r="F172" s="3">
        <v>0</v>
      </c>
      <c r="G172" s="46"/>
      <c r="H172" s="12" t="s">
        <v>448</v>
      </c>
      <c r="J172" s="214"/>
      <c r="K172" s="216"/>
      <c r="L172" s="218"/>
      <c r="M172" s="216"/>
      <c r="N172" s="216"/>
      <c r="O172" s="219"/>
      <c r="P172" s="216"/>
      <c r="Q172" s="216"/>
      <c r="R172" s="217"/>
      <c r="S172" s="216"/>
      <c r="T172" s="216"/>
      <c r="U172" s="216"/>
    </row>
    <row r="173" spans="1:22">
      <c r="A173" s="13">
        <f t="shared" si="2"/>
        <v>169</v>
      </c>
      <c r="B173" s="27" t="s">
        <v>225</v>
      </c>
      <c r="C173" s="56">
        <v>2008</v>
      </c>
      <c r="D173" s="3">
        <v>14.78</v>
      </c>
      <c r="E173" s="2" t="s">
        <v>13</v>
      </c>
      <c r="F173" s="3">
        <f>1200/171.9*D173</f>
        <v>103.17626527050611</v>
      </c>
      <c r="G173" s="46" t="s">
        <v>195</v>
      </c>
      <c r="J173" s="214"/>
      <c r="K173" s="216"/>
      <c r="L173" s="218"/>
      <c r="M173" s="216"/>
      <c r="N173" s="216"/>
      <c r="O173" s="219"/>
      <c r="P173" s="216"/>
      <c r="Q173" s="216"/>
      <c r="R173" s="217"/>
      <c r="S173" s="216"/>
      <c r="T173" s="216"/>
      <c r="U173" s="216"/>
    </row>
    <row r="174" spans="1:22">
      <c r="A174" s="13">
        <f t="shared" si="2"/>
        <v>170</v>
      </c>
      <c r="B174" s="27" t="s">
        <v>226</v>
      </c>
      <c r="C174" s="56">
        <v>2008</v>
      </c>
      <c r="D174" s="3">
        <v>1.5840000000000001</v>
      </c>
      <c r="E174" s="2" t="s">
        <v>1</v>
      </c>
      <c r="F174" s="3">
        <v>11</v>
      </c>
      <c r="G174" s="46" t="s">
        <v>195</v>
      </c>
      <c r="H174" s="26"/>
      <c r="J174" s="214"/>
      <c r="K174" s="216"/>
      <c r="L174" s="218"/>
      <c r="M174" s="216"/>
      <c r="N174" s="216"/>
      <c r="O174" s="219"/>
      <c r="P174" s="216"/>
      <c r="Q174" s="216"/>
      <c r="R174" s="217"/>
      <c r="S174" s="216"/>
      <c r="T174" s="216"/>
      <c r="U174" s="216"/>
    </row>
    <row r="175" spans="1:22">
      <c r="A175" s="13">
        <f t="shared" si="2"/>
        <v>171</v>
      </c>
      <c r="B175" s="27" t="s">
        <v>227</v>
      </c>
      <c r="C175" s="56">
        <v>2008</v>
      </c>
      <c r="D175" s="3">
        <v>2</v>
      </c>
      <c r="E175" s="2" t="s">
        <v>1</v>
      </c>
      <c r="F175" s="3">
        <v>14</v>
      </c>
      <c r="G175" s="46" t="s">
        <v>195</v>
      </c>
      <c r="H175" s="26"/>
      <c r="J175" s="216"/>
      <c r="K175" s="216"/>
      <c r="L175" s="218"/>
      <c r="M175" s="216"/>
      <c r="N175" s="216"/>
      <c r="O175" s="54"/>
      <c r="R175" s="26"/>
    </row>
    <row r="176" spans="1:22">
      <c r="A176" s="13">
        <f t="shared" si="2"/>
        <v>172</v>
      </c>
      <c r="B176" s="27" t="s">
        <v>228</v>
      </c>
      <c r="C176" s="56">
        <v>2008</v>
      </c>
      <c r="D176" s="3">
        <v>13.4</v>
      </c>
      <c r="E176" s="2" t="s">
        <v>1</v>
      </c>
      <c r="F176" s="3">
        <f>680/96.8*D176</f>
        <v>94.132231404958688</v>
      </c>
      <c r="G176" s="46" t="s">
        <v>195</v>
      </c>
      <c r="H176" s="26"/>
      <c r="J176" s="216"/>
      <c r="K176" s="216"/>
      <c r="L176" s="216"/>
      <c r="M176" s="216"/>
      <c r="N176" s="216"/>
      <c r="U176" s="26"/>
    </row>
    <row r="177" spans="1:20">
      <c r="A177" s="13">
        <f t="shared" si="2"/>
        <v>173</v>
      </c>
      <c r="B177" s="27" t="s">
        <v>229</v>
      </c>
      <c r="C177" s="56">
        <v>2008</v>
      </c>
      <c r="D177" s="3">
        <v>2.83</v>
      </c>
      <c r="E177" s="2" t="s">
        <v>224</v>
      </c>
      <c r="F177" s="3">
        <v>0</v>
      </c>
      <c r="G177" s="46"/>
      <c r="H177" s="12" t="s">
        <v>449</v>
      </c>
      <c r="J177" s="216"/>
      <c r="K177" s="216"/>
      <c r="L177" s="216"/>
      <c r="M177" s="216"/>
      <c r="N177" s="216"/>
      <c r="S177" s="26"/>
      <c r="T177" s="26"/>
    </row>
    <row r="178" spans="1:20">
      <c r="A178" s="13">
        <f t="shared" si="2"/>
        <v>174</v>
      </c>
      <c r="B178" s="27" t="s">
        <v>230</v>
      </c>
      <c r="C178" s="56">
        <v>2008</v>
      </c>
      <c r="D178" s="3">
        <v>1.6</v>
      </c>
      <c r="E178" s="2" t="s">
        <v>1</v>
      </c>
      <c r="F178" s="3">
        <v>11</v>
      </c>
      <c r="G178" s="46" t="s">
        <v>195</v>
      </c>
      <c r="J178" s="216"/>
      <c r="K178" s="216"/>
      <c r="L178" s="216"/>
      <c r="M178" s="216"/>
      <c r="N178" s="216"/>
      <c r="S178" s="26"/>
      <c r="T178" s="26"/>
    </row>
    <row r="179" spans="1:20">
      <c r="A179" s="13">
        <f t="shared" si="2"/>
        <v>175</v>
      </c>
      <c r="B179" s="27" t="s">
        <v>231</v>
      </c>
      <c r="C179" s="56">
        <v>2008</v>
      </c>
      <c r="D179" s="3">
        <v>6.85</v>
      </c>
      <c r="E179" s="2" t="s">
        <v>53</v>
      </c>
      <c r="F179" s="3">
        <v>50</v>
      </c>
      <c r="G179" s="46" t="s">
        <v>195</v>
      </c>
      <c r="J179" s="216"/>
      <c r="K179" s="216"/>
      <c r="L179" s="216"/>
      <c r="M179" s="216"/>
      <c r="N179" s="216"/>
    </row>
    <row r="180" spans="1:20">
      <c r="A180" s="13">
        <f t="shared" si="2"/>
        <v>176</v>
      </c>
      <c r="B180" s="27" t="s">
        <v>232</v>
      </c>
      <c r="C180" s="56">
        <v>2008</v>
      </c>
      <c r="D180" s="3">
        <v>22.63</v>
      </c>
      <c r="E180" s="2" t="s">
        <v>1</v>
      </c>
      <c r="F180" s="3">
        <v>0</v>
      </c>
      <c r="G180" s="46"/>
      <c r="J180" s="216"/>
      <c r="K180" s="216"/>
      <c r="L180" s="216"/>
      <c r="M180" s="216"/>
      <c r="N180" s="216"/>
    </row>
    <row r="181" spans="1:20">
      <c r="A181" s="13">
        <f t="shared" si="2"/>
        <v>177</v>
      </c>
      <c r="B181" s="27" t="s">
        <v>233</v>
      </c>
      <c r="C181" s="56">
        <v>2008</v>
      </c>
      <c r="D181" s="3">
        <v>8.73</v>
      </c>
      <c r="E181" s="2" t="s">
        <v>1</v>
      </c>
      <c r="F181" s="3">
        <f>202/26.2*D181</f>
        <v>67.30763358778627</v>
      </c>
      <c r="G181" s="46" t="s">
        <v>195</v>
      </c>
      <c r="J181" s="216"/>
      <c r="K181" s="216"/>
      <c r="L181" s="226"/>
      <c r="M181" s="216"/>
      <c r="N181" s="216"/>
    </row>
    <row r="182" spans="1:20">
      <c r="A182" s="13">
        <f t="shared" si="2"/>
        <v>178</v>
      </c>
      <c r="B182" s="27" t="s">
        <v>252</v>
      </c>
      <c r="C182" s="56">
        <v>2008</v>
      </c>
      <c r="D182" s="3">
        <v>21</v>
      </c>
      <c r="E182" s="2" t="s">
        <v>18</v>
      </c>
      <c r="F182" s="3">
        <v>0</v>
      </c>
      <c r="G182" s="46" t="str">
        <f t="shared" ref="G182:G213" si="3">IF(F182&lt;&gt;0,"No","")</f>
        <v/>
      </c>
      <c r="H182" s="12" t="s">
        <v>442</v>
      </c>
      <c r="J182" s="216"/>
      <c r="K182" s="216"/>
      <c r="L182" s="216"/>
      <c r="M182" s="216"/>
      <c r="N182" s="216"/>
    </row>
    <row r="183" spans="1:20">
      <c r="A183" s="13">
        <f t="shared" si="2"/>
        <v>179</v>
      </c>
      <c r="B183" s="27" t="s">
        <v>253</v>
      </c>
      <c r="C183" s="56">
        <v>2008</v>
      </c>
      <c r="D183" s="3">
        <v>8.1</v>
      </c>
      <c r="E183" s="2" t="s">
        <v>18</v>
      </c>
      <c r="F183" s="3">
        <v>0</v>
      </c>
      <c r="G183" s="46" t="str">
        <f t="shared" si="3"/>
        <v/>
      </c>
      <c r="H183" s="12" t="s">
        <v>443</v>
      </c>
      <c r="J183" s="216"/>
      <c r="K183" s="216"/>
      <c r="L183" s="216"/>
      <c r="M183" s="216"/>
      <c r="N183" s="216"/>
    </row>
    <row r="184" spans="1:20">
      <c r="A184" s="13">
        <f t="shared" si="2"/>
        <v>180</v>
      </c>
      <c r="B184" s="27" t="s">
        <v>254</v>
      </c>
      <c r="C184" s="56">
        <v>2008</v>
      </c>
      <c r="D184" s="3">
        <v>60</v>
      </c>
      <c r="E184" s="2" t="s">
        <v>18</v>
      </c>
      <c r="F184" s="3">
        <v>0</v>
      </c>
      <c r="G184" s="46" t="str">
        <f t="shared" si="3"/>
        <v/>
      </c>
      <c r="H184" s="12" t="s">
        <v>444</v>
      </c>
    </row>
    <row r="185" spans="1:20">
      <c r="A185" s="13">
        <f t="shared" si="2"/>
        <v>181</v>
      </c>
      <c r="B185" s="27" t="s">
        <v>255</v>
      </c>
      <c r="C185" s="56">
        <v>2008</v>
      </c>
      <c r="D185" s="3">
        <v>42.5</v>
      </c>
      <c r="E185" s="2" t="s">
        <v>18</v>
      </c>
      <c r="F185" s="3">
        <v>0</v>
      </c>
      <c r="G185" s="46" t="str">
        <f t="shared" si="3"/>
        <v/>
      </c>
      <c r="H185" s="12" t="s">
        <v>445</v>
      </c>
    </row>
    <row r="186" spans="1:20">
      <c r="A186" s="13">
        <f t="shared" si="2"/>
        <v>182</v>
      </c>
      <c r="B186" s="230" t="s">
        <v>256</v>
      </c>
      <c r="C186" s="228">
        <v>2008</v>
      </c>
      <c r="D186" s="178">
        <v>24</v>
      </c>
      <c r="E186" s="179" t="s">
        <v>18</v>
      </c>
      <c r="F186" s="178">
        <v>0</v>
      </c>
      <c r="G186" s="231" t="str">
        <f t="shared" si="3"/>
        <v/>
      </c>
    </row>
    <row r="187" spans="1:20">
      <c r="A187" s="13">
        <f t="shared" si="2"/>
        <v>183</v>
      </c>
      <c r="B187" s="27" t="s">
        <v>257</v>
      </c>
      <c r="C187" s="56">
        <v>2008</v>
      </c>
      <c r="D187" s="3">
        <v>30.6</v>
      </c>
      <c r="E187" s="2" t="s">
        <v>18</v>
      </c>
      <c r="F187" s="3">
        <v>0</v>
      </c>
      <c r="G187" s="46" t="str">
        <f t="shared" si="3"/>
        <v/>
      </c>
      <c r="H187" s="12" t="s">
        <v>446</v>
      </c>
    </row>
    <row r="188" spans="1:20">
      <c r="A188" s="13">
        <f t="shared" si="2"/>
        <v>184</v>
      </c>
      <c r="B188" s="27" t="s">
        <v>258</v>
      </c>
      <c r="C188" s="209">
        <v>2008</v>
      </c>
      <c r="D188" s="209">
        <v>31.2</v>
      </c>
      <c r="E188" s="27" t="s">
        <v>18</v>
      </c>
      <c r="F188" s="209">
        <v>0</v>
      </c>
      <c r="G188" s="46" t="str">
        <f t="shared" si="3"/>
        <v/>
      </c>
      <c r="H188" s="12" t="s">
        <v>447</v>
      </c>
    </row>
    <row r="189" spans="1:20">
      <c r="A189" s="13">
        <f t="shared" si="2"/>
        <v>185</v>
      </c>
      <c r="B189" s="27" t="s">
        <v>433</v>
      </c>
      <c r="C189" s="209">
        <v>2009</v>
      </c>
      <c r="D189" s="209">
        <v>24.7</v>
      </c>
      <c r="E189" s="27" t="s">
        <v>1</v>
      </c>
      <c r="F189" s="209">
        <v>170</v>
      </c>
      <c r="G189" s="46" t="str">
        <f t="shared" si="3"/>
        <v>No</v>
      </c>
    </row>
    <row r="190" spans="1:20">
      <c r="A190" s="13">
        <f t="shared" si="2"/>
        <v>186</v>
      </c>
      <c r="B190" s="27" t="s">
        <v>352</v>
      </c>
      <c r="C190" s="209">
        <v>2009</v>
      </c>
      <c r="D190" s="209">
        <v>2.8260000000000001</v>
      </c>
      <c r="E190" s="27" t="s">
        <v>133</v>
      </c>
      <c r="F190" s="209">
        <v>0</v>
      </c>
      <c r="G190" s="46" t="str">
        <f t="shared" si="3"/>
        <v/>
      </c>
      <c r="H190" s="12" t="s">
        <v>448</v>
      </c>
    </row>
    <row r="191" spans="1:20">
      <c r="A191" s="13">
        <f t="shared" si="2"/>
        <v>187</v>
      </c>
      <c r="B191" s="27" t="s">
        <v>353</v>
      </c>
      <c r="C191" s="209">
        <v>2009</v>
      </c>
      <c r="D191" s="209">
        <v>36.1</v>
      </c>
      <c r="E191" s="27" t="s">
        <v>1</v>
      </c>
      <c r="F191" s="209">
        <v>217.95</v>
      </c>
      <c r="G191" s="46" t="str">
        <f t="shared" si="3"/>
        <v>No</v>
      </c>
    </row>
    <row r="192" spans="1:20">
      <c r="A192" s="13">
        <f t="shared" si="2"/>
        <v>188</v>
      </c>
      <c r="B192" s="27" t="s">
        <v>431</v>
      </c>
      <c r="C192" s="209">
        <v>2009</v>
      </c>
      <c r="D192" s="209">
        <v>12</v>
      </c>
      <c r="E192" s="27" t="s">
        <v>1</v>
      </c>
      <c r="F192" s="209">
        <v>84</v>
      </c>
      <c r="G192" s="46" t="str">
        <f t="shared" si="3"/>
        <v>No</v>
      </c>
    </row>
    <row r="193" spans="1:8">
      <c r="A193" s="13">
        <f t="shared" si="2"/>
        <v>189</v>
      </c>
      <c r="B193" s="27" t="s">
        <v>373</v>
      </c>
      <c r="C193" s="209">
        <v>2009</v>
      </c>
      <c r="D193" s="209">
        <v>4.2450000000000001</v>
      </c>
      <c r="E193" s="27" t="s">
        <v>424</v>
      </c>
      <c r="F193" s="209">
        <v>0</v>
      </c>
      <c r="G193" s="46" t="str">
        <f t="shared" si="3"/>
        <v/>
      </c>
      <c r="H193" s="12" t="s">
        <v>449</v>
      </c>
    </row>
    <row r="194" spans="1:8">
      <c r="A194" s="13">
        <f t="shared" si="2"/>
        <v>190</v>
      </c>
      <c r="B194" s="27" t="s">
        <v>354</v>
      </c>
      <c r="C194" s="209">
        <v>2009</v>
      </c>
      <c r="D194" s="209">
        <v>6.52</v>
      </c>
      <c r="E194" s="27" t="s">
        <v>1</v>
      </c>
      <c r="F194" s="209">
        <v>54.56</v>
      </c>
      <c r="G194" s="46" t="str">
        <f t="shared" si="3"/>
        <v>No</v>
      </c>
    </row>
    <row r="195" spans="1:8">
      <c r="A195" s="13">
        <f t="shared" si="2"/>
        <v>191</v>
      </c>
      <c r="B195" s="190" t="s">
        <v>430</v>
      </c>
      <c r="C195" s="208">
        <v>2009</v>
      </c>
      <c r="D195" s="208">
        <v>70</v>
      </c>
      <c r="E195" s="208" t="s">
        <v>1</v>
      </c>
      <c r="F195" s="208">
        <v>539</v>
      </c>
      <c r="G195" s="46" t="str">
        <f t="shared" si="3"/>
        <v>No</v>
      </c>
    </row>
    <row r="196" spans="1:8">
      <c r="A196" s="13">
        <f t="shared" si="2"/>
        <v>192</v>
      </c>
      <c r="B196" s="190" t="s">
        <v>355</v>
      </c>
      <c r="C196" s="208">
        <v>2009</v>
      </c>
      <c r="D196" s="208">
        <v>5.67</v>
      </c>
      <c r="E196" s="208" t="s">
        <v>1</v>
      </c>
      <c r="F196" s="208">
        <v>38</v>
      </c>
      <c r="G196" s="46" t="str">
        <f t="shared" si="3"/>
        <v>No</v>
      </c>
    </row>
    <row r="197" spans="1:8">
      <c r="A197" s="13">
        <f t="shared" si="2"/>
        <v>193</v>
      </c>
      <c r="B197" s="191" t="s">
        <v>374</v>
      </c>
      <c r="C197" s="191">
        <v>2009</v>
      </c>
      <c r="D197" s="191">
        <v>8.73</v>
      </c>
      <c r="E197" s="191" t="s">
        <v>1</v>
      </c>
      <c r="F197" s="191">
        <v>67.290000000000006</v>
      </c>
      <c r="G197" s="46" t="str">
        <f t="shared" si="3"/>
        <v>No</v>
      </c>
    </row>
    <row r="198" spans="1:8">
      <c r="A198" s="13">
        <f t="shared" si="2"/>
        <v>194</v>
      </c>
      <c r="B198" s="191" t="s">
        <v>356</v>
      </c>
      <c r="C198" s="191">
        <v>2009</v>
      </c>
      <c r="D198" s="191">
        <v>47.4</v>
      </c>
      <c r="E198" s="191" t="s">
        <v>53</v>
      </c>
      <c r="F198" s="191">
        <v>313</v>
      </c>
      <c r="G198" s="46" t="str">
        <f t="shared" si="3"/>
        <v>No</v>
      </c>
    </row>
    <row r="199" spans="1:8">
      <c r="A199" s="13">
        <f t="shared" ref="A199:A262" si="4">A198+1</f>
        <v>195</v>
      </c>
      <c r="B199" s="191" t="s">
        <v>357</v>
      </c>
      <c r="C199" s="191">
        <v>2009</v>
      </c>
      <c r="D199" s="191">
        <v>60</v>
      </c>
      <c r="E199" s="191" t="s">
        <v>1</v>
      </c>
      <c r="F199" s="191">
        <v>467</v>
      </c>
      <c r="G199" s="46" t="str">
        <f t="shared" si="3"/>
        <v>No</v>
      </c>
    </row>
    <row r="200" spans="1:8">
      <c r="A200" s="13">
        <f t="shared" si="4"/>
        <v>196</v>
      </c>
      <c r="B200" s="191" t="s">
        <v>358</v>
      </c>
      <c r="C200" s="191">
        <v>2009</v>
      </c>
      <c r="D200" s="191">
        <v>17.46</v>
      </c>
      <c r="E200" s="191" t="s">
        <v>1</v>
      </c>
      <c r="F200" s="191">
        <v>73.36</v>
      </c>
      <c r="G200" s="46" t="str">
        <f t="shared" si="3"/>
        <v>No</v>
      </c>
    </row>
    <row r="201" spans="1:8">
      <c r="A201" s="13">
        <f t="shared" si="4"/>
        <v>197</v>
      </c>
      <c r="B201" s="191" t="s">
        <v>359</v>
      </c>
      <c r="C201" s="191">
        <v>2009</v>
      </c>
      <c r="D201" s="191">
        <v>2.33</v>
      </c>
      <c r="E201" s="191" t="s">
        <v>1</v>
      </c>
      <c r="F201" s="191">
        <v>18</v>
      </c>
      <c r="G201" s="46" t="str">
        <f t="shared" si="3"/>
        <v>No</v>
      </c>
    </row>
    <row r="202" spans="1:8">
      <c r="A202" s="13">
        <f t="shared" si="4"/>
        <v>198</v>
      </c>
      <c r="B202" s="191" t="s">
        <v>375</v>
      </c>
      <c r="C202" s="191">
        <v>2009</v>
      </c>
      <c r="D202" s="191">
        <v>46.95</v>
      </c>
      <c r="E202" s="191" t="s">
        <v>1</v>
      </c>
      <c r="F202" s="191">
        <v>328.65</v>
      </c>
      <c r="G202" s="46" t="str">
        <f t="shared" si="3"/>
        <v>No</v>
      </c>
    </row>
    <row r="203" spans="1:8">
      <c r="A203" s="13">
        <f t="shared" si="4"/>
        <v>199</v>
      </c>
      <c r="B203" s="191" t="s">
        <v>360</v>
      </c>
      <c r="C203" s="56">
        <v>2009</v>
      </c>
      <c r="D203" s="184">
        <v>135</v>
      </c>
      <c r="E203" s="188" t="s">
        <v>435</v>
      </c>
      <c r="F203" s="205">
        <v>945</v>
      </c>
      <c r="G203" s="46" t="str">
        <f t="shared" si="3"/>
        <v>No</v>
      </c>
    </row>
    <row r="204" spans="1:8">
      <c r="A204" s="13">
        <f t="shared" si="4"/>
        <v>200</v>
      </c>
      <c r="B204" s="192" t="s">
        <v>361</v>
      </c>
      <c r="C204" s="56">
        <v>2009</v>
      </c>
      <c r="D204" s="186">
        <v>2</v>
      </c>
      <c r="E204" s="2" t="s">
        <v>1</v>
      </c>
      <c r="F204" s="205">
        <v>16.52</v>
      </c>
      <c r="G204" s="46" t="str">
        <f t="shared" si="3"/>
        <v>No</v>
      </c>
    </row>
    <row r="205" spans="1:8">
      <c r="A205" s="13">
        <f t="shared" si="4"/>
        <v>201</v>
      </c>
      <c r="B205" s="193" t="s">
        <v>376</v>
      </c>
      <c r="C205" s="56">
        <v>2009</v>
      </c>
      <c r="D205" s="186">
        <v>300</v>
      </c>
      <c r="E205" s="2" t="s">
        <v>1</v>
      </c>
      <c r="F205" s="205">
        <v>2310</v>
      </c>
      <c r="G205" s="46" t="str">
        <f t="shared" si="3"/>
        <v>No</v>
      </c>
    </row>
    <row r="206" spans="1:8">
      <c r="A206" s="13">
        <f t="shared" si="4"/>
        <v>202</v>
      </c>
      <c r="B206" s="190" t="s">
        <v>218</v>
      </c>
      <c r="C206" s="56">
        <v>2009</v>
      </c>
      <c r="D206" s="186">
        <v>41.82</v>
      </c>
      <c r="E206" s="2" t="s">
        <v>1</v>
      </c>
      <c r="F206" s="205">
        <v>302.24</v>
      </c>
      <c r="G206" s="46" t="str">
        <f t="shared" si="3"/>
        <v>No</v>
      </c>
    </row>
    <row r="207" spans="1:8">
      <c r="A207" s="13">
        <f t="shared" si="4"/>
        <v>203</v>
      </c>
      <c r="B207" s="194" t="s">
        <v>362</v>
      </c>
      <c r="C207" s="56">
        <v>2009</v>
      </c>
      <c r="D207" s="186">
        <v>34.92</v>
      </c>
      <c r="E207" s="2" t="s">
        <v>1</v>
      </c>
      <c r="F207" s="205">
        <v>271.68</v>
      </c>
      <c r="G207" s="46" t="str">
        <f t="shared" si="3"/>
        <v>No</v>
      </c>
    </row>
    <row r="208" spans="1:8">
      <c r="A208" s="13">
        <f t="shared" si="4"/>
        <v>204</v>
      </c>
      <c r="B208" s="193" t="s">
        <v>376</v>
      </c>
      <c r="C208" s="56">
        <v>2009</v>
      </c>
      <c r="D208" s="186">
        <v>300</v>
      </c>
      <c r="E208" s="2" t="s">
        <v>1</v>
      </c>
      <c r="F208" s="205">
        <v>2310</v>
      </c>
      <c r="G208" s="46" t="str">
        <f t="shared" si="3"/>
        <v>No</v>
      </c>
    </row>
    <row r="209" spans="1:12">
      <c r="A209" s="13">
        <f t="shared" si="4"/>
        <v>205</v>
      </c>
      <c r="B209" s="194" t="s">
        <v>363</v>
      </c>
      <c r="C209" s="56">
        <v>2009</v>
      </c>
      <c r="D209" s="186">
        <v>5.8040000000000003</v>
      </c>
      <c r="E209" s="188" t="s">
        <v>52</v>
      </c>
      <c r="F209" s="205">
        <v>0</v>
      </c>
      <c r="G209" s="46" t="str">
        <f t="shared" si="3"/>
        <v/>
      </c>
      <c r="H209" s="12" t="s">
        <v>449</v>
      </c>
    </row>
    <row r="210" spans="1:12">
      <c r="A210" s="13">
        <f t="shared" si="4"/>
        <v>206</v>
      </c>
      <c r="B210" s="194" t="s">
        <v>377</v>
      </c>
      <c r="C210" s="56">
        <v>2009</v>
      </c>
      <c r="D210" s="186">
        <v>49.53</v>
      </c>
      <c r="E210" s="2" t="s">
        <v>1</v>
      </c>
      <c r="F210" s="205">
        <v>395.21</v>
      </c>
      <c r="G210" s="46" t="str">
        <f t="shared" si="3"/>
        <v>No</v>
      </c>
      <c r="J210" s="26"/>
    </row>
    <row r="211" spans="1:12">
      <c r="A211" s="13">
        <f t="shared" si="4"/>
        <v>207</v>
      </c>
      <c r="B211" s="194" t="s">
        <v>364</v>
      </c>
      <c r="C211" s="56">
        <v>2009</v>
      </c>
      <c r="D211" s="186">
        <v>2.8319999999999999</v>
      </c>
      <c r="E211" s="188" t="s">
        <v>424</v>
      </c>
      <c r="F211" s="205">
        <v>0</v>
      </c>
      <c r="G211" s="46" t="str">
        <f t="shared" si="3"/>
        <v/>
      </c>
      <c r="H211" s="12" t="s">
        <v>450</v>
      </c>
      <c r="L211" s="26"/>
    </row>
    <row r="212" spans="1:12">
      <c r="A212" s="13">
        <f t="shared" si="4"/>
        <v>208</v>
      </c>
      <c r="B212" s="194" t="s">
        <v>378</v>
      </c>
      <c r="C212" s="56">
        <v>2009</v>
      </c>
      <c r="D212" s="186">
        <v>135</v>
      </c>
      <c r="E212" s="188" t="s">
        <v>425</v>
      </c>
      <c r="F212" s="205">
        <v>961.67</v>
      </c>
      <c r="G212" s="46" t="str">
        <f t="shared" si="3"/>
        <v>No</v>
      </c>
      <c r="K212" s="26"/>
    </row>
    <row r="213" spans="1:12">
      <c r="A213" s="13">
        <f t="shared" si="4"/>
        <v>209</v>
      </c>
      <c r="B213" s="194" t="s">
        <v>365</v>
      </c>
      <c r="C213" s="56">
        <v>2009</v>
      </c>
      <c r="D213" s="186">
        <v>8.5530000000000008</v>
      </c>
      <c r="E213" s="2" t="s">
        <v>1</v>
      </c>
      <c r="F213" s="205">
        <v>65.31</v>
      </c>
      <c r="G213" s="46" t="str">
        <f t="shared" si="3"/>
        <v>No</v>
      </c>
      <c r="K213" s="26"/>
    </row>
    <row r="214" spans="1:12">
      <c r="A214" s="13">
        <f t="shared" si="4"/>
        <v>210</v>
      </c>
      <c r="B214" s="194" t="s">
        <v>366</v>
      </c>
      <c r="C214" s="56">
        <v>2009</v>
      </c>
      <c r="D214" s="186">
        <v>78.569999999999993</v>
      </c>
      <c r="E214" s="2" t="s">
        <v>1</v>
      </c>
      <c r="F214" s="205">
        <v>500</v>
      </c>
      <c r="G214" s="46" t="str">
        <f t="shared" ref="G214:G243" si="5">IF(F214&lt;&gt;0,"No","")</f>
        <v>No</v>
      </c>
      <c r="K214" s="26"/>
    </row>
    <row r="215" spans="1:12">
      <c r="A215" s="13">
        <f t="shared" si="4"/>
        <v>211</v>
      </c>
      <c r="B215" s="194" t="s">
        <v>373</v>
      </c>
      <c r="C215" s="56">
        <v>2009</v>
      </c>
      <c r="D215" s="186">
        <v>5.66</v>
      </c>
      <c r="E215" s="188" t="s">
        <v>424</v>
      </c>
      <c r="F215" s="205">
        <v>0</v>
      </c>
      <c r="G215" s="46" t="str">
        <f t="shared" si="5"/>
        <v/>
      </c>
      <c r="H215" s="12" t="s">
        <v>449</v>
      </c>
      <c r="J215" s="26"/>
    </row>
    <row r="216" spans="1:12">
      <c r="A216" s="13">
        <f t="shared" si="4"/>
        <v>212</v>
      </c>
      <c r="B216" s="192" t="s">
        <v>379</v>
      </c>
      <c r="C216" s="56">
        <v>2009</v>
      </c>
      <c r="D216" s="185">
        <v>13</v>
      </c>
      <c r="E216" s="2" t="s">
        <v>1</v>
      </c>
      <c r="F216" s="205">
        <v>101.18</v>
      </c>
      <c r="G216" s="46" t="str">
        <f t="shared" si="5"/>
        <v>No</v>
      </c>
      <c r="K216" s="26"/>
    </row>
    <row r="217" spans="1:12">
      <c r="A217" s="13">
        <f t="shared" si="4"/>
        <v>213</v>
      </c>
      <c r="B217" s="194" t="s">
        <v>378</v>
      </c>
      <c r="C217" s="56">
        <v>2009</v>
      </c>
      <c r="D217" s="186">
        <v>135</v>
      </c>
      <c r="E217" s="188" t="s">
        <v>425</v>
      </c>
      <c r="F217" s="205">
        <v>961.67</v>
      </c>
      <c r="G217" s="46" t="str">
        <f t="shared" si="5"/>
        <v>No</v>
      </c>
      <c r="K217" s="26"/>
    </row>
    <row r="218" spans="1:12">
      <c r="A218" s="13">
        <f t="shared" si="4"/>
        <v>214</v>
      </c>
      <c r="B218" s="194" t="s">
        <v>367</v>
      </c>
      <c r="C218" s="56">
        <v>2009</v>
      </c>
      <c r="D218" s="186">
        <v>1.165</v>
      </c>
      <c r="E218" s="2" t="s">
        <v>1</v>
      </c>
      <c r="F218" s="205">
        <v>9</v>
      </c>
      <c r="G218" s="46" t="str">
        <f t="shared" si="5"/>
        <v>No</v>
      </c>
    </row>
    <row r="219" spans="1:12">
      <c r="A219" s="13">
        <f t="shared" si="4"/>
        <v>215</v>
      </c>
      <c r="B219" s="190" t="s">
        <v>368</v>
      </c>
      <c r="C219" s="56">
        <v>2009</v>
      </c>
      <c r="D219" s="186">
        <v>7.5</v>
      </c>
      <c r="E219" s="2" t="s">
        <v>1</v>
      </c>
      <c r="F219" s="205">
        <v>61</v>
      </c>
      <c r="G219" s="46" t="str">
        <f t="shared" si="5"/>
        <v>No</v>
      </c>
    </row>
    <row r="220" spans="1:12">
      <c r="A220" s="13">
        <f t="shared" si="4"/>
        <v>216</v>
      </c>
      <c r="B220" s="189" t="s">
        <v>380</v>
      </c>
      <c r="C220" s="56">
        <v>2009</v>
      </c>
      <c r="D220" s="186">
        <v>126.1</v>
      </c>
      <c r="E220" s="2" t="s">
        <v>1</v>
      </c>
      <c r="F220" s="205">
        <v>1008</v>
      </c>
      <c r="G220" s="46" t="str">
        <f t="shared" si="5"/>
        <v>No</v>
      </c>
      <c r="K220" s="26"/>
    </row>
    <row r="221" spans="1:12">
      <c r="A221" s="13">
        <f t="shared" si="4"/>
        <v>217</v>
      </c>
      <c r="B221" s="190" t="s">
        <v>369</v>
      </c>
      <c r="C221" s="56">
        <v>2009</v>
      </c>
      <c r="D221" s="186">
        <v>9.9</v>
      </c>
      <c r="E221" s="2" t="s">
        <v>1</v>
      </c>
      <c r="F221" s="205">
        <v>73</v>
      </c>
      <c r="G221" s="46" t="str">
        <f t="shared" si="5"/>
        <v>No</v>
      </c>
      <c r="K221" s="26"/>
    </row>
    <row r="222" spans="1:12">
      <c r="A222" s="13">
        <f t="shared" si="4"/>
        <v>218</v>
      </c>
      <c r="B222" s="192" t="s">
        <v>354</v>
      </c>
      <c r="C222" s="56">
        <v>2009</v>
      </c>
      <c r="D222" s="187">
        <v>3.26</v>
      </c>
      <c r="E222" s="2" t="s">
        <v>1</v>
      </c>
      <c r="F222" s="205">
        <v>27.28</v>
      </c>
      <c r="G222" s="46" t="str">
        <f t="shared" si="5"/>
        <v>No</v>
      </c>
      <c r="K222" s="26"/>
    </row>
    <row r="223" spans="1:12">
      <c r="A223" s="13">
        <f t="shared" si="4"/>
        <v>219</v>
      </c>
      <c r="B223" s="207" t="s">
        <v>432</v>
      </c>
      <c r="C223" s="22">
        <v>2009</v>
      </c>
      <c r="D223" s="186">
        <v>9.8000000000000007</v>
      </c>
      <c r="E223" s="2" t="s">
        <v>1</v>
      </c>
      <c r="F223" s="205">
        <v>70</v>
      </c>
      <c r="G223" s="46" t="str">
        <f t="shared" si="5"/>
        <v>No</v>
      </c>
    </row>
    <row r="224" spans="1:12">
      <c r="A224" s="13">
        <f t="shared" si="4"/>
        <v>220</v>
      </c>
      <c r="B224" s="195" t="s">
        <v>370</v>
      </c>
      <c r="C224" s="56">
        <v>2009</v>
      </c>
      <c r="D224" s="186">
        <v>11.747999999999999</v>
      </c>
      <c r="E224" s="2" t="s">
        <v>1</v>
      </c>
      <c r="F224" s="205">
        <v>88</v>
      </c>
      <c r="G224" s="46" t="str">
        <f t="shared" si="5"/>
        <v>No</v>
      </c>
    </row>
    <row r="225" spans="1:13">
      <c r="A225" s="13">
        <f t="shared" si="4"/>
        <v>221</v>
      </c>
      <c r="B225" s="195" t="s">
        <v>372</v>
      </c>
      <c r="C225" s="56">
        <v>2009</v>
      </c>
      <c r="D225" s="186">
        <v>62.9</v>
      </c>
      <c r="E225" s="2" t="s">
        <v>1</v>
      </c>
      <c r="F225" s="205">
        <v>498.07</v>
      </c>
      <c r="G225" s="46" t="str">
        <f t="shared" si="5"/>
        <v>No</v>
      </c>
      <c r="L225" s="26"/>
    </row>
    <row r="226" spans="1:13">
      <c r="A226" s="13">
        <f t="shared" si="4"/>
        <v>222</v>
      </c>
      <c r="B226" s="195" t="s">
        <v>371</v>
      </c>
      <c r="C226" s="56">
        <v>2009</v>
      </c>
      <c r="D226" s="186">
        <v>44.784000000000006</v>
      </c>
      <c r="E226" s="2" t="s">
        <v>13</v>
      </c>
      <c r="F226" s="205">
        <v>315</v>
      </c>
      <c r="G226" s="46" t="str">
        <f t="shared" si="5"/>
        <v>No</v>
      </c>
      <c r="L226" s="26"/>
    </row>
    <row r="227" spans="1:13">
      <c r="A227" s="13">
        <f t="shared" si="4"/>
        <v>223</v>
      </c>
      <c r="B227" s="196" t="s">
        <v>381</v>
      </c>
      <c r="C227" s="56">
        <v>2009</v>
      </c>
      <c r="D227" s="197">
        <v>1.98</v>
      </c>
      <c r="E227" s="2" t="s">
        <v>39</v>
      </c>
      <c r="F227" s="206">
        <v>10</v>
      </c>
      <c r="G227" s="46" t="str">
        <f t="shared" si="5"/>
        <v>No</v>
      </c>
      <c r="L227" s="26"/>
    </row>
    <row r="228" spans="1:13">
      <c r="A228" s="13">
        <f t="shared" si="4"/>
        <v>224</v>
      </c>
      <c r="B228" s="199" t="s">
        <v>382</v>
      </c>
      <c r="C228" s="56">
        <v>2009</v>
      </c>
      <c r="D228" s="197">
        <v>6</v>
      </c>
      <c r="E228" s="2" t="s">
        <v>39</v>
      </c>
      <c r="F228" s="206">
        <v>24</v>
      </c>
      <c r="G228" s="46" t="str">
        <f t="shared" si="5"/>
        <v>No</v>
      </c>
      <c r="L228" s="26"/>
    </row>
    <row r="229" spans="1:13">
      <c r="A229" s="13">
        <f t="shared" si="4"/>
        <v>225</v>
      </c>
      <c r="B229" s="199" t="s">
        <v>383</v>
      </c>
      <c r="C229" s="56">
        <v>2009</v>
      </c>
      <c r="D229" s="197">
        <v>9.8569999999999993</v>
      </c>
      <c r="E229" s="2" t="s">
        <v>39</v>
      </c>
      <c r="F229" s="206">
        <v>32.96</v>
      </c>
      <c r="G229" s="46" t="str">
        <f t="shared" si="5"/>
        <v>No</v>
      </c>
    </row>
    <row r="230" spans="1:13">
      <c r="A230" s="13">
        <f t="shared" si="4"/>
        <v>226</v>
      </c>
      <c r="B230" s="199" t="s">
        <v>239</v>
      </c>
      <c r="C230" s="56">
        <v>2009</v>
      </c>
      <c r="D230" s="197">
        <v>12.85</v>
      </c>
      <c r="E230" s="2" t="s">
        <v>39</v>
      </c>
      <c r="F230" s="206">
        <v>35.28</v>
      </c>
      <c r="G230" s="46" t="str">
        <f t="shared" si="5"/>
        <v>No</v>
      </c>
    </row>
    <row r="231" spans="1:13">
      <c r="A231" s="13">
        <f t="shared" si="4"/>
        <v>227</v>
      </c>
      <c r="B231" s="199" t="s">
        <v>383</v>
      </c>
      <c r="C231" s="56">
        <v>2009</v>
      </c>
      <c r="D231" s="197">
        <v>19.713999999999999</v>
      </c>
      <c r="E231" s="2" t="s">
        <v>39</v>
      </c>
      <c r="F231" s="206">
        <v>66.040000000000006</v>
      </c>
      <c r="G231" s="46" t="str">
        <f t="shared" si="5"/>
        <v>No</v>
      </c>
      <c r="K231" s="26"/>
    </row>
    <row r="232" spans="1:13">
      <c r="A232" s="13">
        <f t="shared" si="4"/>
        <v>228</v>
      </c>
      <c r="B232" s="199" t="s">
        <v>384</v>
      </c>
      <c r="C232" s="56">
        <v>2009</v>
      </c>
      <c r="D232" s="197">
        <v>4.76</v>
      </c>
      <c r="E232" s="2" t="s">
        <v>39</v>
      </c>
      <c r="F232" s="206">
        <v>13</v>
      </c>
      <c r="G232" s="46" t="str">
        <f t="shared" si="5"/>
        <v>No</v>
      </c>
      <c r="K232" s="26"/>
    </row>
    <row r="233" spans="1:13">
      <c r="A233" s="13">
        <f t="shared" si="4"/>
        <v>229</v>
      </c>
      <c r="B233" s="199" t="s">
        <v>385</v>
      </c>
      <c r="C233" s="56">
        <v>2009</v>
      </c>
      <c r="D233" s="197">
        <v>5.88</v>
      </c>
      <c r="E233" s="2" t="s">
        <v>39</v>
      </c>
      <c r="F233" s="206">
        <v>23</v>
      </c>
      <c r="G233" s="46" t="str">
        <f t="shared" si="5"/>
        <v>No</v>
      </c>
    </row>
    <row r="234" spans="1:13">
      <c r="A234" s="13">
        <f t="shared" si="4"/>
        <v>230</v>
      </c>
      <c r="B234" s="199" t="s">
        <v>386</v>
      </c>
      <c r="C234" s="56">
        <v>2009</v>
      </c>
      <c r="D234" s="197">
        <v>1.8</v>
      </c>
      <c r="E234" s="2" t="s">
        <v>39</v>
      </c>
      <c r="F234" s="206">
        <v>8</v>
      </c>
      <c r="G234" s="46" t="str">
        <f t="shared" si="5"/>
        <v>No</v>
      </c>
    </row>
    <row r="235" spans="1:13">
      <c r="A235" s="13">
        <f t="shared" si="4"/>
        <v>231</v>
      </c>
      <c r="B235" s="200" t="s">
        <v>387</v>
      </c>
      <c r="C235" s="56">
        <v>2009</v>
      </c>
      <c r="D235" s="197">
        <v>35.673999999999999</v>
      </c>
      <c r="E235" s="2" t="s">
        <v>39</v>
      </c>
      <c r="F235" s="206">
        <v>150</v>
      </c>
      <c r="G235" s="46" t="str">
        <f t="shared" si="5"/>
        <v>No</v>
      </c>
      <c r="K235" s="26"/>
    </row>
    <row r="236" spans="1:13">
      <c r="A236" s="13">
        <f t="shared" si="4"/>
        <v>232</v>
      </c>
      <c r="B236" s="200" t="s">
        <v>388</v>
      </c>
      <c r="C236" s="56">
        <v>2009</v>
      </c>
      <c r="D236" s="197">
        <v>5.7140000000000004</v>
      </c>
      <c r="E236" s="2" t="s">
        <v>39</v>
      </c>
      <c r="F236" s="206">
        <v>36</v>
      </c>
      <c r="G236" s="46" t="str">
        <f t="shared" si="5"/>
        <v>No</v>
      </c>
      <c r="M236" s="26"/>
    </row>
    <row r="237" spans="1:13">
      <c r="A237" s="13">
        <f t="shared" si="4"/>
        <v>233</v>
      </c>
      <c r="B237" s="200" t="s">
        <v>389</v>
      </c>
      <c r="C237" s="56">
        <v>2009</v>
      </c>
      <c r="D237" s="197">
        <v>1.05</v>
      </c>
      <c r="E237" s="2" t="s">
        <v>39</v>
      </c>
      <c r="F237" s="206">
        <v>0</v>
      </c>
      <c r="G237" s="46" t="str">
        <f t="shared" si="5"/>
        <v/>
      </c>
      <c r="H237" s="12" t="s">
        <v>635</v>
      </c>
      <c r="K237" s="26"/>
    </row>
    <row r="238" spans="1:13">
      <c r="A238" s="13">
        <f t="shared" si="4"/>
        <v>234</v>
      </c>
      <c r="B238" s="201" t="s">
        <v>390</v>
      </c>
      <c r="C238" s="56">
        <v>2009</v>
      </c>
      <c r="D238" s="197">
        <v>42</v>
      </c>
      <c r="E238" s="2" t="s">
        <v>39</v>
      </c>
      <c r="F238" s="206">
        <v>329</v>
      </c>
      <c r="G238" s="46" t="str">
        <f t="shared" si="5"/>
        <v>No</v>
      </c>
      <c r="K238" s="26"/>
    </row>
    <row r="239" spans="1:13">
      <c r="A239" s="13">
        <f t="shared" si="4"/>
        <v>235</v>
      </c>
      <c r="B239" s="201" t="s">
        <v>391</v>
      </c>
      <c r="C239" s="56">
        <v>2009</v>
      </c>
      <c r="D239" s="197">
        <v>15.65</v>
      </c>
      <c r="E239" s="2" t="s">
        <v>39</v>
      </c>
      <c r="F239" s="206">
        <v>52.17</v>
      </c>
      <c r="G239" s="46" t="str">
        <f t="shared" si="5"/>
        <v>No</v>
      </c>
      <c r="K239" s="26"/>
    </row>
    <row r="240" spans="1:13">
      <c r="A240" s="13">
        <f t="shared" si="4"/>
        <v>236</v>
      </c>
      <c r="B240" s="201" t="s">
        <v>392</v>
      </c>
      <c r="C240" s="56">
        <v>2009</v>
      </c>
      <c r="D240" s="197">
        <v>19.146000000000001</v>
      </c>
      <c r="E240" s="2" t="s">
        <v>132</v>
      </c>
      <c r="F240" s="206">
        <v>58</v>
      </c>
      <c r="G240" s="46" t="str">
        <f t="shared" si="5"/>
        <v>No</v>
      </c>
      <c r="J240" s="26"/>
    </row>
    <row r="241" spans="1:11">
      <c r="A241" s="13">
        <f t="shared" si="4"/>
        <v>237</v>
      </c>
      <c r="B241" s="201" t="s">
        <v>393</v>
      </c>
      <c r="C241" s="56">
        <v>2009</v>
      </c>
      <c r="D241" s="197">
        <v>4.4000000000000004</v>
      </c>
      <c r="E241" s="2" t="s">
        <v>39</v>
      </c>
      <c r="F241" s="206">
        <v>15</v>
      </c>
      <c r="G241" s="46" t="str">
        <f t="shared" si="5"/>
        <v>No</v>
      </c>
      <c r="J241" s="26"/>
    </row>
    <row r="242" spans="1:11">
      <c r="A242" s="13">
        <f t="shared" si="4"/>
        <v>238</v>
      </c>
      <c r="B242" s="202" t="s">
        <v>394</v>
      </c>
      <c r="C242" s="56">
        <v>2009</v>
      </c>
      <c r="D242" s="197">
        <v>5.8</v>
      </c>
      <c r="E242" s="2" t="s">
        <v>39</v>
      </c>
      <c r="F242" s="206">
        <v>39</v>
      </c>
      <c r="G242" s="46" t="str">
        <f t="shared" si="5"/>
        <v>No</v>
      </c>
      <c r="J242" s="26"/>
    </row>
    <row r="243" spans="1:11">
      <c r="A243" s="13">
        <f t="shared" si="4"/>
        <v>239</v>
      </c>
      <c r="B243" s="202" t="s">
        <v>395</v>
      </c>
      <c r="C243" s="56">
        <v>2009</v>
      </c>
      <c r="D243" s="197">
        <v>10.199999999999999</v>
      </c>
      <c r="E243" s="2" t="s">
        <v>39</v>
      </c>
      <c r="F243" s="206">
        <v>37</v>
      </c>
      <c r="G243" s="46" t="str">
        <f t="shared" si="5"/>
        <v>No</v>
      </c>
    </row>
    <row r="244" spans="1:11">
      <c r="A244" s="13">
        <f t="shared" si="4"/>
        <v>240</v>
      </c>
      <c r="B244" s="202" t="s">
        <v>396</v>
      </c>
      <c r="C244" s="56">
        <v>2009</v>
      </c>
      <c r="D244" s="197">
        <v>212.4</v>
      </c>
      <c r="E244" s="2" t="s">
        <v>132</v>
      </c>
      <c r="F244" s="206">
        <v>473</v>
      </c>
      <c r="G244" s="46" t="str">
        <f t="shared" ref="G244:G307" si="6">IF(F244&lt;&gt;0,"No","")</f>
        <v>No</v>
      </c>
      <c r="I244" s="26"/>
    </row>
    <row r="245" spans="1:11">
      <c r="A245" s="13">
        <f t="shared" si="4"/>
        <v>241</v>
      </c>
      <c r="B245" s="202" t="s">
        <v>397</v>
      </c>
      <c r="C245" s="56">
        <v>2009</v>
      </c>
      <c r="D245" s="197">
        <v>16.158000000000001</v>
      </c>
      <c r="E245" s="2" t="s">
        <v>39</v>
      </c>
      <c r="F245" s="206">
        <v>60</v>
      </c>
      <c r="G245" s="46" t="str">
        <f t="shared" si="6"/>
        <v>No</v>
      </c>
      <c r="I245" s="26"/>
    </row>
    <row r="246" spans="1:11">
      <c r="A246" s="13">
        <f t="shared" si="4"/>
        <v>242</v>
      </c>
      <c r="B246" s="202" t="s">
        <v>398</v>
      </c>
      <c r="C246" s="56">
        <v>2009</v>
      </c>
      <c r="D246" s="197">
        <v>8.3000000000000007</v>
      </c>
      <c r="E246" s="2" t="s">
        <v>39</v>
      </c>
      <c r="F246" s="206">
        <v>0</v>
      </c>
      <c r="G246" s="46" t="str">
        <f t="shared" si="6"/>
        <v/>
      </c>
      <c r="H246" s="12" t="s">
        <v>451</v>
      </c>
      <c r="I246" s="26"/>
    </row>
    <row r="247" spans="1:11">
      <c r="A247" s="13">
        <f t="shared" si="4"/>
        <v>243</v>
      </c>
      <c r="B247" s="202" t="s">
        <v>399</v>
      </c>
      <c r="C247" s="56">
        <v>2009</v>
      </c>
      <c r="D247" s="197">
        <v>28.78</v>
      </c>
      <c r="E247" s="2" t="s">
        <v>39</v>
      </c>
      <c r="F247" s="206">
        <v>95</v>
      </c>
      <c r="G247" s="46" t="str">
        <f t="shared" si="6"/>
        <v>No</v>
      </c>
    </row>
    <row r="248" spans="1:11">
      <c r="A248" s="13">
        <f t="shared" si="4"/>
        <v>244</v>
      </c>
      <c r="B248" s="202" t="s">
        <v>400</v>
      </c>
      <c r="C248" s="56">
        <v>2009</v>
      </c>
      <c r="D248" s="197">
        <v>5.0999999999999996</v>
      </c>
      <c r="E248" s="2" t="s">
        <v>39</v>
      </c>
      <c r="F248" s="206">
        <v>20</v>
      </c>
      <c r="G248" s="46" t="str">
        <f t="shared" si="6"/>
        <v>No</v>
      </c>
      <c r="K248" s="26"/>
    </row>
    <row r="249" spans="1:11">
      <c r="A249" s="13">
        <f t="shared" si="4"/>
        <v>245</v>
      </c>
      <c r="B249" s="202" t="s">
        <v>401</v>
      </c>
      <c r="C249" s="56">
        <v>2009</v>
      </c>
      <c r="D249" s="197">
        <v>14.43</v>
      </c>
      <c r="E249" s="2" t="s">
        <v>39</v>
      </c>
      <c r="F249" s="206">
        <v>0</v>
      </c>
      <c r="G249" s="46" t="str">
        <f t="shared" si="6"/>
        <v/>
      </c>
      <c r="H249" s="12" t="s">
        <v>452</v>
      </c>
      <c r="J249" s="26"/>
    </row>
    <row r="250" spans="1:11">
      <c r="A250" s="13">
        <f t="shared" si="4"/>
        <v>246</v>
      </c>
      <c r="B250" s="200" t="s">
        <v>402</v>
      </c>
      <c r="C250" s="56">
        <v>2009</v>
      </c>
      <c r="D250" s="197">
        <v>4.24</v>
      </c>
      <c r="E250" s="2" t="s">
        <v>39</v>
      </c>
      <c r="F250" s="206">
        <v>16.5</v>
      </c>
      <c r="G250" s="46" t="str">
        <f t="shared" si="6"/>
        <v>No</v>
      </c>
      <c r="J250" s="26"/>
    </row>
    <row r="251" spans="1:11">
      <c r="A251" s="13">
        <f t="shared" si="4"/>
        <v>247</v>
      </c>
      <c r="B251" s="200" t="s">
        <v>403</v>
      </c>
      <c r="C251" s="56">
        <v>2009</v>
      </c>
      <c r="D251" s="197">
        <v>1.109</v>
      </c>
      <c r="E251" s="2" t="s">
        <v>39</v>
      </c>
      <c r="F251" s="206">
        <v>6</v>
      </c>
      <c r="G251" s="46" t="str">
        <f t="shared" si="6"/>
        <v>No</v>
      </c>
      <c r="J251" s="26"/>
    </row>
    <row r="252" spans="1:11">
      <c r="A252" s="13">
        <f t="shared" si="4"/>
        <v>248</v>
      </c>
      <c r="B252" s="200" t="s">
        <v>404</v>
      </c>
      <c r="C252" s="56">
        <v>2009</v>
      </c>
      <c r="D252" s="197">
        <v>48.5</v>
      </c>
      <c r="E252" s="2" t="s">
        <v>39</v>
      </c>
      <c r="F252" s="206">
        <v>0</v>
      </c>
      <c r="G252" s="46" t="str">
        <f t="shared" si="6"/>
        <v/>
      </c>
      <c r="H252" s="12" t="s">
        <v>453</v>
      </c>
      <c r="J252" s="26"/>
    </row>
    <row r="253" spans="1:11">
      <c r="A253" s="13">
        <f t="shared" si="4"/>
        <v>249</v>
      </c>
      <c r="B253" s="200" t="s">
        <v>402</v>
      </c>
      <c r="C253" s="56">
        <v>2009</v>
      </c>
      <c r="D253" s="197">
        <v>4.24</v>
      </c>
      <c r="E253" s="2" t="s">
        <v>39</v>
      </c>
      <c r="F253" s="206">
        <v>16.5</v>
      </c>
      <c r="G253" s="46" t="str">
        <f t="shared" si="6"/>
        <v>No</v>
      </c>
      <c r="J253" s="26"/>
    </row>
    <row r="254" spans="1:11">
      <c r="A254" s="13">
        <f t="shared" si="4"/>
        <v>250</v>
      </c>
      <c r="B254" s="200" t="s">
        <v>405</v>
      </c>
      <c r="C254" s="56">
        <v>2009</v>
      </c>
      <c r="D254" s="197">
        <v>30.09</v>
      </c>
      <c r="E254" s="2" t="s">
        <v>39</v>
      </c>
      <c r="F254" s="206">
        <v>138</v>
      </c>
      <c r="G254" s="46" t="str">
        <f t="shared" si="6"/>
        <v>No</v>
      </c>
      <c r="J254" s="26"/>
    </row>
    <row r="255" spans="1:11">
      <c r="A255" s="13">
        <f t="shared" si="4"/>
        <v>251</v>
      </c>
      <c r="B255" s="201" t="s">
        <v>426</v>
      </c>
      <c r="C255" s="56">
        <v>2009</v>
      </c>
      <c r="D255" s="197">
        <v>6.5140000000000002</v>
      </c>
      <c r="E255" s="2" t="s">
        <v>39</v>
      </c>
      <c r="F255" s="206">
        <v>26</v>
      </c>
      <c r="G255" s="46" t="str">
        <f t="shared" si="6"/>
        <v>No</v>
      </c>
      <c r="H255" s="26"/>
    </row>
    <row r="256" spans="1:11">
      <c r="A256" s="13">
        <f t="shared" si="4"/>
        <v>252</v>
      </c>
      <c r="B256" s="200" t="s">
        <v>406</v>
      </c>
      <c r="C256" s="56">
        <v>2009</v>
      </c>
      <c r="D256" s="197">
        <v>22.3</v>
      </c>
      <c r="E256" s="2" t="s">
        <v>39</v>
      </c>
      <c r="F256" s="206">
        <v>0</v>
      </c>
      <c r="G256" s="46" t="str">
        <f t="shared" si="6"/>
        <v/>
      </c>
      <c r="H256" s="26" t="s">
        <v>454</v>
      </c>
    </row>
    <row r="257" spans="1:20">
      <c r="A257" s="13">
        <f t="shared" si="4"/>
        <v>253</v>
      </c>
      <c r="B257" s="200" t="s">
        <v>407</v>
      </c>
      <c r="C257" s="56">
        <v>2009</v>
      </c>
      <c r="D257" s="197">
        <v>2.4500000000000002</v>
      </c>
      <c r="E257" s="2" t="s">
        <v>39</v>
      </c>
      <c r="F257" s="206">
        <v>10</v>
      </c>
      <c r="G257" s="46" t="str">
        <f t="shared" si="6"/>
        <v>No</v>
      </c>
      <c r="J257" s="26"/>
    </row>
    <row r="258" spans="1:20">
      <c r="A258" s="13">
        <f t="shared" si="4"/>
        <v>254</v>
      </c>
      <c r="B258" s="200" t="s">
        <v>408</v>
      </c>
      <c r="C258" s="56">
        <v>2009</v>
      </c>
      <c r="D258" s="197">
        <v>27.33</v>
      </c>
      <c r="E258" s="2" t="s">
        <v>132</v>
      </c>
      <c r="F258" s="206">
        <v>105</v>
      </c>
      <c r="G258" s="46" t="str">
        <f t="shared" si="6"/>
        <v>No</v>
      </c>
      <c r="I258" s="26"/>
      <c r="J258" s="26"/>
    </row>
    <row r="259" spans="1:20">
      <c r="A259" s="13">
        <f t="shared" si="4"/>
        <v>255</v>
      </c>
      <c r="B259" s="200" t="s">
        <v>409</v>
      </c>
      <c r="C259" s="56">
        <v>2009</v>
      </c>
      <c r="D259" s="197">
        <v>14</v>
      </c>
      <c r="E259" s="2" t="s">
        <v>39</v>
      </c>
      <c r="F259" s="206">
        <v>56</v>
      </c>
      <c r="G259" s="46" t="str">
        <f t="shared" si="6"/>
        <v>No</v>
      </c>
      <c r="J259" s="298" t="s">
        <v>675</v>
      </c>
      <c r="K259" s="298"/>
    </row>
    <row r="260" spans="1:20" ht="13.2">
      <c r="A260" s="13">
        <f t="shared" si="4"/>
        <v>256</v>
      </c>
      <c r="B260" s="200" t="s">
        <v>407</v>
      </c>
      <c r="C260" s="56">
        <v>2009</v>
      </c>
      <c r="D260" s="197">
        <v>2.4500000000000002</v>
      </c>
      <c r="E260" s="2" t="s">
        <v>39</v>
      </c>
      <c r="F260" s="206">
        <v>10</v>
      </c>
      <c r="G260" s="46" t="str">
        <f t="shared" si="6"/>
        <v>No</v>
      </c>
      <c r="J260" s="29" t="s">
        <v>179</v>
      </c>
      <c r="K260" s="30"/>
      <c r="L260" s="30"/>
      <c r="Q260" s="26"/>
    </row>
    <row r="261" spans="1:20" ht="39.6">
      <c r="A261" s="13">
        <f t="shared" si="4"/>
        <v>257</v>
      </c>
      <c r="B261" s="200" t="s">
        <v>410</v>
      </c>
      <c r="C261" s="56">
        <v>2009</v>
      </c>
      <c r="D261" s="197">
        <v>24.407000000000004</v>
      </c>
      <c r="E261" s="2" t="s">
        <v>39</v>
      </c>
      <c r="F261" s="206">
        <v>0</v>
      </c>
      <c r="G261" s="46" t="str">
        <f t="shared" si="6"/>
        <v/>
      </c>
      <c r="H261" s="26" t="s">
        <v>455</v>
      </c>
      <c r="J261" s="31" t="s">
        <v>181</v>
      </c>
      <c r="K261" s="32">
        <v>2008</v>
      </c>
      <c r="L261" s="32">
        <v>2009</v>
      </c>
      <c r="M261" s="32">
        <v>2010</v>
      </c>
      <c r="N261" s="32" t="s">
        <v>184</v>
      </c>
      <c r="O261" s="32" t="s">
        <v>182</v>
      </c>
      <c r="P261" s="32" t="s">
        <v>185</v>
      </c>
      <c r="Q261" s="32" t="s">
        <v>183</v>
      </c>
    </row>
    <row r="262" spans="1:20" ht="13.2">
      <c r="A262" s="13">
        <f t="shared" si="4"/>
        <v>258</v>
      </c>
      <c r="B262" s="200" t="s">
        <v>411</v>
      </c>
      <c r="C262" s="56">
        <v>2009</v>
      </c>
      <c r="D262" s="197">
        <v>36</v>
      </c>
      <c r="E262" s="198" t="s">
        <v>18</v>
      </c>
      <c r="F262" s="206">
        <v>0</v>
      </c>
      <c r="G262" s="46" t="str">
        <f t="shared" si="6"/>
        <v/>
      </c>
      <c r="H262" s="26" t="s">
        <v>442</v>
      </c>
      <c r="J262" s="33" t="s">
        <v>1</v>
      </c>
      <c r="K262" s="34">
        <f>SUM(F165:F171)+F174+F175+F176+F178+F180+F181</f>
        <v>1049.9584777949362</v>
      </c>
      <c r="L262" s="34">
        <f>F189+F191+F192+SUM(F194:F197)+F199+SUM(F201:F202)+SUM(F204:F208)+F210+SUM(F213:F214)+F216+SUM(F218:F225)+F200</f>
        <v>10164.300000000001</v>
      </c>
      <c r="M262" s="34">
        <f>F288+F289+F291+F293+SUM(F295:F298)+SUM(F300:F303)+F305+F306+SUM(F308:F315)+F317+F318+F319+F322+F323+F325+F326+F327+F328+F329+F330+F331+F333</f>
        <v>12864.360000000002</v>
      </c>
      <c r="N262" s="34">
        <f t="shared" ref="N262:N267" si="7">SUM(K262:M262)</f>
        <v>24078.618477794938</v>
      </c>
      <c r="O262" s="34">
        <v>54.3</v>
      </c>
      <c r="P262" s="50">
        <v>0.6</v>
      </c>
      <c r="Q262" s="34">
        <f>N262*3.6*O262/P262/1000</f>
        <v>7844.813900065592</v>
      </c>
    </row>
    <row r="263" spans="1:20" ht="13.2">
      <c r="A263" s="13">
        <f t="shared" ref="A263:A326" si="8">A262+1</f>
        <v>259</v>
      </c>
      <c r="B263" s="200" t="s">
        <v>253</v>
      </c>
      <c r="C263" s="56">
        <v>2009</v>
      </c>
      <c r="D263" s="203">
        <v>8.9</v>
      </c>
      <c r="E263" s="198" t="s">
        <v>18</v>
      </c>
      <c r="F263" s="206">
        <v>0</v>
      </c>
      <c r="G263" s="46" t="str">
        <f t="shared" si="6"/>
        <v/>
      </c>
      <c r="H263" s="26" t="s">
        <v>443</v>
      </c>
      <c r="J263" s="33" t="s">
        <v>0</v>
      </c>
      <c r="K263" s="34">
        <v>0</v>
      </c>
      <c r="L263" s="34">
        <v>0</v>
      </c>
      <c r="M263" s="34">
        <f>F294+F287</f>
        <v>184</v>
      </c>
      <c r="N263" s="34">
        <f t="shared" si="7"/>
        <v>184</v>
      </c>
      <c r="O263" s="34">
        <v>90.9</v>
      </c>
      <c r="P263" s="50">
        <v>0.38</v>
      </c>
      <c r="Q263" s="34">
        <f>N263*3.6*O263/P263/1000</f>
        <v>158.45305263157897</v>
      </c>
    </row>
    <row r="264" spans="1:20" ht="13.2">
      <c r="A264" s="13">
        <f t="shared" si="8"/>
        <v>260</v>
      </c>
      <c r="B264" s="198" t="s">
        <v>412</v>
      </c>
      <c r="C264" s="56">
        <v>2009</v>
      </c>
      <c r="D264" s="197">
        <v>16.8</v>
      </c>
      <c r="E264" s="198" t="s">
        <v>18</v>
      </c>
      <c r="F264" s="206">
        <v>0</v>
      </c>
      <c r="G264" s="46" t="str">
        <f t="shared" si="6"/>
        <v/>
      </c>
      <c r="H264" s="26" t="s">
        <v>456</v>
      </c>
      <c r="J264" s="33" t="s">
        <v>12</v>
      </c>
      <c r="K264" s="34">
        <v>0</v>
      </c>
      <c r="L264" s="34">
        <f>F212+F217</f>
        <v>1923.34</v>
      </c>
      <c r="M264" s="34">
        <f>F307+F320+F321</f>
        <v>9080</v>
      </c>
      <c r="N264" s="34">
        <f t="shared" si="7"/>
        <v>11003.34</v>
      </c>
      <c r="O264" s="34">
        <v>89.5</v>
      </c>
      <c r="P264" s="50">
        <v>0.41499999999999998</v>
      </c>
      <c r="Q264" s="34">
        <f>N264*3.6*O264/P264/1000</f>
        <v>8542.8340915662666</v>
      </c>
    </row>
    <row r="265" spans="1:20" ht="13.2">
      <c r="A265" s="13">
        <f t="shared" si="8"/>
        <v>261</v>
      </c>
      <c r="B265" s="198" t="s">
        <v>427</v>
      </c>
      <c r="C265" s="56">
        <v>2009</v>
      </c>
      <c r="D265" s="197">
        <v>14.7</v>
      </c>
      <c r="E265" s="198" t="s">
        <v>18</v>
      </c>
      <c r="F265" s="206">
        <v>0</v>
      </c>
      <c r="G265" s="46" t="str">
        <f t="shared" si="6"/>
        <v/>
      </c>
      <c r="H265" s="26" t="s">
        <v>456</v>
      </c>
      <c r="I265" s="26"/>
      <c r="J265" s="33" t="s">
        <v>13</v>
      </c>
      <c r="K265" s="34">
        <f>F173</f>
        <v>103.17626527050611</v>
      </c>
      <c r="L265" s="34">
        <f>F226+F203</f>
        <v>1260</v>
      </c>
      <c r="M265" s="34">
        <f>F332</f>
        <v>0</v>
      </c>
      <c r="N265" s="34">
        <f t="shared" si="7"/>
        <v>1363.1762652705061</v>
      </c>
      <c r="O265" s="34">
        <v>72.599999999999994</v>
      </c>
      <c r="P265" s="51">
        <v>0.46</v>
      </c>
      <c r="Q265" s="34">
        <f>N265*3.6*O265/P265/1000</f>
        <v>774.52119280673799</v>
      </c>
    </row>
    <row r="266" spans="1:20" ht="13.2">
      <c r="A266" s="13">
        <f t="shared" si="8"/>
        <v>262</v>
      </c>
      <c r="B266" s="198" t="s">
        <v>428</v>
      </c>
      <c r="C266" s="56">
        <v>2009</v>
      </c>
      <c r="D266" s="197">
        <v>11.8</v>
      </c>
      <c r="E266" s="198" t="s">
        <v>18</v>
      </c>
      <c r="F266" s="206">
        <v>0</v>
      </c>
      <c r="G266" s="46" t="str">
        <f t="shared" si="6"/>
        <v/>
      </c>
      <c r="H266" s="12" t="s">
        <v>442</v>
      </c>
      <c r="J266" s="33" t="s">
        <v>6</v>
      </c>
      <c r="K266" s="34">
        <v>0</v>
      </c>
      <c r="L266" s="34">
        <f>SUM(F227:F261)</f>
        <v>1960.4499999999998</v>
      </c>
      <c r="M266" s="34">
        <f>SUM(F337:F399)</f>
        <v>3336.79</v>
      </c>
      <c r="N266" s="34">
        <f t="shared" si="7"/>
        <v>5297.24</v>
      </c>
      <c r="O266" s="34">
        <v>0</v>
      </c>
      <c r="P266" s="51">
        <v>0</v>
      </c>
      <c r="Q266" s="34">
        <v>0</v>
      </c>
    </row>
    <row r="267" spans="1:20" ht="13.2">
      <c r="A267" s="13">
        <f t="shared" si="8"/>
        <v>263</v>
      </c>
      <c r="B267" s="198" t="s">
        <v>413</v>
      </c>
      <c r="C267" s="56">
        <v>2009</v>
      </c>
      <c r="D267" s="203">
        <v>20.8</v>
      </c>
      <c r="E267" s="198" t="s">
        <v>18</v>
      </c>
      <c r="F267" s="206">
        <v>0</v>
      </c>
      <c r="G267" s="46" t="str">
        <f t="shared" si="6"/>
        <v/>
      </c>
      <c r="H267" s="12" t="s">
        <v>457</v>
      </c>
      <c r="J267" s="33" t="s">
        <v>180</v>
      </c>
      <c r="K267" s="34">
        <f>F179</f>
        <v>50</v>
      </c>
      <c r="L267" s="34">
        <f>F198+F209</f>
        <v>313</v>
      </c>
      <c r="M267" s="34">
        <f>F290+F292+F299+F316+F324+F334+F335+SUM(F400:F418)</f>
        <v>2.4</v>
      </c>
      <c r="N267" s="34">
        <f t="shared" si="7"/>
        <v>365.4</v>
      </c>
      <c r="O267" s="34">
        <v>0</v>
      </c>
      <c r="P267" s="51">
        <v>0</v>
      </c>
      <c r="Q267" s="34">
        <v>0</v>
      </c>
    </row>
    <row r="268" spans="1:20" ht="13.2">
      <c r="A268" s="13">
        <f t="shared" si="8"/>
        <v>264</v>
      </c>
      <c r="B268" s="198" t="s">
        <v>414</v>
      </c>
      <c r="C268" s="56">
        <v>2009</v>
      </c>
      <c r="D268" s="203">
        <v>18.899999999999999</v>
      </c>
      <c r="E268" s="198" t="s">
        <v>18</v>
      </c>
      <c r="F268" s="206">
        <v>0</v>
      </c>
      <c r="G268" s="46" t="str">
        <f t="shared" si="6"/>
        <v/>
      </c>
      <c r="H268" s="12" t="s">
        <v>458</v>
      </c>
      <c r="J268" s="29" t="s">
        <v>3</v>
      </c>
      <c r="K268" s="62">
        <f>SUM(K262:K267)</f>
        <v>1203.1347430654423</v>
      </c>
      <c r="L268" s="34">
        <f>SUM(L262:L267)</f>
        <v>15621.09</v>
      </c>
      <c r="M268" s="34">
        <f>SUM(M262:M267)</f>
        <v>25467.550000000003</v>
      </c>
      <c r="N268" s="212">
        <f>SUM(N262:N267)</f>
        <v>42291.774743065442</v>
      </c>
      <c r="O268" s="62"/>
      <c r="P268" s="62"/>
      <c r="Q268" s="62">
        <f>SUM(Q262:Q267)</f>
        <v>17320.622237070173</v>
      </c>
    </row>
    <row r="269" spans="1:20" ht="16.2">
      <c r="A269" s="13">
        <f t="shared" si="8"/>
        <v>265</v>
      </c>
      <c r="B269" s="198" t="s">
        <v>415</v>
      </c>
      <c r="C269" s="56">
        <v>2009</v>
      </c>
      <c r="D269" s="203">
        <v>17.5</v>
      </c>
      <c r="E269" s="198" t="s">
        <v>18</v>
      </c>
      <c r="F269" s="206">
        <v>0</v>
      </c>
      <c r="G269" s="46" t="str">
        <f t="shared" si="6"/>
        <v/>
      </c>
      <c r="H269" s="12" t="s">
        <v>459</v>
      </c>
      <c r="J269" s="35"/>
      <c r="K269" s="35"/>
      <c r="L269" s="35"/>
      <c r="M269" s="35"/>
      <c r="N269" s="47"/>
      <c r="O269" s="47" t="s">
        <v>207</v>
      </c>
      <c r="P269" s="295">
        <f>Q268/N268</f>
        <v>0.40955061220054911</v>
      </c>
      <c r="Q269" s="296"/>
      <c r="R269" s="296"/>
      <c r="S269" s="297"/>
    </row>
    <row r="270" spans="1:20">
      <c r="A270" s="13">
        <f t="shared" si="8"/>
        <v>266</v>
      </c>
      <c r="B270" s="198" t="s">
        <v>416</v>
      </c>
      <c r="C270" s="56">
        <v>2009</v>
      </c>
      <c r="D270" s="203">
        <v>15</v>
      </c>
      <c r="E270" s="198" t="s">
        <v>18</v>
      </c>
      <c r="F270" s="206">
        <v>0</v>
      </c>
      <c r="G270" s="46" t="str">
        <f t="shared" si="6"/>
        <v/>
      </c>
      <c r="H270" s="12" t="s">
        <v>460</v>
      </c>
      <c r="S270" s="37"/>
    </row>
    <row r="271" spans="1:20" ht="16.2">
      <c r="A271" s="13">
        <f t="shared" si="8"/>
        <v>267</v>
      </c>
      <c r="B271" s="198" t="s">
        <v>417</v>
      </c>
      <c r="C271" s="56">
        <v>2009</v>
      </c>
      <c r="D271" s="203">
        <v>15</v>
      </c>
      <c r="E271" s="198" t="s">
        <v>18</v>
      </c>
      <c r="F271" s="206">
        <v>0</v>
      </c>
      <c r="G271" s="46" t="str">
        <f t="shared" si="6"/>
        <v/>
      </c>
      <c r="H271" s="12" t="s">
        <v>461</v>
      </c>
      <c r="Q271" s="39" t="s">
        <v>186</v>
      </c>
      <c r="R271" s="175">
        <f>OM!B54*0.5+P269*0.5</f>
        <v>0.53132580291897979</v>
      </c>
      <c r="S271" s="12" t="s">
        <v>204</v>
      </c>
      <c r="T271" s="26"/>
    </row>
    <row r="272" spans="1:20">
      <c r="A272" s="13">
        <f t="shared" si="8"/>
        <v>268</v>
      </c>
      <c r="B272" s="200" t="s">
        <v>418</v>
      </c>
      <c r="C272" s="56">
        <v>2009</v>
      </c>
      <c r="D272" s="203">
        <v>18</v>
      </c>
      <c r="E272" s="198" t="s">
        <v>18</v>
      </c>
      <c r="F272" s="206">
        <v>0</v>
      </c>
      <c r="G272" s="46" t="str">
        <f t="shared" si="6"/>
        <v/>
      </c>
      <c r="H272" s="12" t="s">
        <v>462</v>
      </c>
      <c r="M272" s="17"/>
      <c r="N272" s="17"/>
      <c r="P272" s="17"/>
      <c r="Q272" s="48" t="s">
        <v>349</v>
      </c>
      <c r="R272" s="17"/>
    </row>
    <row r="273" spans="1:20">
      <c r="A273" s="13">
        <f t="shared" si="8"/>
        <v>269</v>
      </c>
      <c r="B273" s="198" t="s">
        <v>257</v>
      </c>
      <c r="C273" s="56">
        <v>2009</v>
      </c>
      <c r="D273" s="203">
        <v>3.6</v>
      </c>
      <c r="E273" s="198" t="s">
        <v>18</v>
      </c>
      <c r="F273" s="206">
        <v>0</v>
      </c>
      <c r="G273" s="46" t="str">
        <f t="shared" si="6"/>
        <v/>
      </c>
      <c r="H273" s="12" t="s">
        <v>446</v>
      </c>
      <c r="J273" s="49" t="s">
        <v>206</v>
      </c>
    </row>
    <row r="274" spans="1:20">
      <c r="A274" s="13">
        <f t="shared" si="8"/>
        <v>270</v>
      </c>
      <c r="B274" s="198" t="s">
        <v>419</v>
      </c>
      <c r="C274" s="56">
        <v>2009</v>
      </c>
      <c r="D274" s="203">
        <v>12.5</v>
      </c>
      <c r="E274" s="198" t="s">
        <v>18</v>
      </c>
      <c r="F274" s="206">
        <v>0</v>
      </c>
      <c r="G274" s="46" t="str">
        <f t="shared" si="6"/>
        <v/>
      </c>
      <c r="H274" s="12" t="s">
        <v>463</v>
      </c>
      <c r="J274" s="12" t="s">
        <v>201</v>
      </c>
      <c r="K274" s="12" t="s">
        <v>477</v>
      </c>
    </row>
    <row r="275" spans="1:20">
      <c r="A275" s="13">
        <f t="shared" si="8"/>
        <v>271</v>
      </c>
      <c r="B275" s="198" t="s">
        <v>252</v>
      </c>
      <c r="C275" s="56">
        <v>2009</v>
      </c>
      <c r="D275" s="203">
        <v>33</v>
      </c>
      <c r="E275" s="198" t="s">
        <v>18</v>
      </c>
      <c r="F275" s="206">
        <v>0</v>
      </c>
      <c r="G275" s="46" t="str">
        <f t="shared" si="6"/>
        <v/>
      </c>
      <c r="H275" s="26" t="s">
        <v>442</v>
      </c>
      <c r="K275" s="182" t="s">
        <v>292</v>
      </c>
    </row>
    <row r="276" spans="1:20">
      <c r="A276" s="13">
        <f t="shared" si="8"/>
        <v>272</v>
      </c>
      <c r="B276" s="198" t="s">
        <v>415</v>
      </c>
      <c r="C276" s="56">
        <v>2009</v>
      </c>
      <c r="D276" s="203">
        <v>17.5</v>
      </c>
      <c r="E276" s="198" t="s">
        <v>18</v>
      </c>
      <c r="F276" s="206">
        <v>0</v>
      </c>
      <c r="G276" s="46" t="str">
        <f t="shared" si="6"/>
        <v/>
      </c>
      <c r="H276" s="12" t="s">
        <v>459</v>
      </c>
      <c r="K276" s="182" t="s">
        <v>290</v>
      </c>
    </row>
    <row r="277" spans="1:20">
      <c r="A277" s="13">
        <f t="shared" si="8"/>
        <v>273</v>
      </c>
      <c r="B277" s="198" t="s">
        <v>419</v>
      </c>
      <c r="C277" s="56">
        <v>2009</v>
      </c>
      <c r="D277" s="203">
        <v>10</v>
      </c>
      <c r="E277" s="198" t="s">
        <v>18</v>
      </c>
      <c r="F277" s="206">
        <v>0</v>
      </c>
      <c r="G277" s="46" t="str">
        <f t="shared" si="6"/>
        <v/>
      </c>
      <c r="H277" s="12" t="s">
        <v>463</v>
      </c>
      <c r="J277" s="12" t="s">
        <v>202</v>
      </c>
      <c r="K277" s="12" t="s">
        <v>478</v>
      </c>
    </row>
    <row r="278" spans="1:20">
      <c r="A278" s="13">
        <f t="shared" si="8"/>
        <v>274</v>
      </c>
      <c r="B278" s="198" t="s">
        <v>420</v>
      </c>
      <c r="C278" s="56">
        <v>2009</v>
      </c>
      <c r="D278" s="203">
        <v>24</v>
      </c>
      <c r="E278" s="198" t="s">
        <v>18</v>
      </c>
      <c r="F278" s="206">
        <v>0</v>
      </c>
      <c r="G278" s="46" t="str">
        <f t="shared" si="6"/>
        <v/>
      </c>
      <c r="H278" s="12" t="s">
        <v>464</v>
      </c>
      <c r="K278" s="12" t="s">
        <v>473</v>
      </c>
    </row>
    <row r="279" spans="1:20">
      <c r="A279" s="13">
        <f t="shared" si="8"/>
        <v>275</v>
      </c>
      <c r="B279" s="198" t="s">
        <v>421</v>
      </c>
      <c r="C279" s="56">
        <v>2009</v>
      </c>
      <c r="D279" s="203">
        <v>15</v>
      </c>
      <c r="E279" s="198" t="s">
        <v>18</v>
      </c>
      <c r="F279" s="206">
        <v>0</v>
      </c>
      <c r="G279" s="46" t="str">
        <f t="shared" si="6"/>
        <v/>
      </c>
      <c r="H279" s="12" t="s">
        <v>465</v>
      </c>
      <c r="K279" s="12" t="s">
        <v>472</v>
      </c>
      <c r="L279" s="38" t="s">
        <v>470</v>
      </c>
    </row>
    <row r="280" spans="1:20">
      <c r="A280" s="13">
        <f t="shared" si="8"/>
        <v>276</v>
      </c>
      <c r="B280" s="198" t="s">
        <v>420</v>
      </c>
      <c r="C280" s="56">
        <v>2009</v>
      </c>
      <c r="D280" s="203">
        <v>21</v>
      </c>
      <c r="E280" s="198" t="s">
        <v>18</v>
      </c>
      <c r="F280" s="206">
        <v>0</v>
      </c>
      <c r="G280" s="46" t="str">
        <f t="shared" si="6"/>
        <v/>
      </c>
      <c r="H280" s="12" t="s">
        <v>464</v>
      </c>
      <c r="J280" s="26" t="s">
        <v>203</v>
      </c>
      <c r="K280" s="12" t="s">
        <v>471</v>
      </c>
    </row>
    <row r="281" spans="1:20">
      <c r="A281" s="13">
        <f t="shared" si="8"/>
        <v>277</v>
      </c>
      <c r="B281" s="204" t="s">
        <v>422</v>
      </c>
      <c r="C281" s="56">
        <v>2009</v>
      </c>
      <c r="D281" s="203">
        <v>28.8</v>
      </c>
      <c r="E281" s="198" t="s">
        <v>18</v>
      </c>
      <c r="F281" s="206">
        <v>0</v>
      </c>
      <c r="G281" s="46" t="str">
        <f t="shared" si="6"/>
        <v/>
      </c>
      <c r="H281" s="12" t="s">
        <v>466</v>
      </c>
      <c r="K281" s="38" t="s">
        <v>211</v>
      </c>
      <c r="T281" s="26"/>
    </row>
    <row r="282" spans="1:20">
      <c r="A282" s="13">
        <f t="shared" si="8"/>
        <v>278</v>
      </c>
      <c r="B282" s="198" t="s">
        <v>421</v>
      </c>
      <c r="C282" s="56">
        <v>2009</v>
      </c>
      <c r="D282" s="203">
        <v>15</v>
      </c>
      <c r="E282" s="198" t="s">
        <v>18</v>
      </c>
      <c r="F282" s="206">
        <v>0</v>
      </c>
      <c r="G282" s="46" t="str">
        <f t="shared" si="6"/>
        <v/>
      </c>
      <c r="H282" s="12" t="s">
        <v>465</v>
      </c>
      <c r="J282" s="12" t="s">
        <v>208</v>
      </c>
      <c r="K282" s="12" t="s">
        <v>265</v>
      </c>
      <c r="P282" s="216"/>
      <c r="Q282" s="216"/>
      <c r="R282" s="216"/>
      <c r="S282" s="217"/>
      <c r="T282" s="217"/>
    </row>
    <row r="283" spans="1:20">
      <c r="A283" s="13">
        <f t="shared" si="8"/>
        <v>279</v>
      </c>
      <c r="B283" s="200" t="s">
        <v>429</v>
      </c>
      <c r="C283" s="56">
        <v>2009</v>
      </c>
      <c r="D283" s="203">
        <v>16.2</v>
      </c>
      <c r="E283" s="198" t="s">
        <v>18</v>
      </c>
      <c r="F283" s="206">
        <v>0</v>
      </c>
      <c r="G283" s="46" t="str">
        <f t="shared" si="6"/>
        <v/>
      </c>
      <c r="H283" s="12" t="s">
        <v>462</v>
      </c>
      <c r="K283" s="38" t="s">
        <v>266</v>
      </c>
      <c r="P283" s="216"/>
      <c r="Q283" s="216"/>
      <c r="R283" s="216"/>
      <c r="S283" s="216"/>
      <c r="T283" s="216"/>
    </row>
    <row r="284" spans="1:20">
      <c r="A284" s="13">
        <f t="shared" si="8"/>
        <v>280</v>
      </c>
      <c r="B284" s="198" t="s">
        <v>415</v>
      </c>
      <c r="C284" s="56">
        <v>2009</v>
      </c>
      <c r="D284" s="203">
        <v>22.5</v>
      </c>
      <c r="E284" s="198" t="s">
        <v>18</v>
      </c>
      <c r="F284" s="206">
        <v>0</v>
      </c>
      <c r="G284" s="46" t="str">
        <f t="shared" si="6"/>
        <v/>
      </c>
      <c r="H284" s="12" t="s">
        <v>459</v>
      </c>
      <c r="K284" s="64" t="s">
        <v>268</v>
      </c>
      <c r="P284" s="216"/>
      <c r="Q284" s="216"/>
      <c r="R284" s="216"/>
      <c r="S284" s="216"/>
      <c r="T284" s="216"/>
    </row>
    <row r="285" spans="1:20">
      <c r="A285" s="13">
        <f t="shared" si="8"/>
        <v>281</v>
      </c>
      <c r="B285" s="200" t="s">
        <v>429</v>
      </c>
      <c r="C285" s="56">
        <v>2009</v>
      </c>
      <c r="D285" s="203">
        <v>10.8</v>
      </c>
      <c r="E285" s="198" t="s">
        <v>18</v>
      </c>
      <c r="F285" s="206">
        <v>0</v>
      </c>
      <c r="G285" s="46" t="str">
        <f t="shared" si="6"/>
        <v/>
      </c>
      <c r="H285" s="12" t="s">
        <v>462</v>
      </c>
      <c r="K285" s="64" t="s">
        <v>469</v>
      </c>
      <c r="P285" s="216"/>
      <c r="Q285" s="216"/>
      <c r="R285" s="217"/>
      <c r="S285" s="216"/>
      <c r="T285" s="216"/>
    </row>
    <row r="286" spans="1:20">
      <c r="A286" s="13">
        <f t="shared" si="8"/>
        <v>282</v>
      </c>
      <c r="B286" s="198" t="s">
        <v>423</v>
      </c>
      <c r="C286" s="228">
        <v>2009</v>
      </c>
      <c r="D286" s="203">
        <v>15</v>
      </c>
      <c r="E286" s="198" t="s">
        <v>18</v>
      </c>
      <c r="F286" s="206">
        <v>0</v>
      </c>
      <c r="G286" s="46" t="str">
        <f t="shared" si="6"/>
        <v/>
      </c>
      <c r="H286" s="12" t="s">
        <v>467</v>
      </c>
      <c r="J286" s="216"/>
      <c r="K286" s="12" t="s">
        <v>269</v>
      </c>
      <c r="P286" s="220"/>
      <c r="Q286" s="221"/>
      <c r="R286" s="217"/>
      <c r="S286" s="216"/>
      <c r="T286" s="216"/>
    </row>
    <row r="287" spans="1:20">
      <c r="A287" s="13">
        <f t="shared" si="8"/>
        <v>283</v>
      </c>
      <c r="B287" s="35" t="s">
        <v>479</v>
      </c>
      <c r="C287" s="228">
        <v>2010</v>
      </c>
      <c r="D287" s="197">
        <v>24</v>
      </c>
      <c r="E287" s="198" t="s">
        <v>0</v>
      </c>
      <c r="F287" s="206">
        <v>144</v>
      </c>
      <c r="G287" s="46" t="str">
        <f t="shared" si="6"/>
        <v>No</v>
      </c>
      <c r="J287" s="216"/>
      <c r="K287" s="26" t="s">
        <v>271</v>
      </c>
      <c r="P287" s="216"/>
      <c r="Q287" s="221"/>
      <c r="R287" s="216"/>
      <c r="S287" s="216"/>
      <c r="T287" s="216"/>
    </row>
    <row r="288" spans="1:20">
      <c r="A288" s="13">
        <f t="shared" si="8"/>
        <v>284</v>
      </c>
      <c r="B288" s="35" t="s">
        <v>480</v>
      </c>
      <c r="C288" s="228">
        <v>2010</v>
      </c>
      <c r="D288" s="197">
        <v>7.8319999999999999</v>
      </c>
      <c r="E288" s="198" t="s">
        <v>1</v>
      </c>
      <c r="F288" s="205">
        <v>86.75</v>
      </c>
      <c r="G288" s="46" t="str">
        <f t="shared" si="6"/>
        <v>No</v>
      </c>
      <c r="J288" s="216"/>
      <c r="K288" s="12" t="s">
        <v>272</v>
      </c>
      <c r="Q288" s="216"/>
      <c r="R288" s="216"/>
      <c r="S288" s="217"/>
      <c r="T288" s="217"/>
    </row>
    <row r="289" spans="1:21">
      <c r="A289" s="13">
        <f t="shared" si="8"/>
        <v>285</v>
      </c>
      <c r="B289" s="35" t="s">
        <v>74</v>
      </c>
      <c r="C289" s="228">
        <v>2010</v>
      </c>
      <c r="D289" s="197">
        <v>4.5999999999999996</v>
      </c>
      <c r="E289" s="198" t="s">
        <v>1</v>
      </c>
      <c r="F289" s="206">
        <v>33</v>
      </c>
      <c r="G289" s="46" t="str">
        <f t="shared" si="6"/>
        <v>No</v>
      </c>
      <c r="J289" s="217"/>
      <c r="K289" s="38" t="s">
        <v>267</v>
      </c>
      <c r="P289" s="217"/>
      <c r="Q289" s="216"/>
      <c r="R289" s="216"/>
      <c r="S289" s="216"/>
      <c r="T289" s="216"/>
    </row>
    <row r="290" spans="1:21">
      <c r="A290" s="13">
        <f t="shared" si="8"/>
        <v>286</v>
      </c>
      <c r="B290" s="35" t="s">
        <v>481</v>
      </c>
      <c r="C290" s="228">
        <v>2010</v>
      </c>
      <c r="D290" s="197">
        <v>1.131</v>
      </c>
      <c r="E290" s="198" t="s">
        <v>52</v>
      </c>
      <c r="F290" s="206">
        <v>0</v>
      </c>
      <c r="G290" s="46" t="str">
        <f t="shared" si="6"/>
        <v/>
      </c>
      <c r="H290" s="12" t="s">
        <v>482</v>
      </c>
    </row>
    <row r="291" spans="1:21">
      <c r="A291" s="13">
        <f t="shared" si="8"/>
        <v>287</v>
      </c>
      <c r="B291" s="35" t="s">
        <v>483</v>
      </c>
      <c r="C291" s="228">
        <v>2010</v>
      </c>
      <c r="D291" s="197">
        <v>1.54</v>
      </c>
      <c r="E291" s="198" t="s">
        <v>1</v>
      </c>
      <c r="F291" s="206">
        <v>12.08</v>
      </c>
      <c r="G291" s="46" t="str">
        <f t="shared" si="6"/>
        <v>No</v>
      </c>
    </row>
    <row r="292" spans="1:21">
      <c r="A292" s="13">
        <f t="shared" si="8"/>
        <v>288</v>
      </c>
      <c r="B292" s="35" t="s">
        <v>229</v>
      </c>
      <c r="C292" s="228">
        <v>2010</v>
      </c>
      <c r="D292" s="197">
        <v>4.2450000000000001</v>
      </c>
      <c r="E292" s="198" t="s">
        <v>424</v>
      </c>
      <c r="F292" s="206">
        <v>0</v>
      </c>
      <c r="G292" s="46" t="str">
        <f t="shared" si="6"/>
        <v/>
      </c>
      <c r="H292" s="12" t="s">
        <v>449</v>
      </c>
    </row>
    <row r="293" spans="1:21">
      <c r="A293" s="13">
        <f t="shared" si="8"/>
        <v>289</v>
      </c>
      <c r="B293" s="35" t="s">
        <v>365</v>
      </c>
      <c r="C293" s="228">
        <v>2010</v>
      </c>
      <c r="D293" s="197">
        <v>3.544</v>
      </c>
      <c r="E293" s="198" t="s">
        <v>1</v>
      </c>
      <c r="F293" s="206">
        <v>27.06</v>
      </c>
      <c r="G293" s="46" t="str">
        <f t="shared" si="6"/>
        <v>No</v>
      </c>
    </row>
    <row r="294" spans="1:21">
      <c r="A294" s="13">
        <f t="shared" si="8"/>
        <v>290</v>
      </c>
      <c r="B294" s="35" t="s">
        <v>484</v>
      </c>
      <c r="C294" s="228">
        <v>2010</v>
      </c>
      <c r="D294" s="197">
        <v>6</v>
      </c>
      <c r="E294" s="198" t="s">
        <v>0</v>
      </c>
      <c r="F294" s="205">
        <v>40</v>
      </c>
      <c r="G294" s="46" t="str">
        <f t="shared" si="6"/>
        <v>No</v>
      </c>
    </row>
    <row r="295" spans="1:21">
      <c r="A295" s="13">
        <f t="shared" si="8"/>
        <v>291</v>
      </c>
      <c r="B295" s="9" t="s">
        <v>84</v>
      </c>
      <c r="C295" s="228">
        <v>2010</v>
      </c>
      <c r="D295" s="197">
        <v>-2.1</v>
      </c>
      <c r="E295" s="198" t="s">
        <v>1</v>
      </c>
      <c r="F295" s="206">
        <v>0</v>
      </c>
      <c r="G295" s="46" t="str">
        <f t="shared" si="6"/>
        <v/>
      </c>
    </row>
    <row r="296" spans="1:21">
      <c r="A296" s="13">
        <f t="shared" si="8"/>
        <v>292</v>
      </c>
      <c r="B296" s="35" t="s">
        <v>366</v>
      </c>
      <c r="C296" s="228">
        <v>2010</v>
      </c>
      <c r="D296" s="197">
        <v>26.19</v>
      </c>
      <c r="E296" s="198" t="s">
        <v>1</v>
      </c>
      <c r="F296" s="206">
        <v>166.6</v>
      </c>
      <c r="G296" s="46" t="str">
        <f t="shared" si="6"/>
        <v>No</v>
      </c>
    </row>
    <row r="297" spans="1:21">
      <c r="A297" s="13">
        <f t="shared" si="8"/>
        <v>293</v>
      </c>
      <c r="B297" s="35" t="s">
        <v>491</v>
      </c>
      <c r="C297" s="228">
        <v>2010</v>
      </c>
      <c r="D297" s="197">
        <v>25</v>
      </c>
      <c r="E297" s="198" t="s">
        <v>1</v>
      </c>
      <c r="F297" s="206">
        <v>175.46</v>
      </c>
      <c r="G297" s="46" t="str">
        <f t="shared" si="6"/>
        <v>No</v>
      </c>
    </row>
    <row r="298" spans="1:21">
      <c r="A298" s="13">
        <f t="shared" si="8"/>
        <v>294</v>
      </c>
      <c r="B298" s="35" t="s">
        <v>485</v>
      </c>
      <c r="C298" s="228">
        <v>2010</v>
      </c>
      <c r="D298" s="197">
        <v>12.368</v>
      </c>
      <c r="E298" s="198" t="s">
        <v>1</v>
      </c>
      <c r="F298" s="206">
        <v>80.099999999999994</v>
      </c>
      <c r="G298" s="46" t="str">
        <f t="shared" si="6"/>
        <v>No</v>
      </c>
    </row>
    <row r="299" spans="1:21">
      <c r="A299" s="13">
        <f t="shared" si="8"/>
        <v>295</v>
      </c>
      <c r="B299" s="35" t="s">
        <v>364</v>
      </c>
      <c r="C299" s="228">
        <v>2010</v>
      </c>
      <c r="D299" s="197">
        <v>1.4159999999999999</v>
      </c>
      <c r="E299" s="198" t="s">
        <v>424</v>
      </c>
      <c r="F299" s="206">
        <v>0</v>
      </c>
      <c r="G299" s="46"/>
      <c r="H299" s="12" t="s">
        <v>450</v>
      </c>
      <c r="U299" s="216"/>
    </row>
    <row r="300" spans="1:21">
      <c r="A300" s="13">
        <f t="shared" si="8"/>
        <v>296</v>
      </c>
      <c r="B300" s="35" t="s">
        <v>115</v>
      </c>
      <c r="C300" s="228">
        <v>2010</v>
      </c>
      <c r="D300" s="197">
        <v>49</v>
      </c>
      <c r="E300" s="198" t="s">
        <v>114</v>
      </c>
      <c r="F300" s="205">
        <v>278</v>
      </c>
      <c r="G300" s="46" t="str">
        <f t="shared" si="6"/>
        <v>No</v>
      </c>
      <c r="U300" s="216"/>
    </row>
    <row r="301" spans="1:21">
      <c r="A301" s="13">
        <f t="shared" si="8"/>
        <v>297</v>
      </c>
      <c r="B301" s="35" t="s">
        <v>486</v>
      </c>
      <c r="C301" s="228">
        <v>2010</v>
      </c>
      <c r="D301" s="197">
        <v>101.95</v>
      </c>
      <c r="E301" s="198" t="s">
        <v>1</v>
      </c>
      <c r="F301" s="206">
        <v>802</v>
      </c>
      <c r="G301" s="46" t="str">
        <f t="shared" si="6"/>
        <v>No</v>
      </c>
      <c r="U301" s="216"/>
    </row>
    <row r="302" spans="1:21">
      <c r="A302" s="13">
        <f t="shared" si="8"/>
        <v>298</v>
      </c>
      <c r="B302" s="35" t="s">
        <v>487</v>
      </c>
      <c r="C302" s="228">
        <v>2010</v>
      </c>
      <c r="D302" s="197">
        <v>-2.0539999999999998</v>
      </c>
      <c r="E302" s="198" t="s">
        <v>1</v>
      </c>
      <c r="F302" s="205">
        <v>0</v>
      </c>
      <c r="G302" s="46" t="str">
        <f t="shared" si="6"/>
        <v/>
      </c>
      <c r="P302" s="216"/>
      <c r="Q302" s="216"/>
      <c r="R302" s="216"/>
      <c r="S302" s="217"/>
      <c r="T302" s="217"/>
      <c r="U302" s="217"/>
    </row>
    <row r="303" spans="1:21">
      <c r="A303" s="13">
        <f t="shared" si="8"/>
        <v>299</v>
      </c>
      <c r="B303" s="35" t="s">
        <v>488</v>
      </c>
      <c r="C303" s="228">
        <v>2010</v>
      </c>
      <c r="D303" s="197">
        <v>48.2</v>
      </c>
      <c r="E303" s="198" t="s">
        <v>1</v>
      </c>
      <c r="F303" s="206">
        <v>406</v>
      </c>
      <c r="G303" s="46" t="str">
        <f t="shared" si="6"/>
        <v>No</v>
      </c>
      <c r="P303" s="217"/>
      <c r="Q303" s="216"/>
      <c r="R303" s="216"/>
      <c r="S303" s="217"/>
      <c r="T303" s="217"/>
      <c r="U303" s="216"/>
    </row>
    <row r="304" spans="1:21">
      <c r="A304" s="13">
        <f t="shared" si="8"/>
        <v>300</v>
      </c>
      <c r="B304" s="35" t="s">
        <v>489</v>
      </c>
      <c r="C304" s="228">
        <v>2010</v>
      </c>
      <c r="D304" s="197">
        <v>-4.5</v>
      </c>
      <c r="E304" s="198" t="s">
        <v>490</v>
      </c>
      <c r="F304" s="205">
        <v>0</v>
      </c>
      <c r="G304" s="46" t="str">
        <f t="shared" si="6"/>
        <v/>
      </c>
      <c r="P304" s="216"/>
      <c r="Q304" s="216"/>
      <c r="R304" s="217"/>
      <c r="S304" s="217"/>
      <c r="T304" s="217"/>
      <c r="U304" s="216"/>
    </row>
    <row r="305" spans="1:21">
      <c r="A305" s="13">
        <f t="shared" si="8"/>
        <v>301</v>
      </c>
      <c r="B305" s="35" t="s">
        <v>491</v>
      </c>
      <c r="C305" s="228">
        <v>2010</v>
      </c>
      <c r="D305" s="197">
        <v>25</v>
      </c>
      <c r="E305" s="198" t="s">
        <v>1</v>
      </c>
      <c r="F305" s="206">
        <v>175.46</v>
      </c>
      <c r="G305" s="46" t="str">
        <f t="shared" si="6"/>
        <v>No</v>
      </c>
      <c r="P305" s="216"/>
      <c r="Q305" s="216"/>
      <c r="R305" s="216"/>
      <c r="S305" s="216"/>
      <c r="T305" s="216"/>
      <c r="U305" s="216"/>
    </row>
    <row r="306" spans="1:21">
      <c r="A306" s="13">
        <f t="shared" si="8"/>
        <v>302</v>
      </c>
      <c r="B306" s="35" t="s">
        <v>492</v>
      </c>
      <c r="C306" s="228">
        <v>2010</v>
      </c>
      <c r="D306" s="197">
        <v>60.1</v>
      </c>
      <c r="E306" s="198" t="s">
        <v>1</v>
      </c>
      <c r="F306" s="206">
        <v>420</v>
      </c>
      <c r="G306" s="46" t="str">
        <f t="shared" si="6"/>
        <v>No</v>
      </c>
      <c r="P306" s="216"/>
      <c r="Q306" s="216"/>
      <c r="R306" s="216"/>
      <c r="S306" s="216"/>
      <c r="T306" s="216"/>
      <c r="U306" s="216"/>
    </row>
    <row r="307" spans="1:21">
      <c r="A307" s="13">
        <f t="shared" si="8"/>
        <v>303</v>
      </c>
      <c r="B307" s="35" t="s">
        <v>493</v>
      </c>
      <c r="C307" s="228">
        <v>2010</v>
      </c>
      <c r="D307" s="197">
        <v>160</v>
      </c>
      <c r="E307" s="198" t="s">
        <v>425</v>
      </c>
      <c r="F307" s="206">
        <v>1068</v>
      </c>
      <c r="G307" s="46" t="str">
        <f t="shared" si="6"/>
        <v>No</v>
      </c>
      <c r="P307" s="216"/>
      <c r="Q307" s="216"/>
      <c r="R307" s="216"/>
      <c r="S307" s="216"/>
      <c r="T307" s="216"/>
      <c r="U307" s="216"/>
    </row>
    <row r="308" spans="1:21">
      <c r="A308" s="13">
        <f t="shared" si="8"/>
        <v>304</v>
      </c>
      <c r="B308" s="35" t="s">
        <v>494</v>
      </c>
      <c r="C308" s="228">
        <v>2010</v>
      </c>
      <c r="D308" s="197">
        <v>5.1719999999999997</v>
      </c>
      <c r="E308" s="198" t="s">
        <v>1</v>
      </c>
      <c r="F308" s="206">
        <v>42</v>
      </c>
      <c r="G308" s="46" t="str">
        <f t="shared" ref="G308:G371" si="9">IF(F308&lt;&gt;0,"No","")</f>
        <v>No</v>
      </c>
      <c r="P308" s="216"/>
      <c r="Q308" s="216"/>
      <c r="R308" s="216"/>
      <c r="S308" s="216"/>
      <c r="T308" s="216"/>
      <c r="U308" s="216"/>
    </row>
    <row r="309" spans="1:21">
      <c r="A309" s="13">
        <f t="shared" si="8"/>
        <v>305</v>
      </c>
      <c r="B309" s="35" t="s">
        <v>495</v>
      </c>
      <c r="C309" s="228">
        <v>2010</v>
      </c>
      <c r="D309" s="197">
        <v>8.6</v>
      </c>
      <c r="E309" s="198" t="s">
        <v>1</v>
      </c>
      <c r="F309" s="206">
        <v>65</v>
      </c>
      <c r="G309" s="46" t="str">
        <f t="shared" si="9"/>
        <v>No</v>
      </c>
      <c r="P309" s="216"/>
      <c r="Q309" s="216"/>
      <c r="R309" s="216"/>
      <c r="S309" s="216"/>
      <c r="T309" s="216"/>
      <c r="U309" s="216"/>
    </row>
    <row r="310" spans="1:21">
      <c r="A310" s="13">
        <f t="shared" si="8"/>
        <v>306</v>
      </c>
      <c r="B310" s="35" t="s">
        <v>486</v>
      </c>
      <c r="C310" s="228">
        <v>2010</v>
      </c>
      <c r="D310" s="197">
        <v>101.95</v>
      </c>
      <c r="E310" s="198" t="s">
        <v>1</v>
      </c>
      <c r="F310" s="206">
        <v>802</v>
      </c>
      <c r="G310" s="46" t="str">
        <f t="shared" si="9"/>
        <v>No</v>
      </c>
      <c r="P310" s="216"/>
      <c r="Q310" s="216"/>
      <c r="R310" s="216"/>
      <c r="S310" s="216"/>
      <c r="T310" s="216"/>
      <c r="U310" s="216"/>
    </row>
    <row r="311" spans="1:21">
      <c r="A311" s="13">
        <f t="shared" si="8"/>
        <v>307</v>
      </c>
      <c r="B311" s="35" t="s">
        <v>496</v>
      </c>
      <c r="C311" s="228">
        <v>2010</v>
      </c>
      <c r="D311" s="197">
        <v>3.4950000000000001</v>
      </c>
      <c r="E311" s="198" t="s">
        <v>1</v>
      </c>
      <c r="F311" s="206">
        <v>25</v>
      </c>
      <c r="G311" s="46" t="str">
        <f t="shared" si="9"/>
        <v>No</v>
      </c>
      <c r="M311" s="216"/>
      <c r="N311" s="216"/>
      <c r="O311" s="217"/>
      <c r="P311" s="216"/>
      <c r="Q311" s="216"/>
      <c r="R311" s="216"/>
      <c r="S311" s="216"/>
      <c r="T311" s="216"/>
      <c r="U311" s="216"/>
    </row>
    <row r="312" spans="1:21">
      <c r="A312" s="13">
        <f t="shared" si="8"/>
        <v>308</v>
      </c>
      <c r="B312" s="35" t="s">
        <v>497</v>
      </c>
      <c r="C312" s="228">
        <v>2010</v>
      </c>
      <c r="D312" s="197">
        <v>2</v>
      </c>
      <c r="E312" s="198" t="s">
        <v>1</v>
      </c>
      <c r="F312" s="206">
        <v>13</v>
      </c>
      <c r="G312" s="46" t="str">
        <f t="shared" si="9"/>
        <v>No</v>
      </c>
    </row>
    <row r="313" spans="1:21">
      <c r="A313" s="13">
        <f t="shared" si="8"/>
        <v>309</v>
      </c>
      <c r="B313" s="35" t="s">
        <v>498</v>
      </c>
      <c r="C313" s="228">
        <v>2010</v>
      </c>
      <c r="D313" s="197">
        <v>29.1</v>
      </c>
      <c r="E313" s="198" t="s">
        <v>1</v>
      </c>
      <c r="F313" s="206">
        <v>203</v>
      </c>
      <c r="G313" s="46" t="str">
        <f t="shared" si="9"/>
        <v>No</v>
      </c>
    </row>
    <row r="314" spans="1:21">
      <c r="A314" s="13">
        <f t="shared" si="8"/>
        <v>310</v>
      </c>
      <c r="B314" s="35" t="s">
        <v>499</v>
      </c>
      <c r="C314" s="228">
        <v>2010</v>
      </c>
      <c r="D314" s="197">
        <v>1.585</v>
      </c>
      <c r="E314" s="198" t="s">
        <v>1</v>
      </c>
      <c r="F314" s="206">
        <v>12</v>
      </c>
      <c r="G314" s="46" t="str">
        <f t="shared" si="9"/>
        <v>No</v>
      </c>
    </row>
    <row r="315" spans="1:21">
      <c r="A315" s="13">
        <f t="shared" si="8"/>
        <v>311</v>
      </c>
      <c r="B315" s="35" t="s">
        <v>500</v>
      </c>
      <c r="C315" s="228">
        <v>2010</v>
      </c>
      <c r="D315" s="197">
        <v>32.241999999999997</v>
      </c>
      <c r="E315" s="198" t="s">
        <v>1</v>
      </c>
      <c r="F315" s="206">
        <v>272.55</v>
      </c>
      <c r="G315" s="46" t="str">
        <f t="shared" si="9"/>
        <v>No</v>
      </c>
    </row>
    <row r="316" spans="1:21">
      <c r="A316" s="13">
        <f t="shared" si="8"/>
        <v>312</v>
      </c>
      <c r="B316" s="35" t="s">
        <v>502</v>
      </c>
      <c r="C316" s="228">
        <v>2010</v>
      </c>
      <c r="D316" s="197">
        <v>9.9</v>
      </c>
      <c r="E316" s="198" t="s">
        <v>501</v>
      </c>
      <c r="F316" s="206">
        <v>0</v>
      </c>
      <c r="G316" s="46" t="str">
        <f t="shared" si="9"/>
        <v/>
      </c>
      <c r="H316" s="12" t="s">
        <v>503</v>
      </c>
    </row>
    <row r="317" spans="1:21">
      <c r="A317" s="13">
        <f t="shared" si="8"/>
        <v>313</v>
      </c>
      <c r="B317" s="35" t="s">
        <v>504</v>
      </c>
      <c r="C317" s="228">
        <v>2010</v>
      </c>
      <c r="D317" s="197">
        <v>10</v>
      </c>
      <c r="E317" s="198" t="s">
        <v>114</v>
      </c>
      <c r="F317" s="205">
        <v>65</v>
      </c>
      <c r="G317" s="46" t="str">
        <f t="shared" si="9"/>
        <v>No</v>
      </c>
    </row>
    <row r="318" spans="1:21">
      <c r="A318" s="13">
        <f t="shared" si="8"/>
        <v>314</v>
      </c>
      <c r="B318" s="35" t="s">
        <v>505</v>
      </c>
      <c r="C318" s="228">
        <v>2010</v>
      </c>
      <c r="D318" s="197">
        <v>930.8</v>
      </c>
      <c r="E318" s="198" t="s">
        <v>1</v>
      </c>
      <c r="F318" s="206">
        <v>7540</v>
      </c>
      <c r="G318" s="46" t="str">
        <f t="shared" si="9"/>
        <v>No</v>
      </c>
    </row>
    <row r="319" spans="1:21">
      <c r="A319" s="13">
        <f t="shared" si="8"/>
        <v>315</v>
      </c>
      <c r="B319" s="35" t="s">
        <v>506</v>
      </c>
      <c r="C319" s="228">
        <v>2010</v>
      </c>
      <c r="D319" s="197">
        <v>12</v>
      </c>
      <c r="E319" s="198" t="s">
        <v>1</v>
      </c>
      <c r="F319" s="206">
        <v>100</v>
      </c>
      <c r="G319" s="46" t="str">
        <f t="shared" si="9"/>
        <v>No</v>
      </c>
    </row>
    <row r="320" spans="1:21">
      <c r="A320" s="13">
        <f t="shared" si="8"/>
        <v>316</v>
      </c>
      <c r="B320" s="35" t="s">
        <v>507</v>
      </c>
      <c r="C320" s="228">
        <v>2010</v>
      </c>
      <c r="D320" s="197">
        <v>600</v>
      </c>
      <c r="E320" s="198" t="s">
        <v>425</v>
      </c>
      <c r="F320" s="206">
        <v>4006</v>
      </c>
      <c r="G320" s="46" t="str">
        <f t="shared" si="9"/>
        <v>No</v>
      </c>
    </row>
    <row r="321" spans="1:8">
      <c r="A321" s="13">
        <f t="shared" si="8"/>
        <v>317</v>
      </c>
      <c r="B321" s="35" t="s">
        <v>507</v>
      </c>
      <c r="C321" s="228">
        <v>2010</v>
      </c>
      <c r="D321" s="197">
        <v>600</v>
      </c>
      <c r="E321" s="198" t="s">
        <v>425</v>
      </c>
      <c r="F321" s="206">
        <v>4006</v>
      </c>
      <c r="G321" s="46" t="str">
        <f t="shared" si="9"/>
        <v>No</v>
      </c>
    </row>
    <row r="322" spans="1:8">
      <c r="A322" s="13">
        <f t="shared" si="8"/>
        <v>318</v>
      </c>
      <c r="B322" s="35" t="s">
        <v>508</v>
      </c>
      <c r="C322" s="228">
        <v>2010</v>
      </c>
      <c r="D322" s="197">
        <v>26.19</v>
      </c>
      <c r="E322" s="198" t="s">
        <v>1</v>
      </c>
      <c r="F322" s="206">
        <v>203.76</v>
      </c>
      <c r="G322" s="46" t="str">
        <f t="shared" si="9"/>
        <v>No</v>
      </c>
    </row>
    <row r="323" spans="1:8">
      <c r="A323" s="13">
        <f t="shared" si="8"/>
        <v>319</v>
      </c>
      <c r="B323" s="35" t="s">
        <v>509</v>
      </c>
      <c r="C323" s="228">
        <v>2010</v>
      </c>
      <c r="D323" s="197">
        <v>69.84</v>
      </c>
      <c r="E323" s="198" t="s">
        <v>1</v>
      </c>
      <c r="F323" s="206">
        <v>556</v>
      </c>
      <c r="G323" s="46" t="str">
        <f t="shared" si="9"/>
        <v>No</v>
      </c>
    </row>
    <row r="324" spans="1:8">
      <c r="A324" s="13">
        <f t="shared" si="8"/>
        <v>320</v>
      </c>
      <c r="B324" s="35" t="s">
        <v>223</v>
      </c>
      <c r="C324" s="228">
        <v>2010</v>
      </c>
      <c r="D324" s="197">
        <v>0.33</v>
      </c>
      <c r="E324" s="198" t="s">
        <v>52</v>
      </c>
      <c r="F324" s="206">
        <v>2.4</v>
      </c>
      <c r="G324" s="46" t="str">
        <f t="shared" si="9"/>
        <v>No</v>
      </c>
    </row>
    <row r="325" spans="1:8">
      <c r="A325" s="13">
        <f t="shared" si="8"/>
        <v>321</v>
      </c>
      <c r="B325" s="35" t="s">
        <v>510</v>
      </c>
      <c r="C325" s="228">
        <v>2010</v>
      </c>
      <c r="D325" s="197">
        <v>2.5640000000000001</v>
      </c>
      <c r="E325" s="198" t="s">
        <v>1</v>
      </c>
      <c r="F325" s="206">
        <v>19.77</v>
      </c>
      <c r="G325" s="46" t="str">
        <f t="shared" si="9"/>
        <v>No</v>
      </c>
    </row>
    <row r="326" spans="1:8">
      <c r="A326" s="13">
        <f t="shared" si="8"/>
        <v>322</v>
      </c>
      <c r="B326" s="35" t="s">
        <v>511</v>
      </c>
      <c r="C326" s="228">
        <v>2010</v>
      </c>
      <c r="D326" s="197">
        <v>-15.24</v>
      </c>
      <c r="E326" s="198" t="s">
        <v>114</v>
      </c>
      <c r="F326" s="205">
        <v>0</v>
      </c>
      <c r="G326" s="46" t="str">
        <f t="shared" si="9"/>
        <v/>
      </c>
    </row>
    <row r="327" spans="1:8">
      <c r="A327" s="13">
        <f t="shared" ref="A327:A390" si="10">A326+1</f>
        <v>323</v>
      </c>
      <c r="B327" s="35" t="s">
        <v>512</v>
      </c>
      <c r="C327" s="228">
        <v>2010</v>
      </c>
      <c r="D327" s="197">
        <v>-15.6</v>
      </c>
      <c r="E327" s="198" t="s">
        <v>114</v>
      </c>
      <c r="F327" s="205">
        <v>0</v>
      </c>
      <c r="G327" s="46" t="str">
        <f t="shared" si="9"/>
        <v/>
      </c>
    </row>
    <row r="328" spans="1:8">
      <c r="A328" s="13">
        <f t="shared" si="10"/>
        <v>324</v>
      </c>
      <c r="B328" s="35" t="s">
        <v>513</v>
      </c>
      <c r="C328" s="228">
        <v>2010</v>
      </c>
      <c r="D328" s="197">
        <v>7.8079999999999998</v>
      </c>
      <c r="E328" s="198" t="s">
        <v>1</v>
      </c>
      <c r="F328" s="206">
        <v>61</v>
      </c>
      <c r="G328" s="46" t="str">
        <f t="shared" si="9"/>
        <v>No</v>
      </c>
    </row>
    <row r="329" spans="1:8">
      <c r="A329" s="13">
        <f t="shared" si="10"/>
        <v>325</v>
      </c>
      <c r="B329" s="35" t="s">
        <v>492</v>
      </c>
      <c r="C329" s="228">
        <v>2010</v>
      </c>
      <c r="D329" s="197">
        <v>21.89</v>
      </c>
      <c r="E329" s="198" t="s">
        <v>1</v>
      </c>
      <c r="F329" s="206">
        <v>151.36000000000001</v>
      </c>
      <c r="G329" s="46" t="str">
        <f t="shared" si="9"/>
        <v>No</v>
      </c>
    </row>
    <row r="330" spans="1:8">
      <c r="A330" s="13">
        <f t="shared" si="10"/>
        <v>326</v>
      </c>
      <c r="B330" s="35" t="s">
        <v>514</v>
      </c>
      <c r="C330" s="228">
        <v>2010</v>
      </c>
      <c r="D330" s="197">
        <v>-1.1399999999999999</v>
      </c>
      <c r="E330" s="198" t="s">
        <v>1</v>
      </c>
      <c r="F330" s="205">
        <v>0</v>
      </c>
      <c r="G330" s="46" t="str">
        <f t="shared" si="9"/>
        <v/>
      </c>
    </row>
    <row r="331" spans="1:8">
      <c r="A331" s="13">
        <f t="shared" si="10"/>
        <v>327</v>
      </c>
      <c r="B331" s="35" t="s">
        <v>515</v>
      </c>
      <c r="C331" s="228">
        <v>2010</v>
      </c>
      <c r="D331" s="197">
        <v>10.124000000000001</v>
      </c>
      <c r="E331" s="198" t="s">
        <v>1</v>
      </c>
      <c r="F331" s="206">
        <v>64.41</v>
      </c>
      <c r="G331" s="46" t="str">
        <f t="shared" si="9"/>
        <v>No</v>
      </c>
    </row>
    <row r="332" spans="1:8">
      <c r="A332" s="13">
        <f t="shared" si="10"/>
        <v>328</v>
      </c>
      <c r="B332" s="189" t="s">
        <v>371</v>
      </c>
      <c r="C332" s="228">
        <v>2010</v>
      </c>
      <c r="D332" s="185">
        <v>-44.783999999999999</v>
      </c>
      <c r="E332" s="198" t="s">
        <v>13</v>
      </c>
      <c r="F332" s="205">
        <v>0</v>
      </c>
      <c r="G332" s="46" t="str">
        <f t="shared" si="9"/>
        <v/>
      </c>
    </row>
    <row r="333" spans="1:8">
      <c r="A333" s="13">
        <f t="shared" si="10"/>
        <v>329</v>
      </c>
      <c r="B333" s="35" t="s">
        <v>516</v>
      </c>
      <c r="C333" s="228">
        <v>2010</v>
      </c>
      <c r="D333" s="197">
        <v>0.77</v>
      </c>
      <c r="E333" s="198" t="s">
        <v>1</v>
      </c>
      <c r="F333" s="206">
        <v>6</v>
      </c>
      <c r="G333" s="46" t="str">
        <f t="shared" si="9"/>
        <v>No</v>
      </c>
    </row>
    <row r="334" spans="1:8">
      <c r="A334" s="13">
        <f t="shared" si="10"/>
        <v>330</v>
      </c>
      <c r="B334" s="35" t="s">
        <v>517</v>
      </c>
      <c r="C334" s="228">
        <v>2010</v>
      </c>
      <c r="D334" s="197">
        <v>7.5</v>
      </c>
      <c r="E334" s="198" t="s">
        <v>53</v>
      </c>
      <c r="F334" s="206">
        <v>0</v>
      </c>
      <c r="G334" s="46" t="str">
        <f t="shared" si="9"/>
        <v/>
      </c>
      <c r="H334" s="12" t="s">
        <v>518</v>
      </c>
    </row>
    <row r="335" spans="1:8">
      <c r="A335" s="13">
        <f t="shared" si="10"/>
        <v>331</v>
      </c>
      <c r="B335" s="35" t="s">
        <v>519</v>
      </c>
      <c r="C335" s="228">
        <v>2010</v>
      </c>
      <c r="D335" s="197">
        <v>9.5</v>
      </c>
      <c r="E335" s="198" t="s">
        <v>53</v>
      </c>
      <c r="F335" s="206">
        <v>0</v>
      </c>
      <c r="G335" s="46" t="str">
        <f t="shared" si="9"/>
        <v/>
      </c>
      <c r="H335" s="12" t="s">
        <v>520</v>
      </c>
    </row>
    <row r="336" spans="1:8">
      <c r="A336" s="13">
        <f t="shared" si="10"/>
        <v>332</v>
      </c>
      <c r="B336" s="35" t="s">
        <v>521</v>
      </c>
      <c r="C336" s="228">
        <v>2010</v>
      </c>
      <c r="D336" s="197">
        <v>8</v>
      </c>
      <c r="E336" s="198" t="s">
        <v>39</v>
      </c>
      <c r="F336" s="206">
        <v>0</v>
      </c>
      <c r="G336" s="46" t="str">
        <f t="shared" si="9"/>
        <v/>
      </c>
      <c r="H336" s="12" t="s">
        <v>522</v>
      </c>
    </row>
    <row r="337" spans="1:8">
      <c r="A337" s="13">
        <f t="shared" si="10"/>
        <v>333</v>
      </c>
      <c r="B337" s="35" t="s">
        <v>523</v>
      </c>
      <c r="C337" s="228">
        <v>2010</v>
      </c>
      <c r="D337" s="197">
        <v>12.298</v>
      </c>
      <c r="E337" s="198" t="s">
        <v>39</v>
      </c>
      <c r="F337" s="206">
        <v>46</v>
      </c>
      <c r="G337" s="46" t="str">
        <f t="shared" si="9"/>
        <v>No</v>
      </c>
    </row>
    <row r="338" spans="1:8">
      <c r="A338" s="13">
        <f t="shared" si="10"/>
        <v>334</v>
      </c>
      <c r="B338" s="35" t="s">
        <v>525</v>
      </c>
      <c r="C338" s="228">
        <v>2010</v>
      </c>
      <c r="D338" s="197">
        <v>9.0649999999999995</v>
      </c>
      <c r="E338" s="198" t="s">
        <v>132</v>
      </c>
      <c r="F338" s="206">
        <v>28.29</v>
      </c>
      <c r="G338" s="46" t="str">
        <f t="shared" si="9"/>
        <v>No</v>
      </c>
    </row>
    <row r="339" spans="1:8">
      <c r="A339" s="13">
        <f t="shared" si="10"/>
        <v>335</v>
      </c>
      <c r="B339" s="35" t="s">
        <v>524</v>
      </c>
      <c r="C339" s="228">
        <v>2010</v>
      </c>
      <c r="D339" s="197">
        <v>14.631</v>
      </c>
      <c r="E339" s="198" t="s">
        <v>39</v>
      </c>
      <c r="F339" s="206">
        <v>51</v>
      </c>
      <c r="G339" s="46" t="str">
        <f t="shared" si="9"/>
        <v>No</v>
      </c>
    </row>
    <row r="340" spans="1:8">
      <c r="A340" s="13">
        <f t="shared" si="10"/>
        <v>336</v>
      </c>
      <c r="B340" s="35" t="s">
        <v>526</v>
      </c>
      <c r="C340" s="228">
        <v>2010</v>
      </c>
      <c r="D340" s="197">
        <v>27.33</v>
      </c>
      <c r="E340" s="198" t="s">
        <v>132</v>
      </c>
      <c r="F340" s="206">
        <v>105</v>
      </c>
      <c r="G340" s="46" t="str">
        <f t="shared" si="9"/>
        <v>No</v>
      </c>
    </row>
    <row r="341" spans="1:8">
      <c r="A341" s="13">
        <f t="shared" si="10"/>
        <v>337</v>
      </c>
      <c r="B341" s="35" t="s">
        <v>527</v>
      </c>
      <c r="C341" s="228">
        <v>2010</v>
      </c>
      <c r="D341" s="197">
        <v>2.06</v>
      </c>
      <c r="E341" s="198" t="s">
        <v>39</v>
      </c>
      <c r="F341" s="206">
        <v>6</v>
      </c>
      <c r="G341" s="46" t="str">
        <f t="shared" si="9"/>
        <v>No</v>
      </c>
    </row>
    <row r="342" spans="1:8">
      <c r="A342" s="13">
        <f t="shared" si="10"/>
        <v>338</v>
      </c>
      <c r="B342" s="35" t="s">
        <v>528</v>
      </c>
      <c r="C342" s="228">
        <v>2010</v>
      </c>
      <c r="D342" s="197">
        <v>4.5</v>
      </c>
      <c r="E342" s="198" t="s">
        <v>39</v>
      </c>
      <c r="F342" s="206">
        <v>19</v>
      </c>
      <c r="G342" s="46" t="str">
        <f t="shared" si="9"/>
        <v>No</v>
      </c>
    </row>
    <row r="343" spans="1:8">
      <c r="A343" s="13">
        <f t="shared" si="10"/>
        <v>339</v>
      </c>
      <c r="B343" s="35" t="s">
        <v>529</v>
      </c>
      <c r="C343" s="228">
        <v>2010</v>
      </c>
      <c r="D343" s="197">
        <v>9.57</v>
      </c>
      <c r="E343" s="198" t="s">
        <v>39</v>
      </c>
      <c r="F343" s="206">
        <v>0</v>
      </c>
      <c r="G343" s="46" t="str">
        <f t="shared" si="9"/>
        <v/>
      </c>
      <c r="H343" s="12" t="s">
        <v>530</v>
      </c>
    </row>
    <row r="344" spans="1:8">
      <c r="A344" s="13">
        <f t="shared" si="10"/>
        <v>340</v>
      </c>
      <c r="B344" s="35" t="s">
        <v>531</v>
      </c>
      <c r="C344" s="228">
        <v>2010</v>
      </c>
      <c r="D344" s="197">
        <v>1.2</v>
      </c>
      <c r="E344" s="198" t="s">
        <v>39</v>
      </c>
      <c r="F344" s="206">
        <v>5</v>
      </c>
      <c r="G344" s="46" t="str">
        <f t="shared" si="9"/>
        <v>No</v>
      </c>
    </row>
    <row r="345" spans="1:8">
      <c r="A345" s="13">
        <f t="shared" si="10"/>
        <v>341</v>
      </c>
      <c r="B345" s="35" t="s">
        <v>532</v>
      </c>
      <c r="C345" s="228">
        <v>2010</v>
      </c>
      <c r="D345" s="197">
        <v>3.1</v>
      </c>
      <c r="E345" s="198" t="s">
        <v>39</v>
      </c>
      <c r="F345" s="206">
        <v>10</v>
      </c>
      <c r="G345" s="46" t="str">
        <f t="shared" si="9"/>
        <v>No</v>
      </c>
    </row>
    <row r="346" spans="1:8">
      <c r="A346" s="13">
        <f t="shared" si="10"/>
        <v>342</v>
      </c>
      <c r="B346" s="35" t="s">
        <v>533</v>
      </c>
      <c r="C346" s="228">
        <v>2010</v>
      </c>
      <c r="D346" s="197">
        <v>7.23</v>
      </c>
      <c r="E346" s="198" t="s">
        <v>39</v>
      </c>
      <c r="F346" s="206">
        <v>22</v>
      </c>
      <c r="G346" s="46" t="str">
        <f t="shared" si="9"/>
        <v>No</v>
      </c>
    </row>
    <row r="347" spans="1:8">
      <c r="A347" s="13">
        <f t="shared" si="10"/>
        <v>343</v>
      </c>
      <c r="B347" s="35" t="s">
        <v>534</v>
      </c>
      <c r="C347" s="228">
        <v>2010</v>
      </c>
      <c r="D347" s="197">
        <v>5.9130000000000003</v>
      </c>
      <c r="E347" s="198" t="s">
        <v>39</v>
      </c>
      <c r="F347" s="206">
        <v>0</v>
      </c>
      <c r="G347" s="46" t="str">
        <f t="shared" si="9"/>
        <v/>
      </c>
      <c r="H347" s="12" t="s">
        <v>455</v>
      </c>
    </row>
    <row r="348" spans="1:8">
      <c r="A348" s="13">
        <f t="shared" si="10"/>
        <v>344</v>
      </c>
      <c r="B348" s="35" t="s">
        <v>535</v>
      </c>
      <c r="C348" s="228">
        <v>2010</v>
      </c>
      <c r="D348" s="197">
        <v>3.2250000000000001</v>
      </c>
      <c r="E348" s="198" t="s">
        <v>39</v>
      </c>
      <c r="F348" s="206">
        <v>19</v>
      </c>
      <c r="G348" s="46" t="str">
        <f t="shared" si="9"/>
        <v>No</v>
      </c>
    </row>
    <row r="349" spans="1:8">
      <c r="A349" s="13">
        <f t="shared" si="10"/>
        <v>345</v>
      </c>
      <c r="B349" s="35" t="s">
        <v>536</v>
      </c>
      <c r="C349" s="228">
        <v>2010</v>
      </c>
      <c r="D349" s="197">
        <v>9.5399999999999991</v>
      </c>
      <c r="E349" s="198" t="s">
        <v>39</v>
      </c>
      <c r="F349" s="206">
        <v>0</v>
      </c>
      <c r="G349" s="46" t="str">
        <f t="shared" si="9"/>
        <v/>
      </c>
      <c r="H349" s="12" t="s">
        <v>537</v>
      </c>
    </row>
    <row r="350" spans="1:8">
      <c r="A350" s="13">
        <f t="shared" si="10"/>
        <v>346</v>
      </c>
      <c r="B350" s="35" t="s">
        <v>538</v>
      </c>
      <c r="C350" s="228">
        <v>2010</v>
      </c>
      <c r="D350" s="197">
        <v>6.85</v>
      </c>
      <c r="E350" s="198" t="s">
        <v>39</v>
      </c>
      <c r="F350" s="206">
        <v>22</v>
      </c>
      <c r="G350" s="46" t="str">
        <f t="shared" si="9"/>
        <v>No</v>
      </c>
    </row>
    <row r="351" spans="1:8">
      <c r="A351" s="13">
        <f t="shared" si="10"/>
        <v>347</v>
      </c>
      <c r="B351" s="35" t="s">
        <v>526</v>
      </c>
      <c r="C351" s="228">
        <v>2010</v>
      </c>
      <c r="D351" s="197">
        <v>27.33</v>
      </c>
      <c r="E351" s="198" t="s">
        <v>132</v>
      </c>
      <c r="F351" s="206">
        <v>105</v>
      </c>
      <c r="G351" s="46" t="str">
        <f t="shared" si="9"/>
        <v>No</v>
      </c>
    </row>
    <row r="352" spans="1:8">
      <c r="A352" s="13">
        <f t="shared" si="10"/>
        <v>348</v>
      </c>
      <c r="B352" s="35" t="s">
        <v>539</v>
      </c>
      <c r="C352" s="228">
        <v>2010</v>
      </c>
      <c r="D352" s="197">
        <v>21.6</v>
      </c>
      <c r="E352" s="198" t="s">
        <v>39</v>
      </c>
      <c r="F352" s="206">
        <v>70</v>
      </c>
      <c r="G352" s="46" t="str">
        <f t="shared" si="9"/>
        <v>No</v>
      </c>
    </row>
    <row r="353" spans="1:8">
      <c r="A353" s="13">
        <f t="shared" si="10"/>
        <v>349</v>
      </c>
      <c r="B353" s="35" t="s">
        <v>579</v>
      </c>
      <c r="C353" s="228">
        <v>2010</v>
      </c>
      <c r="D353" s="197">
        <v>12.41</v>
      </c>
      <c r="E353" s="198" t="s">
        <v>39</v>
      </c>
      <c r="F353" s="206">
        <v>0</v>
      </c>
      <c r="G353" s="46" t="str">
        <f t="shared" si="9"/>
        <v/>
      </c>
      <c r="H353" s="12" t="s">
        <v>580</v>
      </c>
    </row>
    <row r="354" spans="1:8">
      <c r="A354" s="13">
        <f t="shared" si="10"/>
        <v>350</v>
      </c>
      <c r="B354" s="35" t="s">
        <v>535</v>
      </c>
      <c r="C354" s="228">
        <v>2010</v>
      </c>
      <c r="D354" s="197">
        <v>3.2250000000000001</v>
      </c>
      <c r="E354" s="198" t="s">
        <v>39</v>
      </c>
      <c r="F354" s="206">
        <v>19</v>
      </c>
      <c r="G354" s="46" t="str">
        <f t="shared" si="9"/>
        <v>No</v>
      </c>
    </row>
    <row r="355" spans="1:8">
      <c r="A355" s="13">
        <f t="shared" si="10"/>
        <v>351</v>
      </c>
      <c r="B355" s="35" t="s">
        <v>540</v>
      </c>
      <c r="C355" s="228">
        <v>2010</v>
      </c>
      <c r="D355" s="197">
        <v>62.2</v>
      </c>
      <c r="E355" s="198" t="s">
        <v>39</v>
      </c>
      <c r="F355" s="206">
        <v>165</v>
      </c>
      <c r="G355" s="46" t="str">
        <f t="shared" si="9"/>
        <v>No</v>
      </c>
    </row>
    <row r="356" spans="1:8">
      <c r="A356" s="13">
        <f t="shared" si="10"/>
        <v>352</v>
      </c>
      <c r="B356" s="35" t="s">
        <v>541</v>
      </c>
      <c r="C356" s="228">
        <v>2010</v>
      </c>
      <c r="D356" s="197">
        <v>91.4</v>
      </c>
      <c r="E356" s="198" t="s">
        <v>39</v>
      </c>
      <c r="F356" s="206">
        <v>330</v>
      </c>
      <c r="G356" s="46" t="str">
        <f t="shared" si="9"/>
        <v>No</v>
      </c>
    </row>
    <row r="357" spans="1:8">
      <c r="A357" s="13">
        <f t="shared" si="10"/>
        <v>353</v>
      </c>
      <c r="B357" s="35" t="s">
        <v>542</v>
      </c>
      <c r="C357" s="228">
        <v>2010</v>
      </c>
      <c r="D357" s="197">
        <v>20.18</v>
      </c>
      <c r="E357" s="198" t="s">
        <v>39</v>
      </c>
      <c r="F357" s="206">
        <v>0</v>
      </c>
      <c r="G357" s="46" t="str">
        <f t="shared" si="9"/>
        <v/>
      </c>
      <c r="H357" s="12" t="s">
        <v>543</v>
      </c>
    </row>
    <row r="358" spans="1:8">
      <c r="A358" s="13">
        <f t="shared" si="10"/>
        <v>354</v>
      </c>
      <c r="B358" s="35" t="s">
        <v>544</v>
      </c>
      <c r="C358" s="228">
        <v>2010</v>
      </c>
      <c r="D358" s="197">
        <v>23.888999999999999</v>
      </c>
      <c r="E358" s="198" t="s">
        <v>39</v>
      </c>
      <c r="F358" s="206">
        <v>98</v>
      </c>
      <c r="G358" s="46" t="str">
        <f t="shared" si="9"/>
        <v>No</v>
      </c>
    </row>
    <row r="359" spans="1:8">
      <c r="A359" s="13">
        <f t="shared" si="10"/>
        <v>355</v>
      </c>
      <c r="B359" s="35" t="s">
        <v>545</v>
      </c>
      <c r="C359" s="228">
        <v>2010</v>
      </c>
      <c r="D359" s="197">
        <v>45</v>
      </c>
      <c r="E359" s="198" t="s">
        <v>39</v>
      </c>
      <c r="F359" s="206">
        <v>85</v>
      </c>
      <c r="G359" s="46" t="str">
        <f t="shared" si="9"/>
        <v>No</v>
      </c>
    </row>
    <row r="360" spans="1:8">
      <c r="A360" s="13">
        <f t="shared" si="10"/>
        <v>356</v>
      </c>
      <c r="B360" s="35" t="s">
        <v>546</v>
      </c>
      <c r="C360" s="228">
        <v>2010</v>
      </c>
      <c r="D360" s="197">
        <v>8.68</v>
      </c>
      <c r="E360" s="198" t="s">
        <v>39</v>
      </c>
      <c r="F360" s="206">
        <v>0</v>
      </c>
      <c r="G360" s="46" t="str">
        <f t="shared" si="9"/>
        <v/>
      </c>
      <c r="H360" s="12" t="s">
        <v>547</v>
      </c>
    </row>
    <row r="361" spans="1:8">
      <c r="A361" s="13">
        <f t="shared" si="10"/>
        <v>357</v>
      </c>
      <c r="B361" s="35" t="s">
        <v>548</v>
      </c>
      <c r="C361" s="228">
        <v>2010</v>
      </c>
      <c r="D361" s="197">
        <v>8.1</v>
      </c>
      <c r="E361" s="198" t="s">
        <v>39</v>
      </c>
      <c r="F361" s="206">
        <v>0</v>
      </c>
      <c r="G361" s="46" t="str">
        <f t="shared" si="9"/>
        <v/>
      </c>
      <c r="H361" s="12" t="s">
        <v>587</v>
      </c>
    </row>
    <row r="362" spans="1:8">
      <c r="A362" s="13">
        <f t="shared" si="10"/>
        <v>358</v>
      </c>
      <c r="B362" s="35" t="s">
        <v>549</v>
      </c>
      <c r="C362" s="228">
        <v>2010</v>
      </c>
      <c r="D362" s="197">
        <v>34.14</v>
      </c>
      <c r="E362" s="198" t="s">
        <v>39</v>
      </c>
      <c r="F362" s="206">
        <v>116</v>
      </c>
      <c r="G362" s="46" t="str">
        <f t="shared" si="9"/>
        <v>No</v>
      </c>
    </row>
    <row r="363" spans="1:8">
      <c r="A363" s="13">
        <f t="shared" si="10"/>
        <v>359</v>
      </c>
      <c r="B363" s="35" t="s">
        <v>550</v>
      </c>
      <c r="C363" s="228">
        <v>2010</v>
      </c>
      <c r="D363" s="197">
        <v>82.5</v>
      </c>
      <c r="E363" s="198" t="s">
        <v>39</v>
      </c>
      <c r="F363" s="206">
        <v>0</v>
      </c>
      <c r="G363" s="46" t="str">
        <f t="shared" si="9"/>
        <v/>
      </c>
      <c r="H363" s="12" t="s">
        <v>551</v>
      </c>
    </row>
    <row r="364" spans="1:8">
      <c r="A364" s="13">
        <f t="shared" si="10"/>
        <v>360</v>
      </c>
      <c r="B364" s="35" t="s">
        <v>552</v>
      </c>
      <c r="C364" s="228">
        <v>2010</v>
      </c>
      <c r="D364" s="197">
        <v>5.6479999999999997</v>
      </c>
      <c r="E364" s="198" t="s">
        <v>39</v>
      </c>
      <c r="F364" s="206">
        <v>19</v>
      </c>
      <c r="G364" s="46" t="str">
        <f t="shared" si="9"/>
        <v>No</v>
      </c>
    </row>
    <row r="365" spans="1:8">
      <c r="A365" s="13">
        <f t="shared" si="10"/>
        <v>361</v>
      </c>
      <c r="B365" s="35" t="s">
        <v>553</v>
      </c>
      <c r="C365" s="228">
        <v>2010</v>
      </c>
      <c r="D365" s="197">
        <v>4.4400000000000004</v>
      </c>
      <c r="E365" s="198" t="s">
        <v>39</v>
      </c>
      <c r="F365" s="206">
        <v>15</v>
      </c>
      <c r="G365" s="46" t="str">
        <f t="shared" si="9"/>
        <v>No</v>
      </c>
    </row>
    <row r="366" spans="1:8">
      <c r="A366" s="13">
        <f t="shared" si="10"/>
        <v>362</v>
      </c>
      <c r="B366" s="35" t="s">
        <v>554</v>
      </c>
      <c r="C366" s="228">
        <v>2010</v>
      </c>
      <c r="D366" s="197">
        <v>16.423999999999999</v>
      </c>
      <c r="E366" s="198" t="s">
        <v>39</v>
      </c>
      <c r="F366" s="206">
        <v>0</v>
      </c>
      <c r="G366" s="46" t="str">
        <f t="shared" si="9"/>
        <v/>
      </c>
      <c r="H366" s="12" t="s">
        <v>636</v>
      </c>
    </row>
    <row r="367" spans="1:8">
      <c r="A367" s="13">
        <f t="shared" si="10"/>
        <v>363</v>
      </c>
      <c r="B367" s="35" t="s">
        <v>555</v>
      </c>
      <c r="C367" s="228">
        <v>2010</v>
      </c>
      <c r="D367" s="197">
        <v>38.25</v>
      </c>
      <c r="E367" s="198" t="s">
        <v>39</v>
      </c>
      <c r="F367" s="206">
        <v>123</v>
      </c>
      <c r="G367" s="46" t="str">
        <f t="shared" si="9"/>
        <v>No</v>
      </c>
    </row>
    <row r="368" spans="1:8">
      <c r="A368" s="13">
        <f t="shared" si="10"/>
        <v>364</v>
      </c>
      <c r="B368" s="35" t="s">
        <v>534</v>
      </c>
      <c r="C368" s="228">
        <v>2010</v>
      </c>
      <c r="D368" s="197">
        <v>5.9130000000000003</v>
      </c>
      <c r="E368" s="198" t="s">
        <v>39</v>
      </c>
      <c r="F368" s="206">
        <v>0</v>
      </c>
      <c r="G368" s="46" t="str">
        <f>IF(F368&lt;&gt;0,"No","")</f>
        <v/>
      </c>
      <c r="H368" s="12" t="s">
        <v>455</v>
      </c>
    </row>
    <row r="369" spans="1:8">
      <c r="A369" s="13">
        <f t="shared" si="10"/>
        <v>365</v>
      </c>
      <c r="B369" s="35" t="s">
        <v>556</v>
      </c>
      <c r="C369" s="228">
        <v>2010</v>
      </c>
      <c r="D369" s="197">
        <v>6.24</v>
      </c>
      <c r="E369" s="198" t="s">
        <v>39</v>
      </c>
      <c r="F369" s="206">
        <v>22</v>
      </c>
      <c r="G369" s="46" t="str">
        <f t="shared" si="9"/>
        <v>No</v>
      </c>
    </row>
    <row r="370" spans="1:8">
      <c r="A370" s="13">
        <f t="shared" si="10"/>
        <v>366</v>
      </c>
      <c r="B370" s="35" t="s">
        <v>557</v>
      </c>
      <c r="C370" s="228">
        <v>2010</v>
      </c>
      <c r="D370" s="197">
        <v>22.5</v>
      </c>
      <c r="E370" s="198" t="s">
        <v>39</v>
      </c>
      <c r="F370" s="206">
        <v>83</v>
      </c>
      <c r="G370" s="46" t="str">
        <f t="shared" si="9"/>
        <v>No</v>
      </c>
    </row>
    <row r="371" spans="1:8">
      <c r="A371" s="13">
        <f t="shared" si="10"/>
        <v>367</v>
      </c>
      <c r="B371" s="35" t="s">
        <v>558</v>
      </c>
      <c r="C371" s="228">
        <v>2010</v>
      </c>
      <c r="D371" s="197">
        <v>14.58</v>
      </c>
      <c r="E371" s="198" t="s">
        <v>39</v>
      </c>
      <c r="F371" s="206">
        <v>0</v>
      </c>
      <c r="G371" s="46" t="str">
        <f t="shared" si="9"/>
        <v/>
      </c>
      <c r="H371" s="12" t="s">
        <v>559</v>
      </c>
    </row>
    <row r="372" spans="1:8">
      <c r="A372" s="13">
        <f t="shared" si="10"/>
        <v>368</v>
      </c>
      <c r="B372" s="35" t="s">
        <v>560</v>
      </c>
      <c r="C372" s="228">
        <v>2010</v>
      </c>
      <c r="D372" s="197">
        <v>10.007999999999999</v>
      </c>
      <c r="E372" s="198" t="s">
        <v>39</v>
      </c>
      <c r="F372" s="206">
        <v>43</v>
      </c>
      <c r="G372" s="46" t="str">
        <f t="shared" ref="G372:G418" si="11">IF(F372&lt;&gt;0,"No","")</f>
        <v>No</v>
      </c>
    </row>
    <row r="373" spans="1:8">
      <c r="A373" s="13">
        <f t="shared" si="10"/>
        <v>369</v>
      </c>
      <c r="B373" s="35" t="s">
        <v>561</v>
      </c>
      <c r="C373" s="228">
        <v>2010</v>
      </c>
      <c r="D373" s="197">
        <v>7.03</v>
      </c>
      <c r="E373" s="198" t="s">
        <v>39</v>
      </c>
      <c r="F373" s="206">
        <v>0</v>
      </c>
      <c r="G373" s="46" t="str">
        <f t="shared" si="11"/>
        <v/>
      </c>
      <c r="H373" s="12" t="s">
        <v>562</v>
      </c>
    </row>
    <row r="374" spans="1:8">
      <c r="A374" s="13">
        <f t="shared" si="10"/>
        <v>370</v>
      </c>
      <c r="B374" s="35" t="s">
        <v>563</v>
      </c>
      <c r="C374" s="228">
        <v>2010</v>
      </c>
      <c r="D374" s="197">
        <v>1.5920000000000001</v>
      </c>
      <c r="E374" s="198" t="s">
        <v>39</v>
      </c>
      <c r="F374" s="206">
        <v>8</v>
      </c>
      <c r="G374" s="46" t="str">
        <f t="shared" si="11"/>
        <v>No</v>
      </c>
    </row>
    <row r="375" spans="1:8">
      <c r="A375" s="13">
        <f t="shared" si="10"/>
        <v>371</v>
      </c>
      <c r="B375" s="35" t="s">
        <v>564</v>
      </c>
      <c r="C375" s="228">
        <v>2010</v>
      </c>
      <c r="D375" s="197">
        <v>25.2</v>
      </c>
      <c r="E375" s="198" t="s">
        <v>39</v>
      </c>
      <c r="F375" s="206">
        <v>103</v>
      </c>
      <c r="G375" s="46" t="str">
        <f t="shared" si="11"/>
        <v>No</v>
      </c>
    </row>
    <row r="376" spans="1:8">
      <c r="A376" s="13">
        <f t="shared" si="10"/>
        <v>372</v>
      </c>
      <c r="B376" s="35" t="s">
        <v>581</v>
      </c>
      <c r="C376" s="228">
        <v>2010</v>
      </c>
      <c r="D376" s="197">
        <v>2.36</v>
      </c>
      <c r="E376" s="198" t="s">
        <v>39</v>
      </c>
      <c r="F376" s="206">
        <v>14</v>
      </c>
      <c r="G376" s="46" t="str">
        <f t="shared" si="11"/>
        <v>No</v>
      </c>
    </row>
    <row r="377" spans="1:8">
      <c r="A377" s="13">
        <f t="shared" si="10"/>
        <v>373</v>
      </c>
      <c r="B377" s="35" t="s">
        <v>565</v>
      </c>
      <c r="C377" s="228">
        <v>2010</v>
      </c>
      <c r="D377" s="197">
        <v>40.5</v>
      </c>
      <c r="E377" s="198" t="s">
        <v>39</v>
      </c>
      <c r="F377" s="206">
        <v>106</v>
      </c>
      <c r="G377" s="46" t="str">
        <f t="shared" si="11"/>
        <v>No</v>
      </c>
    </row>
    <row r="378" spans="1:8">
      <c r="A378" s="13">
        <f t="shared" si="10"/>
        <v>374</v>
      </c>
      <c r="B378" s="35" t="s">
        <v>566</v>
      </c>
      <c r="C378" s="228">
        <v>2010</v>
      </c>
      <c r="D378" s="197">
        <v>28</v>
      </c>
      <c r="E378" s="198" t="s">
        <v>39</v>
      </c>
      <c r="F378" s="206">
        <v>0</v>
      </c>
      <c r="G378" s="46" t="str">
        <f t="shared" si="11"/>
        <v/>
      </c>
      <c r="H378" s="12" t="s">
        <v>637</v>
      </c>
    </row>
    <row r="379" spans="1:8">
      <c r="A379" s="13">
        <f t="shared" si="10"/>
        <v>375</v>
      </c>
      <c r="B379" s="35" t="s">
        <v>568</v>
      </c>
      <c r="C379" s="228">
        <v>2010</v>
      </c>
      <c r="D379" s="197">
        <v>26.14</v>
      </c>
      <c r="E379" s="198" t="s">
        <v>39</v>
      </c>
      <c r="F379" s="206">
        <v>0</v>
      </c>
      <c r="G379" s="46" t="str">
        <f t="shared" si="11"/>
        <v/>
      </c>
      <c r="H379" s="12" t="s">
        <v>567</v>
      </c>
    </row>
    <row r="380" spans="1:8">
      <c r="A380" s="13">
        <f t="shared" si="10"/>
        <v>376</v>
      </c>
      <c r="B380" s="35" t="s">
        <v>569</v>
      </c>
      <c r="C380" s="228">
        <v>2010</v>
      </c>
      <c r="D380" s="197">
        <v>4</v>
      </c>
      <c r="E380" s="198" t="s">
        <v>39</v>
      </c>
      <c r="F380" s="206">
        <v>9</v>
      </c>
      <c r="G380" s="46" t="str">
        <f t="shared" si="11"/>
        <v>No</v>
      </c>
    </row>
    <row r="381" spans="1:8">
      <c r="A381" s="13">
        <f t="shared" si="10"/>
        <v>377</v>
      </c>
      <c r="B381" s="35" t="s">
        <v>570</v>
      </c>
      <c r="C381" s="228">
        <v>2010</v>
      </c>
      <c r="D381" s="197">
        <v>1.42</v>
      </c>
      <c r="E381" s="198" t="s">
        <v>39</v>
      </c>
      <c r="F381" s="206">
        <v>6</v>
      </c>
      <c r="G381" s="46" t="str">
        <f t="shared" si="11"/>
        <v>No</v>
      </c>
    </row>
    <row r="382" spans="1:8">
      <c r="A382" s="13">
        <f t="shared" si="10"/>
        <v>378</v>
      </c>
      <c r="B382" s="35" t="s">
        <v>571</v>
      </c>
      <c r="C382" s="228">
        <v>2010</v>
      </c>
      <c r="D382" s="197">
        <v>3.1</v>
      </c>
      <c r="E382" s="198" t="s">
        <v>39</v>
      </c>
      <c r="F382" s="206">
        <v>10</v>
      </c>
      <c r="G382" s="46" t="str">
        <f t="shared" si="11"/>
        <v>No</v>
      </c>
    </row>
    <row r="383" spans="1:8">
      <c r="A383" s="13">
        <f t="shared" si="10"/>
        <v>379</v>
      </c>
      <c r="B383" s="35" t="s">
        <v>572</v>
      </c>
      <c r="C383" s="228">
        <v>2010</v>
      </c>
      <c r="D383" s="197">
        <v>21.456</v>
      </c>
      <c r="E383" s="198" t="s">
        <v>39</v>
      </c>
      <c r="F383" s="206">
        <v>87</v>
      </c>
      <c r="G383" s="46" t="str">
        <f t="shared" si="11"/>
        <v>No</v>
      </c>
    </row>
    <row r="384" spans="1:8">
      <c r="A384" s="13">
        <f t="shared" si="10"/>
        <v>380</v>
      </c>
      <c r="B384" s="35" t="s">
        <v>573</v>
      </c>
      <c r="C384" s="228">
        <v>2010</v>
      </c>
      <c r="D384" s="197">
        <v>7.12</v>
      </c>
      <c r="E384" s="198" t="s">
        <v>39</v>
      </c>
      <c r="F384" s="206">
        <v>35</v>
      </c>
      <c r="G384" s="46" t="str">
        <f t="shared" si="11"/>
        <v>No</v>
      </c>
    </row>
    <row r="385" spans="1:8">
      <c r="A385" s="13">
        <f t="shared" si="10"/>
        <v>381</v>
      </c>
      <c r="B385" s="35" t="s">
        <v>582</v>
      </c>
      <c r="C385" s="228">
        <v>2010</v>
      </c>
      <c r="D385" s="197">
        <v>-18.065999999999999</v>
      </c>
      <c r="E385" s="198" t="s">
        <v>39</v>
      </c>
      <c r="F385" s="206">
        <v>0</v>
      </c>
      <c r="G385" s="46" t="str">
        <f t="shared" si="11"/>
        <v/>
      </c>
      <c r="H385" s="26" t="s">
        <v>455</v>
      </c>
    </row>
    <row r="386" spans="1:8">
      <c r="A386" s="13">
        <f t="shared" si="10"/>
        <v>382</v>
      </c>
      <c r="B386" s="35" t="s">
        <v>574</v>
      </c>
      <c r="C386" s="228">
        <v>2010</v>
      </c>
      <c r="D386" s="197">
        <v>97</v>
      </c>
      <c r="E386" s="198" t="s">
        <v>132</v>
      </c>
      <c r="F386" s="206">
        <v>372</v>
      </c>
      <c r="G386" s="46" t="str">
        <f t="shared" si="11"/>
        <v>No</v>
      </c>
    </row>
    <row r="387" spans="1:8">
      <c r="A387" s="13">
        <f t="shared" si="10"/>
        <v>383</v>
      </c>
      <c r="B387" s="35" t="s">
        <v>575</v>
      </c>
      <c r="C387" s="228">
        <v>2010</v>
      </c>
      <c r="D387" s="197">
        <v>15.68</v>
      </c>
      <c r="E387" s="198" t="s">
        <v>39</v>
      </c>
      <c r="F387" s="206">
        <v>0</v>
      </c>
      <c r="G387" s="46" t="str">
        <f t="shared" si="11"/>
        <v/>
      </c>
      <c r="H387" s="12" t="s">
        <v>576</v>
      </c>
    </row>
    <row r="388" spans="1:8">
      <c r="A388" s="13">
        <f t="shared" si="10"/>
        <v>384</v>
      </c>
      <c r="B388" s="35" t="s">
        <v>577</v>
      </c>
      <c r="C388" s="228">
        <v>2010</v>
      </c>
      <c r="D388" s="197">
        <v>19.899999999999999</v>
      </c>
      <c r="E388" s="198" t="s">
        <v>39</v>
      </c>
      <c r="F388" s="206">
        <v>0</v>
      </c>
      <c r="G388" s="46" t="str">
        <f t="shared" si="11"/>
        <v/>
      </c>
      <c r="H388" s="12" t="s">
        <v>578</v>
      </c>
    </row>
    <row r="389" spans="1:8">
      <c r="A389" s="13">
        <f t="shared" si="10"/>
        <v>385</v>
      </c>
      <c r="B389" s="35" t="s">
        <v>583</v>
      </c>
      <c r="C389" s="228">
        <v>2010</v>
      </c>
      <c r="D389" s="197">
        <v>7.35</v>
      </c>
      <c r="E389" s="198" t="s">
        <v>39</v>
      </c>
      <c r="F389" s="206">
        <v>21</v>
      </c>
      <c r="G389" s="46" t="str">
        <f t="shared" si="11"/>
        <v>No</v>
      </c>
    </row>
    <row r="390" spans="1:8">
      <c r="A390" s="13">
        <f t="shared" si="10"/>
        <v>386</v>
      </c>
      <c r="B390" s="35" t="s">
        <v>584</v>
      </c>
      <c r="C390" s="228">
        <v>2010</v>
      </c>
      <c r="D390" s="197">
        <v>27.33</v>
      </c>
      <c r="E390" s="198" t="s">
        <v>39</v>
      </c>
      <c r="F390" s="206">
        <v>113</v>
      </c>
      <c r="G390" s="46" t="str">
        <f t="shared" si="11"/>
        <v>No</v>
      </c>
    </row>
    <row r="391" spans="1:8">
      <c r="A391" s="13">
        <f t="shared" ref="A391:A418" si="12">A390+1</f>
        <v>387</v>
      </c>
      <c r="B391" s="35" t="s">
        <v>585</v>
      </c>
      <c r="C391" s="228">
        <v>2010</v>
      </c>
      <c r="D391" s="197">
        <v>19.600000000000001</v>
      </c>
      <c r="E391" s="198" t="s">
        <v>39</v>
      </c>
      <c r="F391" s="206">
        <v>40.5</v>
      </c>
      <c r="G391" s="46" t="str">
        <f t="shared" si="11"/>
        <v>No</v>
      </c>
    </row>
    <row r="392" spans="1:8">
      <c r="A392" s="13">
        <f t="shared" si="12"/>
        <v>388</v>
      </c>
      <c r="B392" s="35" t="s">
        <v>586</v>
      </c>
      <c r="C392" s="228">
        <v>2010</v>
      </c>
      <c r="D392" s="197">
        <v>4.96</v>
      </c>
      <c r="E392" s="198" t="s">
        <v>39</v>
      </c>
      <c r="F392" s="206">
        <v>0</v>
      </c>
      <c r="G392" s="46" t="str">
        <f t="shared" si="11"/>
        <v/>
      </c>
      <c r="H392" s="12" t="s">
        <v>587</v>
      </c>
    </row>
    <row r="393" spans="1:8">
      <c r="A393" s="13">
        <f t="shared" si="12"/>
        <v>389</v>
      </c>
      <c r="B393" s="35" t="s">
        <v>575</v>
      </c>
      <c r="C393" s="228">
        <v>2010</v>
      </c>
      <c r="D393" s="197">
        <v>15.68</v>
      </c>
      <c r="E393" s="198" t="s">
        <v>39</v>
      </c>
      <c r="F393" s="206">
        <v>0</v>
      </c>
      <c r="G393" s="46" t="str">
        <f t="shared" si="11"/>
        <v/>
      </c>
      <c r="H393" s="12" t="s">
        <v>576</v>
      </c>
    </row>
    <row r="394" spans="1:8">
      <c r="A394" s="13">
        <f t="shared" si="12"/>
        <v>390</v>
      </c>
      <c r="B394" s="35" t="s">
        <v>577</v>
      </c>
      <c r="C394" s="228">
        <v>2010</v>
      </c>
      <c r="D394" s="197">
        <v>8.82</v>
      </c>
      <c r="E394" s="198" t="s">
        <v>39</v>
      </c>
      <c r="F394" s="206">
        <v>0</v>
      </c>
      <c r="G394" s="46" t="str">
        <f t="shared" si="11"/>
        <v/>
      </c>
      <c r="H394" s="12" t="s">
        <v>578</v>
      </c>
    </row>
    <row r="395" spans="1:8">
      <c r="A395" s="13">
        <f t="shared" si="12"/>
        <v>391</v>
      </c>
      <c r="B395" s="35" t="s">
        <v>588</v>
      </c>
      <c r="C395" s="228">
        <v>2010</v>
      </c>
      <c r="D395" s="197">
        <v>155.33000000000001</v>
      </c>
      <c r="E395" s="198" t="s">
        <v>132</v>
      </c>
      <c r="F395" s="206">
        <v>474</v>
      </c>
      <c r="G395" s="46" t="str">
        <f t="shared" si="11"/>
        <v>No</v>
      </c>
    </row>
    <row r="396" spans="1:8">
      <c r="A396" s="13">
        <f t="shared" si="12"/>
        <v>392</v>
      </c>
      <c r="B396" s="35" t="s">
        <v>589</v>
      </c>
      <c r="C396" s="228">
        <v>2010</v>
      </c>
      <c r="D396" s="197">
        <v>12</v>
      </c>
      <c r="E396" s="198" t="s">
        <v>39</v>
      </c>
      <c r="F396" s="206">
        <v>26</v>
      </c>
      <c r="G396" s="46" t="str">
        <f t="shared" si="11"/>
        <v>No</v>
      </c>
    </row>
    <row r="397" spans="1:8">
      <c r="A397" s="13">
        <f t="shared" si="12"/>
        <v>393</v>
      </c>
      <c r="B397" s="35" t="s">
        <v>590</v>
      </c>
      <c r="C397" s="228">
        <v>2010</v>
      </c>
      <c r="D397" s="197">
        <v>69.34</v>
      </c>
      <c r="E397" s="198" t="s">
        <v>132</v>
      </c>
      <c r="F397" s="206">
        <v>223</v>
      </c>
      <c r="G397" s="46" t="str">
        <f t="shared" si="11"/>
        <v>No</v>
      </c>
    </row>
    <row r="398" spans="1:8">
      <c r="A398" s="13">
        <f t="shared" si="12"/>
        <v>394</v>
      </c>
      <c r="B398" s="35" t="s">
        <v>591</v>
      </c>
      <c r="C398" s="228">
        <v>2010</v>
      </c>
      <c r="D398" s="197">
        <v>11.1</v>
      </c>
      <c r="E398" s="198" t="s">
        <v>39</v>
      </c>
      <c r="F398" s="206">
        <v>0</v>
      </c>
      <c r="G398" s="46" t="str">
        <f t="shared" si="11"/>
        <v/>
      </c>
      <c r="H398" s="12" t="s">
        <v>578</v>
      </c>
    </row>
    <row r="399" spans="1:8">
      <c r="A399" s="13">
        <f t="shared" si="12"/>
        <v>395</v>
      </c>
      <c r="B399" s="35" t="s">
        <v>592</v>
      </c>
      <c r="C399" s="228">
        <v>2010</v>
      </c>
      <c r="D399" s="197">
        <v>14.54</v>
      </c>
      <c r="E399" s="198" t="s">
        <v>39</v>
      </c>
      <c r="F399" s="206">
        <v>63</v>
      </c>
      <c r="G399" s="46" t="str">
        <f t="shared" si="11"/>
        <v>No</v>
      </c>
    </row>
    <row r="400" spans="1:8">
      <c r="A400" s="13">
        <f t="shared" si="12"/>
        <v>396</v>
      </c>
      <c r="B400" s="35" t="s">
        <v>415</v>
      </c>
      <c r="C400" s="228">
        <v>2010</v>
      </c>
      <c r="D400" s="197">
        <v>55</v>
      </c>
      <c r="E400" s="198" t="s">
        <v>18</v>
      </c>
      <c r="F400" s="206">
        <v>0</v>
      </c>
      <c r="G400" s="46" t="str">
        <f t="shared" si="11"/>
        <v/>
      </c>
      <c r="H400" s="12" t="s">
        <v>459</v>
      </c>
    </row>
    <row r="401" spans="1:8">
      <c r="A401" s="13">
        <f t="shared" si="12"/>
        <v>397</v>
      </c>
      <c r="B401" s="35" t="s">
        <v>593</v>
      </c>
      <c r="C401" s="228">
        <v>2010</v>
      </c>
      <c r="D401" s="197">
        <v>24</v>
      </c>
      <c r="E401" s="198" t="s">
        <v>18</v>
      </c>
      <c r="F401" s="206">
        <v>0</v>
      </c>
      <c r="G401" s="46" t="str">
        <f t="shared" si="11"/>
        <v/>
      </c>
      <c r="H401" s="12" t="s">
        <v>594</v>
      </c>
    </row>
    <row r="402" spans="1:8">
      <c r="A402" s="13">
        <f t="shared" si="12"/>
        <v>398</v>
      </c>
      <c r="B402" s="35" t="s">
        <v>595</v>
      </c>
      <c r="C402" s="228">
        <v>2010</v>
      </c>
      <c r="D402" s="197">
        <v>34.200000000000003</v>
      </c>
      <c r="E402" s="198" t="s">
        <v>18</v>
      </c>
      <c r="F402" s="206">
        <v>0</v>
      </c>
      <c r="G402" s="46" t="str">
        <f t="shared" si="11"/>
        <v/>
      </c>
      <c r="H402" s="12" t="s">
        <v>596</v>
      </c>
    </row>
    <row r="403" spans="1:8">
      <c r="A403" s="13">
        <f t="shared" si="12"/>
        <v>399</v>
      </c>
      <c r="B403" s="35" t="s">
        <v>597</v>
      </c>
      <c r="C403" s="228">
        <v>2010</v>
      </c>
      <c r="D403" s="197">
        <v>10</v>
      </c>
      <c r="E403" s="198" t="s">
        <v>18</v>
      </c>
      <c r="F403" s="206">
        <v>0</v>
      </c>
      <c r="G403" s="46" t="str">
        <f t="shared" si="11"/>
        <v/>
      </c>
      <c r="H403" s="12" t="s">
        <v>447</v>
      </c>
    </row>
    <row r="404" spans="1:8">
      <c r="A404" s="13">
        <f t="shared" si="12"/>
        <v>400</v>
      </c>
      <c r="B404" s="35" t="s">
        <v>598</v>
      </c>
      <c r="C404" s="228">
        <v>2010</v>
      </c>
      <c r="D404" s="197">
        <v>33</v>
      </c>
      <c r="E404" s="198" t="s">
        <v>18</v>
      </c>
      <c r="F404" s="206">
        <v>0</v>
      </c>
      <c r="G404" s="46" t="str">
        <f t="shared" si="11"/>
        <v/>
      </c>
      <c r="H404" s="12" t="s">
        <v>599</v>
      </c>
    </row>
    <row r="405" spans="1:8">
      <c r="A405" s="13">
        <f t="shared" si="12"/>
        <v>401</v>
      </c>
      <c r="B405" s="35" t="s">
        <v>600</v>
      </c>
      <c r="C405" s="228">
        <v>2010</v>
      </c>
      <c r="D405" s="197">
        <v>15</v>
      </c>
      <c r="E405" s="198" t="s">
        <v>18</v>
      </c>
      <c r="F405" s="206">
        <v>0</v>
      </c>
      <c r="G405" s="46" t="str">
        <f t="shared" si="11"/>
        <v/>
      </c>
      <c r="H405" s="12" t="s">
        <v>601</v>
      </c>
    </row>
    <row r="406" spans="1:8">
      <c r="A406" s="13">
        <f t="shared" si="12"/>
        <v>402</v>
      </c>
      <c r="B406" s="35" t="s">
        <v>602</v>
      </c>
      <c r="C406" s="228">
        <v>2010</v>
      </c>
      <c r="D406" s="197">
        <v>90</v>
      </c>
      <c r="E406" s="198" t="s">
        <v>18</v>
      </c>
      <c r="F406" s="206">
        <v>0</v>
      </c>
      <c r="G406" s="46" t="str">
        <f t="shared" si="11"/>
        <v/>
      </c>
      <c r="H406" s="12" t="s">
        <v>603</v>
      </c>
    </row>
    <row r="407" spans="1:8">
      <c r="A407" s="13">
        <f t="shared" si="12"/>
        <v>403</v>
      </c>
      <c r="B407" s="35" t="s">
        <v>604</v>
      </c>
      <c r="C407" s="228">
        <v>2010</v>
      </c>
      <c r="D407" s="197">
        <v>15</v>
      </c>
      <c r="E407" s="198" t="s">
        <v>18</v>
      </c>
      <c r="F407" s="206">
        <v>0</v>
      </c>
      <c r="G407" s="46" t="str">
        <f t="shared" si="11"/>
        <v/>
      </c>
      <c r="H407" s="12" t="s">
        <v>605</v>
      </c>
    </row>
    <row r="408" spans="1:8">
      <c r="A408" s="13">
        <f t="shared" si="12"/>
        <v>404</v>
      </c>
      <c r="B408" s="35" t="s">
        <v>414</v>
      </c>
      <c r="C408" s="228">
        <v>2010</v>
      </c>
      <c r="D408" s="197">
        <v>1.8</v>
      </c>
      <c r="E408" s="198" t="s">
        <v>18</v>
      </c>
      <c r="F408" s="206">
        <v>0</v>
      </c>
      <c r="G408" s="46" t="str">
        <f t="shared" si="11"/>
        <v/>
      </c>
      <c r="H408" s="12" t="s">
        <v>458</v>
      </c>
    </row>
    <row r="409" spans="1:8">
      <c r="A409" s="13">
        <f t="shared" si="12"/>
        <v>405</v>
      </c>
      <c r="B409" s="35" t="s">
        <v>606</v>
      </c>
      <c r="C409" s="228">
        <v>2010</v>
      </c>
      <c r="D409" s="197">
        <v>22.5</v>
      </c>
      <c r="E409" s="198" t="s">
        <v>18</v>
      </c>
      <c r="F409" s="206">
        <v>0</v>
      </c>
      <c r="G409" s="46" t="str">
        <f t="shared" si="11"/>
        <v/>
      </c>
      <c r="H409" s="12" t="s">
        <v>459</v>
      </c>
    </row>
    <row r="410" spans="1:8">
      <c r="A410" s="13">
        <f t="shared" si="12"/>
        <v>406</v>
      </c>
      <c r="B410" s="35" t="s">
        <v>419</v>
      </c>
      <c r="C410" s="228">
        <v>2010</v>
      </c>
      <c r="D410" s="197">
        <v>7.5</v>
      </c>
      <c r="E410" s="198" t="s">
        <v>18</v>
      </c>
      <c r="F410" s="206">
        <v>0</v>
      </c>
      <c r="G410" s="46" t="str">
        <f t="shared" si="11"/>
        <v/>
      </c>
      <c r="H410" s="12" t="s">
        <v>463</v>
      </c>
    </row>
    <row r="411" spans="1:8">
      <c r="A411" s="13">
        <f t="shared" si="12"/>
        <v>407</v>
      </c>
      <c r="B411" s="35" t="s">
        <v>420</v>
      </c>
      <c r="C411" s="228">
        <v>2010</v>
      </c>
      <c r="D411" s="197">
        <v>12</v>
      </c>
      <c r="E411" s="198" t="s">
        <v>18</v>
      </c>
      <c r="F411" s="206">
        <v>0</v>
      </c>
      <c r="G411" s="46" t="str">
        <f t="shared" si="11"/>
        <v/>
      </c>
      <c r="H411" s="12" t="s">
        <v>464</v>
      </c>
    </row>
    <row r="412" spans="1:8">
      <c r="A412" s="13">
        <f t="shared" si="12"/>
        <v>408</v>
      </c>
      <c r="B412" s="35" t="s">
        <v>607</v>
      </c>
      <c r="C412" s="228">
        <v>2010</v>
      </c>
      <c r="D412" s="197">
        <v>35</v>
      </c>
      <c r="E412" s="198" t="s">
        <v>18</v>
      </c>
      <c r="F412" s="206">
        <v>0</v>
      </c>
      <c r="G412" s="46" t="str">
        <f t="shared" si="11"/>
        <v/>
      </c>
      <c r="H412" s="12" t="s">
        <v>608</v>
      </c>
    </row>
    <row r="413" spans="1:8">
      <c r="A413" s="13">
        <f t="shared" si="12"/>
        <v>409</v>
      </c>
      <c r="B413" s="35" t="s">
        <v>609</v>
      </c>
      <c r="C413" s="228">
        <v>2010</v>
      </c>
      <c r="D413" s="197">
        <v>90</v>
      </c>
      <c r="E413" s="198" t="s">
        <v>18</v>
      </c>
      <c r="F413" s="206">
        <v>0</v>
      </c>
      <c r="G413" s="46" t="str">
        <f t="shared" si="11"/>
        <v/>
      </c>
      <c r="H413" s="12" t="s">
        <v>462</v>
      </c>
    </row>
    <row r="414" spans="1:8">
      <c r="A414" s="13">
        <f t="shared" si="12"/>
        <v>410</v>
      </c>
      <c r="B414" s="35" t="s">
        <v>610</v>
      </c>
      <c r="C414" s="228">
        <v>2010</v>
      </c>
      <c r="D414" s="197">
        <v>6</v>
      </c>
      <c r="E414" s="198" t="s">
        <v>18</v>
      </c>
      <c r="F414" s="206">
        <v>0</v>
      </c>
      <c r="G414" s="46" t="str">
        <f t="shared" si="11"/>
        <v/>
      </c>
      <c r="H414" s="12" t="s">
        <v>465</v>
      </c>
    </row>
    <row r="415" spans="1:8">
      <c r="A415" s="13">
        <f t="shared" si="12"/>
        <v>411</v>
      </c>
      <c r="B415" s="35" t="s">
        <v>611</v>
      </c>
      <c r="C415" s="228">
        <v>2010</v>
      </c>
      <c r="D415" s="197">
        <v>15</v>
      </c>
      <c r="E415" s="198" t="s">
        <v>18</v>
      </c>
      <c r="F415" s="206">
        <v>0</v>
      </c>
      <c r="G415" s="46" t="str">
        <f t="shared" si="11"/>
        <v/>
      </c>
      <c r="H415" s="12" t="s">
        <v>460</v>
      </c>
    </row>
    <row r="416" spans="1:8">
      <c r="A416" s="13">
        <f t="shared" si="12"/>
        <v>412</v>
      </c>
      <c r="B416" s="35" t="s">
        <v>612</v>
      </c>
      <c r="C416" s="228">
        <v>2010</v>
      </c>
      <c r="D416" s="197">
        <v>25.6</v>
      </c>
      <c r="E416" s="198" t="s">
        <v>18</v>
      </c>
      <c r="F416" s="206">
        <v>0</v>
      </c>
      <c r="G416" s="46" t="str">
        <f t="shared" si="11"/>
        <v/>
      </c>
      <c r="H416" s="12" t="s">
        <v>613</v>
      </c>
    </row>
    <row r="417" spans="1:8">
      <c r="A417" s="13">
        <f t="shared" si="12"/>
        <v>413</v>
      </c>
      <c r="B417" s="35" t="s">
        <v>614</v>
      </c>
      <c r="C417" s="228">
        <v>2010</v>
      </c>
      <c r="D417" s="197">
        <v>15</v>
      </c>
      <c r="E417" s="198" t="s">
        <v>18</v>
      </c>
      <c r="F417" s="206">
        <v>0</v>
      </c>
      <c r="G417" s="46" t="str">
        <f t="shared" si="11"/>
        <v/>
      </c>
      <c r="H417" s="12" t="s">
        <v>615</v>
      </c>
    </row>
    <row r="418" spans="1:8">
      <c r="A418" s="13">
        <f t="shared" si="12"/>
        <v>414</v>
      </c>
      <c r="B418" s="35" t="s">
        <v>616</v>
      </c>
      <c r="C418" s="228">
        <v>2010</v>
      </c>
      <c r="D418" s="197">
        <v>22</v>
      </c>
      <c r="E418" s="198" t="s">
        <v>18</v>
      </c>
      <c r="F418" s="206">
        <v>0</v>
      </c>
      <c r="G418" s="46" t="str">
        <f t="shared" si="11"/>
        <v/>
      </c>
      <c r="H418" s="12" t="s">
        <v>617</v>
      </c>
    </row>
    <row r="421" spans="1:8">
      <c r="B421" s="53" t="s">
        <v>259</v>
      </c>
      <c r="D421" s="60">
        <f>SUMIF(F165:F418,"&lt;&gt;0",D165:D418)</f>
        <v>6612.0310000000009</v>
      </c>
      <c r="F421" s="12"/>
    </row>
    <row r="422" spans="1:8" ht="40.799999999999997">
      <c r="C422" s="227" t="s">
        <v>673</v>
      </c>
      <c r="D422" s="211">
        <f>OM!F5*0.2</f>
        <v>42241.540000000008</v>
      </c>
      <c r="E422" s="227" t="s">
        <v>638</v>
      </c>
      <c r="F422" s="210">
        <f>SUM(F165:F418)</f>
        <v>42291.774743065442</v>
      </c>
      <c r="G422" s="61"/>
    </row>
    <row r="423" spans="1:8" ht="40.799999999999997">
      <c r="B423" s="52" t="s">
        <v>263</v>
      </c>
      <c r="E423" s="227" t="s">
        <v>639</v>
      </c>
      <c r="F423" s="210">
        <f>SUM(F166:F418)</f>
        <v>41921.774743065442</v>
      </c>
    </row>
    <row r="424" spans="1:8">
      <c r="A424" s="13">
        <v>1</v>
      </c>
      <c r="B424" s="40" t="s">
        <v>209</v>
      </c>
      <c r="C424" s="12" t="s">
        <v>475</v>
      </c>
    </row>
    <row r="425" spans="1:8">
      <c r="A425" s="13">
        <v>2</v>
      </c>
      <c r="B425" s="38" t="s">
        <v>210</v>
      </c>
      <c r="C425" s="12" t="s">
        <v>476</v>
      </c>
    </row>
    <row r="426" spans="1:8">
      <c r="A426" s="13">
        <v>3</v>
      </c>
      <c r="B426" s="38" t="s">
        <v>214</v>
      </c>
      <c r="C426" s="12" t="s">
        <v>264</v>
      </c>
    </row>
    <row r="427" spans="1:8">
      <c r="A427" s="13">
        <v>4</v>
      </c>
      <c r="B427" s="38" t="s">
        <v>434</v>
      </c>
      <c r="C427" s="12" t="s">
        <v>474</v>
      </c>
    </row>
    <row r="428" spans="1:8">
      <c r="A428" s="13">
        <v>5</v>
      </c>
      <c r="B428" s="38" t="s">
        <v>632</v>
      </c>
      <c r="C428" s="12" t="s">
        <v>674</v>
      </c>
    </row>
    <row r="429" spans="1:8">
      <c r="A429" s="13" t="s">
        <v>291</v>
      </c>
    </row>
    <row r="432" spans="1:8">
      <c r="A432" s="12"/>
      <c r="D432" s="12"/>
      <c r="F432" s="12"/>
    </row>
  </sheetData>
  <autoFilter ref="A4:F144"/>
  <mergeCells count="3">
    <mergeCell ref="A2:G2"/>
    <mergeCell ref="P269:S269"/>
    <mergeCell ref="J259:K259"/>
  </mergeCells>
  <phoneticPr fontId="34" type="noConversion"/>
  <hyperlinks>
    <hyperlink ref="K283" r:id="rId1"/>
    <hyperlink ref="K281" r:id="rId2"/>
    <hyperlink ref="K289" r:id="rId3"/>
    <hyperlink ref="B427" r:id="rId4"/>
    <hyperlink ref="B426" r:id="rId5"/>
    <hyperlink ref="B425" r:id="rId6"/>
    <hyperlink ref="B424" r:id="rId7"/>
    <hyperlink ref="L279" r:id="rId8"/>
    <hyperlink ref="B428" r:id="rId9"/>
  </hyperlinks>
  <pageMargins left="0.75" right="0.75" top="1" bottom="1" header="0.4921259845" footer="0.4921259845"/>
  <pageSetup paperSize="9" orientation="portrait" r:id="rId10"/>
  <headerFooter alignWithMargins="0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6"/>
  <sheetViews>
    <sheetView zoomScale="85" zoomScaleNormal="85" workbookViewId="0">
      <selection activeCell="D3" sqref="D3"/>
    </sheetView>
  </sheetViews>
  <sheetFormatPr defaultRowHeight="12.6"/>
  <cols>
    <col min="1" max="1" width="8.88671875" style="244"/>
    <col min="2" max="2" width="25.44140625" style="244" customWidth="1"/>
    <col min="3" max="3" width="22.5546875" style="244" customWidth="1"/>
    <col min="4" max="4" width="24.109375" style="244" customWidth="1"/>
    <col min="5" max="5" width="15.6640625" style="244" customWidth="1"/>
    <col min="6" max="6" width="20.5546875" style="244" customWidth="1"/>
    <col min="7" max="7" width="23.109375" style="244" customWidth="1"/>
    <col min="8" max="8" width="20.6640625" style="244" customWidth="1"/>
    <col min="9" max="9" width="14.88671875" style="244" customWidth="1"/>
    <col min="10" max="10" width="11.44140625" style="244" customWidth="1"/>
    <col min="11" max="11" width="15.109375" style="244" customWidth="1"/>
    <col min="12" max="12" width="17.6640625" style="244" customWidth="1"/>
    <col min="13" max="16384" width="8.88671875" style="244"/>
  </cols>
  <sheetData>
    <row r="2" spans="2:8">
      <c r="B2" s="254" t="s">
        <v>640</v>
      </c>
    </row>
    <row r="4" spans="2:8">
      <c r="B4" s="254" t="s">
        <v>658</v>
      </c>
      <c r="D4" s="255" t="s">
        <v>661</v>
      </c>
      <c r="E4" s="256">
        <v>11200</v>
      </c>
      <c r="F4" s="257" t="s">
        <v>293</v>
      </c>
      <c r="G4" s="256">
        <f>E4*6/12</f>
        <v>5600</v>
      </c>
      <c r="H4" s="258" t="s">
        <v>664</v>
      </c>
    </row>
    <row r="5" spans="2:8">
      <c r="B5" s="254"/>
      <c r="D5" s="255" t="s">
        <v>662</v>
      </c>
      <c r="E5" s="256">
        <v>16500</v>
      </c>
      <c r="F5" s="257" t="s">
        <v>293</v>
      </c>
      <c r="G5" s="256">
        <f>E5*6/12</f>
        <v>8250</v>
      </c>
      <c r="H5" s="258" t="s">
        <v>665</v>
      </c>
    </row>
    <row r="6" spans="2:8">
      <c r="D6" s="255" t="s">
        <v>663</v>
      </c>
      <c r="E6" s="259">
        <v>25886</v>
      </c>
      <c r="F6" s="257" t="s">
        <v>293</v>
      </c>
      <c r="G6" s="259">
        <f>E6</f>
        <v>25886</v>
      </c>
      <c r="H6" s="258" t="s">
        <v>666</v>
      </c>
    </row>
    <row r="7" spans="2:8">
      <c r="D7" s="304" t="s">
        <v>348</v>
      </c>
      <c r="E7" s="304"/>
      <c r="F7" s="304"/>
    </row>
    <row r="8" spans="2:8">
      <c r="D8" s="260"/>
      <c r="E8" s="261"/>
      <c r="F8" s="262"/>
    </row>
    <row r="9" spans="2:8" ht="12.75" customHeight="1">
      <c r="B9" s="299" t="s">
        <v>294</v>
      </c>
      <c r="C9" s="300" t="s">
        <v>676</v>
      </c>
      <c r="D9" s="300" t="s">
        <v>295</v>
      </c>
      <c r="E9" s="300" t="s">
        <v>296</v>
      </c>
      <c r="F9" s="300" t="s">
        <v>677</v>
      </c>
      <c r="G9" s="300" t="s">
        <v>659</v>
      </c>
    </row>
    <row r="10" spans="2:8">
      <c r="B10" s="299"/>
      <c r="C10" s="300"/>
      <c r="D10" s="300"/>
      <c r="E10" s="300"/>
      <c r="F10" s="300"/>
      <c r="G10" s="300"/>
    </row>
    <row r="11" spans="2:8">
      <c r="B11" s="299"/>
      <c r="C11" s="300"/>
      <c r="D11" s="300"/>
      <c r="E11" s="300"/>
      <c r="F11" s="300"/>
      <c r="G11" s="300"/>
    </row>
    <row r="12" spans="2:8">
      <c r="B12" s="263">
        <v>2012</v>
      </c>
      <c r="C12" s="264">
        <v>0</v>
      </c>
      <c r="D12" s="285">
        <f>G12*'Latest PPs - BM&amp;CM'!$R$271</f>
        <v>7358.8623704278698</v>
      </c>
      <c r="E12" s="264">
        <v>0</v>
      </c>
      <c r="F12" s="285">
        <f>D12-C12-E12</f>
        <v>7358.8623704278698</v>
      </c>
      <c r="G12" s="265">
        <f>SUM(G4:G5)</f>
        <v>13850</v>
      </c>
    </row>
    <row r="13" spans="2:8">
      <c r="B13" s="263">
        <v>2013</v>
      </c>
      <c r="C13" s="264">
        <v>0</v>
      </c>
      <c r="D13" s="285">
        <f>G13*'Latest PPs - BM&amp;CM'!$R$271</f>
        <v>13753.899734360712</v>
      </c>
      <c r="E13" s="264">
        <v>0</v>
      </c>
      <c r="F13" s="285">
        <f>D13-C13-E13</f>
        <v>13753.899734360712</v>
      </c>
      <c r="G13" s="265">
        <f>$G$6</f>
        <v>25886</v>
      </c>
    </row>
    <row r="14" spans="2:8">
      <c r="B14" s="263">
        <v>2014</v>
      </c>
      <c r="C14" s="266">
        <v>0</v>
      </c>
      <c r="D14" s="285">
        <f>G14*'Latest PPs - BM&amp;CM'!$R$271</f>
        <v>13753.899734360712</v>
      </c>
      <c r="E14" s="266">
        <v>0</v>
      </c>
      <c r="F14" s="285">
        <f t="shared" ref="F14:F21" si="0">D14-C14-E14</f>
        <v>13753.899734360712</v>
      </c>
      <c r="G14" s="265">
        <f t="shared" ref="G14:G21" si="1">$G$6</f>
        <v>25886</v>
      </c>
    </row>
    <row r="15" spans="2:8">
      <c r="B15" s="263">
        <v>2015</v>
      </c>
      <c r="C15" s="266">
        <v>0</v>
      </c>
      <c r="D15" s="285">
        <f>G15*'Latest PPs - BM&amp;CM'!$R$271</f>
        <v>13753.899734360712</v>
      </c>
      <c r="E15" s="266">
        <v>0</v>
      </c>
      <c r="F15" s="285">
        <f t="shared" si="0"/>
        <v>13753.899734360712</v>
      </c>
      <c r="G15" s="265">
        <f t="shared" si="1"/>
        <v>25886</v>
      </c>
    </row>
    <row r="16" spans="2:8">
      <c r="B16" s="263">
        <v>2016</v>
      </c>
      <c r="C16" s="266">
        <v>0</v>
      </c>
      <c r="D16" s="285">
        <f>G16*'Latest PPs - BM&amp;CM'!$R$271</f>
        <v>13753.899734360712</v>
      </c>
      <c r="E16" s="266">
        <v>0</v>
      </c>
      <c r="F16" s="285">
        <f t="shared" si="0"/>
        <v>13753.899734360712</v>
      </c>
      <c r="G16" s="265">
        <f t="shared" si="1"/>
        <v>25886</v>
      </c>
    </row>
    <row r="17" spans="2:7">
      <c r="B17" s="263">
        <v>2017</v>
      </c>
      <c r="C17" s="266">
        <v>0</v>
      </c>
      <c r="D17" s="285">
        <f>G17*'Latest PPs - BM&amp;CM'!$R$271</f>
        <v>13753.899734360712</v>
      </c>
      <c r="E17" s="266">
        <v>0</v>
      </c>
      <c r="F17" s="285">
        <f t="shared" si="0"/>
        <v>13753.899734360712</v>
      </c>
      <c r="G17" s="265">
        <f t="shared" si="1"/>
        <v>25886</v>
      </c>
    </row>
    <row r="18" spans="2:7">
      <c r="B18" s="263">
        <v>2018</v>
      </c>
      <c r="C18" s="266">
        <v>0</v>
      </c>
      <c r="D18" s="285">
        <f>G18*'Latest PPs - BM&amp;CM'!$R$271</f>
        <v>13753.899734360712</v>
      </c>
      <c r="E18" s="266">
        <v>0</v>
      </c>
      <c r="F18" s="285">
        <f t="shared" si="0"/>
        <v>13753.899734360712</v>
      </c>
      <c r="G18" s="265">
        <f t="shared" si="1"/>
        <v>25886</v>
      </c>
    </row>
    <row r="19" spans="2:7">
      <c r="B19" s="263">
        <v>2019</v>
      </c>
      <c r="C19" s="266">
        <v>0</v>
      </c>
      <c r="D19" s="285">
        <f>G19*'Latest PPs - BM&amp;CM'!$R$271</f>
        <v>13753.899734360712</v>
      </c>
      <c r="E19" s="266">
        <v>0</v>
      </c>
      <c r="F19" s="285">
        <f t="shared" si="0"/>
        <v>13753.899734360712</v>
      </c>
      <c r="G19" s="265">
        <f t="shared" si="1"/>
        <v>25886</v>
      </c>
    </row>
    <row r="20" spans="2:7">
      <c r="B20" s="263">
        <v>2020</v>
      </c>
      <c r="C20" s="266">
        <v>0</v>
      </c>
      <c r="D20" s="285">
        <f>G20*'Latest PPs - BM&amp;CM'!$R$271</f>
        <v>13753.899734360712</v>
      </c>
      <c r="E20" s="266">
        <v>0</v>
      </c>
      <c r="F20" s="285">
        <f t="shared" si="0"/>
        <v>13753.899734360712</v>
      </c>
      <c r="G20" s="265">
        <f t="shared" si="1"/>
        <v>25886</v>
      </c>
    </row>
    <row r="21" spans="2:7">
      <c r="B21" s="263">
        <v>2021</v>
      </c>
      <c r="C21" s="266">
        <v>0</v>
      </c>
      <c r="D21" s="285">
        <f>G21*'Latest PPs - BM&amp;CM'!$R$271</f>
        <v>13753.899734360712</v>
      </c>
      <c r="E21" s="266">
        <v>0</v>
      </c>
      <c r="F21" s="285">
        <f t="shared" si="0"/>
        <v>13753.899734360712</v>
      </c>
      <c r="G21" s="265">
        <f t="shared" si="1"/>
        <v>25886</v>
      </c>
    </row>
    <row r="22" spans="2:7" ht="12.75" customHeight="1">
      <c r="B22" s="301" t="s">
        <v>297</v>
      </c>
      <c r="C22" s="302">
        <f>SUM(C12:C21)</f>
        <v>0</v>
      </c>
      <c r="D22" s="303">
        <f>SUM(D12:D21)</f>
        <v>131143.95997967431</v>
      </c>
      <c r="E22" s="302">
        <f t="shared" ref="E22" si="2">SUM(E12:E21)</f>
        <v>0</v>
      </c>
      <c r="F22" s="303">
        <f>SUM(F12:F21)</f>
        <v>131143.95997967431</v>
      </c>
      <c r="G22" s="303">
        <f>SUM(G12:G21)</f>
        <v>246824</v>
      </c>
    </row>
    <row r="23" spans="2:7" ht="32.25" customHeight="1">
      <c r="B23" s="301"/>
      <c r="C23" s="302"/>
      <c r="D23" s="302"/>
      <c r="E23" s="302"/>
      <c r="F23" s="302"/>
      <c r="G23" s="302"/>
    </row>
    <row r="28" spans="2:7">
      <c r="B28" s="286" t="s">
        <v>298</v>
      </c>
    </row>
    <row r="30" spans="2:7">
      <c r="B30" s="254" t="s">
        <v>299</v>
      </c>
    </row>
    <row r="32" spans="2:7" ht="50.25" customHeight="1">
      <c r="B32" s="267" t="s">
        <v>300</v>
      </c>
      <c r="C32" s="267" t="s">
        <v>642</v>
      </c>
      <c r="D32" s="267" t="s">
        <v>641</v>
      </c>
      <c r="E32" s="267" t="s">
        <v>301</v>
      </c>
      <c r="F32" s="267" t="s">
        <v>302</v>
      </c>
      <c r="G32" s="267" t="s">
        <v>303</v>
      </c>
    </row>
    <row r="33" spans="2:8">
      <c r="B33" s="268" t="s">
        <v>304</v>
      </c>
      <c r="C33" s="269">
        <f>27.1587*1000</f>
        <v>27158.7</v>
      </c>
      <c r="D33" s="305">
        <f>OM!D42</f>
        <v>203046.1</v>
      </c>
      <c r="E33" s="270">
        <f>C33/D33</f>
        <v>0.13375632430270762</v>
      </c>
      <c r="F33" s="305">
        <f>$E$4/1000</f>
        <v>11.2</v>
      </c>
      <c r="G33" s="269">
        <f>E33*F33</f>
        <v>1.4980708321903253</v>
      </c>
    </row>
    <row r="34" spans="2:8">
      <c r="B34" s="268" t="s">
        <v>305</v>
      </c>
      <c r="C34" s="269">
        <f>6.8814*1000</f>
        <v>6881.4000000000005</v>
      </c>
      <c r="D34" s="306"/>
      <c r="E34" s="270">
        <f>C34/D33</f>
        <v>3.3890825777988347E-2</v>
      </c>
      <c r="F34" s="306"/>
      <c r="G34" s="269">
        <f>E34*F33</f>
        <v>0.37957724871346948</v>
      </c>
    </row>
    <row r="36" spans="2:8">
      <c r="B36" s="244" t="s">
        <v>345</v>
      </c>
      <c r="C36" s="287" t="s">
        <v>643</v>
      </c>
      <c r="E36" s="244" t="s">
        <v>644</v>
      </c>
    </row>
    <row r="37" spans="2:8">
      <c r="B37" s="244" t="s">
        <v>645</v>
      </c>
      <c r="C37" s="287" t="s">
        <v>646</v>
      </c>
      <c r="E37" s="244" t="s">
        <v>644</v>
      </c>
    </row>
    <row r="38" spans="2:8">
      <c r="B38" s="244" t="s">
        <v>647</v>
      </c>
      <c r="C38" s="287" t="s">
        <v>660</v>
      </c>
    </row>
    <row r="39" spans="2:8">
      <c r="B39" s="244" t="s">
        <v>346</v>
      </c>
    </row>
    <row r="41" spans="2:8">
      <c r="B41" s="286" t="s">
        <v>307</v>
      </c>
    </row>
    <row r="43" spans="2:8">
      <c r="B43" s="254" t="s">
        <v>308</v>
      </c>
    </row>
    <row r="45" spans="2:8" ht="66.75" customHeight="1">
      <c r="B45" s="267" t="s">
        <v>650</v>
      </c>
      <c r="C45" s="267" t="s">
        <v>651</v>
      </c>
      <c r="D45" s="267" t="s">
        <v>652</v>
      </c>
      <c r="E45" s="267" t="s">
        <v>309</v>
      </c>
      <c r="F45" s="267" t="s">
        <v>310</v>
      </c>
      <c r="G45" s="267" t="s">
        <v>311</v>
      </c>
      <c r="H45" s="267" t="s">
        <v>312</v>
      </c>
    </row>
    <row r="46" spans="2:8">
      <c r="B46" s="271">
        <v>4167170</v>
      </c>
      <c r="C46" s="272">
        <f>OM!D42</f>
        <v>203046.1</v>
      </c>
      <c r="D46" s="272">
        <f>B46/C46</f>
        <v>20.523270331220349</v>
      </c>
      <c r="E46" s="273">
        <f>F33</f>
        <v>11.2</v>
      </c>
      <c r="F46" s="272">
        <f>D46*E46</f>
        <v>229.86062770966788</v>
      </c>
      <c r="G46" s="274">
        <f>25*0.15*365/1000</f>
        <v>1.3687499999999999</v>
      </c>
      <c r="H46" s="275">
        <f>F46-G46</f>
        <v>228.49187770966788</v>
      </c>
    </row>
    <row r="48" spans="2:8">
      <c r="B48" s="244" t="s">
        <v>313</v>
      </c>
      <c r="C48" s="287" t="s">
        <v>653</v>
      </c>
      <c r="E48" s="244" t="s">
        <v>314</v>
      </c>
    </row>
    <row r="49" spans="2:7">
      <c r="B49" s="244" t="s">
        <v>654</v>
      </c>
      <c r="C49" s="288" t="s">
        <v>648</v>
      </c>
    </row>
    <row r="50" spans="2:7">
      <c r="B50" s="244" t="s">
        <v>347</v>
      </c>
      <c r="C50" s="287"/>
    </row>
    <row r="51" spans="2:7">
      <c r="B51" s="244" t="s">
        <v>655</v>
      </c>
    </row>
    <row r="53" spans="2:7">
      <c r="B53" s="286" t="s">
        <v>315</v>
      </c>
    </row>
    <row r="55" spans="2:7">
      <c r="B55" s="254" t="s">
        <v>316</v>
      </c>
    </row>
    <row r="57" spans="2:7" ht="50.25" customHeight="1">
      <c r="B57" s="267" t="s">
        <v>317</v>
      </c>
      <c r="C57" s="267" t="s">
        <v>642</v>
      </c>
      <c r="D57" s="267" t="s">
        <v>641</v>
      </c>
      <c r="E57" s="267" t="s">
        <v>301</v>
      </c>
      <c r="F57" s="267" t="s">
        <v>302</v>
      </c>
      <c r="G57" s="267" t="s">
        <v>303</v>
      </c>
    </row>
    <row r="58" spans="2:7">
      <c r="B58" s="268" t="s">
        <v>318</v>
      </c>
      <c r="C58" s="272">
        <f>450.36*1000</f>
        <v>450360</v>
      </c>
      <c r="D58" s="272">
        <f>OM!D42</f>
        <v>203046.1</v>
      </c>
      <c r="E58" s="276">
        <f>C58/D58</f>
        <v>2.2180184696972756</v>
      </c>
      <c r="F58" s="272">
        <f>E46</f>
        <v>11.2</v>
      </c>
      <c r="G58" s="272">
        <f>E58*$F$58</f>
        <v>24.841806860609484</v>
      </c>
    </row>
    <row r="60" spans="2:7">
      <c r="B60" s="244" t="s">
        <v>306</v>
      </c>
      <c r="C60" s="287" t="s">
        <v>656</v>
      </c>
      <c r="E60" s="244" t="s">
        <v>344</v>
      </c>
    </row>
    <row r="61" spans="2:7">
      <c r="B61" s="244" t="s">
        <v>346</v>
      </c>
    </row>
    <row r="64" spans="2:7">
      <c r="B64" s="286" t="s">
        <v>319</v>
      </c>
    </row>
    <row r="66" spans="2:12">
      <c r="B66" s="254" t="s">
        <v>320</v>
      </c>
    </row>
    <row r="68" spans="2:12" ht="88.2">
      <c r="B68" s="267" t="s">
        <v>321</v>
      </c>
      <c r="C68" s="267" t="s">
        <v>322</v>
      </c>
      <c r="D68" s="267" t="s">
        <v>323</v>
      </c>
      <c r="E68" s="267" t="s">
        <v>324</v>
      </c>
      <c r="F68" s="267" t="s">
        <v>325</v>
      </c>
      <c r="G68" s="267" t="s">
        <v>326</v>
      </c>
      <c r="H68" s="267" t="s">
        <v>302</v>
      </c>
      <c r="I68" s="267" t="s">
        <v>327</v>
      </c>
      <c r="J68" s="267" t="s">
        <v>328</v>
      </c>
      <c r="K68" s="267" t="s">
        <v>329</v>
      </c>
      <c r="L68" s="267" t="s">
        <v>330</v>
      </c>
    </row>
    <row r="69" spans="2:12">
      <c r="B69" s="277">
        <v>21607635000</v>
      </c>
      <c r="C69" s="278">
        <v>98685.3</v>
      </c>
      <c r="D69" s="272">
        <f>B69/C69</f>
        <v>218954.95073734384</v>
      </c>
      <c r="E69" s="279">
        <v>0.97</v>
      </c>
      <c r="F69" s="280">
        <v>0.49469999999999997</v>
      </c>
      <c r="G69" s="281">
        <f>D69*E69*F69</f>
        <v>105067.50370587107</v>
      </c>
      <c r="H69" s="275">
        <f>F58</f>
        <v>11.2</v>
      </c>
      <c r="I69" s="265">
        <f>G69*H69</f>
        <v>1176756.0415057559</v>
      </c>
      <c r="J69" s="282">
        <v>0.51573500000000005</v>
      </c>
      <c r="K69" s="265">
        <f>I69*J69</f>
        <v>606894.27706597105</v>
      </c>
      <c r="L69" s="265">
        <f>K69/2.3</f>
        <v>263867.07698520483</v>
      </c>
    </row>
    <row r="71" spans="2:12">
      <c r="B71" s="244" t="s">
        <v>331</v>
      </c>
      <c r="C71" s="287" t="s">
        <v>212</v>
      </c>
      <c r="G71" s="244" t="s">
        <v>332</v>
      </c>
      <c r="L71" s="283"/>
    </row>
    <row r="72" spans="2:12">
      <c r="B72" s="244" t="s">
        <v>333</v>
      </c>
      <c r="C72" s="287" t="s">
        <v>213</v>
      </c>
      <c r="G72" s="244" t="s">
        <v>334</v>
      </c>
    </row>
    <row r="73" spans="2:12">
      <c r="B73" s="244" t="s">
        <v>335</v>
      </c>
      <c r="C73" s="287" t="s">
        <v>336</v>
      </c>
      <c r="G73" s="244" t="s">
        <v>337</v>
      </c>
    </row>
    <row r="74" spans="2:12">
      <c r="B74" s="244" t="s">
        <v>338</v>
      </c>
      <c r="C74" s="287" t="s">
        <v>339</v>
      </c>
      <c r="G74" s="244" t="s">
        <v>340</v>
      </c>
    </row>
    <row r="75" spans="2:12">
      <c r="B75" s="244" t="s">
        <v>341</v>
      </c>
      <c r="C75" s="287" t="s">
        <v>342</v>
      </c>
      <c r="G75" s="244" t="s">
        <v>343</v>
      </c>
    </row>
    <row r="76" spans="2:12">
      <c r="L76" s="284"/>
    </row>
  </sheetData>
  <mergeCells count="15">
    <mergeCell ref="D7:F7"/>
    <mergeCell ref="G9:G11"/>
    <mergeCell ref="G22:G23"/>
    <mergeCell ref="D33:D34"/>
    <mergeCell ref="F33:F34"/>
    <mergeCell ref="B22:B23"/>
    <mergeCell ref="C22:C23"/>
    <mergeCell ref="D22:D23"/>
    <mergeCell ref="E22:E23"/>
    <mergeCell ref="F22:F23"/>
    <mergeCell ref="B9:B11"/>
    <mergeCell ref="C9:C11"/>
    <mergeCell ref="D9:D11"/>
    <mergeCell ref="E9:E11"/>
    <mergeCell ref="F9:F11"/>
  </mergeCells>
  <hyperlinks>
    <hyperlink ref="C73" r:id="rId1"/>
    <hyperlink ref="C74" r:id="rId2"/>
    <hyperlink ref="C75" r:id="rId3"/>
    <hyperlink ref="C37" r:id="rId4"/>
    <hyperlink ref="C36" r:id="rId5"/>
    <hyperlink ref="C38" r:id="rId6"/>
    <hyperlink ref="C49" r:id="rId7"/>
    <hyperlink ref="C71" r:id="rId8"/>
    <hyperlink ref="C48" r:id="rId9"/>
    <hyperlink ref="C60" r:id="rId10"/>
  </hyperlinks>
  <pageMargins left="0.75" right="0.75" top="1" bottom="1" header="0.5" footer="0.5"/>
  <pageSetup paperSize="9" orientation="portrait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OM</vt:lpstr>
      <vt:lpstr>Total CO2 for OM</vt:lpstr>
      <vt:lpstr>Latest PPs - BM&amp;CM</vt:lpstr>
      <vt:lpstr>Monitoring Plan</vt:lpstr>
      <vt:lpstr>'Latest PPs - BM&amp;CM'!_VeritabaniniFiltrele</vt:lpstr>
    </vt:vector>
  </TitlesOfParts>
  <Company>IC İÇTAŞ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ramazan.aslan</dc:creator>
  <cp:lastModifiedBy>FCT</cp:lastModifiedBy>
  <dcterms:created xsi:type="dcterms:W3CDTF">2008-11-17T13:35:16Z</dcterms:created>
  <dcterms:modified xsi:type="dcterms:W3CDTF">2013-08-02T13:00:22Z</dcterms:modified>
</cp:coreProperties>
</file>