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o2balance.sharepoint.com/Shared Documents/Projects/Active/GivePower/Kenya_GivePower/4_Reviews/3_Verification/MP2/GS_PR/R4/"/>
    </mc:Choice>
  </mc:AlternateContent>
  <xr:revisionPtr revIDLastSave="83" documentId="8_{1907746A-0CA8-4A37-86D4-3DF16FEBF26E}" xr6:coauthVersionLast="47" xr6:coauthVersionMax="47" xr10:uidLastSave="{DA3019E1-7E1B-4CE3-AB6F-CD372355BC04}"/>
  <bookViews>
    <workbookView xWindow="-110" yWindow="-110" windowWidth="19420" windowHeight="10300" firstSheet="2" activeTab="5" xr2:uid="{E8CEFE3C-FBE6-491A-82CB-E4DEA62E68E2}"/>
  </bookViews>
  <sheets>
    <sheet name="GS10987 Summary" sheetId="1" r:id="rId1"/>
    <sheet name="Sales Summary" sheetId="21" r:id="rId2"/>
    <sheet name="GS10987 PTDs" sheetId="2" r:id="rId3"/>
    <sheet name="WQT Log" sheetId="20" r:id="rId4"/>
    <sheet name="GS10987 ER Calcs Wood" sheetId="3" r:id="rId5"/>
    <sheet name="GS10987 ER Calcs Charcoal" sheetId="8" r:id="rId6"/>
    <sheet name="SDG Calculations" sheetId="10" r:id="rId7"/>
  </sheets>
  <externalReferences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8" l="1"/>
  <c r="E28" i="8"/>
  <c r="H19" i="10"/>
  <c r="H5" i="10"/>
  <c r="O36" i="8"/>
  <c r="O29" i="8"/>
  <c r="O18" i="8"/>
  <c r="E10" i="8"/>
  <c r="K17" i="3"/>
  <c r="J18" i="8"/>
  <c r="J29" i="8" l="1"/>
  <c r="O25" i="8"/>
  <c r="O28" i="8" s="1"/>
  <c r="J25" i="8"/>
  <c r="J28" i="8" s="1"/>
  <c r="O24" i="8"/>
  <c r="J24" i="8"/>
  <c r="E27" i="3"/>
  <c r="E31" i="3"/>
  <c r="K28" i="3"/>
  <c r="E18" i="3"/>
  <c r="E28" i="3"/>
  <c r="U3" i="2"/>
  <c r="J21" i="8"/>
  <c r="O21" i="8"/>
  <c r="O23" i="8"/>
  <c r="J23" i="8"/>
  <c r="O22" i="8"/>
  <c r="J22" i="8"/>
  <c r="J32" i="8" l="1"/>
  <c r="G4" i="21"/>
  <c r="G5" i="21"/>
  <c r="G6" i="21"/>
  <c r="G7" i="21"/>
  <c r="G8" i="21"/>
  <c r="G9" i="21"/>
  <c r="G10" i="21"/>
  <c r="G3" i="21"/>
  <c r="C4" i="21"/>
  <c r="C3" i="21"/>
  <c r="K22" i="3"/>
  <c r="R3" i="2"/>
  <c r="T3" i="2" s="1"/>
  <c r="F28" i="2" s="1"/>
  <c r="D28" i="2" s="1"/>
  <c r="C31" i="21"/>
  <c r="C32" i="21"/>
  <c r="C33" i="21"/>
  <c r="C34" i="21"/>
  <c r="C35" i="21"/>
  <c r="C36" i="21"/>
  <c r="C37" i="21"/>
  <c r="C30" i="21"/>
  <c r="E24" i="21"/>
  <c r="D24" i="21"/>
  <c r="C17" i="21"/>
  <c r="C18" i="21"/>
  <c r="C19" i="21"/>
  <c r="C20" i="21"/>
  <c r="C21" i="21"/>
  <c r="C22" i="21"/>
  <c r="C23" i="21"/>
  <c r="C16" i="21"/>
  <c r="C24" i="21" s="1"/>
  <c r="BB20" i="20"/>
  <c r="C10" i="21"/>
  <c r="C9" i="21"/>
  <c r="C8" i="21"/>
  <c r="C7" i="21"/>
  <c r="C6" i="21"/>
  <c r="C5" i="21"/>
  <c r="V14" i="20"/>
  <c r="X20" i="20"/>
  <c r="E8" i="1"/>
  <c r="AD9" i="20"/>
  <c r="F24" i="21"/>
  <c r="AV20" i="20"/>
  <c r="AV9" i="20"/>
  <c r="BC9" i="20" s="1"/>
  <c r="AD12" i="20"/>
  <c r="Y20" i="20"/>
  <c r="P22" i="3"/>
  <c r="BB11" i="20"/>
  <c r="BB8" i="20"/>
  <c r="BB7" i="20"/>
  <c r="AW20" i="20"/>
  <c r="AR13" i="20"/>
  <c r="C11" i="21" l="1"/>
  <c r="AQ24" i="20"/>
  <c r="P5" i="3"/>
  <c r="AB7" i="2"/>
  <c r="AD7" i="2" s="1"/>
  <c r="AE7" i="2" s="1"/>
  <c r="AB8" i="2"/>
  <c r="AD8" i="2" s="1"/>
  <c r="AE8" i="2" s="1"/>
  <c r="AB9" i="2"/>
  <c r="AD9" i="2" s="1"/>
  <c r="AE9" i="2" s="1"/>
  <c r="AB10" i="2"/>
  <c r="AD10" i="2" s="1"/>
  <c r="AE10" i="2" s="1"/>
  <c r="AB11" i="2"/>
  <c r="AD11" i="2" s="1"/>
  <c r="AE11" i="2" s="1"/>
  <c r="AB6" i="2"/>
  <c r="AB4" i="2"/>
  <c r="AB3" i="2"/>
  <c r="AD3" i="2" s="1"/>
  <c r="AE3" i="2" s="1"/>
  <c r="J42" i="1"/>
  <c r="J39" i="1"/>
  <c r="J38" i="1"/>
  <c r="E38" i="1"/>
  <c r="AD4" i="2" l="1"/>
  <c r="AE4" i="2" s="1"/>
  <c r="AD6" i="2"/>
  <c r="AE6" i="2" s="1"/>
  <c r="AB12" i="2"/>
  <c r="AX13" i="20"/>
  <c r="AX14" i="20"/>
  <c r="AR14" i="20"/>
  <c r="AN13" i="20"/>
  <c r="AN14" i="20"/>
  <c r="AJ13" i="20"/>
  <c r="AJ15" i="20" s="1"/>
  <c r="AJ14" i="20"/>
  <c r="V13" i="20"/>
  <c r="AF14" i="20"/>
  <c r="AF13" i="20"/>
  <c r="K16" i="3"/>
  <c r="C23" i="2"/>
  <c r="C22" i="2"/>
  <c r="C21" i="2"/>
  <c r="BB21" i="20"/>
  <c r="BB22" i="20"/>
  <c r="BB23" i="20"/>
  <c r="BB24" i="20"/>
  <c r="BB25" i="20"/>
  <c r="BB26" i="20"/>
  <c r="BB27" i="20"/>
  <c r="AW21" i="20"/>
  <c r="AW22" i="20"/>
  <c r="AW23" i="20"/>
  <c r="AW24" i="20"/>
  <c r="AW25" i="20"/>
  <c r="AW26" i="20"/>
  <c r="AW27" i="20"/>
  <c r="AV21" i="20"/>
  <c r="AV22" i="20"/>
  <c r="AV23" i="20"/>
  <c r="AV24" i="20"/>
  <c r="AV25" i="20"/>
  <c r="AV26" i="20"/>
  <c r="AV27" i="20"/>
  <c r="AQ21" i="20"/>
  <c r="AQ25" i="20"/>
  <c r="AQ27" i="20"/>
  <c r="AQ20" i="20"/>
  <c r="AP21" i="20"/>
  <c r="AP22" i="20"/>
  <c r="AP23" i="20"/>
  <c r="AP24" i="20"/>
  <c r="AP25" i="20"/>
  <c r="AP26" i="20"/>
  <c r="AP27" i="20"/>
  <c r="AP20" i="20"/>
  <c r="Y21" i="20"/>
  <c r="Y22" i="20"/>
  <c r="Y23" i="20"/>
  <c r="Y24" i="20"/>
  <c r="Y25" i="20"/>
  <c r="Y26" i="20"/>
  <c r="Y27" i="20"/>
  <c r="AV11" i="20"/>
  <c r="K9" i="2"/>
  <c r="K8" i="2"/>
  <c r="AV7" i="20"/>
  <c r="K4" i="2"/>
  <c r="P17" i="3"/>
  <c r="AV8" i="20"/>
  <c r="K7" i="2" s="1"/>
  <c r="AD12" i="2" l="1"/>
  <c r="C24" i="2"/>
  <c r="BB28" i="20"/>
  <c r="AK14" i="20"/>
  <c r="K10" i="2"/>
  <c r="AQ26" i="20"/>
  <c r="AQ23" i="20"/>
  <c r="AQ22" i="20"/>
  <c r="BC7" i="20"/>
  <c r="BC22" i="20" s="1"/>
  <c r="J8" i="2"/>
  <c r="Y28" i="20"/>
  <c r="AW28" i="20"/>
  <c r="AX15" i="20"/>
  <c r="AY14" i="20" s="1"/>
  <c r="AR15" i="20"/>
  <c r="AS13" i="20" s="1"/>
  <c r="AN15" i="20"/>
  <c r="AO14" i="20" s="1"/>
  <c r="AK13" i="20"/>
  <c r="AF15" i="20"/>
  <c r="AG13" i="20" s="1"/>
  <c r="V15" i="20"/>
  <c r="W14" i="20" s="1"/>
  <c r="AV28" i="20"/>
  <c r="AX29" i="20" s="1"/>
  <c r="AX30" i="20" s="1"/>
  <c r="K6" i="2"/>
  <c r="BC12" i="20"/>
  <c r="BC27" i="20" s="1"/>
  <c r="P7" i="2"/>
  <c r="P8" i="2"/>
  <c r="P9" i="2"/>
  <c r="P10" i="2"/>
  <c r="P11" i="2"/>
  <c r="P6" i="2"/>
  <c r="P4" i="2"/>
  <c r="P3" i="2"/>
  <c r="L7" i="2"/>
  <c r="L8" i="2"/>
  <c r="L9" i="2"/>
  <c r="L10" i="2"/>
  <c r="L11" i="2"/>
  <c r="L6" i="2"/>
  <c r="L4" i="2"/>
  <c r="L3" i="2"/>
  <c r="L28" i="2" s="1"/>
  <c r="J28" i="2" s="1"/>
  <c r="K11" i="2"/>
  <c r="K3" i="2"/>
  <c r="AY13" i="20" l="1"/>
  <c r="AS14" i="20"/>
  <c r="AO13" i="20"/>
  <c r="AG14" i="20"/>
  <c r="W13" i="20"/>
  <c r="C38" i="21"/>
  <c r="D38" i="21"/>
  <c r="E38" i="21"/>
  <c r="F38" i="21"/>
  <c r="E39" i="21" l="1"/>
  <c r="AP28" i="20"/>
  <c r="H20" i="21"/>
  <c r="J27" i="1"/>
  <c r="J24" i="1"/>
  <c r="J23" i="1"/>
  <c r="J17" i="8"/>
  <c r="O17" i="8"/>
  <c r="E23" i="1"/>
  <c r="AV13" i="20" l="1"/>
  <c r="E22" i="10" l="1"/>
  <c r="D22" i="10"/>
  <c r="D8" i="10"/>
  <c r="E8" i="10" s="1"/>
  <c r="P16" i="3"/>
  <c r="C13" i="10" l="1"/>
  <c r="H31" i="21"/>
  <c r="H32" i="21"/>
  <c r="H33" i="21"/>
  <c r="H34" i="21"/>
  <c r="H35" i="21"/>
  <c r="H36" i="21"/>
  <c r="H37" i="21"/>
  <c r="H30" i="21"/>
  <c r="H17" i="21"/>
  <c r="H18" i="21"/>
  <c r="H19" i="21"/>
  <c r="H21" i="21"/>
  <c r="H22" i="21"/>
  <c r="H23" i="21"/>
  <c r="H16" i="21"/>
  <c r="C12" i="10" l="1"/>
  <c r="E13" i="10"/>
  <c r="E12" i="10" s="1"/>
  <c r="D13" i="10"/>
  <c r="D12" i="10" s="1"/>
  <c r="H38" i="21"/>
  <c r="H39" i="21" s="1"/>
  <c r="H24" i="21"/>
  <c r="H25" i="21" s="1"/>
  <c r="N11" i="1" l="1"/>
  <c r="P34" i="3"/>
  <c r="E42" i="1" s="1"/>
  <c r="P30" i="3"/>
  <c r="E39" i="1" s="1"/>
  <c r="P24" i="3"/>
  <c r="P23" i="3"/>
  <c r="P21" i="3"/>
  <c r="P9" i="3"/>
  <c r="P8" i="3"/>
  <c r="P7" i="3"/>
  <c r="AA7" i="2"/>
  <c r="AA8" i="2"/>
  <c r="AA9" i="2"/>
  <c r="AA10" i="2"/>
  <c r="AA11" i="2"/>
  <c r="AA6" i="2"/>
  <c r="AA4" i="2"/>
  <c r="AA3" i="2"/>
  <c r="R6" i="2"/>
  <c r="T6" i="2" s="1"/>
  <c r="U6" i="2" s="1"/>
  <c r="R7" i="2"/>
  <c r="T7" i="2" s="1"/>
  <c r="U7" i="2" s="1"/>
  <c r="R8" i="2"/>
  <c r="T8" i="2" s="1"/>
  <c r="U8" i="2" s="1"/>
  <c r="R9" i="2"/>
  <c r="T9" i="2" s="1"/>
  <c r="U9" i="2" s="1"/>
  <c r="R10" i="2"/>
  <c r="T10" i="2" s="1"/>
  <c r="U10" i="2" s="1"/>
  <c r="R11" i="2"/>
  <c r="T11" i="2" s="1"/>
  <c r="U11" i="2" s="1"/>
  <c r="R4" i="2"/>
  <c r="T4" i="2" s="1"/>
  <c r="Q7" i="2"/>
  <c r="Q8" i="2"/>
  <c r="Q9" i="2"/>
  <c r="Q10" i="2"/>
  <c r="Q11" i="2"/>
  <c r="Q6" i="2"/>
  <c r="Q4" i="2"/>
  <c r="Q3" i="2"/>
  <c r="P12" i="2"/>
  <c r="W6" i="2"/>
  <c r="W7" i="2"/>
  <c r="Y7" i="2" s="1"/>
  <c r="Z7" i="2" s="1"/>
  <c r="W8" i="2"/>
  <c r="Y8" i="2" s="1"/>
  <c r="Z8" i="2" s="1"/>
  <c r="W9" i="2"/>
  <c r="Y9" i="2" s="1"/>
  <c r="Z9" i="2" s="1"/>
  <c r="W10" i="2"/>
  <c r="Y10" i="2" s="1"/>
  <c r="Z10" i="2" s="1"/>
  <c r="W11" i="2"/>
  <c r="Y11" i="2" s="1"/>
  <c r="Z11" i="2" s="1"/>
  <c r="W3" i="2"/>
  <c r="Y3" i="2" s="1"/>
  <c r="Z3" i="2" s="1"/>
  <c r="W4" i="2"/>
  <c r="V7" i="2"/>
  <c r="V8" i="2"/>
  <c r="V9" i="2"/>
  <c r="V10" i="2"/>
  <c r="V11" i="2"/>
  <c r="V6" i="2"/>
  <c r="V4" i="2"/>
  <c r="V3" i="2"/>
  <c r="BB13" i="20"/>
  <c r="P14" i="2" s="1"/>
  <c r="BC11" i="20"/>
  <c r="BC26" i="20" s="1"/>
  <c r="AD13" i="20"/>
  <c r="O11" i="2"/>
  <c r="O7" i="2"/>
  <c r="O8" i="2"/>
  <c r="O9" i="2"/>
  <c r="O10" i="2"/>
  <c r="O6" i="2"/>
  <c r="O4" i="2"/>
  <c r="O3" i="2"/>
  <c r="E25" i="21"/>
  <c r="BC6" i="20"/>
  <c r="BC21" i="20" s="1"/>
  <c r="BC8" i="20"/>
  <c r="BC23" i="20" s="1"/>
  <c r="BC10" i="20"/>
  <c r="BC25" i="20" s="1"/>
  <c r="BC5" i="20"/>
  <c r="BC20" i="20" s="1"/>
  <c r="T12" i="2" l="1"/>
  <c r="U4" i="2"/>
  <c r="Y4" i="2"/>
  <c r="Z4" i="2" s="1"/>
  <c r="Y6" i="2"/>
  <c r="Z6" i="2" s="1"/>
  <c r="V12" i="2"/>
  <c r="O12" i="2"/>
  <c r="BC24" i="20"/>
  <c r="BC28" i="20" s="1"/>
  <c r="BC13" i="20"/>
  <c r="AQ28" i="20"/>
  <c r="O14" i="2"/>
  <c r="W12" i="2"/>
  <c r="Q12" i="2"/>
  <c r="Y12" i="2" l="1"/>
  <c r="AR29" i="20"/>
  <c r="AR30" i="20" s="1"/>
  <c r="BD29" i="20"/>
  <c r="BD30" i="20" s="1"/>
  <c r="L12" i="2"/>
  <c r="P13" i="2" s="1"/>
  <c r="O15" i="8" l="1"/>
  <c r="O13" i="8"/>
  <c r="AA12" i="2"/>
  <c r="J15" i="8"/>
  <c r="J13" i="8"/>
  <c r="L30" i="2" l="1"/>
  <c r="K30" i="2" s="1"/>
  <c r="L29" i="2"/>
  <c r="L34" i="2"/>
  <c r="L33" i="2"/>
  <c r="L35" i="2"/>
  <c r="L32" i="2"/>
  <c r="K34" i="3"/>
  <c r="E27" i="1" s="1"/>
  <c r="K30" i="3"/>
  <c r="E24" i="1" s="1"/>
  <c r="K23" i="3"/>
  <c r="K24" i="3"/>
  <c r="K21" i="3"/>
  <c r="K8" i="3"/>
  <c r="K9" i="3"/>
  <c r="K7" i="3"/>
  <c r="K5" i="3"/>
  <c r="C20" i="2"/>
  <c r="D20" i="2" s="1"/>
  <c r="H3" i="21"/>
  <c r="L31" i="2" l="1"/>
  <c r="AE12" i="2"/>
  <c r="E5" i="10" s="1"/>
  <c r="K12" i="2"/>
  <c r="O13" i="2" s="1"/>
  <c r="I28" i="2"/>
  <c r="Z12" i="2"/>
  <c r="D5" i="10" s="1"/>
  <c r="I34" i="2"/>
  <c r="G34" i="2" s="1"/>
  <c r="I35" i="2"/>
  <c r="H35" i="2" s="1"/>
  <c r="I31" i="2"/>
  <c r="H31" i="2" s="1"/>
  <c r="I32" i="2"/>
  <c r="G32" i="2" s="1"/>
  <c r="I29" i="2"/>
  <c r="G29" i="2" s="1"/>
  <c r="I30" i="2"/>
  <c r="G30" i="2" s="1"/>
  <c r="I33" i="2"/>
  <c r="H33" i="2" s="1"/>
  <c r="D19" i="10" l="1"/>
  <c r="K28" i="2"/>
  <c r="H34" i="2"/>
  <c r="G31" i="2"/>
  <c r="H28" i="2"/>
  <c r="G28" i="2"/>
  <c r="K33" i="2"/>
  <c r="J33" i="2"/>
  <c r="K31" i="2"/>
  <c r="J31" i="2"/>
  <c r="J34" i="2"/>
  <c r="K34" i="2"/>
  <c r="K32" i="2"/>
  <c r="J32" i="2"/>
  <c r="J30" i="2"/>
  <c r="K35" i="2"/>
  <c r="J35" i="2"/>
  <c r="K29" i="2"/>
  <c r="J29" i="2"/>
  <c r="G35" i="2"/>
  <c r="H30" i="2"/>
  <c r="H29" i="2"/>
  <c r="G33" i="2"/>
  <c r="I36" i="2"/>
  <c r="H32" i="2"/>
  <c r="L36" i="2" l="1"/>
  <c r="J36" i="2"/>
  <c r="E19" i="10"/>
  <c r="G36" i="2"/>
  <c r="K6" i="3" s="1"/>
  <c r="K10" i="3" s="1"/>
  <c r="K27" i="3" s="1"/>
  <c r="H36" i="2"/>
  <c r="J6" i="8" s="1"/>
  <c r="J10" i="8" s="1"/>
  <c r="K36" i="2"/>
  <c r="O6" i="8" s="1"/>
  <c r="O10" i="8" s="1"/>
  <c r="P6" i="3" l="1"/>
  <c r="P10" i="3" s="1"/>
  <c r="P27" i="3" s="1"/>
  <c r="J21" i="1"/>
  <c r="J14" i="8"/>
  <c r="J36" i="1"/>
  <c r="O14" i="8"/>
  <c r="K14" i="3"/>
  <c r="E21" i="1"/>
  <c r="H4" i="21"/>
  <c r="H5" i="21"/>
  <c r="H6" i="21"/>
  <c r="H7" i="21"/>
  <c r="H8" i="21"/>
  <c r="H9" i="21"/>
  <c r="H10" i="21"/>
  <c r="N11" i="2"/>
  <c r="N10" i="2"/>
  <c r="N9" i="2"/>
  <c r="N8" i="2"/>
  <c r="N7" i="2"/>
  <c r="N6" i="2"/>
  <c r="N4" i="2"/>
  <c r="P14" i="3" l="1"/>
  <c r="H11" i="21"/>
  <c r="E11" i="21"/>
  <c r="F11" i="21"/>
  <c r="N3" i="2"/>
  <c r="N12" i="2" s="1"/>
  <c r="N14" i="2" s="1"/>
  <c r="D11" i="21"/>
  <c r="J22" i="1" l="1"/>
  <c r="E12" i="21"/>
  <c r="J37" i="1"/>
  <c r="O32" i="8"/>
  <c r="O38" i="8" s="1"/>
  <c r="J45" i="1" s="1"/>
  <c r="J51" i="1" s="1"/>
  <c r="H12" i="21"/>
  <c r="P7" i="1"/>
  <c r="P6" i="1"/>
  <c r="J40" i="1" l="1"/>
  <c r="J43" i="1"/>
  <c r="J8" i="1"/>
  <c r="D43" i="2"/>
  <c r="D42" i="2"/>
  <c r="J12" i="1"/>
  <c r="J9" i="1"/>
  <c r="E12" i="1"/>
  <c r="E9" i="1"/>
  <c r="J4" i="2"/>
  <c r="J6" i="2"/>
  <c r="J7" i="2"/>
  <c r="J9" i="2"/>
  <c r="J10" i="2"/>
  <c r="J11" i="2"/>
  <c r="X27" i="20"/>
  <c r="X26" i="20"/>
  <c r="X25" i="20"/>
  <c r="X24" i="20"/>
  <c r="X23" i="20"/>
  <c r="X22" i="20"/>
  <c r="X21" i="20"/>
  <c r="E12" i="20"/>
  <c r="E11" i="20"/>
  <c r="E10" i="20"/>
  <c r="E9" i="20"/>
  <c r="E8" i="20"/>
  <c r="E7" i="20"/>
  <c r="E6" i="20"/>
  <c r="E5" i="20"/>
  <c r="J36" i="8" l="1"/>
  <c r="J25" i="1"/>
  <c r="X28" i="20"/>
  <c r="Z29" i="20" s="1"/>
  <c r="Z30" i="20" s="1"/>
  <c r="J3" i="2"/>
  <c r="O28" i="2" s="1"/>
  <c r="J38" i="8" l="1"/>
  <c r="J30" i="1" s="1"/>
  <c r="J50" i="1" s="1"/>
  <c r="J28" i="1"/>
  <c r="E28" i="2"/>
  <c r="N28" i="2" s="1"/>
  <c r="J12" i="2"/>
  <c r="N13" i="2" s="1"/>
  <c r="M28" i="2"/>
  <c r="R12" i="2"/>
  <c r="F31" i="2" l="1"/>
  <c r="D31" i="2" s="1"/>
  <c r="F33" i="2"/>
  <c r="O33" i="2" s="1"/>
  <c r="F34" i="2"/>
  <c r="O34" i="2" s="1"/>
  <c r="F32" i="2"/>
  <c r="D32" i="2" s="1"/>
  <c r="M32" i="2" s="1"/>
  <c r="F35" i="2"/>
  <c r="O35" i="2" s="1"/>
  <c r="F30" i="2"/>
  <c r="O30" i="2" s="1"/>
  <c r="U12" i="2"/>
  <c r="C5" i="10" s="1"/>
  <c r="F29" i="2"/>
  <c r="O29" i="2" s="1"/>
  <c r="D34" i="2"/>
  <c r="M34" i="2" s="1"/>
  <c r="E34" i="2"/>
  <c r="N34" i="2" s="1"/>
  <c r="D35" i="2"/>
  <c r="M35" i="2" s="1"/>
  <c r="D33" i="2"/>
  <c r="M33" i="2" s="1"/>
  <c r="E33" i="2"/>
  <c r="N33" i="2" s="1"/>
  <c r="M31" i="2"/>
  <c r="E31" i="2"/>
  <c r="N31" i="2" s="1"/>
  <c r="C4" i="10" l="1"/>
  <c r="C6" i="10"/>
  <c r="O32" i="2"/>
  <c r="D30" i="2"/>
  <c r="M30" i="2" s="1"/>
  <c r="E30" i="2"/>
  <c r="N30" i="2" s="1"/>
  <c r="E32" i="2"/>
  <c r="N32" i="2" s="1"/>
  <c r="E35" i="2"/>
  <c r="N35" i="2" s="1"/>
  <c r="O31" i="2"/>
  <c r="C19" i="10"/>
  <c r="F36" i="2"/>
  <c r="O36" i="2" s="1"/>
  <c r="E29" i="2"/>
  <c r="D29" i="2"/>
  <c r="C22" i="10"/>
  <c r="C44" i="2"/>
  <c r="C7" i="10"/>
  <c r="E15" i="8"/>
  <c r="E13" i="8"/>
  <c r="E15" i="3"/>
  <c r="E13" i="3"/>
  <c r="P13" i="3" s="1"/>
  <c r="K15" i="3" l="1"/>
  <c r="P15" i="3"/>
  <c r="P18" i="3" s="1"/>
  <c r="P28" i="3" s="1"/>
  <c r="C21" i="10"/>
  <c r="D7" i="10"/>
  <c r="D4" i="10" s="1"/>
  <c r="D6" i="10" s="1"/>
  <c r="D36" i="2"/>
  <c r="E6" i="3" s="1"/>
  <c r="M29" i="2"/>
  <c r="M36" i="2" s="1"/>
  <c r="E36" i="2"/>
  <c r="C39" i="2" s="1"/>
  <c r="N29" i="2"/>
  <c r="N36" i="2" s="1"/>
  <c r="K13" i="3"/>
  <c r="K18" i="3" s="1"/>
  <c r="K31" i="3" s="1"/>
  <c r="K35" i="3" s="1"/>
  <c r="K37" i="3" s="1"/>
  <c r="E14" i="3" l="1"/>
  <c r="R6" i="3"/>
  <c r="C18" i="10"/>
  <c r="C20" i="10" s="1"/>
  <c r="E22" i="1"/>
  <c r="P31" i="3"/>
  <c r="E37" i="1"/>
  <c r="E10" i="3"/>
  <c r="E35" i="3"/>
  <c r="E6" i="8"/>
  <c r="Q6" i="8" s="1"/>
  <c r="D21" i="10"/>
  <c r="E7" i="10"/>
  <c r="C38" i="2"/>
  <c r="E37" i="3" l="1"/>
  <c r="D18" i="10"/>
  <c r="D20" i="10" s="1"/>
  <c r="E25" i="1"/>
  <c r="E14" i="8"/>
  <c r="E18" i="8" s="1"/>
  <c r="E21" i="10"/>
  <c r="E18" i="10" s="1"/>
  <c r="E20" i="10" s="1"/>
  <c r="E4" i="10"/>
  <c r="E6" i="10" s="1"/>
  <c r="E32" i="8" l="1"/>
  <c r="E36" i="8" s="1"/>
  <c r="E36" i="1"/>
  <c r="E6" i="1"/>
  <c r="J6" i="1" l="1"/>
  <c r="P35" i="3"/>
  <c r="E40" i="1"/>
  <c r="J7" i="1"/>
  <c r="J10" i="1"/>
  <c r="E7" i="1"/>
  <c r="E43" i="1" l="1"/>
  <c r="P37" i="3"/>
  <c r="E45" i="1" s="1"/>
  <c r="E51" i="1" s="1"/>
  <c r="E59" i="1" s="1"/>
  <c r="O10" i="1" s="1"/>
  <c r="P10" i="1" s="1"/>
  <c r="E28" i="1"/>
  <c r="E15" i="1"/>
  <c r="E49" i="1" s="1"/>
  <c r="J13" i="1"/>
  <c r="E10" i="1"/>
  <c r="E13" i="1"/>
  <c r="E26" i="10" l="1"/>
  <c r="E30" i="1"/>
  <c r="E50" i="1" s="1"/>
  <c r="E58" i="1" s="1"/>
  <c r="O9" i="1" s="1"/>
  <c r="P9" i="1" s="1"/>
  <c r="E38" i="8"/>
  <c r="J15" i="1" s="1"/>
  <c r="J49" i="1" s="1"/>
  <c r="J52" i="1" s="1"/>
  <c r="E52" i="1" l="1"/>
  <c r="D26" i="10"/>
  <c r="E57" i="1"/>
  <c r="C26" i="10" s="1"/>
  <c r="H26" i="10" s="1"/>
  <c r="O8" i="1" l="1"/>
  <c r="E60" i="1"/>
  <c r="O11" i="1" l="1"/>
  <c r="P8" i="1"/>
  <c r="P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co2la</author>
  </authors>
  <commentList>
    <comment ref="B44" authorId="0" shapeId="0" xr:uid="{49D63131-829E-4D8F-BAEB-D374F823B486}">
      <text>
        <r>
          <rPr>
            <b/>
            <sz val="9"/>
            <color rgb="FF000000"/>
            <rFont val="Tahoma"/>
            <family val="2"/>
          </rPr>
          <t>co2la: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As other uses are not significant they are not included. Wood and charcoal ratios are therefore taken as proportion of 24% + 72%</t>
        </r>
      </text>
    </comment>
  </commentList>
</comments>
</file>

<file path=xl/sharedStrings.xml><?xml version="1.0" encoding="utf-8"?>
<sst xmlns="http://schemas.openxmlformats.org/spreadsheetml/2006/main" count="1143" uniqueCount="266">
  <si>
    <t>Wood Emission Reductions - 01/01/2022 - 31/12/2022</t>
  </si>
  <si>
    <t>Charcoal Emission Reductions - 01/01/2022 - 31/12/2022</t>
  </si>
  <si>
    <t>ERs_by Vintage</t>
  </si>
  <si>
    <t>2022 Emission Reductions - Wood</t>
  </si>
  <si>
    <t>2022 Emission Reductions - Charcoal</t>
  </si>
  <si>
    <t>Emission Reductions by Vintage-Capped</t>
  </si>
  <si>
    <t>Emissions Reductions</t>
  </si>
  <si>
    <t>Year</t>
  </si>
  <si>
    <t>MP1</t>
  </si>
  <si>
    <t>MP2</t>
  </si>
  <si>
    <t>Capped Ers</t>
  </si>
  <si>
    <t>Baseline emissions per year</t>
  </si>
  <si>
    <t>BEb,y</t>
  </si>
  <si>
    <t>tCO2/y</t>
  </si>
  <si>
    <t>Project emissions per year</t>
  </si>
  <si>
    <t>PEp,y</t>
  </si>
  <si>
    <t>Usage rate</t>
  </si>
  <si>
    <t>Up,y</t>
  </si>
  <si>
    <t>fraction</t>
  </si>
  <si>
    <t>Leakage</t>
  </si>
  <si>
    <t>LEp,y</t>
  </si>
  <si>
    <t>Emission Reductions</t>
  </si>
  <si>
    <t>Ery</t>
  </si>
  <si>
    <t>Suppressed Demand Assessment</t>
  </si>
  <si>
    <t>Total</t>
  </si>
  <si>
    <r>
      <t xml:space="preserve">Percentage of </t>
    </r>
    <r>
      <rPr>
        <b/>
        <u/>
        <sz val="11"/>
        <color indexed="8"/>
        <rFont val="Calibri"/>
        <family val="2"/>
      </rPr>
      <t>non</t>
    </r>
    <r>
      <rPr>
        <sz val="11"/>
        <color theme="1"/>
        <rFont val="Calibri"/>
        <family val="2"/>
        <scheme val="minor"/>
      </rPr>
      <t xml:space="preserve">-suppressed demand users </t>
    </r>
  </si>
  <si>
    <t>Xboil</t>
  </si>
  <si>
    <t>Percentage</t>
  </si>
  <si>
    <t>ERy</t>
  </si>
  <si>
    <t>Capped ERs</t>
  </si>
  <si>
    <t xml:space="preserve">Capped Emission Reductions </t>
  </si>
  <si>
    <t>Wood Emission Reductions - 01/01/2023 - 31/12/2023</t>
  </si>
  <si>
    <t>Charcoal Emission Reductions - 01/01/2023 - 31/12/2023</t>
  </si>
  <si>
    <t>2023 Emission Reductions - Wood</t>
  </si>
  <si>
    <t>2023 Emission Reductions - Charcoal</t>
  </si>
  <si>
    <t>Wood Emission Reductions - 01/01/2024 - 31/03/2024</t>
  </si>
  <si>
    <t>Charcoal Emission Reductions - 01/01/2024 - 31/03/2024</t>
  </si>
  <si>
    <t>2024 Emission Reductions - Wood</t>
  </si>
  <si>
    <t>2024 Emission Reductions - Charcoal</t>
  </si>
  <si>
    <t>Wood Total Capped ERs for Monitoring Period 2</t>
  </si>
  <si>
    <t>Charcoal Total Capped ERs for Monitoring Period 2</t>
  </si>
  <si>
    <t>Total ERs for MP2</t>
  </si>
  <si>
    <t>Total Capped ERs for Monitoring Period 2</t>
  </si>
  <si>
    <t>Site</t>
  </si>
  <si>
    <t>Date of Installation</t>
  </si>
  <si>
    <t>Days in MP2 2022</t>
  </si>
  <si>
    <t>Days recorded sales in 2022</t>
  </si>
  <si>
    <t>Non-sale days</t>
  </si>
  <si>
    <t>Litres sold MP2 2022</t>
  </si>
  <si>
    <t>Daily Average Sales MP2</t>
  </si>
  <si>
    <t>WQT fail days</t>
  </si>
  <si>
    <t>MP2 Start</t>
  </si>
  <si>
    <t>Likoni</t>
  </si>
  <si>
    <t>See 2022 sales data. Source: GS10987_Sales_2022_MP2_v1.xlsx</t>
  </si>
  <si>
    <t>2022 End</t>
  </si>
  <si>
    <t>Bamburi</t>
  </si>
  <si>
    <t>2023 Start</t>
  </si>
  <si>
    <t>Kitengela</t>
  </si>
  <si>
    <t>2023 End</t>
  </si>
  <si>
    <t>Kiunga</t>
  </si>
  <si>
    <t>2024 Start</t>
  </si>
  <si>
    <t>Mokowe</t>
  </si>
  <si>
    <t>MP2 End</t>
  </si>
  <si>
    <t>Mtongwe</t>
  </si>
  <si>
    <t>Mwingi</t>
  </si>
  <si>
    <t>Wote</t>
  </si>
  <si>
    <t>Non-functionality %</t>
  </si>
  <si>
    <t>Days in MP2 2023</t>
  </si>
  <si>
    <t>Days recorded sales in 2023</t>
  </si>
  <si>
    <t>Non-sale days 2023</t>
  </si>
  <si>
    <t>Litres sold MP2 2023</t>
  </si>
  <si>
    <t>Daily Average Sales MP2 2023</t>
  </si>
  <si>
    <t>See 2023 sales data. Source: GS10987_Sales_2023_v2</t>
  </si>
  <si>
    <t>Days in MP2 2024</t>
  </si>
  <si>
    <t>Days recorded sales in 2024</t>
  </si>
  <si>
    <t>Non-sale days 2024</t>
  </si>
  <si>
    <t>Litres sold MP2 2024</t>
  </si>
  <si>
    <t>Daily Average Sales MP2 2024</t>
  </si>
  <si>
    <t>See 2024 sales data. Source: GS10987_Sales_2024_Q1_v1.xlsx</t>
  </si>
  <si>
    <t>GS ID</t>
  </si>
  <si>
    <t>Plant ID</t>
  </si>
  <si>
    <t>Technology</t>
  </si>
  <si>
    <t>Mode of Use</t>
  </si>
  <si>
    <t>Treatment Capacity (L/day)</t>
  </si>
  <si>
    <t>Community</t>
  </si>
  <si>
    <t>Latitude</t>
  </si>
  <si>
    <t>Longitude</t>
  </si>
  <si>
    <t>Days offline 2022</t>
  </si>
  <si>
    <t>Days offline 2023</t>
  </si>
  <si>
    <t>Days offline 2024</t>
  </si>
  <si>
    <t>Days in 2022</t>
  </si>
  <si>
    <t>Days in 2023</t>
  </si>
  <si>
    <t>Days in 2024</t>
  </si>
  <si>
    <t>Sales Log</t>
  </si>
  <si>
    <t>Average Treatment Capacity (L/day)</t>
  </si>
  <si>
    <t>Source</t>
  </si>
  <si>
    <t>Average Treatment Capacity (adjusted for Var) (L/day)</t>
  </si>
  <si>
    <t>2022 Users (based on 4L/p/day default)</t>
  </si>
  <si>
    <t>2023 Users (based on 4L/p/day default)</t>
  </si>
  <si>
    <t>2024 Users (based on 4L/p/day default)</t>
  </si>
  <si>
    <t>Project safe water consumed (per capita per day)</t>
  </si>
  <si>
    <t>GS10987</t>
  </si>
  <si>
    <t>MAXI 1</t>
  </si>
  <si>
    <t>MAXI</t>
  </si>
  <si>
    <t>Commercial and Domestic</t>
  </si>
  <si>
    <t>GS10987 Sales 2022 Excel</t>
  </si>
  <si>
    <t>GS10987 Sales 2023 Excel</t>
  </si>
  <si>
    <t>GS10987 Sales 2024 Excel</t>
  </si>
  <si>
    <t>Methodology Default</t>
  </si>
  <si>
    <t>MAXI 2</t>
  </si>
  <si>
    <t>MOBI+ 1</t>
  </si>
  <si>
    <t>MOBI+</t>
  </si>
  <si>
    <t>Makindu</t>
  </si>
  <si>
    <t>MAXI 3</t>
  </si>
  <si>
    <t>Kitengala</t>
  </si>
  <si>
    <t>MAXI 4</t>
  </si>
  <si>
    <t>MOBI 1</t>
  </si>
  <si>
    <t>MOBI</t>
  </si>
  <si>
    <t>MAXI 5</t>
  </si>
  <si>
    <t>MOBI+ 2</t>
  </si>
  <si>
    <t>MOBI+ 3</t>
  </si>
  <si>
    <t>Date</t>
  </si>
  <si>
    <t>Total non-functionality</t>
  </si>
  <si>
    <t>&lt;-- total including WQTs</t>
  </si>
  <si>
    <t>WQT non-functional</t>
  </si>
  <si>
    <t>&lt;-- partial of just WQTs</t>
  </si>
  <si>
    <t>% Variance (MP1 data)</t>
  </si>
  <si>
    <t>Verified in MP1 issuance</t>
  </si>
  <si>
    <t>MP2 Crediting Days</t>
  </si>
  <si>
    <t>MP2 Credit Cap</t>
  </si>
  <si>
    <t xml:space="preserve">Daily credit cap </t>
  </si>
  <si>
    <t>2022 crediting days</t>
  </si>
  <si>
    <t>2023 crediting days</t>
  </si>
  <si>
    <t>2024 crediting days</t>
  </si>
  <si>
    <t>Total crediting days</t>
  </si>
  <si>
    <t>2022 PTDs Wood</t>
  </si>
  <si>
    <t>2022 PTDs Charcoal</t>
  </si>
  <si>
    <t>Total 2022 PTDs</t>
  </si>
  <si>
    <t>2023 PTDs Wood</t>
  </si>
  <si>
    <t>2023 PTDs Charcoal</t>
  </si>
  <si>
    <t>Total 2023 PTDs</t>
  </si>
  <si>
    <t>2024 PTDs Wood</t>
  </si>
  <si>
    <t>2024 PTDs Charcoal</t>
  </si>
  <si>
    <t>Total 2024 PTDs</t>
  </si>
  <si>
    <t xml:space="preserve">Total MP2 PTDs Wood </t>
  </si>
  <si>
    <t xml:space="preserve">Total MP2 PTDs Charcoal </t>
  </si>
  <si>
    <t>Total MP2 PTDs</t>
  </si>
  <si>
    <t>Np,y [Wood]</t>
  </si>
  <si>
    <t>Np,y [Charcoal]</t>
  </si>
  <si>
    <t>Baseline Primary Fuel Use</t>
  </si>
  <si>
    <t>Weighted baseline fuels</t>
  </si>
  <si>
    <t>Wood Fuel</t>
  </si>
  <si>
    <t>Charcoal</t>
  </si>
  <si>
    <t>Other (De Minimis)</t>
  </si>
  <si>
    <t>2022 WQT fail days</t>
  </si>
  <si>
    <t>MP2 WQT Fail Days</t>
  </si>
  <si>
    <t>Date of installation</t>
  </si>
  <si>
    <t>6 months</t>
  </si>
  <si>
    <t>Q1</t>
  </si>
  <si>
    <t>Q2</t>
  </si>
  <si>
    <t>Q3</t>
  </si>
  <si>
    <t>Q4</t>
  </si>
  <si>
    <t xml:space="preserve">Q4 (2) </t>
  </si>
  <si>
    <t>Pass</t>
  </si>
  <si>
    <t>Date of Pass</t>
  </si>
  <si>
    <t>Fail</t>
  </si>
  <si>
    <t>Date of Fail</t>
  </si>
  <si>
    <t>End of 2023</t>
  </si>
  <si>
    <t>2023 WQT fail days</t>
  </si>
  <si>
    <t>End 2024</t>
  </si>
  <si>
    <t>2024 WQT fail days</t>
  </si>
  <si>
    <t>ü</t>
  </si>
  <si>
    <t>û</t>
  </si>
  <si>
    <t xml:space="preserve">Total </t>
  </si>
  <si>
    <t>WQT fails</t>
  </si>
  <si>
    <t xml:space="preserve">Days in MP2 </t>
  </si>
  <si>
    <t xml:space="preserve">Fail </t>
  </si>
  <si>
    <t>2022 Emission Reductions</t>
  </si>
  <si>
    <t>2023 Emission Reductions</t>
  </si>
  <si>
    <t>2024 Emission Reductions</t>
  </si>
  <si>
    <t>Baseline Fuel Use (Bby)</t>
  </si>
  <si>
    <t>Portion using safe water</t>
  </si>
  <si>
    <t>Cj</t>
  </si>
  <si>
    <t>Person Days</t>
  </si>
  <si>
    <t>Njy</t>
  </si>
  <si>
    <t>Fuel to treat  1 litre of water using baseline tech</t>
  </si>
  <si>
    <t>Wb,y</t>
  </si>
  <si>
    <t>T/L</t>
  </si>
  <si>
    <t>Quantity safe water litres consumed in project scenario supplied by project technology</t>
  </si>
  <si>
    <t>Qb,y</t>
  </si>
  <si>
    <t>L/pd</t>
  </si>
  <si>
    <t>Quantity of raw water boiled in addition to project technology water</t>
  </si>
  <si>
    <t>Qb, raw, y</t>
  </si>
  <si>
    <t>Quantity fuel consumed in baseline scenario</t>
  </si>
  <si>
    <t>Bb,y</t>
  </si>
  <si>
    <t>T</t>
  </si>
  <si>
    <t>Project Fuel Use (Pby)</t>
  </si>
  <si>
    <t>Portion of safe users</t>
  </si>
  <si>
    <t>Fossil fuel required to treat 1 litre for water in project scenario</t>
  </si>
  <si>
    <t xml:space="preserve">Wp,y </t>
  </si>
  <si>
    <t>Quantity of raw water boiled in addition to project tech water</t>
  </si>
  <si>
    <t>Qp, raw, y</t>
  </si>
  <si>
    <t>Quantity of safe water boiled</t>
  </si>
  <si>
    <t xml:space="preserve">Qp, cleanboil, y </t>
  </si>
  <si>
    <t>Quantity of fuel consumed in project scenario per HH</t>
  </si>
  <si>
    <t>Bp,y</t>
  </si>
  <si>
    <t>Constants</t>
  </si>
  <si>
    <t>NRB</t>
  </si>
  <si>
    <t>Fraction</t>
  </si>
  <si>
    <t>Emissions factor fuel (co2)</t>
  </si>
  <si>
    <t>EFb,fuel,co2</t>
  </si>
  <si>
    <t>tCO2/TJ</t>
  </si>
  <si>
    <t>Emissions factor fuel (non-co2)</t>
  </si>
  <si>
    <t>EFb, fuel, non-co2</t>
  </si>
  <si>
    <t>TCO2/TJ</t>
  </si>
  <si>
    <t>Net calorific value of fuel</t>
  </si>
  <si>
    <t>NCV,b,fuel</t>
  </si>
  <si>
    <t>TJ/T</t>
  </si>
  <si>
    <t>Total Emission Reductions</t>
  </si>
  <si>
    <t>Emission Reductions Corrected for Suppressed Demand</t>
  </si>
  <si>
    <t>Capped Emission Reductions</t>
  </si>
  <si>
    <t>Ers  have been capped at a daily rate based on 60,000 ERs per year and ensuring that only 60,000 Ers have been claimed each 365 day period</t>
  </si>
  <si>
    <t>N/A</t>
  </si>
  <si>
    <t>factor</t>
  </si>
  <si>
    <t>SDG 3: Good Health and Well-Being</t>
  </si>
  <si>
    <t>Parameter</t>
  </si>
  <si>
    <t>Description</t>
  </si>
  <si>
    <t>Value</t>
  </si>
  <si>
    <t>Unit</t>
  </si>
  <si>
    <t>Psafe</t>
  </si>
  <si>
    <t>Number of additional persons consuming safe water in the project activity compared to the baseline scenario</t>
  </si>
  <si>
    <t>people</t>
  </si>
  <si>
    <t>Calculation</t>
  </si>
  <si>
    <r>
      <t>P</t>
    </r>
    <r>
      <rPr>
        <vertAlign val="subscript"/>
        <sz val="11"/>
        <color theme="1"/>
        <rFont val="Avenir Book"/>
        <family val="2"/>
      </rPr>
      <t>y</t>
    </r>
  </si>
  <si>
    <t>Number of persons having access to safe water in the project activity</t>
  </si>
  <si>
    <t>Emission Reduction calculations</t>
  </si>
  <si>
    <t>Baseline persons with access to safe water</t>
  </si>
  <si>
    <r>
      <t>C</t>
    </r>
    <r>
      <rPr>
        <vertAlign val="subscript"/>
        <sz val="11"/>
        <color theme="1"/>
        <rFont val="Avenir Book"/>
        <family val="2"/>
      </rPr>
      <t>j</t>
    </r>
  </si>
  <si>
    <t>Portion of users of the project technology j who in the baseline were already consuming safe water without boiling it.</t>
  </si>
  <si>
    <t>%</t>
  </si>
  <si>
    <t>Baseline Survey Report cell D58</t>
  </si>
  <si>
    <r>
      <t>P</t>
    </r>
    <r>
      <rPr>
        <vertAlign val="subscript"/>
        <sz val="11"/>
        <color theme="1"/>
        <rFont val="Avenir Book"/>
        <family val="2"/>
      </rPr>
      <t>b, boil</t>
    </r>
  </si>
  <si>
    <r>
      <t>Percentage of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persons boiling water for purification in the baseline scenario</t>
    </r>
  </si>
  <si>
    <t>Baseline Survey Report cell D72</t>
  </si>
  <si>
    <t>SDG 5: Gender Equality</t>
  </si>
  <si>
    <t>TRy</t>
  </si>
  <si>
    <t xml:space="preserve">Total reduction time spent collecting water for project activity in year y </t>
  </si>
  <si>
    <t>hours</t>
  </si>
  <si>
    <t>Tb,y</t>
  </si>
  <si>
    <t xml:space="preserve">Baseline time spent collecting water per household per day </t>
  </si>
  <si>
    <t xml:space="preserve">Baseline Project Survey Q15-16 </t>
  </si>
  <si>
    <t>Tp,y</t>
  </si>
  <si>
    <t xml:space="preserve">Project time spent collecting water per household per day </t>
  </si>
  <si>
    <t>Annual Monitoring Survey</t>
  </si>
  <si>
    <t>SDG 6: Clean Water and Sanitation</t>
  </si>
  <si>
    <t>Paccess</t>
  </si>
  <si>
    <t>Number of additional persons having access to safe water in the project activity compared to the baseline scenario</t>
  </si>
  <si>
    <t>Py</t>
  </si>
  <si>
    <t>Expressed as a percentage, the portion of users of the project technology j who in the baseline were already consuming safe water without boiling it.</t>
  </si>
  <si>
    <t xml:space="preserve">Up,y </t>
  </si>
  <si>
    <r>
      <t>Usage rate in project scenario p during</t>
    </r>
    <r>
      <rPr>
        <vertAlign val="subscript"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year y</t>
    </r>
  </si>
  <si>
    <t>SDG 13: Climate Action</t>
  </si>
  <si>
    <t>Er,y</t>
  </si>
  <si>
    <t xml:space="preserve">CO2 emission reductions for the current monitoring period </t>
  </si>
  <si>
    <t>VER</t>
  </si>
  <si>
    <t>Conversion of production of wood to charcoal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</si>
</sst>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0000"/>
    <numFmt numFmtId="167" formatCode="0.0000000"/>
    <numFmt numFmtId="168" formatCode="_-* #,##0.0_-;\-* #,##0.0_-;_-* &quot;-&quot;?_-;_-@_-"/>
    <numFmt numFmtId="169" formatCode="0.0%"/>
    <numFmt numFmtId="170" formatCode="0.0000"/>
    <numFmt numFmtId="171" formatCode="_-* #,##0.0000000_-;\-* #,##0.0000000_-;_-* &quot;-&quot;??_-;_-@_-"/>
    <numFmt numFmtId="172" formatCode="#,##0_ ;\-#,##0\ 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theme="1"/>
      <name val="Avenir Book"/>
      <family val="2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Wingdings"/>
      <charset val="2"/>
    </font>
    <font>
      <sz val="11"/>
      <color theme="1"/>
      <name val="Wingdings"/>
      <charset val="2"/>
    </font>
    <font>
      <sz val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0A0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2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11" xfId="0" applyBorder="1"/>
    <xf numFmtId="0" fontId="0" fillId="0" borderId="12" xfId="0" applyBorder="1"/>
    <xf numFmtId="3" fontId="0" fillId="3" borderId="13" xfId="0" applyNumberFormat="1" applyFill="1" applyBorder="1"/>
    <xf numFmtId="1" fontId="0" fillId="2" borderId="0" xfId="0" applyNumberFormat="1" applyFill="1"/>
    <xf numFmtId="4" fontId="0" fillId="3" borderId="13" xfId="0" applyNumberFormat="1" applyFill="1" applyBorder="1"/>
    <xf numFmtId="0" fontId="3" fillId="0" borderId="12" xfId="0" applyFont="1" applyBorder="1" applyAlignment="1">
      <alignment horizontal="center" wrapText="1"/>
    </xf>
    <xf numFmtId="0" fontId="0" fillId="0" borderId="7" xfId="0" applyBorder="1"/>
    <xf numFmtId="0" fontId="0" fillId="0" borderId="14" xfId="0" applyBorder="1"/>
    <xf numFmtId="10" fontId="0" fillId="3" borderId="13" xfId="0" applyNumberFormat="1" applyFill="1" applyBorder="1"/>
    <xf numFmtId="0" fontId="3" fillId="0" borderId="11" xfId="0" applyFont="1" applyBorder="1"/>
    <xf numFmtId="0" fontId="3" fillId="0" borderId="12" xfId="0" applyFont="1" applyBorder="1"/>
    <xf numFmtId="0" fontId="3" fillId="0" borderId="15" xfId="0" applyFont="1" applyBorder="1"/>
    <xf numFmtId="0" fontId="3" fillId="0" borderId="16" xfId="0" applyFont="1" applyBorder="1"/>
    <xf numFmtId="1" fontId="0" fillId="2" borderId="0" xfId="0" applyNumberFormat="1" applyFill="1" applyAlignment="1">
      <alignment wrapText="1"/>
    </xf>
    <xf numFmtId="164" fontId="3" fillId="3" borderId="9" xfId="1" applyNumberFormat="1" applyFont="1" applyFill="1" applyBorder="1"/>
    <xf numFmtId="0" fontId="0" fillId="8" borderId="25" xfId="0" applyFill="1" applyBorder="1" applyAlignment="1">
      <alignment wrapText="1"/>
    </xf>
    <xf numFmtId="164" fontId="3" fillId="3" borderId="26" xfId="1" applyNumberFormat="1" applyFont="1" applyFill="1" applyBorder="1" applyAlignment="1">
      <alignment wrapText="1"/>
    </xf>
    <xf numFmtId="0" fontId="2" fillId="9" borderId="27" xfId="0" applyFont="1" applyFill="1" applyBorder="1" applyAlignment="1">
      <alignment horizontal="center"/>
    </xf>
    <xf numFmtId="0" fontId="0" fillId="0" borderId="12" xfId="0" applyBorder="1" applyAlignment="1">
      <alignment wrapText="1"/>
    </xf>
    <xf numFmtId="0" fontId="3" fillId="0" borderId="0" xfId="0" applyFont="1"/>
    <xf numFmtId="14" fontId="0" fillId="2" borderId="30" xfId="0" applyNumberFormat="1" applyFill="1" applyBorder="1" applyAlignment="1">
      <alignment horizontal="left"/>
    </xf>
    <xf numFmtId="14" fontId="0" fillId="2" borderId="30" xfId="0" applyNumberFormat="1" applyFill="1" applyBorder="1"/>
    <xf numFmtId="14" fontId="0" fillId="2" borderId="30" xfId="0" applyNumberFormat="1" applyFill="1" applyBorder="1" applyAlignment="1">
      <alignment horizontal="right"/>
    </xf>
    <xf numFmtId="14" fontId="0" fillId="0" borderId="30" xfId="0" applyNumberFormat="1" applyBorder="1"/>
    <xf numFmtId="0" fontId="3" fillId="0" borderId="0" xfId="0" applyFont="1" applyAlignment="1">
      <alignment horizontal="center"/>
    </xf>
    <xf numFmtId="0" fontId="3" fillId="2" borderId="30" xfId="0" applyFont="1" applyFill="1" applyBorder="1" applyAlignment="1">
      <alignment horizontal="left" wrapText="1"/>
    </xf>
    <xf numFmtId="0" fontId="3" fillId="2" borderId="30" xfId="0" applyFont="1" applyFill="1" applyBorder="1" applyAlignment="1">
      <alignment horizontal="left"/>
    </xf>
    <xf numFmtId="0" fontId="0" fillId="0" borderId="30" xfId="0" applyBorder="1"/>
    <xf numFmtId="0" fontId="3" fillId="2" borderId="30" xfId="0" applyFont="1" applyFill="1" applyBorder="1"/>
    <xf numFmtId="1" fontId="0" fillId="2" borderId="30" xfId="0" applyNumberFormat="1" applyFill="1" applyBorder="1"/>
    <xf numFmtId="164" fontId="0" fillId="3" borderId="12" xfId="1" applyNumberFormat="1" applyFont="1" applyFill="1" applyBorder="1"/>
    <xf numFmtId="166" fontId="0" fillId="3" borderId="12" xfId="0" applyNumberFormat="1" applyFill="1" applyBorder="1"/>
    <xf numFmtId="165" fontId="0" fillId="3" borderId="12" xfId="0" applyNumberFormat="1" applyFill="1" applyBorder="1"/>
    <xf numFmtId="1" fontId="0" fillId="3" borderId="12" xfId="0" applyNumberFormat="1" applyFill="1" applyBorder="1"/>
    <xf numFmtId="2" fontId="0" fillId="3" borderId="12" xfId="0" applyNumberFormat="1" applyFill="1" applyBorder="1"/>
    <xf numFmtId="167" fontId="0" fillId="3" borderId="12" xfId="0" applyNumberFormat="1" applyFill="1" applyBorder="1"/>
    <xf numFmtId="0" fontId="0" fillId="3" borderId="12" xfId="0" applyFill="1" applyBorder="1"/>
    <xf numFmtId="3" fontId="0" fillId="3" borderId="12" xfId="0" applyNumberFormat="1" applyFill="1" applyBorder="1"/>
    <xf numFmtId="9" fontId="0" fillId="3" borderId="12" xfId="0" applyNumberFormat="1" applyFill="1" applyBorder="1"/>
    <xf numFmtId="3" fontId="0" fillId="2" borderId="0" xfId="0" applyNumberFormat="1" applyFill="1"/>
    <xf numFmtId="0" fontId="0" fillId="0" borderId="31" xfId="0" applyBorder="1"/>
    <xf numFmtId="10" fontId="0" fillId="3" borderId="12" xfId="0" applyNumberFormat="1" applyFill="1" applyBorder="1"/>
    <xf numFmtId="0" fontId="3" fillId="0" borderId="31" xfId="0" applyFont="1" applyBorder="1" applyAlignment="1">
      <alignment wrapText="1"/>
    </xf>
    <xf numFmtId="0" fontId="3" fillId="0" borderId="14" xfId="0" applyFont="1" applyBorder="1"/>
    <xf numFmtId="0" fontId="3" fillId="0" borderId="31" xfId="0" applyFont="1" applyBorder="1"/>
    <xf numFmtId="0" fontId="0" fillId="0" borderId="12" xfId="0" applyBorder="1" applyAlignment="1">
      <alignment vertical="top" wrapText="1"/>
    </xf>
    <xf numFmtId="1" fontId="0" fillId="0" borderId="0" xfId="0" applyNumberFormat="1"/>
    <xf numFmtId="9" fontId="0" fillId="10" borderId="12" xfId="2" applyFont="1" applyFill="1" applyBorder="1"/>
    <xf numFmtId="9" fontId="0" fillId="3" borderId="12" xfId="2" applyFont="1" applyFill="1" applyBorder="1"/>
    <xf numFmtId="0" fontId="9" fillId="0" borderId="0" xfId="0" applyFont="1"/>
    <xf numFmtId="0" fontId="2" fillId="9" borderId="12" xfId="0" applyFont="1" applyFill="1" applyBorder="1" applyAlignment="1">
      <alignment horizontal="center"/>
    </xf>
    <xf numFmtId="0" fontId="0" fillId="0" borderId="12" xfId="0" applyBorder="1" applyProtection="1">
      <protection locked="0"/>
    </xf>
    <xf numFmtId="0" fontId="9" fillId="0" borderId="12" xfId="0" applyFont="1" applyBorder="1" applyAlignment="1">
      <alignment horizontal="center"/>
    </xf>
    <xf numFmtId="0" fontId="0" fillId="12" borderId="12" xfId="0" applyFill="1" applyBorder="1"/>
    <xf numFmtId="0" fontId="2" fillId="6" borderId="28" xfId="0" applyFont="1" applyFill="1" applyBorder="1" applyAlignment="1">
      <alignment horizontal="center" wrapText="1"/>
    </xf>
    <xf numFmtId="0" fontId="0" fillId="12" borderId="12" xfId="0" applyFill="1" applyBorder="1" applyAlignment="1">
      <alignment wrapText="1"/>
    </xf>
    <xf numFmtId="0" fontId="0" fillId="0" borderId="32" xfId="0" applyBorder="1" applyAlignment="1">
      <alignment wrapText="1"/>
    </xf>
    <xf numFmtId="0" fontId="0" fillId="12" borderId="29" xfId="0" applyFill="1" applyBorder="1" applyAlignment="1">
      <alignment wrapText="1"/>
    </xf>
    <xf numFmtId="164" fontId="3" fillId="0" borderId="12" xfId="1" applyNumberFormat="1" applyFont="1" applyBorder="1" applyAlignment="1">
      <alignment horizontal="right" wrapText="1"/>
    </xf>
    <xf numFmtId="164" fontId="0" fillId="0" borderId="12" xfId="1" applyNumberFormat="1" applyFont="1" applyBorder="1" applyAlignment="1">
      <alignment horizontal="right" wrapText="1"/>
    </xf>
    <xf numFmtId="164" fontId="0" fillId="0" borderId="0" xfId="0" applyNumberFormat="1"/>
    <xf numFmtId="10" fontId="0" fillId="0" borderId="12" xfId="0" applyNumberFormat="1" applyBorder="1" applyAlignment="1">
      <alignment horizontal="right" wrapText="1"/>
    </xf>
    <xf numFmtId="0" fontId="0" fillId="0" borderId="0" xfId="0" applyAlignment="1">
      <alignment wrapText="1"/>
    </xf>
    <xf numFmtId="9" fontId="0" fillId="0" borderId="0" xfId="2" applyFont="1" applyBorder="1" applyAlignment="1">
      <alignment wrapText="1"/>
    </xf>
    <xf numFmtId="0" fontId="12" fillId="0" borderId="0" xfId="0" applyFont="1" applyAlignment="1">
      <alignment vertical="top" wrapText="1"/>
    </xf>
    <xf numFmtId="2" fontId="0" fillId="0" borderId="12" xfId="0" applyNumberFormat="1" applyBorder="1" applyAlignment="1">
      <alignment horizontal="right" wrapText="1"/>
    </xf>
    <xf numFmtId="2" fontId="0" fillId="0" borderId="0" xfId="0" applyNumberFormat="1"/>
    <xf numFmtId="9" fontId="0" fillId="0" borderId="0" xfId="2" applyFont="1" applyBorder="1" applyAlignment="1">
      <alignment horizontal="right" wrapText="1"/>
    </xf>
    <xf numFmtId="168" fontId="0" fillId="2" borderId="0" xfId="0" applyNumberFormat="1" applyFill="1"/>
    <xf numFmtId="164" fontId="0" fillId="0" borderId="12" xfId="1" applyNumberFormat="1" applyFont="1" applyBorder="1" applyProtection="1">
      <protection locked="0"/>
    </xf>
    <xf numFmtId="0" fontId="9" fillId="0" borderId="0" xfId="0" applyFont="1" applyAlignment="1">
      <alignment horizontal="center"/>
    </xf>
    <xf numFmtId="0" fontId="3" fillId="2" borderId="14" xfId="0" applyFont="1" applyFill="1" applyBorder="1" applyAlignment="1">
      <alignment wrapText="1"/>
    </xf>
    <xf numFmtId="43" fontId="0" fillId="2" borderId="0" xfId="0" applyNumberFormat="1" applyFill="1" applyAlignment="1">
      <alignment wrapText="1"/>
    </xf>
    <xf numFmtId="164" fontId="3" fillId="2" borderId="1" xfId="1" applyNumberFormat="1" applyFont="1" applyFill="1" applyBorder="1"/>
    <xf numFmtId="164" fontId="9" fillId="0" borderId="14" xfId="1" applyNumberFormat="1" applyFont="1" applyFill="1" applyBorder="1" applyAlignment="1">
      <alignment horizontal="center"/>
    </xf>
    <xf numFmtId="164" fontId="3" fillId="2" borderId="30" xfId="1" applyNumberFormat="1" applyFont="1" applyFill="1" applyBorder="1"/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9" fontId="0" fillId="0" borderId="12" xfId="0" applyNumberFormat="1" applyBorder="1"/>
    <xf numFmtId="0" fontId="13" fillId="0" borderId="12" xfId="0" applyFont="1" applyBorder="1"/>
    <xf numFmtId="9" fontId="13" fillId="0" borderId="12" xfId="0" applyNumberFormat="1" applyFont="1" applyBorder="1"/>
    <xf numFmtId="164" fontId="0" fillId="0" borderId="12" xfId="0" applyNumberFormat="1" applyBorder="1"/>
    <xf numFmtId="14" fontId="0" fillId="0" borderId="0" xfId="0" applyNumberFormat="1"/>
    <xf numFmtId="164" fontId="0" fillId="2" borderId="30" xfId="1" applyNumberFormat="1" applyFont="1" applyFill="1" applyBorder="1"/>
    <xf numFmtId="0" fontId="2" fillId="9" borderId="10" xfId="0" applyFont="1" applyFill="1" applyBorder="1" applyAlignment="1">
      <alignment horizontal="center"/>
    </xf>
    <xf numFmtId="0" fontId="0" fillId="0" borderId="2" xfId="0" applyBorder="1"/>
    <xf numFmtId="164" fontId="9" fillId="0" borderId="12" xfId="1" applyNumberFormat="1" applyFont="1" applyFill="1" applyBorder="1" applyAlignment="1">
      <alignment horizontal="center"/>
    </xf>
    <xf numFmtId="164" fontId="0" fillId="0" borderId="3" xfId="1" applyNumberFormat="1" applyFont="1" applyBorder="1"/>
    <xf numFmtId="164" fontId="0" fillId="0" borderId="3" xfId="0" applyNumberFormat="1" applyBorder="1"/>
    <xf numFmtId="9" fontId="0" fillId="3" borderId="13" xfId="0" applyNumberFormat="1" applyFill="1" applyBorder="1"/>
    <xf numFmtId="169" fontId="0" fillId="0" borderId="12" xfId="2" applyNumberFormat="1" applyFont="1" applyBorder="1" applyAlignment="1">
      <alignment wrapText="1"/>
    </xf>
    <xf numFmtId="164" fontId="0" fillId="0" borderId="12" xfId="1" applyNumberFormat="1" applyFont="1" applyBorder="1" applyAlignment="1">
      <alignment horizontal="right" indent="2"/>
    </xf>
    <xf numFmtId="0" fontId="0" fillId="13" borderId="12" xfId="0" applyFill="1" applyBorder="1" applyProtection="1">
      <protection locked="0"/>
    </xf>
    <xf numFmtId="164" fontId="0" fillId="13" borderId="12" xfId="1" applyNumberFormat="1" applyFont="1" applyFill="1" applyBorder="1" applyProtection="1">
      <protection locked="0"/>
    </xf>
    <xf numFmtId="0" fontId="0" fillId="13" borderId="12" xfId="0" applyFill="1" applyBorder="1"/>
    <xf numFmtId="164" fontId="9" fillId="13" borderId="12" xfId="1" applyNumberFormat="1" applyFont="1" applyFill="1" applyBorder="1" applyAlignment="1">
      <alignment horizontal="center"/>
    </xf>
    <xf numFmtId="14" fontId="0" fillId="0" borderId="31" xfId="0" applyNumberFormat="1" applyBorder="1" applyAlignment="1">
      <alignment horizontal="center"/>
    </xf>
    <xf numFmtId="164" fontId="0" fillId="0" borderId="12" xfId="1" applyNumberFormat="1" applyFont="1" applyFill="1" applyBorder="1" applyProtection="1">
      <protection locked="0"/>
    </xf>
    <xf numFmtId="0" fontId="0" fillId="0" borderId="14" xfId="0" applyBorder="1" applyProtection="1">
      <protection locked="0"/>
    </xf>
    <xf numFmtId="0" fontId="0" fillId="13" borderId="14" xfId="0" applyFill="1" applyBorder="1" applyProtection="1">
      <protection locked="0"/>
    </xf>
    <xf numFmtId="0" fontId="0" fillId="0" borderId="28" xfId="0" applyBorder="1" applyProtection="1">
      <protection locked="0"/>
    </xf>
    <xf numFmtId="164" fontId="0" fillId="0" borderId="28" xfId="1" applyNumberFormat="1" applyFont="1" applyFill="1" applyBorder="1" applyProtection="1">
      <protection locked="0"/>
    </xf>
    <xf numFmtId="0" fontId="0" fillId="0" borderId="28" xfId="0" applyBorder="1"/>
    <xf numFmtId="164" fontId="9" fillId="0" borderId="28" xfId="1" applyNumberFormat="1" applyFont="1" applyFill="1" applyBorder="1" applyAlignment="1">
      <alignment horizontal="center"/>
    </xf>
    <xf numFmtId="0" fontId="0" fillId="0" borderId="1" xfId="0" applyBorder="1"/>
    <xf numFmtId="0" fontId="3" fillId="2" borderId="2" xfId="0" applyFont="1" applyFill="1" applyBorder="1"/>
    <xf numFmtId="43" fontId="0" fillId="0" borderId="2" xfId="1" applyFont="1" applyBorder="1"/>
    <xf numFmtId="164" fontId="9" fillId="13" borderId="31" xfId="0" applyNumberFormat="1" applyFont="1" applyFill="1" applyBorder="1" applyAlignment="1">
      <alignment horizontal="center"/>
    </xf>
    <xf numFmtId="14" fontId="0" fillId="2" borderId="10" xfId="0" applyNumberFormat="1" applyFill="1" applyBorder="1" applyAlignment="1" applyProtection="1">
      <alignment vertical="center"/>
      <protection locked="0"/>
    </xf>
    <xf numFmtId="14" fontId="0" fillId="2" borderId="35" xfId="0" applyNumberFormat="1" applyFill="1" applyBorder="1" applyAlignment="1" applyProtection="1">
      <alignment vertical="center"/>
      <protection locked="0"/>
    </xf>
    <xf numFmtId="14" fontId="0" fillId="0" borderId="12" xfId="0" applyNumberFormat="1" applyBorder="1" applyAlignment="1" applyProtection="1">
      <alignment horizontal="center"/>
      <protection locked="0"/>
    </xf>
    <xf numFmtId="164" fontId="2" fillId="11" borderId="12" xfId="1" applyNumberFormat="1" applyFont="1" applyFill="1" applyBorder="1"/>
    <xf numFmtId="170" fontId="0" fillId="3" borderId="12" xfId="0" applyNumberFormat="1" applyFill="1" applyBorder="1"/>
    <xf numFmtId="164" fontId="4" fillId="11" borderId="12" xfId="1" applyNumberFormat="1" applyFont="1" applyFill="1" applyBorder="1"/>
    <xf numFmtId="0" fontId="2" fillId="9" borderId="0" xfId="0" applyFont="1" applyFill="1" applyAlignment="1">
      <alignment horizontal="center"/>
    </xf>
    <xf numFmtId="0" fontId="2" fillId="9" borderId="39" xfId="0" applyFont="1" applyFill="1" applyBorder="1" applyAlignment="1">
      <alignment horizontal="center"/>
    </xf>
    <xf numFmtId="0" fontId="2" fillId="9" borderId="41" xfId="0" applyFont="1" applyFill="1" applyBorder="1" applyAlignment="1">
      <alignment horizontal="center"/>
    </xf>
    <xf numFmtId="14" fontId="0" fillId="0" borderId="31" xfId="0" applyNumberFormat="1" applyBorder="1" applyAlignment="1" applyProtection="1">
      <alignment horizontal="center"/>
      <protection locked="0"/>
    </xf>
    <xf numFmtId="14" fontId="0" fillId="0" borderId="13" xfId="0" applyNumberFormat="1" applyBorder="1" applyAlignment="1">
      <alignment horizontal="right"/>
    </xf>
    <xf numFmtId="0" fontId="14" fillId="14" borderId="0" xfId="0" applyFont="1" applyFill="1" applyAlignment="1">
      <alignment vertical="center"/>
    </xf>
    <xf numFmtId="0" fontId="0" fillId="0" borderId="39" xfId="0" applyBorder="1"/>
    <xf numFmtId="0" fontId="0" fillId="0" borderId="38" xfId="0" applyBorder="1"/>
    <xf numFmtId="14" fontId="0" fillId="0" borderId="38" xfId="0" applyNumberFormat="1" applyBorder="1"/>
    <xf numFmtId="14" fontId="0" fillId="0" borderId="41" xfId="0" applyNumberFormat="1" applyBorder="1"/>
    <xf numFmtId="0" fontId="14" fillId="0" borderId="0" xfId="0" applyFont="1" applyAlignment="1">
      <alignment vertical="center"/>
    </xf>
    <xf numFmtId="14" fontId="0" fillId="0" borderId="42" xfId="0" applyNumberFormat="1" applyBorder="1" applyProtection="1">
      <protection locked="0"/>
    </xf>
    <xf numFmtId="0" fontId="0" fillId="3" borderId="39" xfId="0" applyFill="1" applyBorder="1"/>
    <xf numFmtId="0" fontId="0" fillId="3" borderId="0" xfId="0" applyFill="1"/>
    <xf numFmtId="0" fontId="0" fillId="3" borderId="38" xfId="0" applyFill="1" applyBorder="1"/>
    <xf numFmtId="0" fontId="0" fillId="3" borderId="41" xfId="0" applyFill="1" applyBorder="1"/>
    <xf numFmtId="0" fontId="0" fillId="3" borderId="44" xfId="0" applyFill="1" applyBorder="1"/>
    <xf numFmtId="0" fontId="0" fillId="3" borderId="45" xfId="0" applyFill="1" applyBorder="1"/>
    <xf numFmtId="0" fontId="0" fillId="3" borderId="48" xfId="0" applyFill="1" applyBorder="1"/>
    <xf numFmtId="0" fontId="0" fillId="0" borderId="44" xfId="0" applyBorder="1"/>
    <xf numFmtId="0" fontId="0" fillId="0" borderId="45" xfId="0" applyBorder="1"/>
    <xf numFmtId="0" fontId="14" fillId="14" borderId="44" xfId="0" applyFont="1" applyFill="1" applyBorder="1" applyAlignment="1">
      <alignment vertical="center"/>
    </xf>
    <xf numFmtId="14" fontId="0" fillId="0" borderId="44" xfId="0" applyNumberFormat="1" applyBorder="1"/>
    <xf numFmtId="0" fontId="15" fillId="15" borderId="43" xfId="0" applyFont="1" applyFill="1" applyBorder="1"/>
    <xf numFmtId="0" fontId="0" fillId="0" borderId="46" xfId="0" applyBorder="1"/>
    <xf numFmtId="0" fontId="0" fillId="0" borderId="5" xfId="0" applyBorder="1"/>
    <xf numFmtId="10" fontId="0" fillId="0" borderId="0" xfId="2" applyNumberFormat="1" applyFont="1"/>
    <xf numFmtId="0" fontId="3" fillId="0" borderId="30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36" xfId="0" applyBorder="1"/>
    <xf numFmtId="0" fontId="0" fillId="0" borderId="37" xfId="0" applyBorder="1"/>
    <xf numFmtId="164" fontId="9" fillId="0" borderId="49" xfId="1" applyNumberFormat="1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50" xfId="0" applyBorder="1" applyProtection="1">
      <protection locked="0"/>
    </xf>
    <xf numFmtId="164" fontId="3" fillId="3" borderId="13" xfId="1" applyNumberFormat="1" applyFont="1" applyFill="1" applyBorder="1"/>
    <xf numFmtId="164" fontId="3" fillId="3" borderId="17" xfId="1" applyNumberFormat="1" applyFont="1" applyFill="1" applyBorder="1"/>
    <xf numFmtId="164" fontId="0" fillId="0" borderId="31" xfId="1" applyNumberFormat="1" applyFont="1" applyBorder="1" applyAlignment="1">
      <alignment horizontal="center" wrapText="1"/>
    </xf>
    <xf numFmtId="164" fontId="3" fillId="0" borderId="14" xfId="1" applyNumberFormat="1" applyFont="1" applyBorder="1" applyAlignment="1">
      <alignment horizontal="center" wrapText="1"/>
    </xf>
    <xf numFmtId="0" fontId="0" fillId="2" borderId="12" xfId="0" quotePrefix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32" xfId="0" applyBorder="1"/>
    <xf numFmtId="10" fontId="0" fillId="0" borderId="0" xfId="0" applyNumberFormat="1"/>
    <xf numFmtId="0" fontId="0" fillId="13" borderId="8" xfId="0" applyFill="1" applyBorder="1" applyProtection="1">
      <protection locked="0"/>
    </xf>
    <xf numFmtId="1" fontId="0" fillId="0" borderId="2" xfId="0" applyNumberFormat="1" applyBorder="1"/>
    <xf numFmtId="14" fontId="0" fillId="0" borderId="16" xfId="0" applyNumberFormat="1" applyBorder="1" applyAlignment="1">
      <alignment horizontal="center"/>
    </xf>
    <xf numFmtId="164" fontId="3" fillId="2" borderId="12" xfId="1" applyNumberFormat="1" applyFont="1" applyFill="1" applyBorder="1" applyAlignment="1">
      <alignment horizontal="left"/>
    </xf>
    <xf numFmtId="1" fontId="0" fillId="2" borderId="12" xfId="0" applyNumberFormat="1" applyFill="1" applyBorder="1" applyProtection="1">
      <protection locked="0"/>
    </xf>
    <xf numFmtId="0" fontId="2" fillId="9" borderId="29" xfId="0" applyFont="1" applyFill="1" applyBorder="1" applyAlignment="1">
      <alignment horizontal="center"/>
    </xf>
    <xf numFmtId="0" fontId="3" fillId="0" borderId="43" xfId="0" applyFont="1" applyBorder="1"/>
    <xf numFmtId="0" fontId="3" fillId="0" borderId="44" xfId="0" applyFont="1" applyBorder="1"/>
    <xf numFmtId="0" fontId="3" fillId="0" borderId="45" xfId="0" applyFont="1" applyBorder="1"/>
    <xf numFmtId="0" fontId="3" fillId="0" borderId="51" xfId="0" applyFont="1" applyBorder="1"/>
    <xf numFmtId="0" fontId="3" fillId="0" borderId="39" xfId="0" applyFont="1" applyBorder="1"/>
    <xf numFmtId="0" fontId="0" fillId="0" borderId="54" xfId="0" applyBorder="1"/>
    <xf numFmtId="0" fontId="0" fillId="0" borderId="22" xfId="0" applyBorder="1"/>
    <xf numFmtId="0" fontId="0" fillId="0" borderId="8" xfId="0" applyBorder="1"/>
    <xf numFmtId="164" fontId="9" fillId="0" borderId="7" xfId="1" applyNumberFormat="1" applyFont="1" applyFill="1" applyBorder="1" applyAlignment="1">
      <alignment horizontal="center"/>
    </xf>
    <xf numFmtId="164" fontId="9" fillId="0" borderId="21" xfId="1" applyNumberFormat="1" applyFont="1" applyFill="1" applyBorder="1" applyAlignment="1">
      <alignment horizontal="center"/>
    </xf>
    <xf numFmtId="164" fontId="3" fillId="2" borderId="3" xfId="1" applyNumberFormat="1" applyFont="1" applyFill="1" applyBorder="1"/>
    <xf numFmtId="171" fontId="0" fillId="3" borderId="12" xfId="1" applyNumberFormat="1" applyFont="1" applyFill="1" applyBorder="1"/>
    <xf numFmtId="172" fontId="0" fillId="3" borderId="12" xfId="1" applyNumberFormat="1" applyFont="1" applyFill="1" applyBorder="1"/>
    <xf numFmtId="43" fontId="0" fillId="0" borderId="0" xfId="0" applyNumberFormat="1"/>
    <xf numFmtId="0" fontId="2" fillId="9" borderId="40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38" xfId="0" applyFont="1" applyFill="1" applyBorder="1" applyAlignment="1">
      <alignment horizontal="center"/>
    </xf>
    <xf numFmtId="14" fontId="0" fillId="13" borderId="12" xfId="0" applyNumberFormat="1" applyFill="1" applyBorder="1" applyAlignment="1" applyProtection="1">
      <alignment vertical="center"/>
      <protection locked="0"/>
    </xf>
    <xf numFmtId="43" fontId="0" fillId="0" borderId="12" xfId="1" applyFont="1" applyFill="1" applyBorder="1" applyProtection="1">
      <protection locked="0"/>
    </xf>
    <xf numFmtId="14" fontId="0" fillId="0" borderId="10" xfId="0" applyNumberFormat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horizontal="center"/>
      <protection locked="0"/>
    </xf>
    <xf numFmtId="14" fontId="0" fillId="0" borderId="35" xfId="0" applyNumberFormat="1" applyBorder="1" applyAlignment="1" applyProtection="1">
      <alignment vertical="center"/>
      <protection locked="0"/>
    </xf>
    <xf numFmtId="43" fontId="0" fillId="0" borderId="2" xfId="1" applyFont="1" applyFill="1" applyBorder="1"/>
    <xf numFmtId="0" fontId="14" fillId="14" borderId="4" xfId="0" applyFont="1" applyFill="1" applyBorder="1" applyAlignment="1">
      <alignment vertical="center"/>
    </xf>
    <xf numFmtId="14" fontId="0" fillId="0" borderId="5" xfId="0" applyNumberFormat="1" applyBorder="1"/>
    <xf numFmtId="0" fontId="14" fillId="14" borderId="40" xfId="0" applyFont="1" applyFill="1" applyBorder="1" applyAlignment="1">
      <alignment vertical="center"/>
    </xf>
    <xf numFmtId="0" fontId="0" fillId="0" borderId="40" xfId="0" applyBorder="1"/>
    <xf numFmtId="0" fontId="14" fillId="0" borderId="40" xfId="0" applyFont="1" applyBorder="1" applyAlignment="1">
      <alignment vertical="center"/>
    </xf>
    <xf numFmtId="0" fontId="14" fillId="14" borderId="47" xfId="0" applyFont="1" applyFill="1" applyBorder="1" applyAlignment="1">
      <alignment vertical="center"/>
    </xf>
    <xf numFmtId="0" fontId="0" fillId="0" borderId="55" xfId="0" applyBorder="1"/>
    <xf numFmtId="0" fontId="0" fillId="0" borderId="3" xfId="0" applyBorder="1"/>
    <xf numFmtId="164" fontId="0" fillId="0" borderId="0" xfId="1" applyNumberFormat="1" applyFont="1" applyFill="1" applyBorder="1"/>
    <xf numFmtId="164" fontId="0" fillId="0" borderId="32" xfId="1" applyNumberFormat="1" applyFont="1" applyFill="1" applyBorder="1"/>
    <xf numFmtId="0" fontId="0" fillId="0" borderId="53" xfId="0" applyBorder="1"/>
    <xf numFmtId="164" fontId="0" fillId="0" borderId="8" xfId="0" applyNumberFormat="1" applyBorder="1"/>
    <xf numFmtId="10" fontId="0" fillId="0" borderId="0" xfId="2" applyNumberFormat="1" applyFont="1" applyFill="1"/>
    <xf numFmtId="164" fontId="0" fillId="0" borderId="22" xfId="1" applyNumberFormat="1" applyFont="1" applyFill="1" applyBorder="1"/>
    <xf numFmtId="0" fontId="0" fillId="0" borderId="49" xfId="0" applyBorder="1"/>
    <xf numFmtId="0" fontId="3" fillId="0" borderId="21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2" borderId="49" xfId="0" applyFont="1" applyFill="1" applyBorder="1" applyAlignment="1">
      <alignment wrapText="1"/>
    </xf>
    <xf numFmtId="164" fontId="3" fillId="3" borderId="56" xfId="1" applyNumberFormat="1" applyFont="1" applyFill="1" applyBorder="1"/>
    <xf numFmtId="0" fontId="3" fillId="0" borderId="31" xfId="0" applyFont="1" applyBorder="1" applyAlignment="1">
      <alignment horizontal="center" wrapText="1"/>
    </xf>
    <xf numFmtId="164" fontId="3" fillId="0" borderId="52" xfId="1" applyNumberFormat="1" applyFont="1" applyBorder="1" applyAlignment="1">
      <alignment horizontal="center" wrapText="1"/>
    </xf>
    <xf numFmtId="164" fontId="3" fillId="2" borderId="29" xfId="1" applyNumberFormat="1" applyFont="1" applyFill="1" applyBorder="1" applyAlignment="1">
      <alignment horizontal="center"/>
    </xf>
    <xf numFmtId="164" fontId="0" fillId="0" borderId="12" xfId="1" applyNumberFormat="1" applyFont="1" applyBorder="1" applyAlignment="1">
      <alignment horizontal="center" wrapText="1"/>
    </xf>
    <xf numFmtId="164" fontId="0" fillId="2" borderId="12" xfId="1" quotePrefix="1" applyNumberFormat="1" applyFont="1" applyFill="1" applyBorder="1" applyAlignment="1">
      <alignment horizontal="center"/>
    </xf>
    <xf numFmtId="164" fontId="0" fillId="2" borderId="12" xfId="1" applyNumberFormat="1" applyFont="1" applyFill="1" applyBorder="1" applyAlignment="1">
      <alignment horizontal="center"/>
    </xf>
    <xf numFmtId="164" fontId="0" fillId="2" borderId="12" xfId="0" applyNumberFormat="1" applyFill="1" applyBorder="1"/>
    <xf numFmtId="0" fontId="5" fillId="0" borderId="32" xfId="0" applyFont="1" applyBorder="1" applyAlignment="1">
      <alignment horizontal="center"/>
    </xf>
    <xf numFmtId="2" fontId="3" fillId="2" borderId="12" xfId="0" applyNumberFormat="1" applyFont="1" applyFill="1" applyBorder="1"/>
    <xf numFmtId="164" fontId="0" fillId="0" borderId="0" xfId="1" applyNumberFormat="1" applyFont="1" applyFill="1"/>
    <xf numFmtId="0" fontId="3" fillId="2" borderId="0" xfId="0" applyFont="1" applyFill="1"/>
    <xf numFmtId="1" fontId="0" fillId="0" borderId="12" xfId="0" applyNumberFormat="1" applyBorder="1" applyProtection="1">
      <protection locked="0"/>
    </xf>
    <xf numFmtId="1" fontId="0" fillId="0" borderId="44" xfId="0" applyNumberFormat="1" applyBorder="1"/>
    <xf numFmtId="1" fontId="0" fillId="0" borderId="36" xfId="0" applyNumberFormat="1" applyBorder="1"/>
    <xf numFmtId="164" fontId="3" fillId="3" borderId="0" xfId="1" applyNumberFormat="1" applyFont="1" applyFill="1" applyBorder="1"/>
    <xf numFmtId="164" fontId="3" fillId="0" borderId="0" xfId="1" applyNumberFormat="1" applyFont="1" applyFill="1" applyBorder="1"/>
    <xf numFmtId="0" fontId="2" fillId="9" borderId="6" xfId="0" applyFont="1" applyFill="1" applyBorder="1"/>
    <xf numFmtId="0" fontId="15" fillId="15" borderId="0" xfId="0" applyFont="1" applyFill="1"/>
    <xf numFmtId="0" fontId="2" fillId="9" borderId="38" xfId="0" applyFont="1" applyFill="1" applyBorder="1"/>
    <xf numFmtId="0" fontId="0" fillId="0" borderId="6" xfId="0" applyBorder="1"/>
    <xf numFmtId="14" fontId="0" fillId="0" borderId="40" xfId="0" applyNumberFormat="1" applyBorder="1"/>
    <xf numFmtId="14" fontId="0" fillId="0" borderId="47" xfId="0" applyNumberFormat="1" applyBorder="1"/>
    <xf numFmtId="1" fontId="0" fillId="0" borderId="31" xfId="0" applyNumberFormat="1" applyBorder="1" applyProtection="1">
      <protection locked="0"/>
    </xf>
    <xf numFmtId="164" fontId="9" fillId="0" borderId="31" xfId="0" applyNumberFormat="1" applyFont="1" applyBorder="1" applyAlignment="1">
      <alignment horizontal="center"/>
    </xf>
    <xf numFmtId="164" fontId="0" fillId="0" borderId="28" xfId="0" applyNumberFormat="1" applyBorder="1"/>
    <xf numFmtId="164" fontId="0" fillId="0" borderId="30" xfId="0" applyNumberFormat="1" applyBorder="1"/>
    <xf numFmtId="0" fontId="3" fillId="0" borderId="30" xfId="0" applyFont="1" applyBorder="1" applyAlignment="1">
      <alignment horizontal="left"/>
    </xf>
    <xf numFmtId="3" fontId="0" fillId="0" borderId="13" xfId="0" applyNumberFormat="1" applyBorder="1"/>
    <xf numFmtId="4" fontId="0" fillId="0" borderId="13" xfId="0" applyNumberFormat="1" applyBorder="1"/>
    <xf numFmtId="10" fontId="0" fillId="0" borderId="13" xfId="0" applyNumberFormat="1" applyBorder="1"/>
    <xf numFmtId="9" fontId="0" fillId="0" borderId="13" xfId="2" applyFont="1" applyFill="1" applyBorder="1"/>
    <xf numFmtId="9" fontId="0" fillId="0" borderId="13" xfId="0" applyNumberFormat="1" applyBorder="1"/>
    <xf numFmtId="164" fontId="0" fillId="3" borderId="12" xfId="2" applyNumberFormat="1" applyFont="1" applyFill="1" applyBorder="1"/>
    <xf numFmtId="2" fontId="0" fillId="0" borderId="12" xfId="0" applyNumberFormat="1" applyBorder="1"/>
    <xf numFmtId="169" fontId="0" fillId="3" borderId="12" xfId="0" applyNumberFormat="1" applyFill="1" applyBorder="1"/>
    <xf numFmtId="10" fontId="0" fillId="0" borderId="12" xfId="2" applyNumberFormat="1" applyFont="1" applyFill="1" applyBorder="1" applyAlignment="1">
      <alignment horizontal="right" wrapText="1"/>
    </xf>
    <xf numFmtId="9" fontId="0" fillId="3" borderId="13" xfId="2" applyFont="1" applyFill="1" applyBorder="1"/>
    <xf numFmtId="9" fontId="0" fillId="0" borderId="0" xfId="2" applyFont="1"/>
    <xf numFmtId="0" fontId="15" fillId="0" borderId="0" xfId="0" applyFont="1"/>
    <xf numFmtId="14" fontId="0" fillId="0" borderId="39" xfId="0" applyNumberFormat="1" applyBorder="1"/>
    <xf numFmtId="1" fontId="0" fillId="0" borderId="13" xfId="2" applyNumberFormat="1" applyFont="1" applyFill="1" applyBorder="1"/>
    <xf numFmtId="14" fontId="0" fillId="0" borderId="28" xfId="0" applyNumberFormat="1" applyBorder="1" applyAlignment="1" applyProtection="1">
      <alignment vertical="center"/>
      <protection locked="0"/>
    </xf>
    <xf numFmtId="14" fontId="0" fillId="3" borderId="38" xfId="0" applyNumberFormat="1" applyFill="1" applyBorder="1"/>
    <xf numFmtId="3" fontId="0" fillId="0" borderId="0" xfId="0" applyNumberFormat="1"/>
    <xf numFmtId="165" fontId="0" fillId="0" borderId="30" xfId="0" applyNumberFormat="1" applyBorder="1"/>
    <xf numFmtId="14" fontId="19" fillId="0" borderId="31" xfId="0" applyNumberFormat="1" applyFont="1" applyBorder="1" applyAlignment="1">
      <alignment horizontal="center"/>
    </xf>
    <xf numFmtId="0" fontId="0" fillId="0" borderId="29" xfId="0" applyBorder="1"/>
    <xf numFmtId="10" fontId="0" fillId="3" borderId="29" xfId="0" applyNumberFormat="1" applyFill="1" applyBorder="1"/>
    <xf numFmtId="14" fontId="0" fillId="13" borderId="57" xfId="0" applyNumberFormat="1" applyFill="1" applyBorder="1" applyAlignment="1" applyProtection="1">
      <alignment vertical="center"/>
      <protection locked="0"/>
    </xf>
    <xf numFmtId="164" fontId="9" fillId="13" borderId="14" xfId="1" applyNumberFormat="1" applyFont="1" applyFill="1" applyBorder="1" applyAlignment="1">
      <alignment horizontal="center"/>
    </xf>
    <xf numFmtId="0" fontId="2" fillId="9" borderId="51" xfId="0" applyFont="1" applyFill="1" applyBorder="1" applyAlignment="1">
      <alignment horizontal="center"/>
    </xf>
    <xf numFmtId="0" fontId="2" fillId="9" borderId="14" xfId="0" applyFont="1" applyFill="1" applyBorder="1" applyAlignment="1">
      <alignment horizontal="center"/>
    </xf>
    <xf numFmtId="44" fontId="0" fillId="0" borderId="60" xfId="0" applyNumberFormat="1" applyBorder="1" applyAlignment="1">
      <alignment horizontal="center"/>
    </xf>
    <xf numFmtId="44" fontId="0" fillId="0" borderId="0" xfId="0" applyNumberFormat="1"/>
    <xf numFmtId="43" fontId="0" fillId="0" borderId="31" xfId="1" applyFont="1" applyFill="1" applyBorder="1" applyProtection="1">
      <protection locked="0"/>
    </xf>
    <xf numFmtId="43" fontId="0" fillId="0" borderId="31" xfId="1" applyFont="1" applyFill="1" applyBorder="1" applyAlignment="1" applyProtection="1">
      <alignment horizontal="center"/>
      <protection locked="0"/>
    </xf>
    <xf numFmtId="43" fontId="0" fillId="0" borderId="64" xfId="0" applyNumberFormat="1" applyBorder="1" applyAlignment="1" applyProtection="1">
      <alignment vertical="center"/>
      <protection locked="0"/>
    </xf>
    <xf numFmtId="43" fontId="0" fillId="0" borderId="65" xfId="0" applyNumberFormat="1" applyBorder="1" applyAlignment="1" applyProtection="1">
      <alignment vertical="center"/>
      <protection locked="0"/>
    </xf>
    <xf numFmtId="44" fontId="0" fillId="13" borderId="65" xfId="0" applyNumberFormat="1" applyFill="1" applyBorder="1" applyAlignment="1" applyProtection="1">
      <alignment vertical="center"/>
      <protection locked="0"/>
    </xf>
    <xf numFmtId="0" fontId="0" fillId="0" borderId="62" xfId="0" applyBorder="1"/>
    <xf numFmtId="43" fontId="0" fillId="0" borderId="66" xfId="1" applyFont="1" applyFill="1" applyBorder="1" applyProtection="1">
      <protection locked="0"/>
    </xf>
    <xf numFmtId="43" fontId="0" fillId="0" borderId="67" xfId="1" applyFont="1" applyFill="1" applyBorder="1" applyProtection="1">
      <protection locked="0"/>
    </xf>
    <xf numFmtId="43" fontId="0" fillId="0" borderId="68" xfId="1" applyFont="1" applyFill="1" applyBorder="1" applyProtection="1">
      <protection locked="0"/>
    </xf>
    <xf numFmtId="0" fontId="0" fillId="13" borderId="68" xfId="0" applyFill="1" applyBorder="1" applyProtection="1">
      <protection locked="0"/>
    </xf>
    <xf numFmtId="43" fontId="0" fillId="0" borderId="68" xfId="1" applyFont="1" applyFill="1" applyBorder="1" applyAlignment="1" applyProtection="1">
      <alignment horizontal="center"/>
      <protection locked="0"/>
    </xf>
    <xf numFmtId="43" fontId="0" fillId="0" borderId="69" xfId="1" applyFont="1" applyFill="1" applyBorder="1" applyAlignment="1" applyProtection="1">
      <alignment horizontal="center"/>
      <protection locked="0"/>
    </xf>
    <xf numFmtId="43" fontId="0" fillId="0" borderId="70" xfId="1" applyFont="1" applyFill="1" applyBorder="1" applyAlignment="1" applyProtection="1">
      <alignment horizontal="center"/>
      <protection locked="0"/>
    </xf>
    <xf numFmtId="43" fontId="0" fillId="0" borderId="71" xfId="0" applyNumberFormat="1" applyBorder="1" applyAlignment="1" applyProtection="1">
      <alignment vertical="center"/>
      <protection locked="0"/>
    </xf>
    <xf numFmtId="0" fontId="2" fillId="9" borderId="72" xfId="0" applyFont="1" applyFill="1" applyBorder="1" applyAlignment="1">
      <alignment horizontal="center"/>
    </xf>
    <xf numFmtId="43" fontId="0" fillId="0" borderId="61" xfId="1" applyFont="1" applyBorder="1"/>
    <xf numFmtId="164" fontId="0" fillId="0" borderId="62" xfId="0" applyNumberFormat="1" applyBorder="1"/>
    <xf numFmtId="43" fontId="0" fillId="0" borderId="63" xfId="0" applyNumberFormat="1" applyBorder="1"/>
    <xf numFmtId="14" fontId="0" fillId="0" borderId="73" xfId="0" applyNumberFormat="1" applyBorder="1" applyAlignment="1" applyProtection="1">
      <alignment vertical="center"/>
      <protection locked="0"/>
    </xf>
    <xf numFmtId="14" fontId="0" fillId="2" borderId="74" xfId="0" applyNumberFormat="1" applyFill="1" applyBorder="1" applyAlignment="1" applyProtection="1">
      <alignment vertical="center"/>
      <protection locked="0"/>
    </xf>
    <xf numFmtId="14" fontId="0" fillId="13" borderId="74" xfId="0" applyNumberFormat="1" applyFill="1" applyBorder="1" applyAlignment="1" applyProtection="1">
      <alignment vertical="center"/>
      <protection locked="0"/>
    </xf>
    <xf numFmtId="14" fontId="0" fillId="2" borderId="75" xfId="0" applyNumberFormat="1" applyFill="1" applyBorder="1" applyAlignment="1" applyProtection="1">
      <alignment vertical="center"/>
      <protection locked="0"/>
    </xf>
    <xf numFmtId="164" fontId="0" fillId="2" borderId="0" xfId="0" applyNumberFormat="1" applyFill="1"/>
    <xf numFmtId="0" fontId="0" fillId="0" borderId="0" xfId="0" applyAlignment="1">
      <alignment vertical="center" wrapText="1"/>
    </xf>
    <xf numFmtId="44" fontId="2" fillId="17" borderId="0" xfId="0" applyNumberFormat="1" applyFont="1" applyFill="1" applyAlignment="1">
      <alignment horizontal="center"/>
    </xf>
    <xf numFmtId="0" fontId="20" fillId="0" borderId="0" xfId="0" applyFont="1"/>
    <xf numFmtId="164" fontId="0" fillId="0" borderId="14" xfId="1" applyNumberFormat="1" applyFont="1" applyFill="1" applyBorder="1" applyAlignment="1">
      <alignment horizontal="center"/>
    </xf>
    <xf numFmtId="0" fontId="2" fillId="18" borderId="28" xfId="0" applyFont="1" applyFill="1" applyBorder="1" applyAlignment="1">
      <alignment horizontal="center" wrapText="1"/>
    </xf>
    <xf numFmtId="164" fontId="0" fillId="0" borderId="0" xfId="0" applyNumberFormat="1" applyAlignment="1">
      <alignment vertical="center" wrapText="1"/>
    </xf>
    <xf numFmtId="3" fontId="0" fillId="3" borderId="57" xfId="0" applyNumberFormat="1" applyFill="1" applyBorder="1"/>
    <xf numFmtId="3" fontId="0" fillId="3" borderId="28" xfId="0" applyNumberFormat="1" applyFill="1" applyBorder="1"/>
    <xf numFmtId="169" fontId="0" fillId="3" borderId="29" xfId="0" applyNumberFormat="1" applyFill="1" applyBorder="1"/>
    <xf numFmtId="0" fontId="7" fillId="7" borderId="18" xfId="0" applyFont="1" applyFill="1" applyBorder="1" applyAlignment="1">
      <alignment horizontal="center" wrapText="1"/>
    </xf>
    <xf numFmtId="0" fontId="7" fillId="7" borderId="19" xfId="0" applyFont="1" applyFill="1" applyBorder="1" applyAlignment="1">
      <alignment horizontal="center" wrapText="1"/>
    </xf>
    <xf numFmtId="0" fontId="7" fillId="7" borderId="20" xfId="0" applyFont="1" applyFill="1" applyBorder="1" applyAlignment="1">
      <alignment horizontal="center" wrapText="1"/>
    </xf>
    <xf numFmtId="0" fontId="2" fillId="6" borderId="21" xfId="0" applyFont="1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8" borderId="23" xfId="0" applyFont="1" applyFill="1" applyBorder="1" applyAlignment="1">
      <alignment horizontal="left" wrapText="1"/>
    </xf>
    <xf numFmtId="0" fontId="3" fillId="8" borderId="24" xfId="0" applyFont="1" applyFill="1" applyBorder="1" applyAlignment="1">
      <alignment horizontal="left" wrapText="1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2" fillId="4" borderId="31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0" fillId="0" borderId="51" xfId="0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0" fillId="0" borderId="58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9" borderId="40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2" fillId="9" borderId="38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8" xfId="0" applyFont="1" applyFill="1" applyBorder="1" applyAlignment="1">
      <alignment horizontal="center" wrapText="1"/>
    </xf>
    <xf numFmtId="0" fontId="2" fillId="16" borderId="4" xfId="0" applyFont="1" applyFill="1" applyBorder="1" applyAlignment="1">
      <alignment horizontal="center" wrapText="1"/>
    </xf>
    <xf numFmtId="0" fontId="2" fillId="16" borderId="40" xfId="0" applyFont="1" applyFill="1" applyBorder="1" applyAlignment="1">
      <alignment horizontal="center" wrapText="1"/>
    </xf>
    <xf numFmtId="0" fontId="2" fillId="16" borderId="47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 wrapText="1"/>
    </xf>
    <xf numFmtId="0" fontId="2" fillId="9" borderId="0" xfId="0" applyFont="1" applyFill="1" applyAlignment="1">
      <alignment horizontal="center" wrapText="1"/>
    </xf>
    <xf numFmtId="0" fontId="2" fillId="9" borderId="39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center"/>
    </xf>
    <xf numFmtId="0" fontId="2" fillId="5" borderId="54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49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3"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 patternType="solid">
          <bgColor rgb="FFFB8D8D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2balance.sharepoint.com/Shared%20Documents/Projects/Active/GivePower/Kenya_GivePower/3_Monitoring/MP2/Water%20Sales%20MP2/GS10987%20Sales%20MP2_v1.xlsx" TargetMode="External"/><Relationship Id="rId1" Type="http://schemas.openxmlformats.org/officeDocument/2006/relationships/externalLinkPath" Target="/Shared%20Documents/Projects/Active/GivePower/Kenya_GivePower/3_Monitoring/MP2/Water%20Sales%20MP2/GS10987%20Sales%20MP2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les Summary"/>
      <sheetName val="Likoni"/>
      <sheetName val="Bamburi"/>
      <sheetName val="Kitengela"/>
      <sheetName val="Kiunga"/>
      <sheetName val="Mokowe"/>
      <sheetName val="Mtongwe"/>
      <sheetName val="Mwingi"/>
      <sheetName val="Wote"/>
    </sheetNames>
    <sheetDataSet>
      <sheetData sheetId="0" refreshError="1"/>
      <sheetData sheetId="1" refreshError="1">
        <row r="3">
          <cell r="T3">
            <v>14888275</v>
          </cell>
        </row>
        <row r="7">
          <cell r="T7">
            <v>365</v>
          </cell>
        </row>
      </sheetData>
      <sheetData sheetId="2" refreshError="1">
        <row r="3">
          <cell r="T3">
            <v>15313425</v>
          </cell>
        </row>
        <row r="7">
          <cell r="T7">
            <v>365</v>
          </cell>
        </row>
      </sheetData>
      <sheetData sheetId="3" refreshError="1">
        <row r="3">
          <cell r="T3">
            <v>8303236</v>
          </cell>
        </row>
        <row r="7">
          <cell r="T7">
            <v>195</v>
          </cell>
        </row>
      </sheetData>
      <sheetData sheetId="4" refreshError="1">
        <row r="3">
          <cell r="T3">
            <v>4362669</v>
          </cell>
        </row>
        <row r="7">
          <cell r="T7">
            <v>365</v>
          </cell>
        </row>
      </sheetData>
      <sheetData sheetId="5" refreshError="1">
        <row r="3">
          <cell r="T3">
            <v>313540</v>
          </cell>
        </row>
        <row r="7">
          <cell r="T7">
            <v>99</v>
          </cell>
        </row>
      </sheetData>
      <sheetData sheetId="6" refreshError="1">
        <row r="3">
          <cell r="T3">
            <v>89690</v>
          </cell>
        </row>
        <row r="7">
          <cell r="T7">
            <v>6</v>
          </cell>
        </row>
      </sheetData>
      <sheetData sheetId="7" refreshError="1">
        <row r="3">
          <cell r="T3">
            <v>79165</v>
          </cell>
        </row>
        <row r="7">
          <cell r="T7">
            <v>48</v>
          </cell>
        </row>
      </sheetData>
      <sheetData sheetId="8" refreshError="1">
        <row r="3">
          <cell r="T3">
            <v>1586991</v>
          </cell>
        </row>
        <row r="7">
          <cell r="T7">
            <v>268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BF82C-5572-4320-A9C9-F282CCC09A67}">
  <sheetPr codeName="Sheet1"/>
  <dimension ref="A1:R60"/>
  <sheetViews>
    <sheetView topLeftCell="A31" zoomScale="70" zoomScaleNormal="70" workbookViewId="0">
      <selection activeCell="E30" sqref="E30"/>
    </sheetView>
  </sheetViews>
  <sheetFormatPr defaultColWidth="9.1796875" defaultRowHeight="14.5"/>
  <cols>
    <col min="1" max="1" width="9.1796875" style="1"/>
    <col min="2" max="2" width="47.453125" style="1" customWidth="1"/>
    <col min="3" max="3" width="9" style="1" customWidth="1"/>
    <col min="4" max="4" width="11" style="1" bestFit="1" customWidth="1"/>
    <col min="5" max="5" width="11.453125" style="1" customWidth="1"/>
    <col min="6" max="6" width="9.1796875" style="1"/>
    <col min="7" max="7" width="47.453125" style="1" customWidth="1"/>
    <col min="8" max="8" width="9" style="1" customWidth="1"/>
    <col min="9" max="9" width="11" style="1" bestFit="1" customWidth="1"/>
    <col min="10" max="10" width="11.453125" style="1" customWidth="1"/>
    <col min="11" max="11" width="9.7265625" style="1" bestFit="1" customWidth="1"/>
    <col min="12" max="12" width="3.453125" style="1" customWidth="1"/>
    <col min="13" max="13" width="9.453125" style="1" customWidth="1"/>
    <col min="14" max="14" width="12.81640625" style="1" customWidth="1"/>
    <col min="15" max="15" width="11.453125" style="1" bestFit="1" customWidth="1"/>
    <col min="16" max="16384" width="9.1796875" style="1"/>
  </cols>
  <sheetData>
    <row r="1" spans="2:16" ht="15" thickBot="1"/>
    <row r="2" spans="2:16" ht="19.5" customHeight="1" thickBot="1">
      <c r="B2" s="316" t="s">
        <v>0</v>
      </c>
      <c r="C2" s="317"/>
      <c r="D2" s="317"/>
      <c r="E2" s="318"/>
      <c r="F2" s="2"/>
      <c r="G2" s="316" t="s">
        <v>1</v>
      </c>
      <c r="H2" s="317"/>
      <c r="I2" s="317"/>
      <c r="J2" s="318"/>
      <c r="K2" s="2"/>
      <c r="L2" s="2"/>
      <c r="M2" s="316" t="s">
        <v>2</v>
      </c>
      <c r="N2" s="317"/>
      <c r="O2" s="318"/>
    </row>
    <row r="3" spans="2:16" ht="15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2:16" ht="15" customHeight="1">
      <c r="B4" s="313" t="s">
        <v>3</v>
      </c>
      <c r="C4" s="314"/>
      <c r="D4" s="314"/>
      <c r="E4" s="315"/>
      <c r="G4" s="313" t="s">
        <v>4</v>
      </c>
      <c r="H4" s="314"/>
      <c r="I4" s="314"/>
      <c r="J4" s="315"/>
      <c r="K4" s="2"/>
      <c r="L4" s="2"/>
      <c r="M4" s="319" t="s">
        <v>5</v>
      </c>
      <c r="N4" s="320"/>
      <c r="O4" s="321"/>
    </row>
    <row r="5" spans="2:16" ht="29">
      <c r="B5" s="322" t="s">
        <v>6</v>
      </c>
      <c r="C5" s="323"/>
      <c r="D5" s="323"/>
      <c r="E5" s="324"/>
      <c r="G5" s="322" t="s">
        <v>6</v>
      </c>
      <c r="H5" s="323"/>
      <c r="I5" s="323"/>
      <c r="J5" s="324"/>
      <c r="K5" s="2"/>
      <c r="L5" s="2"/>
      <c r="M5" s="57" t="s">
        <v>7</v>
      </c>
      <c r="N5" s="57" t="s">
        <v>8</v>
      </c>
      <c r="O5" s="57" t="s">
        <v>9</v>
      </c>
      <c r="P5" s="295" t="s">
        <v>10</v>
      </c>
    </row>
    <row r="6" spans="2:16">
      <c r="B6" s="3" t="s">
        <v>11</v>
      </c>
      <c r="C6" s="4" t="s">
        <v>12</v>
      </c>
      <c r="D6" s="4" t="s">
        <v>13</v>
      </c>
      <c r="E6" s="5">
        <f>'GS10987 ER Calcs Wood'!E27</f>
        <v>7153</v>
      </c>
      <c r="G6" s="3" t="s">
        <v>11</v>
      </c>
      <c r="H6" s="4" t="s">
        <v>12</v>
      </c>
      <c r="I6" s="4" t="s">
        <v>13</v>
      </c>
      <c r="J6" s="5">
        <f>'GS10987 ER Calcs Charcoal'!E28</f>
        <v>21460</v>
      </c>
      <c r="K6" s="2"/>
      <c r="L6" s="2"/>
      <c r="M6" s="8">
        <v>2020</v>
      </c>
      <c r="N6" s="158">
        <v>3085</v>
      </c>
      <c r="O6" s="160">
        <v>0</v>
      </c>
      <c r="P6" s="294">
        <f>N6+O6</f>
        <v>3085</v>
      </c>
    </row>
    <row r="7" spans="2:16">
      <c r="B7" s="3" t="s">
        <v>14</v>
      </c>
      <c r="C7" s="4" t="s">
        <v>15</v>
      </c>
      <c r="D7" s="4" t="s">
        <v>13</v>
      </c>
      <c r="E7" s="5">
        <f>'GS10987 ER Calcs Wood'!E28</f>
        <v>0</v>
      </c>
      <c r="G7" s="3" t="s">
        <v>14</v>
      </c>
      <c r="H7" s="4" t="s">
        <v>15</v>
      </c>
      <c r="I7" s="4" t="s">
        <v>13</v>
      </c>
      <c r="J7" s="5">
        <f>'GS10987 ER Calcs Charcoal'!E29</f>
        <v>0</v>
      </c>
      <c r="K7" s="2"/>
      <c r="L7" s="2"/>
      <c r="M7" s="214">
        <v>2021</v>
      </c>
      <c r="N7" s="217">
        <v>12450</v>
      </c>
      <c r="O7" s="160">
        <v>0</v>
      </c>
      <c r="P7" s="294">
        <f>N7+O7</f>
        <v>12450</v>
      </c>
    </row>
    <row r="8" spans="2:16">
      <c r="B8" s="3" t="s">
        <v>16</v>
      </c>
      <c r="C8" s="4" t="s">
        <v>17</v>
      </c>
      <c r="D8" s="4" t="s">
        <v>18</v>
      </c>
      <c r="E8" s="7">
        <f>'GS10987 ER Calcs Wood'!E29</f>
        <v>0.70899999999999996</v>
      </c>
      <c r="G8" s="3" t="s">
        <v>16</v>
      </c>
      <c r="H8" s="4" t="s">
        <v>17</v>
      </c>
      <c r="I8" s="4" t="s">
        <v>18</v>
      </c>
      <c r="J8" s="7">
        <f>'GS10987 ER Calcs Charcoal'!E30</f>
        <v>0.70899999999999996</v>
      </c>
      <c r="K8" s="2"/>
      <c r="L8" s="2"/>
      <c r="M8" s="214">
        <v>2022</v>
      </c>
      <c r="N8" s="218">
        <v>0</v>
      </c>
      <c r="O8" s="161">
        <f>E57</f>
        <v>15917</v>
      </c>
      <c r="P8" s="294">
        <f>N8+O8</f>
        <v>15917</v>
      </c>
    </row>
    <row r="9" spans="2:16">
      <c r="B9" s="3" t="s">
        <v>19</v>
      </c>
      <c r="C9" s="4" t="s">
        <v>20</v>
      </c>
      <c r="D9" s="4" t="s">
        <v>13</v>
      </c>
      <c r="E9" s="93">
        <f>'GS10987 ER Calcs Wood'!E30</f>
        <v>0.05</v>
      </c>
      <c r="G9" s="3" t="s">
        <v>19</v>
      </c>
      <c r="H9" s="4" t="s">
        <v>20</v>
      </c>
      <c r="I9" s="4" t="s">
        <v>13</v>
      </c>
      <c r="J9" s="250">
        <f>'GS10987 ER Calcs Charcoal'!E31</f>
        <v>0.05</v>
      </c>
      <c r="K9" s="2"/>
      <c r="L9" s="2"/>
      <c r="M9" s="214">
        <v>2023</v>
      </c>
      <c r="N9" s="219">
        <v>0</v>
      </c>
      <c r="O9" s="220">
        <f>E58</f>
        <v>26982</v>
      </c>
      <c r="P9" s="294">
        <f>N9+O9</f>
        <v>26982</v>
      </c>
    </row>
    <row r="10" spans="2:16">
      <c r="B10" s="3" t="s">
        <v>21</v>
      </c>
      <c r="C10" s="4" t="s">
        <v>22</v>
      </c>
      <c r="D10" s="4" t="s">
        <v>13</v>
      </c>
      <c r="E10" s="5">
        <f>'GS10987 ER Calcs Wood'!E31</f>
        <v>4817</v>
      </c>
      <c r="G10" s="3" t="s">
        <v>21</v>
      </c>
      <c r="H10" s="4" t="s">
        <v>22</v>
      </c>
      <c r="I10" s="4" t="s">
        <v>13</v>
      </c>
      <c r="J10" s="5">
        <f>'GS10987 ER Calcs Charcoal'!E32</f>
        <v>14454</v>
      </c>
      <c r="K10" s="2"/>
      <c r="L10" s="2"/>
      <c r="M10" s="214">
        <v>2024</v>
      </c>
      <c r="N10" s="219">
        <v>0</v>
      </c>
      <c r="O10" s="220">
        <f>E59</f>
        <v>7951</v>
      </c>
      <c r="P10" s="294">
        <f>N10+O10</f>
        <v>7951</v>
      </c>
    </row>
    <row r="11" spans="2:16">
      <c r="B11" s="322" t="s">
        <v>23</v>
      </c>
      <c r="C11" s="323"/>
      <c r="D11" s="323"/>
      <c r="E11" s="324"/>
      <c r="G11" s="322" t="s">
        <v>23</v>
      </c>
      <c r="H11" s="323"/>
      <c r="I11" s="323"/>
      <c r="J11" s="324"/>
      <c r="K11" s="2"/>
      <c r="L11" s="2"/>
      <c r="M11" s="8" t="s">
        <v>24</v>
      </c>
      <c r="N11" s="215">
        <f>SUM(N6:N10)</f>
        <v>15535</v>
      </c>
      <c r="O11" s="216">
        <f>SUM(O6:O10)</f>
        <v>50850</v>
      </c>
      <c r="P11" s="159">
        <f>SUM(P6:P10)</f>
        <v>66385</v>
      </c>
    </row>
    <row r="12" spans="2:16">
      <c r="B12" s="9" t="s">
        <v>25</v>
      </c>
      <c r="C12" s="4" t="s">
        <v>26</v>
      </c>
      <c r="D12" s="10" t="s">
        <v>27</v>
      </c>
      <c r="E12" s="11">
        <f>'GS10987 ER Calcs Wood'!E34</f>
        <v>0.17399999999999999</v>
      </c>
      <c r="G12" s="9" t="s">
        <v>25</v>
      </c>
      <c r="H12" s="4" t="s">
        <v>26</v>
      </c>
      <c r="I12" s="10" t="s">
        <v>27</v>
      </c>
      <c r="J12" s="11">
        <f>'GS10987 ER Calcs Charcoal'!E35</f>
        <v>0.17399999999999999</v>
      </c>
      <c r="K12" s="2"/>
      <c r="L12" s="2"/>
      <c r="M12" s="2"/>
      <c r="N12" s="2"/>
    </row>
    <row r="13" spans="2:16">
      <c r="B13" s="12" t="s">
        <v>21</v>
      </c>
      <c r="C13" s="13" t="s">
        <v>28</v>
      </c>
      <c r="D13" s="13" t="s">
        <v>13</v>
      </c>
      <c r="E13" s="156">
        <f>'GS10987 ER Calcs Wood'!E35</f>
        <v>3978</v>
      </c>
      <c r="G13" s="12" t="s">
        <v>21</v>
      </c>
      <c r="H13" s="13" t="s">
        <v>28</v>
      </c>
      <c r="I13" s="13" t="s">
        <v>13</v>
      </c>
      <c r="J13" s="156">
        <f>'GS10987 ER Calcs Charcoal'!E36</f>
        <v>11939</v>
      </c>
      <c r="K13" s="2"/>
      <c r="L13" s="2"/>
      <c r="M13" s="2"/>
      <c r="N13" s="2"/>
    </row>
    <row r="14" spans="2:16">
      <c r="B14" s="310" t="s">
        <v>29</v>
      </c>
      <c r="C14" s="311"/>
      <c r="D14" s="311"/>
      <c r="E14" s="312"/>
      <c r="G14" s="310" t="s">
        <v>29</v>
      </c>
      <c r="H14" s="311"/>
      <c r="I14" s="311"/>
      <c r="J14" s="312"/>
      <c r="K14" s="2"/>
      <c r="L14" s="2"/>
      <c r="M14" s="2"/>
      <c r="N14" s="2"/>
    </row>
    <row r="15" spans="2:16" ht="15" thickBot="1">
      <c r="B15" s="14" t="s">
        <v>30</v>
      </c>
      <c r="C15" s="15" t="s">
        <v>28</v>
      </c>
      <c r="D15" s="15" t="s">
        <v>13</v>
      </c>
      <c r="E15" s="157">
        <f>'GS10987 ER Calcs Wood'!E37</f>
        <v>3978</v>
      </c>
      <c r="G15" s="14" t="s">
        <v>30</v>
      </c>
      <c r="H15" s="15" t="s">
        <v>28</v>
      </c>
      <c r="I15" s="15" t="s">
        <v>13</v>
      </c>
      <c r="J15" s="157">
        <f>'GS10987 ER Calcs Charcoal'!E38</f>
        <v>11939</v>
      </c>
      <c r="K15" s="2"/>
      <c r="L15" s="2"/>
      <c r="M15" s="2"/>
      <c r="N15" s="2"/>
    </row>
    <row r="16" spans="2:16" ht="15" thickBot="1">
      <c r="B16" s="22"/>
      <c r="C16" s="22"/>
      <c r="D16" s="22"/>
      <c r="E16" s="229"/>
      <c r="F16"/>
      <c r="G16" s="22"/>
      <c r="H16" s="22"/>
      <c r="I16" s="22"/>
      <c r="J16" s="229"/>
      <c r="K16" s="2"/>
      <c r="L16" s="2"/>
      <c r="M16" s="2"/>
      <c r="N16" s="2"/>
    </row>
    <row r="17" spans="2:15" ht="19.5" customHeight="1" thickBot="1">
      <c r="B17" s="316" t="s">
        <v>31</v>
      </c>
      <c r="C17" s="317"/>
      <c r="D17" s="317"/>
      <c r="E17" s="318"/>
      <c r="F17" s="2"/>
      <c r="G17" s="316" t="s">
        <v>32</v>
      </c>
      <c r="H17" s="317"/>
      <c r="I17" s="317"/>
      <c r="J17" s="318"/>
      <c r="K17" s="2"/>
      <c r="L17" s="2"/>
      <c r="M17" s="316" t="s">
        <v>2</v>
      </c>
      <c r="N17" s="317"/>
      <c r="O17" s="318"/>
    </row>
    <row r="18" spans="2:15" ht="15" thickBot="1">
      <c r="B18" s="2"/>
      <c r="C18" s="2"/>
      <c r="D18" s="2"/>
      <c r="E18" s="2"/>
      <c r="G18" s="2"/>
      <c r="H18" s="2"/>
      <c r="I18" s="2"/>
      <c r="J18" s="2"/>
      <c r="K18" s="2"/>
      <c r="L18" s="2"/>
      <c r="M18" s="2"/>
      <c r="N18" s="2"/>
    </row>
    <row r="19" spans="2:15">
      <c r="B19" s="313" t="s">
        <v>33</v>
      </c>
      <c r="C19" s="314"/>
      <c r="D19" s="314"/>
      <c r="E19" s="315"/>
      <c r="G19" s="313" t="s">
        <v>34</v>
      </c>
      <c r="H19" s="314"/>
      <c r="I19" s="314"/>
      <c r="J19" s="315"/>
      <c r="K19" s="2"/>
      <c r="L19" s="2"/>
      <c r="M19" s="2"/>
      <c r="N19" s="2"/>
    </row>
    <row r="20" spans="2:15">
      <c r="B20" s="322" t="s">
        <v>6</v>
      </c>
      <c r="C20" s="323"/>
      <c r="D20" s="323"/>
      <c r="E20" s="324"/>
      <c r="G20" s="322" t="s">
        <v>6</v>
      </c>
      <c r="H20" s="323"/>
      <c r="I20" s="323"/>
      <c r="J20" s="324"/>
      <c r="K20" s="2"/>
      <c r="L20" s="2"/>
      <c r="M20" s="2"/>
      <c r="N20" s="2"/>
    </row>
    <row r="21" spans="2:15">
      <c r="B21" s="3" t="s">
        <v>11</v>
      </c>
      <c r="C21" s="4" t="s">
        <v>12</v>
      </c>
      <c r="D21" s="4" t="s">
        <v>13</v>
      </c>
      <c r="E21" s="241">
        <f>'GS10987 ER Calcs Wood'!K27</f>
        <v>11063</v>
      </c>
      <c r="G21" s="3" t="s">
        <v>11</v>
      </c>
      <c r="H21" s="4" t="s">
        <v>12</v>
      </c>
      <c r="I21" s="4" t="s">
        <v>13</v>
      </c>
      <c r="J21" s="241">
        <f>'GS10987 ER Calcs Charcoal'!J28</f>
        <v>33190</v>
      </c>
      <c r="K21" s="2"/>
      <c r="L21" s="2"/>
      <c r="M21" s="2"/>
      <c r="N21" s="2"/>
    </row>
    <row r="22" spans="2:15">
      <c r="B22" s="3" t="s">
        <v>14</v>
      </c>
      <c r="C22" s="4" t="s">
        <v>15</v>
      </c>
      <c r="D22" s="4" t="s">
        <v>13</v>
      </c>
      <c r="E22" s="241">
        <f>'GS10987 ER Calcs Wood'!K28</f>
        <v>347.49</v>
      </c>
      <c r="G22" s="3" t="s">
        <v>14</v>
      </c>
      <c r="H22" s="4" t="s">
        <v>15</v>
      </c>
      <c r="I22" s="4" t="s">
        <v>13</v>
      </c>
      <c r="J22" s="241">
        <f>'GS10987 ER Calcs Charcoal'!J29</f>
        <v>1038.96</v>
      </c>
      <c r="K22" s="2"/>
      <c r="L22" s="2"/>
      <c r="M22" s="2"/>
      <c r="N22" s="2"/>
    </row>
    <row r="23" spans="2:15">
      <c r="B23" s="3" t="s">
        <v>16</v>
      </c>
      <c r="C23" s="4" t="s">
        <v>17</v>
      </c>
      <c r="D23" s="4" t="s">
        <v>18</v>
      </c>
      <c r="E23" s="242">
        <f>'GS10987 ER Calcs Wood'!K29</f>
        <v>0.80220000000000002</v>
      </c>
      <c r="G23" s="3" t="s">
        <v>16</v>
      </c>
      <c r="H23" s="4" t="s">
        <v>17</v>
      </c>
      <c r="I23" s="4" t="s">
        <v>18</v>
      </c>
      <c r="J23" s="242">
        <f>'GS10987 ER Calcs Charcoal'!J30</f>
        <v>0.80220000000000002</v>
      </c>
      <c r="K23" s="2"/>
      <c r="L23" s="2"/>
      <c r="M23" s="2"/>
      <c r="N23" s="2"/>
    </row>
    <row r="24" spans="2:15">
      <c r="B24" s="3" t="s">
        <v>19</v>
      </c>
      <c r="C24" s="4" t="s">
        <v>20</v>
      </c>
      <c r="D24" s="4" t="s">
        <v>13</v>
      </c>
      <c r="E24" s="245">
        <f>'GS10987 ER Calcs Wood'!K30</f>
        <v>0.05</v>
      </c>
      <c r="G24" s="3" t="s">
        <v>19</v>
      </c>
      <c r="H24" s="4" t="s">
        <v>20</v>
      </c>
      <c r="I24" s="4" t="s">
        <v>13</v>
      </c>
      <c r="J24" s="244">
        <f>'GS10987 ER Calcs Charcoal'!J31</f>
        <v>0.05</v>
      </c>
      <c r="K24" s="2"/>
      <c r="L24" s="2"/>
      <c r="M24" s="2"/>
      <c r="N24" s="2"/>
    </row>
    <row r="25" spans="2:15">
      <c r="B25" s="3" t="s">
        <v>21</v>
      </c>
      <c r="C25" s="4" t="s">
        <v>22</v>
      </c>
      <c r="D25" s="4" t="s">
        <v>13</v>
      </c>
      <c r="E25" s="241">
        <f>'GS10987 ER Calcs Wood'!K31</f>
        <v>8166</v>
      </c>
      <c r="G25" s="3" t="s">
        <v>21</v>
      </c>
      <c r="H25" s="4" t="s">
        <v>22</v>
      </c>
      <c r="I25" s="4" t="s">
        <v>13</v>
      </c>
      <c r="J25" s="241">
        <f>'GS10987 ER Calcs Charcoal'!J32</f>
        <v>24501</v>
      </c>
      <c r="K25" s="2"/>
      <c r="L25" s="2"/>
      <c r="M25" s="2"/>
      <c r="N25" s="2"/>
    </row>
    <row r="26" spans="2:15">
      <c r="B26" s="322" t="s">
        <v>23</v>
      </c>
      <c r="C26" s="323"/>
      <c r="D26" s="323"/>
      <c r="E26" s="324"/>
      <c r="G26" s="322" t="s">
        <v>23</v>
      </c>
      <c r="H26" s="323"/>
      <c r="I26" s="323"/>
      <c r="J26" s="324"/>
      <c r="K26" s="2"/>
      <c r="L26" s="2"/>
      <c r="M26" s="2"/>
      <c r="N26" s="2"/>
    </row>
    <row r="27" spans="2:15">
      <c r="B27" s="9" t="s">
        <v>25</v>
      </c>
      <c r="C27" s="4" t="s">
        <v>26</v>
      </c>
      <c r="D27" s="10" t="s">
        <v>27</v>
      </c>
      <c r="E27" s="243">
        <f>'GS10987 ER Calcs Wood'!K34</f>
        <v>0.17399999999999999</v>
      </c>
      <c r="G27" s="9" t="s">
        <v>25</v>
      </c>
      <c r="H27" s="4" t="s">
        <v>26</v>
      </c>
      <c r="I27" s="10" t="s">
        <v>27</v>
      </c>
      <c r="J27" s="243">
        <f>'GS10987 ER Calcs Charcoal'!J35</f>
        <v>0.17399999999999999</v>
      </c>
      <c r="K27" s="2"/>
      <c r="L27" s="2"/>
      <c r="M27" s="2"/>
      <c r="N27" s="2"/>
    </row>
    <row r="28" spans="2:15">
      <c r="B28" s="12" t="s">
        <v>21</v>
      </c>
      <c r="C28" s="13" t="s">
        <v>28</v>
      </c>
      <c r="D28" s="13" t="s">
        <v>13</v>
      </c>
      <c r="E28" s="156">
        <f>'GS10987 ER Calcs Wood'!K35</f>
        <v>6745</v>
      </c>
      <c r="G28" s="12" t="s">
        <v>21</v>
      </c>
      <c r="H28" s="13" t="s">
        <v>28</v>
      </c>
      <c r="I28" s="13" t="s">
        <v>13</v>
      </c>
      <c r="J28" s="156">
        <f>'GS10987 ER Calcs Charcoal'!J36</f>
        <v>20237</v>
      </c>
      <c r="K28" s="2"/>
      <c r="L28" s="2"/>
      <c r="M28" s="2"/>
      <c r="N28" s="2"/>
    </row>
    <row r="29" spans="2:15">
      <c r="B29" s="310" t="s">
        <v>29</v>
      </c>
      <c r="C29" s="311"/>
      <c r="D29" s="311"/>
      <c r="E29" s="312"/>
      <c r="G29" s="310" t="s">
        <v>29</v>
      </c>
      <c r="H29" s="311"/>
      <c r="I29" s="311"/>
      <c r="J29" s="312"/>
      <c r="K29" s="2"/>
      <c r="L29" s="2"/>
      <c r="M29" s="2"/>
      <c r="N29" s="2"/>
    </row>
    <row r="30" spans="2:15" ht="15" thickBot="1">
      <c r="B30" s="14" t="s">
        <v>30</v>
      </c>
      <c r="C30" s="15" t="s">
        <v>28</v>
      </c>
      <c r="D30" s="15" t="s">
        <v>13</v>
      </c>
      <c r="E30" s="157">
        <f>'GS10987 ER Calcs Wood'!K37</f>
        <v>6745</v>
      </c>
      <c r="G30" s="14" t="s">
        <v>30</v>
      </c>
      <c r="H30" s="15" t="s">
        <v>28</v>
      </c>
      <c r="I30" s="15" t="s">
        <v>13</v>
      </c>
      <c r="J30" s="157">
        <f>'GS10987 ER Calcs Charcoal'!J38</f>
        <v>20237</v>
      </c>
      <c r="K30" s="2"/>
      <c r="L30" s="2"/>
      <c r="M30" s="2"/>
      <c r="N30" s="2"/>
    </row>
    <row r="31" spans="2:15" ht="15" thickBot="1">
      <c r="B31" s="22"/>
      <c r="C31" s="22"/>
      <c r="D31" s="22"/>
      <c r="E31" s="228"/>
      <c r="G31" s="22"/>
      <c r="H31" s="22"/>
      <c r="I31" s="22"/>
      <c r="J31" s="228"/>
      <c r="K31" s="2"/>
      <c r="L31" s="2"/>
      <c r="M31" s="2"/>
      <c r="N31" s="2"/>
    </row>
    <row r="32" spans="2:15" ht="19.5" customHeight="1" thickBot="1">
      <c r="B32" s="316" t="s">
        <v>35</v>
      </c>
      <c r="C32" s="317"/>
      <c r="D32" s="317"/>
      <c r="E32" s="318"/>
      <c r="F32" s="2"/>
      <c r="G32" s="316" t="s">
        <v>36</v>
      </c>
      <c r="H32" s="317"/>
      <c r="I32" s="317"/>
      <c r="J32" s="318"/>
      <c r="K32" s="2"/>
      <c r="L32" s="2"/>
      <c r="M32" s="316" t="s">
        <v>2</v>
      </c>
      <c r="N32" s="317"/>
      <c r="O32" s="318"/>
    </row>
    <row r="33" spans="1:18" ht="15" thickBot="1">
      <c r="B33" s="2"/>
      <c r="C33" s="2"/>
      <c r="D33" s="2"/>
      <c r="E33" s="2"/>
      <c r="G33" s="2"/>
      <c r="H33" s="2"/>
      <c r="I33" s="2"/>
      <c r="J33" s="2"/>
      <c r="K33" s="2"/>
      <c r="L33" s="2"/>
      <c r="M33" s="2"/>
      <c r="N33" s="2"/>
    </row>
    <row r="34" spans="1:18">
      <c r="B34" s="313" t="s">
        <v>37</v>
      </c>
      <c r="C34" s="314"/>
      <c r="D34" s="314"/>
      <c r="E34" s="315"/>
      <c r="G34" s="313" t="s">
        <v>38</v>
      </c>
      <c r="H34" s="314"/>
      <c r="I34" s="314"/>
      <c r="J34" s="315"/>
      <c r="K34" s="2"/>
      <c r="L34" s="2"/>
      <c r="M34" s="2"/>
      <c r="N34" s="2"/>
    </row>
    <row r="35" spans="1:18">
      <c r="B35" s="322" t="s">
        <v>6</v>
      </c>
      <c r="C35" s="323"/>
      <c r="D35" s="323"/>
      <c r="E35" s="324"/>
      <c r="G35" s="322" t="s">
        <v>6</v>
      </c>
      <c r="H35" s="323"/>
      <c r="I35" s="323"/>
      <c r="J35" s="324"/>
      <c r="K35" s="2"/>
      <c r="L35" s="2"/>
      <c r="M35" s="2"/>
      <c r="N35" s="2"/>
    </row>
    <row r="36" spans="1:18">
      <c r="B36" s="3" t="s">
        <v>11</v>
      </c>
      <c r="C36" s="4" t="s">
        <v>12</v>
      </c>
      <c r="D36" s="4" t="s">
        <v>13</v>
      </c>
      <c r="E36" s="241">
        <f>'GS10987 ER Calcs Wood'!P27</f>
        <v>3260</v>
      </c>
      <c r="G36" s="3" t="s">
        <v>11</v>
      </c>
      <c r="H36" s="4" t="s">
        <v>12</v>
      </c>
      <c r="I36" s="4" t="s">
        <v>13</v>
      </c>
      <c r="J36" s="241">
        <f>'GS10987 ER Calcs Charcoal'!O28</f>
        <v>9778</v>
      </c>
      <c r="K36" s="2"/>
      <c r="L36" s="2"/>
      <c r="M36" s="2"/>
      <c r="N36" s="2"/>
    </row>
    <row r="37" spans="1:18">
      <c r="B37" s="3" t="s">
        <v>14</v>
      </c>
      <c r="C37" s="4" t="s">
        <v>15</v>
      </c>
      <c r="D37" s="4" t="s">
        <v>13</v>
      </c>
      <c r="E37" s="241">
        <f>'GS10987 ER Calcs Wood'!P28</f>
        <v>101.78999999999999</v>
      </c>
      <c r="G37" s="3" t="s">
        <v>14</v>
      </c>
      <c r="H37" s="4" t="s">
        <v>15</v>
      </c>
      <c r="I37" s="4" t="s">
        <v>13</v>
      </c>
      <c r="J37" s="241">
        <f>'GS10987 ER Calcs Charcoal'!O29</f>
        <v>301.86</v>
      </c>
      <c r="K37" s="2"/>
      <c r="L37" s="2"/>
      <c r="M37" s="2"/>
      <c r="N37" s="2"/>
    </row>
    <row r="38" spans="1:18">
      <c r="B38" s="3" t="s">
        <v>16</v>
      </c>
      <c r="C38" s="4" t="s">
        <v>17</v>
      </c>
      <c r="D38" s="4" t="s">
        <v>18</v>
      </c>
      <c r="E38" s="242">
        <f>'GS10987 ER Calcs Wood'!P29</f>
        <v>0.80220000000000002</v>
      </c>
      <c r="G38" s="3" t="s">
        <v>16</v>
      </c>
      <c r="H38" s="4" t="s">
        <v>17</v>
      </c>
      <c r="I38" s="4" t="s">
        <v>18</v>
      </c>
      <c r="J38" s="242">
        <f>'GS10987 ER Calcs Charcoal'!O30</f>
        <v>0.80220000000000002</v>
      </c>
      <c r="K38" s="2"/>
      <c r="L38" s="2"/>
      <c r="M38" s="2"/>
      <c r="N38" s="2"/>
    </row>
    <row r="39" spans="1:18">
      <c r="B39" s="3" t="s">
        <v>19</v>
      </c>
      <c r="C39" s="4" t="s">
        <v>20</v>
      </c>
      <c r="D39" s="4" t="s">
        <v>13</v>
      </c>
      <c r="E39" s="244">
        <f>'GS10987 ER Calcs Wood'!P30</f>
        <v>0.05</v>
      </c>
      <c r="G39" s="3" t="s">
        <v>19</v>
      </c>
      <c r="H39" s="4" t="s">
        <v>20</v>
      </c>
      <c r="I39" s="4" t="s">
        <v>13</v>
      </c>
      <c r="J39" s="244">
        <f>'GS10987 ER Calcs Charcoal'!O31</f>
        <v>0.05</v>
      </c>
      <c r="K39" s="2"/>
      <c r="L39" s="2"/>
      <c r="M39" s="2"/>
      <c r="N39" s="2"/>
    </row>
    <row r="40" spans="1:18">
      <c r="B40" s="3" t="s">
        <v>21</v>
      </c>
      <c r="C40" s="4" t="s">
        <v>22</v>
      </c>
      <c r="D40" s="4" t="s">
        <v>13</v>
      </c>
      <c r="E40" s="254">
        <f>'GS10987 ER Calcs Wood'!P31</f>
        <v>2406</v>
      </c>
      <c r="G40" s="3" t="s">
        <v>21</v>
      </c>
      <c r="H40" s="4" t="s">
        <v>22</v>
      </c>
      <c r="I40" s="4" t="s">
        <v>13</v>
      </c>
      <c r="J40" s="241">
        <f>'GS10987 ER Calcs Charcoal'!O32</f>
        <v>7221</v>
      </c>
      <c r="K40" s="2"/>
      <c r="L40" s="2"/>
      <c r="M40" s="2"/>
      <c r="N40" s="2"/>
    </row>
    <row r="41" spans="1:18">
      <c r="B41" s="322" t="s">
        <v>23</v>
      </c>
      <c r="C41" s="323"/>
      <c r="D41" s="323"/>
      <c r="E41" s="324"/>
      <c r="G41" s="322" t="s">
        <v>23</v>
      </c>
      <c r="H41" s="323"/>
      <c r="I41" s="323"/>
      <c r="J41" s="324"/>
      <c r="K41" s="2"/>
      <c r="L41" s="2"/>
      <c r="M41" s="2"/>
      <c r="N41" s="2"/>
    </row>
    <row r="42" spans="1:18">
      <c r="B42" s="9" t="s">
        <v>25</v>
      </c>
      <c r="C42" s="4" t="s">
        <v>26</v>
      </c>
      <c r="D42" s="10" t="s">
        <v>27</v>
      </c>
      <c r="E42" s="243">
        <f>'GS10987 ER Calcs Wood'!P34</f>
        <v>0.17399999999999999</v>
      </c>
      <c r="G42" s="9" t="s">
        <v>25</v>
      </c>
      <c r="H42" s="4" t="s">
        <v>26</v>
      </c>
      <c r="I42" s="10" t="s">
        <v>27</v>
      </c>
      <c r="J42" s="243">
        <f>'GS10987 ER Calcs Charcoal'!O35</f>
        <v>0.17399999999999999</v>
      </c>
      <c r="K42" s="2"/>
      <c r="L42" s="2"/>
      <c r="M42" s="2"/>
      <c r="N42" s="2"/>
    </row>
    <row r="43" spans="1:18">
      <c r="B43" s="12" t="s">
        <v>21</v>
      </c>
      <c r="C43" s="13" t="s">
        <v>28</v>
      </c>
      <c r="D43" s="13" t="s">
        <v>13</v>
      </c>
      <c r="E43" s="156">
        <f>'GS10987 ER Calcs Wood'!P35</f>
        <v>1987</v>
      </c>
      <c r="G43" s="12" t="s">
        <v>21</v>
      </c>
      <c r="H43" s="13" t="s">
        <v>28</v>
      </c>
      <c r="I43" s="13" t="s">
        <v>13</v>
      </c>
      <c r="J43" s="156">
        <f>'GS10987 ER Calcs Charcoal'!O36</f>
        <v>5964</v>
      </c>
      <c r="K43" s="2"/>
      <c r="L43" s="2"/>
      <c r="M43" s="2"/>
      <c r="N43" s="2"/>
    </row>
    <row r="44" spans="1:18">
      <c r="B44" s="310" t="s">
        <v>29</v>
      </c>
      <c r="C44" s="311"/>
      <c r="D44" s="311"/>
      <c r="E44" s="312"/>
      <c r="G44" s="310" t="s">
        <v>29</v>
      </c>
      <c r="H44" s="311"/>
      <c r="I44" s="311"/>
      <c r="J44" s="312"/>
      <c r="K44" s="2"/>
      <c r="L44" s="2"/>
      <c r="M44" s="2"/>
      <c r="N44" s="2"/>
    </row>
    <row r="45" spans="1:18" ht="15" thickBot="1">
      <c r="B45" s="14" t="s">
        <v>30</v>
      </c>
      <c r="C45" s="15" t="s">
        <v>28</v>
      </c>
      <c r="D45" s="15" t="s">
        <v>13</v>
      </c>
      <c r="E45" s="157">
        <f>'GS10987 ER Calcs Wood'!P37</f>
        <v>1987</v>
      </c>
      <c r="G45" s="14" t="s">
        <v>30</v>
      </c>
      <c r="H45" s="15" t="s">
        <v>28</v>
      </c>
      <c r="I45" s="15" t="s">
        <v>13</v>
      </c>
      <c r="J45" s="157">
        <f>'GS10987 ER Calcs Charcoal'!O38</f>
        <v>5964</v>
      </c>
      <c r="K45" s="2"/>
      <c r="L45" s="2"/>
      <c r="M45" s="16"/>
      <c r="N45" s="2"/>
    </row>
    <row r="46" spans="1:18" customFormat="1" ht="15" thickBo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ht="15.5">
      <c r="B47" s="300" t="s">
        <v>39</v>
      </c>
      <c r="C47" s="301"/>
      <c r="D47" s="301"/>
      <c r="E47" s="302"/>
      <c r="F47" s="2"/>
      <c r="G47" s="300" t="s">
        <v>40</v>
      </c>
      <c r="H47" s="301"/>
      <c r="I47" s="301"/>
      <c r="J47" s="302"/>
      <c r="K47" s="2"/>
      <c r="L47" s="2"/>
      <c r="M47" s="2"/>
      <c r="N47" s="2"/>
    </row>
    <row r="48" spans="1:18">
      <c r="B48" s="303" t="s">
        <v>6</v>
      </c>
      <c r="C48" s="304"/>
      <c r="D48" s="304"/>
      <c r="E48" s="305"/>
      <c r="F48" s="2"/>
      <c r="G48" s="303" t="s">
        <v>6</v>
      </c>
      <c r="H48" s="304"/>
      <c r="I48" s="304"/>
      <c r="J48" s="305"/>
      <c r="K48" s="2"/>
      <c r="L48" s="2"/>
      <c r="M48" s="2"/>
      <c r="N48" s="2"/>
    </row>
    <row r="49" spans="2:14">
      <c r="B49" s="306">
        <v>2022</v>
      </c>
      <c r="C49" s="307"/>
      <c r="D49" s="74"/>
      <c r="E49" s="17">
        <f>E15</f>
        <v>3978</v>
      </c>
      <c r="F49" s="2"/>
      <c r="G49" s="306">
        <v>2022</v>
      </c>
      <c r="H49" s="307"/>
      <c r="I49" s="74"/>
      <c r="J49" s="17">
        <f>J15</f>
        <v>11939</v>
      </c>
      <c r="K49" s="2"/>
      <c r="L49" s="2"/>
      <c r="M49" s="2"/>
      <c r="N49" s="2"/>
    </row>
    <row r="50" spans="2:14">
      <c r="B50" s="210">
        <v>2023</v>
      </c>
      <c r="C50" s="211"/>
      <c r="D50" s="212"/>
      <c r="E50" s="213">
        <f>E30</f>
        <v>6745</v>
      </c>
      <c r="F50" s="2"/>
      <c r="G50" s="210">
        <v>2023</v>
      </c>
      <c r="H50" s="211"/>
      <c r="I50" s="212"/>
      <c r="J50" s="213">
        <f>J30</f>
        <v>20237</v>
      </c>
      <c r="K50" s="2"/>
      <c r="L50" s="2"/>
      <c r="M50" s="2"/>
      <c r="N50" s="2"/>
    </row>
    <row r="51" spans="2:14">
      <c r="B51" s="210">
        <v>2024</v>
      </c>
      <c r="C51" s="211"/>
      <c r="D51" s="212"/>
      <c r="E51" s="213">
        <f>E45</f>
        <v>1987</v>
      </c>
      <c r="F51" s="2"/>
      <c r="G51" s="210">
        <v>2024</v>
      </c>
      <c r="H51" s="211"/>
      <c r="I51" s="212"/>
      <c r="J51" s="213">
        <f>J45</f>
        <v>5964</v>
      </c>
      <c r="K51" s="2"/>
      <c r="L51" s="2"/>
      <c r="M51" s="2"/>
      <c r="N51" s="2"/>
    </row>
    <row r="52" spans="2:14" ht="15" thickBot="1">
      <c r="B52" s="308" t="s">
        <v>41</v>
      </c>
      <c r="C52" s="309"/>
      <c r="D52" s="18"/>
      <c r="E52" s="19">
        <f>SUM(E49:E51)</f>
        <v>12710</v>
      </c>
      <c r="F52" s="75"/>
      <c r="G52" s="308" t="s">
        <v>41</v>
      </c>
      <c r="H52" s="309"/>
      <c r="I52" s="18"/>
      <c r="J52" s="19">
        <f>SUM(J49:J51)</f>
        <v>38140</v>
      </c>
      <c r="K52" s="75"/>
      <c r="L52" s="2"/>
      <c r="M52" s="2"/>
      <c r="N52" s="2"/>
    </row>
    <row r="53" spans="2:14">
      <c r="E53" s="71"/>
      <c r="J53" s="71"/>
    </row>
    <row r="54" spans="2:14" ht="15" thickBot="1"/>
    <row r="55" spans="2:14" ht="15.5">
      <c r="B55" s="300" t="s">
        <v>42</v>
      </c>
      <c r="C55" s="301"/>
      <c r="D55" s="301"/>
      <c r="E55" s="302"/>
    </row>
    <row r="56" spans="2:14">
      <c r="B56" s="303" t="s">
        <v>6</v>
      </c>
      <c r="C56" s="304"/>
      <c r="D56" s="304"/>
      <c r="E56" s="305"/>
    </row>
    <row r="57" spans="2:14">
      <c r="B57" s="306">
        <v>2022</v>
      </c>
      <c r="C57" s="307"/>
      <c r="D57" s="74"/>
      <c r="E57" s="17">
        <f>E49+J49</f>
        <v>15917</v>
      </c>
    </row>
    <row r="58" spans="2:14">
      <c r="B58" s="210">
        <v>2023</v>
      </c>
      <c r="C58" s="211"/>
      <c r="D58" s="212"/>
      <c r="E58" s="17">
        <f>E50+J50</f>
        <v>26982</v>
      </c>
    </row>
    <row r="59" spans="2:14">
      <c r="B59" s="210">
        <v>2024</v>
      </c>
      <c r="C59" s="211"/>
      <c r="D59" s="212"/>
      <c r="E59" s="17">
        <f>E51+J51</f>
        <v>7951</v>
      </c>
      <c r="G59" s="290"/>
    </row>
    <row r="60" spans="2:14" ht="15" thickBot="1">
      <c r="B60" s="308" t="s">
        <v>41</v>
      </c>
      <c r="C60" s="309"/>
      <c r="D60" s="18"/>
      <c r="E60" s="19">
        <f>SUM(E57:E59)</f>
        <v>50850</v>
      </c>
    </row>
  </sheetData>
  <mergeCells count="46">
    <mergeCell ref="B44:E44"/>
    <mergeCell ref="G44:J44"/>
    <mergeCell ref="B17:E17"/>
    <mergeCell ref="G17:J17"/>
    <mergeCell ref="M17:O17"/>
    <mergeCell ref="B32:E32"/>
    <mergeCell ref="G32:J32"/>
    <mergeCell ref="M32:O32"/>
    <mergeCell ref="B34:E34"/>
    <mergeCell ref="G34:J34"/>
    <mergeCell ref="B35:E35"/>
    <mergeCell ref="G35:J35"/>
    <mergeCell ref="B41:E41"/>
    <mergeCell ref="G41:J41"/>
    <mergeCell ref="B20:E20"/>
    <mergeCell ref="G20:J20"/>
    <mergeCell ref="B26:E26"/>
    <mergeCell ref="G26:J26"/>
    <mergeCell ref="B29:E29"/>
    <mergeCell ref="G29:J29"/>
    <mergeCell ref="B11:E11"/>
    <mergeCell ref="G11:J11"/>
    <mergeCell ref="B2:E2"/>
    <mergeCell ref="M2:O2"/>
    <mergeCell ref="B4:E4"/>
    <mergeCell ref="M4:O4"/>
    <mergeCell ref="B5:E5"/>
    <mergeCell ref="G2:J2"/>
    <mergeCell ref="G4:J4"/>
    <mergeCell ref="G5:J5"/>
    <mergeCell ref="B55:E55"/>
    <mergeCell ref="B56:E56"/>
    <mergeCell ref="B57:C57"/>
    <mergeCell ref="B60:C60"/>
    <mergeCell ref="G14:J14"/>
    <mergeCell ref="G47:J47"/>
    <mergeCell ref="G48:J48"/>
    <mergeCell ref="G49:H49"/>
    <mergeCell ref="G52:H52"/>
    <mergeCell ref="B48:E48"/>
    <mergeCell ref="B49:C49"/>
    <mergeCell ref="B52:C52"/>
    <mergeCell ref="B14:E14"/>
    <mergeCell ref="B47:E47"/>
    <mergeCell ref="B19:E19"/>
    <mergeCell ref="G19:J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607B7-5B36-42D5-85F1-7AE6B2A7FEAE}">
  <dimension ref="A1:M39"/>
  <sheetViews>
    <sheetView workbookViewId="0">
      <selection activeCell="J3" sqref="J3:J11"/>
    </sheetView>
  </sheetViews>
  <sheetFormatPr defaultColWidth="8.81640625" defaultRowHeight="14.5"/>
  <cols>
    <col min="1" max="1" width="9.453125" bestFit="1" customWidth="1"/>
    <col min="2" max="2" width="15.81640625" customWidth="1"/>
    <col min="3" max="3" width="16.1796875" bestFit="1" customWidth="1"/>
    <col min="4" max="4" width="25.453125" bestFit="1" customWidth="1"/>
    <col min="5" max="5" width="15.453125" customWidth="1"/>
    <col min="6" max="6" width="18.26953125" bestFit="1" customWidth="1"/>
    <col min="7" max="7" width="22.81640625" bestFit="1" customWidth="1"/>
    <col min="8" max="8" width="13.26953125" bestFit="1" customWidth="1"/>
    <col min="9" max="9" width="20.81640625" customWidth="1"/>
    <col min="10" max="10" width="13.26953125" customWidth="1"/>
    <col min="11" max="11" width="15.453125" bestFit="1" customWidth="1"/>
    <col min="12" max="12" width="24.453125" bestFit="1" customWidth="1"/>
    <col min="13" max="13" width="12.81640625" bestFit="1" customWidth="1"/>
    <col min="14" max="14" width="13.81640625" bestFit="1" customWidth="1"/>
    <col min="15" max="15" width="26.26953125" bestFit="1" customWidth="1"/>
    <col min="16" max="16" width="12.453125" bestFit="1" customWidth="1"/>
  </cols>
  <sheetData>
    <row r="1" spans="1:13" ht="15" thickBot="1">
      <c r="A1" s="326">
        <v>2022</v>
      </c>
      <c r="B1" s="327"/>
      <c r="C1" s="327"/>
      <c r="D1" s="327"/>
      <c r="E1" s="327"/>
      <c r="F1" s="327"/>
      <c r="G1" s="327"/>
      <c r="H1" s="328"/>
    </row>
    <row r="2" spans="1:13">
      <c r="A2" s="172" t="s">
        <v>43</v>
      </c>
      <c r="B2" s="173" t="s">
        <v>44</v>
      </c>
      <c r="C2" s="173" t="s">
        <v>45</v>
      </c>
      <c r="D2" s="173" t="s">
        <v>46</v>
      </c>
      <c r="E2" s="173" t="s">
        <v>47</v>
      </c>
      <c r="F2" s="173" t="s">
        <v>48</v>
      </c>
      <c r="G2" s="173" t="s">
        <v>49</v>
      </c>
      <c r="H2" s="174" t="s">
        <v>50</v>
      </c>
      <c r="L2" s="23" t="s">
        <v>51</v>
      </c>
      <c r="M2" s="26">
        <v>44562</v>
      </c>
    </row>
    <row r="3" spans="1:13" ht="15" customHeight="1">
      <c r="A3" s="162" t="s">
        <v>52</v>
      </c>
      <c r="B3" s="259">
        <v>44074</v>
      </c>
      <c r="C3">
        <f>M3-M2+1</f>
        <v>365</v>
      </c>
      <c r="D3">
        <v>360</v>
      </c>
      <c r="E3">
        <v>5</v>
      </c>
      <c r="F3" s="203">
        <v>14888275</v>
      </c>
      <c r="G3" s="203">
        <f>F3/C3</f>
        <v>40789.794520547948</v>
      </c>
      <c r="H3" s="124">
        <f>'WQT Log'!AD5</f>
        <v>0</v>
      </c>
      <c r="I3" s="325" t="s">
        <v>53</v>
      </c>
      <c r="J3" s="296"/>
      <c r="L3" s="24" t="s">
        <v>54</v>
      </c>
      <c r="M3" s="25">
        <v>44926</v>
      </c>
    </row>
    <row r="4" spans="1:13">
      <c r="A4" s="162" t="s">
        <v>55</v>
      </c>
      <c r="B4" s="259">
        <v>44375</v>
      </c>
      <c r="C4">
        <f>M3-M2+1</f>
        <v>365</v>
      </c>
      <c r="D4">
        <v>362</v>
      </c>
      <c r="E4">
        <v>3</v>
      </c>
      <c r="F4" s="203">
        <v>15313425</v>
      </c>
      <c r="G4" s="203">
        <f>F4/C4</f>
        <v>41954.589041095889</v>
      </c>
      <c r="H4" s="124">
        <f>'WQT Log'!AD6</f>
        <v>0</v>
      </c>
      <c r="I4" s="325"/>
      <c r="J4" s="296"/>
      <c r="L4" s="24" t="s">
        <v>56</v>
      </c>
      <c r="M4" s="25">
        <v>44927</v>
      </c>
    </row>
    <row r="5" spans="1:13">
      <c r="A5" s="162" t="s">
        <v>57</v>
      </c>
      <c r="B5" s="259">
        <v>44732</v>
      </c>
      <c r="C5">
        <f>M3-B5+1</f>
        <v>195</v>
      </c>
      <c r="D5">
        <v>192</v>
      </c>
      <c r="E5">
        <v>3</v>
      </c>
      <c r="F5" s="203">
        <v>8303236</v>
      </c>
      <c r="G5" s="203">
        <f t="shared" ref="G5:G10" si="0">F5/C5</f>
        <v>42580.697435897433</v>
      </c>
      <c r="H5" s="124">
        <f>'WQT Log'!AD7</f>
        <v>0</v>
      </c>
      <c r="I5" s="325"/>
      <c r="J5" s="296"/>
      <c r="L5" s="24" t="s">
        <v>58</v>
      </c>
      <c r="M5" s="25">
        <v>45291</v>
      </c>
    </row>
    <row r="6" spans="1:13">
      <c r="A6" s="162" t="s">
        <v>59</v>
      </c>
      <c r="B6" s="259">
        <v>44562</v>
      </c>
      <c r="C6">
        <f>M3-M2</f>
        <v>364</v>
      </c>
      <c r="D6">
        <v>356</v>
      </c>
      <c r="E6">
        <v>9</v>
      </c>
      <c r="F6" s="203">
        <v>4362669</v>
      </c>
      <c r="G6" s="203">
        <f t="shared" si="0"/>
        <v>11985.354395604396</v>
      </c>
      <c r="H6" s="124">
        <f>'WQT Log'!AD8</f>
        <v>0</v>
      </c>
      <c r="I6" s="325"/>
      <c r="J6" s="296"/>
      <c r="L6" s="108" t="s">
        <v>60</v>
      </c>
      <c r="M6" s="26">
        <v>45292</v>
      </c>
    </row>
    <row r="7" spans="1:13">
      <c r="A7" s="162" t="s">
        <v>61</v>
      </c>
      <c r="B7" s="259">
        <v>44828</v>
      </c>
      <c r="C7">
        <f>M3-B7+1</f>
        <v>99</v>
      </c>
      <c r="D7">
        <v>92</v>
      </c>
      <c r="E7">
        <v>7</v>
      </c>
      <c r="F7" s="203">
        <v>313540</v>
      </c>
      <c r="G7" s="203">
        <f t="shared" si="0"/>
        <v>3167.0707070707072</v>
      </c>
      <c r="H7" s="124">
        <f>'WQT Log'!AD9</f>
        <v>98</v>
      </c>
      <c r="I7" s="325"/>
      <c r="J7" s="296"/>
      <c r="L7" s="108" t="s">
        <v>62</v>
      </c>
      <c r="M7" s="26">
        <v>45382</v>
      </c>
    </row>
    <row r="8" spans="1:13">
      <c r="A8" s="162" t="s">
        <v>63</v>
      </c>
      <c r="B8" s="259">
        <v>44921</v>
      </c>
      <c r="C8">
        <f>M3-B8+1</f>
        <v>6</v>
      </c>
      <c r="D8">
        <v>6</v>
      </c>
      <c r="E8">
        <v>0</v>
      </c>
      <c r="F8" s="203">
        <v>89690</v>
      </c>
      <c r="G8" s="203">
        <f t="shared" si="0"/>
        <v>14948.333333333334</v>
      </c>
      <c r="H8" s="124">
        <f>'WQT Log'!AD10</f>
        <v>0</v>
      </c>
      <c r="I8" s="325"/>
      <c r="J8" s="296"/>
    </row>
    <row r="9" spans="1:13">
      <c r="A9" s="162" t="s">
        <v>64</v>
      </c>
      <c r="B9" s="259">
        <v>44879</v>
      </c>
      <c r="C9">
        <f>M3-B9+1</f>
        <v>48</v>
      </c>
      <c r="D9">
        <v>41</v>
      </c>
      <c r="E9">
        <v>7</v>
      </c>
      <c r="F9" s="203">
        <v>79165</v>
      </c>
      <c r="G9" s="203">
        <f t="shared" si="0"/>
        <v>1649.2708333333333</v>
      </c>
      <c r="H9" s="124">
        <f>'WQT Log'!AD11</f>
        <v>0</v>
      </c>
      <c r="I9" s="325"/>
      <c r="J9" s="296"/>
    </row>
    <row r="10" spans="1:13">
      <c r="A10" s="163" t="s">
        <v>65</v>
      </c>
      <c r="B10" s="259">
        <v>44659</v>
      </c>
      <c r="C10" s="164">
        <f>M3-B10+1</f>
        <v>268</v>
      </c>
      <c r="D10" s="164">
        <v>264</v>
      </c>
      <c r="E10" s="164">
        <v>4</v>
      </c>
      <c r="F10" s="204">
        <v>1586991</v>
      </c>
      <c r="G10" s="203">
        <f t="shared" si="0"/>
        <v>5921.6082089552237</v>
      </c>
      <c r="H10" s="205">
        <f>'WQT Log'!AD12</f>
        <v>1</v>
      </c>
      <c r="I10" s="325"/>
      <c r="J10" s="296"/>
    </row>
    <row r="11" spans="1:13">
      <c r="A11" s="43" t="s">
        <v>24</v>
      </c>
      <c r="B11" s="179"/>
      <c r="C11" s="179">
        <f>SUM(C3:C10)</f>
        <v>1710</v>
      </c>
      <c r="D11" s="179">
        <f>SUM(D3:D10)</f>
        <v>1673</v>
      </c>
      <c r="E11" s="179">
        <f>SUM(E3:E10)</f>
        <v>38</v>
      </c>
      <c r="F11" s="206">
        <f>SUM(F3:F10)</f>
        <v>44936991</v>
      </c>
      <c r="G11" s="179"/>
      <c r="H11" s="10">
        <f>SUM(H3:H10)</f>
        <v>99</v>
      </c>
    </row>
    <row r="12" spans="1:13">
      <c r="D12" t="s">
        <v>66</v>
      </c>
      <c r="E12" s="207">
        <f>E11/C11</f>
        <v>2.2222222222222223E-2</v>
      </c>
      <c r="H12" s="207">
        <f>H11/C11</f>
        <v>5.7894736842105263E-2</v>
      </c>
    </row>
    <row r="13" spans="1:13" ht="15" thickBot="1"/>
    <row r="14" spans="1:13" ht="15" thickBot="1">
      <c r="A14" s="326">
        <v>2023</v>
      </c>
      <c r="B14" s="327"/>
      <c r="C14" s="327"/>
      <c r="D14" s="327"/>
      <c r="E14" s="327"/>
      <c r="F14" s="327"/>
      <c r="G14" s="327"/>
      <c r="H14" s="328"/>
    </row>
    <row r="15" spans="1:13">
      <c r="A15" s="175" t="s">
        <v>43</v>
      </c>
      <c r="B15" s="173" t="s">
        <v>44</v>
      </c>
      <c r="C15" s="22" t="s">
        <v>67</v>
      </c>
      <c r="D15" s="22" t="s">
        <v>68</v>
      </c>
      <c r="E15" s="22" t="s">
        <v>69</v>
      </c>
      <c r="F15" s="22" t="s">
        <v>70</v>
      </c>
      <c r="G15" s="22" t="s">
        <v>71</v>
      </c>
      <c r="H15" s="176" t="s">
        <v>50</v>
      </c>
    </row>
    <row r="16" spans="1:13" ht="15" customHeight="1">
      <c r="A16" s="177" t="s">
        <v>52</v>
      </c>
      <c r="B16" s="259">
        <v>44074</v>
      </c>
      <c r="C16" s="178">
        <f>$M$5-$M$4+1</f>
        <v>365</v>
      </c>
      <c r="D16" s="178">
        <v>363</v>
      </c>
      <c r="E16" s="178">
        <v>2</v>
      </c>
      <c r="F16" s="208">
        <v>14985649</v>
      </c>
      <c r="G16" s="208">
        <v>41056.57</v>
      </c>
      <c r="H16" s="209">
        <f>'WQT Log'!AV5</f>
        <v>0</v>
      </c>
      <c r="I16" s="325" t="s">
        <v>72</v>
      </c>
      <c r="J16" s="291"/>
    </row>
    <row r="17" spans="1:10">
      <c r="A17" s="162" t="s">
        <v>55</v>
      </c>
      <c r="B17" s="259">
        <v>44375</v>
      </c>
      <c r="C17" s="178">
        <f t="shared" ref="C17:C23" si="1">$M$5-$M$4+1</f>
        <v>365</v>
      </c>
      <c r="D17">
        <v>357</v>
      </c>
      <c r="E17">
        <v>8</v>
      </c>
      <c r="F17" s="203">
        <v>16324083</v>
      </c>
      <c r="G17" s="203">
        <v>44723.51506849315</v>
      </c>
      <c r="H17" s="124">
        <f>'WQT Log'!AV6</f>
        <v>0</v>
      </c>
      <c r="I17" s="325"/>
      <c r="J17" s="291"/>
    </row>
    <row r="18" spans="1:10">
      <c r="A18" s="162" t="s">
        <v>57</v>
      </c>
      <c r="B18" s="259">
        <v>44732</v>
      </c>
      <c r="C18" s="178">
        <f t="shared" si="1"/>
        <v>365</v>
      </c>
      <c r="D18">
        <v>364</v>
      </c>
      <c r="E18">
        <v>1</v>
      </c>
      <c r="F18" s="203">
        <v>20379400</v>
      </c>
      <c r="G18" s="203">
        <v>55833.972602739726</v>
      </c>
      <c r="H18" s="124">
        <f>'WQT Log'!AV7</f>
        <v>81</v>
      </c>
      <c r="I18" s="325"/>
      <c r="J18" s="291"/>
    </row>
    <row r="19" spans="1:10">
      <c r="A19" s="162" t="s">
        <v>59</v>
      </c>
      <c r="B19" s="259">
        <v>44562</v>
      </c>
      <c r="C19" s="178">
        <f t="shared" si="1"/>
        <v>365</v>
      </c>
      <c r="D19">
        <v>362</v>
      </c>
      <c r="E19">
        <v>3</v>
      </c>
      <c r="F19" s="203">
        <v>5872742</v>
      </c>
      <c r="G19" s="203">
        <v>16089.704109589042</v>
      </c>
      <c r="H19" s="124">
        <f>'WQT Log'!AV8</f>
        <v>179</v>
      </c>
      <c r="I19" s="325"/>
      <c r="J19" s="291"/>
    </row>
    <row r="20" spans="1:10">
      <c r="A20" s="162" t="s">
        <v>61</v>
      </c>
      <c r="B20" s="259">
        <v>44828</v>
      </c>
      <c r="C20" s="178">
        <f t="shared" si="1"/>
        <v>365</v>
      </c>
      <c r="D20">
        <v>355</v>
      </c>
      <c r="E20">
        <v>10</v>
      </c>
      <c r="F20" s="203">
        <v>1331955</v>
      </c>
      <c r="G20" s="203">
        <v>3649.1917808219177</v>
      </c>
      <c r="H20" s="124">
        <f>'WQT Log'!AV9</f>
        <v>197</v>
      </c>
      <c r="I20" s="325"/>
      <c r="J20" s="291"/>
    </row>
    <row r="21" spans="1:10">
      <c r="A21" s="162" t="s">
        <v>63</v>
      </c>
      <c r="B21" s="259">
        <v>44921</v>
      </c>
      <c r="C21" s="178">
        <f t="shared" si="1"/>
        <v>365</v>
      </c>
      <c r="D21">
        <v>364</v>
      </c>
      <c r="E21">
        <v>1</v>
      </c>
      <c r="F21" s="203">
        <v>12668540</v>
      </c>
      <c r="G21" s="203">
        <v>34708.32876712329</v>
      </c>
      <c r="H21" s="124">
        <f>'WQT Log'!AV10</f>
        <v>0</v>
      </c>
      <c r="I21" s="325"/>
      <c r="J21" s="291"/>
    </row>
    <row r="22" spans="1:10">
      <c r="A22" s="162" t="s">
        <v>64</v>
      </c>
      <c r="B22" s="259">
        <v>44879</v>
      </c>
      <c r="C22" s="178">
        <f t="shared" si="1"/>
        <v>365</v>
      </c>
      <c r="D22">
        <v>354</v>
      </c>
      <c r="E22">
        <v>11</v>
      </c>
      <c r="F22" s="203">
        <v>3181304</v>
      </c>
      <c r="G22" s="203">
        <v>8715.9013698630133</v>
      </c>
      <c r="H22" s="124">
        <f>'WQT Log'!AV11</f>
        <v>81</v>
      </c>
      <c r="I22" s="325"/>
      <c r="J22" s="291"/>
    </row>
    <row r="23" spans="1:10">
      <c r="A23" s="163" t="s">
        <v>65</v>
      </c>
      <c r="B23" s="259">
        <v>44659</v>
      </c>
      <c r="C23" s="178">
        <f t="shared" si="1"/>
        <v>365</v>
      </c>
      <c r="D23" s="164">
        <v>364</v>
      </c>
      <c r="E23" s="164">
        <v>1</v>
      </c>
      <c r="F23" s="204">
        <v>2659506</v>
      </c>
      <c r="G23" s="204">
        <v>7286.317808219178</v>
      </c>
      <c r="H23" s="205">
        <f>'WQT Log'!AV12</f>
        <v>0</v>
      </c>
      <c r="I23" s="325"/>
      <c r="J23" s="291"/>
    </row>
    <row r="24" spans="1:10">
      <c r="A24" s="43" t="s">
        <v>24</v>
      </c>
      <c r="B24" s="179"/>
      <c r="C24" s="179">
        <f>SUM(C16:C23)</f>
        <v>2920</v>
      </c>
      <c r="D24" s="179">
        <f>SUM(D16:D23)</f>
        <v>2883</v>
      </c>
      <c r="E24" s="179">
        <f>SUM(E16:E23)</f>
        <v>37</v>
      </c>
      <c r="F24" s="206">
        <f>SUM(F16:F23)</f>
        <v>77403179</v>
      </c>
      <c r="G24" s="179"/>
      <c r="H24" s="10">
        <f>SUM(H16:H23)</f>
        <v>538</v>
      </c>
    </row>
    <row r="25" spans="1:10">
      <c r="D25" t="s">
        <v>66</v>
      </c>
      <c r="E25" s="144">
        <f>E24/C24</f>
        <v>1.2671232876712329E-2</v>
      </c>
      <c r="H25" s="144">
        <f>H24/C24</f>
        <v>0.18424657534246575</v>
      </c>
    </row>
    <row r="27" spans="1:10" ht="15" thickBot="1"/>
    <row r="28" spans="1:10" ht="15" thickBot="1">
      <c r="A28" s="326">
        <v>2024</v>
      </c>
      <c r="B28" s="327"/>
      <c r="C28" s="327"/>
      <c r="D28" s="327"/>
      <c r="E28" s="327"/>
      <c r="F28" s="327"/>
      <c r="G28" s="327"/>
      <c r="H28" s="328"/>
    </row>
    <row r="29" spans="1:10">
      <c r="A29" s="175" t="s">
        <v>43</v>
      </c>
      <c r="B29" s="173" t="s">
        <v>44</v>
      </c>
      <c r="C29" s="22" t="s">
        <v>73</v>
      </c>
      <c r="D29" s="22" t="s">
        <v>74</v>
      </c>
      <c r="E29" s="22" t="s">
        <v>75</v>
      </c>
      <c r="F29" s="22" t="s">
        <v>76</v>
      </c>
      <c r="G29" s="22" t="s">
        <v>77</v>
      </c>
      <c r="H29" s="176" t="s">
        <v>50</v>
      </c>
    </row>
    <row r="30" spans="1:10" ht="15" customHeight="1">
      <c r="A30" s="177" t="s">
        <v>52</v>
      </c>
      <c r="B30" s="259">
        <v>44074</v>
      </c>
      <c r="C30" s="178">
        <f>$M$7-$M$6+1</f>
        <v>91</v>
      </c>
      <c r="D30" s="178">
        <v>91</v>
      </c>
      <c r="E30" s="178">
        <v>0</v>
      </c>
      <c r="F30" s="208">
        <v>4159070</v>
      </c>
      <c r="G30" s="208">
        <v>45704.065934065933</v>
      </c>
      <c r="H30" s="209">
        <f>'WQT Log'!BB5</f>
        <v>0</v>
      </c>
      <c r="I30" s="325" t="s">
        <v>78</v>
      </c>
      <c r="J30" s="291"/>
    </row>
    <row r="31" spans="1:10">
      <c r="A31" s="162" t="s">
        <v>55</v>
      </c>
      <c r="B31" s="259">
        <v>44375</v>
      </c>
      <c r="C31" s="178">
        <f t="shared" ref="C31:C37" si="2">$M$7-$M$6+1</f>
        <v>91</v>
      </c>
      <c r="D31">
        <v>91</v>
      </c>
      <c r="E31">
        <v>0</v>
      </c>
      <c r="F31" s="223">
        <v>5076286</v>
      </c>
      <c r="G31" s="203">
        <v>55783.362637362639</v>
      </c>
      <c r="H31" s="124">
        <f>'WQT Log'!BB6</f>
        <v>0</v>
      </c>
      <c r="I31" s="325"/>
      <c r="J31" s="291"/>
    </row>
    <row r="32" spans="1:10">
      <c r="A32" s="162" t="s">
        <v>57</v>
      </c>
      <c r="B32" s="259">
        <v>44732</v>
      </c>
      <c r="C32" s="178">
        <f t="shared" si="2"/>
        <v>91</v>
      </c>
      <c r="D32">
        <v>91</v>
      </c>
      <c r="E32">
        <v>0</v>
      </c>
      <c r="F32" s="223">
        <v>5372245</v>
      </c>
      <c r="G32" s="203">
        <v>59035.659340659338</v>
      </c>
      <c r="H32" s="124">
        <f>'WQT Log'!BB7</f>
        <v>36</v>
      </c>
      <c r="I32" s="325"/>
      <c r="J32" s="291"/>
    </row>
    <row r="33" spans="1:10">
      <c r="A33" s="162" t="s">
        <v>59</v>
      </c>
      <c r="B33" s="259">
        <v>44562</v>
      </c>
      <c r="C33" s="178">
        <f t="shared" si="2"/>
        <v>91</v>
      </c>
      <c r="D33">
        <v>91</v>
      </c>
      <c r="E33">
        <v>0</v>
      </c>
      <c r="F33" s="223">
        <v>1518093</v>
      </c>
      <c r="G33" s="203">
        <v>16682.340659340658</v>
      </c>
      <c r="H33" s="124">
        <f>'WQT Log'!BB8</f>
        <v>29</v>
      </c>
      <c r="I33" s="325"/>
      <c r="J33" s="291"/>
    </row>
    <row r="34" spans="1:10">
      <c r="A34" s="162" t="s">
        <v>61</v>
      </c>
      <c r="B34" s="259">
        <v>44828</v>
      </c>
      <c r="C34" s="178">
        <f t="shared" si="2"/>
        <v>91</v>
      </c>
      <c r="D34">
        <v>83</v>
      </c>
      <c r="E34">
        <v>8</v>
      </c>
      <c r="F34" s="223">
        <v>731200</v>
      </c>
      <c r="G34" s="203">
        <v>8035.1648351648355</v>
      </c>
      <c r="H34" s="124">
        <f>'WQT Log'!BB9</f>
        <v>0</v>
      </c>
      <c r="I34" s="325"/>
      <c r="J34" s="291"/>
    </row>
    <row r="35" spans="1:10">
      <c r="A35" s="162" t="s">
        <v>63</v>
      </c>
      <c r="B35" s="259">
        <v>44921</v>
      </c>
      <c r="C35" s="178">
        <f t="shared" si="2"/>
        <v>91</v>
      </c>
      <c r="D35">
        <v>91</v>
      </c>
      <c r="E35">
        <v>0</v>
      </c>
      <c r="F35" s="223">
        <v>4731213</v>
      </c>
      <c r="G35" s="203">
        <v>51991.351648351651</v>
      </c>
      <c r="H35" s="124">
        <f>'WQT Log'!BB10</f>
        <v>0</v>
      </c>
      <c r="I35" s="325"/>
      <c r="J35" s="291"/>
    </row>
    <row r="36" spans="1:10">
      <c r="A36" s="162" t="s">
        <v>64</v>
      </c>
      <c r="B36" s="259">
        <v>44879</v>
      </c>
      <c r="C36" s="178">
        <f t="shared" si="2"/>
        <v>91</v>
      </c>
      <c r="D36">
        <v>87</v>
      </c>
      <c r="E36">
        <v>4</v>
      </c>
      <c r="F36" s="223">
        <v>924800</v>
      </c>
      <c r="G36" s="203">
        <v>10162.637362637362</v>
      </c>
      <c r="H36" s="124">
        <f>'WQT Log'!BB11</f>
        <v>36</v>
      </c>
      <c r="I36" s="325"/>
      <c r="J36" s="291"/>
    </row>
    <row r="37" spans="1:10">
      <c r="A37" s="163" t="s">
        <v>65</v>
      </c>
      <c r="B37" s="259">
        <v>44659</v>
      </c>
      <c r="C37" s="178">
        <f t="shared" si="2"/>
        <v>91</v>
      </c>
      <c r="D37" s="164">
        <v>90</v>
      </c>
      <c r="E37" s="164">
        <v>1</v>
      </c>
      <c r="F37" s="204">
        <v>638545</v>
      </c>
      <c r="G37" s="204">
        <v>7016.9780219780223</v>
      </c>
      <c r="H37" s="205">
        <f>'WQT Log'!BB12</f>
        <v>0</v>
      </c>
      <c r="I37" s="325"/>
      <c r="J37" s="291"/>
    </row>
    <row r="38" spans="1:10">
      <c r="A38" s="43" t="s">
        <v>24</v>
      </c>
      <c r="B38" s="179"/>
      <c r="C38" s="179">
        <f>SUM(C30:C37)</f>
        <v>728</v>
      </c>
      <c r="D38" s="179">
        <f>SUM(D30:D37)</f>
        <v>715</v>
      </c>
      <c r="E38" s="179">
        <f>SUM(E30:E37)</f>
        <v>13</v>
      </c>
      <c r="F38" s="206">
        <f>SUM(F30:F37)</f>
        <v>23151452</v>
      </c>
      <c r="G38" s="179"/>
      <c r="H38" s="10">
        <f>SUM(H30:H37)</f>
        <v>101</v>
      </c>
    </row>
    <row r="39" spans="1:10">
      <c r="D39" t="s">
        <v>66</v>
      </c>
      <c r="E39" s="144">
        <f>E38/C38</f>
        <v>1.7857142857142856E-2</v>
      </c>
      <c r="H39" s="144">
        <f>H38/C38</f>
        <v>0.13873626373626374</v>
      </c>
    </row>
  </sheetData>
  <mergeCells count="6">
    <mergeCell ref="I30:I37"/>
    <mergeCell ref="A1:H1"/>
    <mergeCell ref="A14:H14"/>
    <mergeCell ref="A28:H28"/>
    <mergeCell ref="I3:I10"/>
    <mergeCell ref="I16:I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FD5E0-BEEF-47DF-9481-6C1D2F15B6F4}">
  <sheetPr codeName="Sheet5"/>
  <dimension ref="B1:AH44"/>
  <sheetViews>
    <sheetView zoomScaleNormal="100" workbookViewId="0">
      <pane xSplit="3" ySplit="2" topLeftCell="U3" activePane="bottomRight" state="frozen"/>
      <selection pane="topRight"/>
      <selection pane="bottomLeft"/>
      <selection pane="bottomRight" activeCell="AE10" sqref="AE10"/>
    </sheetView>
  </sheetViews>
  <sheetFormatPr defaultColWidth="8.453125" defaultRowHeight="14.5"/>
  <cols>
    <col min="1" max="1" width="8.453125" customWidth="1"/>
    <col min="2" max="2" width="23.26953125" bestFit="1" customWidth="1"/>
    <col min="3" max="3" width="19.453125" bestFit="1" customWidth="1"/>
    <col min="4" max="4" width="24.453125" bestFit="1" customWidth="1"/>
    <col min="5" max="5" width="37.81640625" customWidth="1"/>
    <col min="6" max="6" width="25.453125" bestFit="1" customWidth="1"/>
    <col min="7" max="7" width="19.7265625" bestFit="1" customWidth="1"/>
    <col min="8" max="8" width="23.7265625" bestFit="1" customWidth="1"/>
    <col min="9" max="9" width="21.7265625" bestFit="1" customWidth="1"/>
    <col min="10" max="10" width="20.1796875" bestFit="1" customWidth="1"/>
    <col min="11" max="12" width="20.1796875" customWidth="1"/>
    <col min="13" max="13" width="22.453125" bestFit="1" customWidth="1"/>
    <col min="14" max="14" width="23.1796875" bestFit="1" customWidth="1"/>
    <col min="15" max="15" width="14.453125" bestFit="1" customWidth="1"/>
    <col min="16" max="16" width="11.7265625" bestFit="1" customWidth="1"/>
    <col min="17" max="17" width="41.453125" bestFit="1" customWidth="1"/>
    <col min="18" max="18" width="38.1796875" bestFit="1" customWidth="1"/>
    <col min="19" max="19" width="31.81640625" customWidth="1"/>
    <col min="20" max="20" width="48.1796875" style="267" customWidth="1"/>
    <col min="21" max="21" width="56.1796875" bestFit="1" customWidth="1"/>
    <col min="22" max="22" width="18.453125" customWidth="1"/>
    <col min="23" max="23" width="32.7265625" bestFit="1" customWidth="1"/>
    <col min="24" max="24" width="23.26953125" bestFit="1" customWidth="1"/>
    <col min="25" max="25" width="48.1796875" style="267" customWidth="1"/>
    <col min="26" max="26" width="56.1796875" bestFit="1" customWidth="1"/>
    <col min="27" max="27" width="18.453125" customWidth="1"/>
    <col min="28" max="28" width="32.7265625" bestFit="1" customWidth="1"/>
    <col min="29" max="29" width="23.26953125" bestFit="1" customWidth="1"/>
    <col min="30" max="30" width="48.1796875" style="267" customWidth="1"/>
    <col min="31" max="31" width="42.453125" customWidth="1"/>
    <col min="32" max="32" width="44.1796875" bestFit="1" customWidth="1"/>
    <col min="33" max="33" width="19" bestFit="1" customWidth="1"/>
  </cols>
  <sheetData>
    <row r="1" spans="2:34">
      <c r="Q1" s="333">
        <v>2022</v>
      </c>
      <c r="R1" s="334"/>
      <c r="S1" s="334"/>
      <c r="T1" s="266"/>
      <c r="V1" s="335">
        <v>2023</v>
      </c>
      <c r="W1" s="336"/>
      <c r="X1" s="337"/>
      <c r="Y1" s="266"/>
      <c r="AA1" s="335">
        <v>2024</v>
      </c>
      <c r="AB1" s="336"/>
      <c r="AC1" s="337"/>
      <c r="AD1" s="266"/>
    </row>
    <row r="2" spans="2:34">
      <c r="B2" s="20" t="s">
        <v>79</v>
      </c>
      <c r="C2" s="53" t="s">
        <v>80</v>
      </c>
      <c r="D2" s="53" t="s">
        <v>81</v>
      </c>
      <c r="E2" s="53" t="s">
        <v>82</v>
      </c>
      <c r="F2" s="53" t="s">
        <v>83</v>
      </c>
      <c r="G2" s="53" t="s">
        <v>84</v>
      </c>
      <c r="H2" s="88" t="s">
        <v>85</v>
      </c>
      <c r="I2" s="88" t="s">
        <v>86</v>
      </c>
      <c r="J2" s="53" t="s">
        <v>87</v>
      </c>
      <c r="K2" s="53" t="s">
        <v>88</v>
      </c>
      <c r="L2" s="53" t="s">
        <v>89</v>
      </c>
      <c r="M2" s="53" t="s">
        <v>44</v>
      </c>
      <c r="N2" s="88" t="s">
        <v>90</v>
      </c>
      <c r="O2" s="88" t="s">
        <v>91</v>
      </c>
      <c r="P2" s="264" t="s">
        <v>92</v>
      </c>
      <c r="Q2" s="282" t="s">
        <v>93</v>
      </c>
      <c r="R2" s="118" t="s">
        <v>94</v>
      </c>
      <c r="S2" s="118" t="s">
        <v>95</v>
      </c>
      <c r="T2" s="292" t="s">
        <v>96</v>
      </c>
      <c r="U2" s="265" t="s">
        <v>97</v>
      </c>
      <c r="V2" s="171" t="s">
        <v>93</v>
      </c>
      <c r="W2" s="171" t="s">
        <v>94</v>
      </c>
      <c r="X2" s="171" t="s">
        <v>95</v>
      </c>
      <c r="Y2" s="292" t="s">
        <v>96</v>
      </c>
      <c r="Z2" s="53" t="s">
        <v>98</v>
      </c>
      <c r="AA2" s="171" t="s">
        <v>93</v>
      </c>
      <c r="AB2" s="171" t="s">
        <v>94</v>
      </c>
      <c r="AC2" s="171" t="s">
        <v>95</v>
      </c>
      <c r="AD2" s="292" t="s">
        <v>96</v>
      </c>
      <c r="AE2" s="53" t="s">
        <v>99</v>
      </c>
      <c r="AF2" s="53" t="s">
        <v>100</v>
      </c>
      <c r="AG2" s="53" t="s">
        <v>95</v>
      </c>
    </row>
    <row r="3" spans="2:34" ht="15" customHeight="1">
      <c r="B3" s="331" t="s">
        <v>101</v>
      </c>
      <c r="C3" s="102" t="s">
        <v>102</v>
      </c>
      <c r="D3" s="54" t="s">
        <v>103</v>
      </c>
      <c r="E3" s="54" t="s">
        <v>104</v>
      </c>
      <c r="F3" s="72">
        <v>75000</v>
      </c>
      <c r="G3" s="54" t="s">
        <v>52</v>
      </c>
      <c r="H3" s="4">
        <v>-4.0836030000000001</v>
      </c>
      <c r="I3" s="4">
        <v>39.664079999999998</v>
      </c>
      <c r="J3" s="170">
        <f>'Sales Summary'!E3+'WQT Log'!Y20</f>
        <v>5</v>
      </c>
      <c r="K3" s="225">
        <f>'Sales Summary'!E16+'WQT Log'!AV5</f>
        <v>2</v>
      </c>
      <c r="L3" s="225">
        <f>'Sales Summary'!E30+'WQT Log'!BB5</f>
        <v>0</v>
      </c>
      <c r="M3" s="114">
        <v>44074</v>
      </c>
      <c r="N3" s="4">
        <f>'Sales Summary'!C3</f>
        <v>365</v>
      </c>
      <c r="O3" s="4">
        <f>'Sales Summary'!C16</f>
        <v>365</v>
      </c>
      <c r="P3" s="43">
        <f>'Sales Summary'!C30</f>
        <v>91</v>
      </c>
      <c r="Q3" s="274">
        <f>'Sales Summary'!F3</f>
        <v>14888275</v>
      </c>
      <c r="R3" s="275">
        <f>'Sales Summary'!G3</f>
        <v>40789.794520547948</v>
      </c>
      <c r="S3" s="286" t="s">
        <v>105</v>
      </c>
      <c r="T3" s="270">
        <f>R3*(1+$N$15)</f>
        <v>40622.556363013704</v>
      </c>
      <c r="U3" s="77">
        <f>ROUNDDOWN(T3/$AF$3,0)</f>
        <v>10155</v>
      </c>
      <c r="V3" s="190">
        <f>'Sales Summary'!F16</f>
        <v>14985649</v>
      </c>
      <c r="W3" s="190">
        <f>'Sales Summary'!G16</f>
        <v>41056.57</v>
      </c>
      <c r="X3" s="255" t="s">
        <v>106</v>
      </c>
      <c r="Y3" s="270">
        <f>W3*(1+$N$15)</f>
        <v>40888.238062999997</v>
      </c>
      <c r="Z3" s="90">
        <f>ROUNDDOWN(Y3/$AF$3,0)</f>
        <v>10222</v>
      </c>
      <c r="AA3" s="190">
        <f>'Sales Summary'!F30</f>
        <v>4159070</v>
      </c>
      <c r="AB3" s="237">
        <f>'Sales Summary'!G30</f>
        <v>45704.065934065933</v>
      </c>
      <c r="AC3" s="255" t="s">
        <v>107</v>
      </c>
      <c r="AD3" s="270">
        <f>AB3*(1+$N$15)</f>
        <v>45516.67926373626</v>
      </c>
      <c r="AE3" s="90">
        <f>ROUNDDOWN(AD3/$AF$3,0)</f>
        <v>11379</v>
      </c>
      <c r="AF3" s="55">
        <v>4</v>
      </c>
      <c r="AG3" s="55" t="s">
        <v>108</v>
      </c>
      <c r="AH3" s="52"/>
    </row>
    <row r="4" spans="2:34" ht="15" customHeight="1">
      <c r="B4" s="331"/>
      <c r="C4" s="102" t="s">
        <v>109</v>
      </c>
      <c r="D4" s="54" t="s">
        <v>103</v>
      </c>
      <c r="E4" s="54" t="s">
        <v>104</v>
      </c>
      <c r="F4" s="72">
        <v>75000</v>
      </c>
      <c r="G4" s="54" t="s">
        <v>55</v>
      </c>
      <c r="H4" s="4">
        <v>-3.9954026336999999</v>
      </c>
      <c r="I4" s="4">
        <v>39.708616520500001</v>
      </c>
      <c r="J4" s="170">
        <f>'Sales Summary'!E4+'WQT Log'!Y21</f>
        <v>3</v>
      </c>
      <c r="K4" s="225">
        <f>'Sales Summary'!E17+'WQT Log'!AV6</f>
        <v>8</v>
      </c>
      <c r="L4" s="225">
        <f>'Sales Summary'!E31+'WQT Log'!BB6</f>
        <v>0</v>
      </c>
      <c r="M4" s="114">
        <v>44375</v>
      </c>
      <c r="N4" s="4">
        <f>'Sales Summary'!C4</f>
        <v>365</v>
      </c>
      <c r="O4" s="4">
        <f>'Sales Summary'!C17</f>
        <v>365</v>
      </c>
      <c r="P4" s="43">
        <f>'Sales Summary'!C31</f>
        <v>91</v>
      </c>
      <c r="Q4" s="276">
        <f>'Sales Summary'!F4</f>
        <v>15313425</v>
      </c>
      <c r="R4" s="268">
        <f>'Sales Summary'!G4</f>
        <v>41954.589041095889</v>
      </c>
      <c r="S4" s="287"/>
      <c r="T4" s="271">
        <f>R4*(1+$N$15)</f>
        <v>41782.575226027395</v>
      </c>
      <c r="U4" s="77">
        <f>ROUNDDOWN(T4/$AF$3,0)</f>
        <v>10445</v>
      </c>
      <c r="V4" s="190">
        <f>'Sales Summary'!F17</f>
        <v>16324083</v>
      </c>
      <c r="W4" s="190">
        <f>'Sales Summary'!G17</f>
        <v>44723.51506849315</v>
      </c>
      <c r="X4" s="191"/>
      <c r="Y4" s="271">
        <f>W4*(1+$N$15)</f>
        <v>44540.148656712328</v>
      </c>
      <c r="Z4" s="90">
        <f>ROUNDDOWN(Y4/$AF$3,0)</f>
        <v>11135</v>
      </c>
      <c r="AA4" s="190">
        <f>'Sales Summary'!F31</f>
        <v>5076286</v>
      </c>
      <c r="AB4" s="237">
        <f>'Sales Summary'!G31</f>
        <v>55783.362637362639</v>
      </c>
      <c r="AC4" s="112"/>
      <c r="AD4" s="271">
        <f>AB4*(1+$N$15)</f>
        <v>55554.650850549449</v>
      </c>
      <c r="AE4" s="90">
        <f>ROUNDDOWN(AD4/$AF$3,0)</f>
        <v>13888</v>
      </c>
      <c r="AF4" s="73"/>
      <c r="AG4" s="73"/>
      <c r="AH4" s="52"/>
    </row>
    <row r="5" spans="2:34" ht="15" customHeight="1">
      <c r="B5" s="331"/>
      <c r="C5" s="103" t="s">
        <v>110</v>
      </c>
      <c r="D5" s="96" t="s">
        <v>111</v>
      </c>
      <c r="E5" s="96" t="s">
        <v>104</v>
      </c>
      <c r="F5" s="97">
        <v>15000</v>
      </c>
      <c r="G5" s="96" t="s">
        <v>112</v>
      </c>
      <c r="H5" s="98">
        <v>-2.27047</v>
      </c>
      <c r="I5" s="98">
        <v>37.820810000000002</v>
      </c>
      <c r="J5" s="166"/>
      <c r="K5" s="166"/>
      <c r="L5" s="166"/>
      <c r="M5" s="166"/>
      <c r="N5" s="166"/>
      <c r="O5" s="166"/>
      <c r="P5" s="166"/>
      <c r="Q5" s="277"/>
      <c r="R5" s="111"/>
      <c r="S5" s="288"/>
      <c r="T5" s="272"/>
      <c r="U5" s="263"/>
      <c r="V5" s="103"/>
      <c r="W5" s="103"/>
      <c r="X5" s="189"/>
      <c r="Y5" s="272"/>
      <c r="Z5" s="99"/>
      <c r="AA5" s="103"/>
      <c r="AB5" s="111"/>
      <c r="AC5" s="262"/>
      <c r="AD5" s="272"/>
      <c r="AE5" s="263"/>
      <c r="AF5" s="73"/>
      <c r="AG5" s="73"/>
      <c r="AH5" s="52"/>
    </row>
    <row r="6" spans="2:34" ht="15.75" customHeight="1">
      <c r="B6" s="331"/>
      <c r="C6" s="54" t="s">
        <v>113</v>
      </c>
      <c r="D6" s="54" t="s">
        <v>103</v>
      </c>
      <c r="E6" s="54" t="s">
        <v>104</v>
      </c>
      <c r="F6" s="101">
        <v>75000</v>
      </c>
      <c r="G6" s="54" t="s">
        <v>114</v>
      </c>
      <c r="H6" s="4">
        <v>-1.54946111</v>
      </c>
      <c r="I6" s="4">
        <v>36.940791670000003</v>
      </c>
      <c r="J6" s="170">
        <f>'Sales Summary'!E5+'WQT Log'!Y22</f>
        <v>3</v>
      </c>
      <c r="K6" s="236">
        <f>'Sales Summary'!E18+'WQT Log'!AV7-1</f>
        <v>81</v>
      </c>
      <c r="L6" s="236">
        <f>'Sales Summary'!E32+'WQT Log'!BB7</f>
        <v>36</v>
      </c>
      <c r="M6" s="100">
        <v>44732</v>
      </c>
      <c r="N6" s="4">
        <f>'Sales Summary'!C5</f>
        <v>195</v>
      </c>
      <c r="O6" s="4">
        <f>'Sales Summary'!C18</f>
        <v>365</v>
      </c>
      <c r="P6" s="43">
        <f>'Sales Summary'!C32</f>
        <v>91</v>
      </c>
      <c r="Q6" s="278">
        <f>'Sales Summary'!F5</f>
        <v>8303236</v>
      </c>
      <c r="R6" s="269">
        <f>'Sales Summary'!G5</f>
        <v>42580.697435897433</v>
      </c>
      <c r="S6" s="287"/>
      <c r="T6" s="271">
        <f t="shared" ref="T6:T11" si="0">R6*(1+$N$15)</f>
        <v>42406.116576410255</v>
      </c>
      <c r="U6" s="77">
        <f>ROUNDDOWN(T6/$AF$3,0)</f>
        <v>10601</v>
      </c>
      <c r="V6" s="192">
        <f>'Sales Summary'!F18</f>
        <v>20379400</v>
      </c>
      <c r="W6" s="192">
        <f>'Sales Summary'!G18</f>
        <v>55833.972602739726</v>
      </c>
      <c r="X6" s="191"/>
      <c r="Y6" s="271">
        <f t="shared" ref="Y6:Y11" si="1">W6*(1+$N$15)</f>
        <v>55605.053315068493</v>
      </c>
      <c r="Z6" s="90">
        <f>ROUNDDOWN(Y6/$AF$3,0)</f>
        <v>13901</v>
      </c>
      <c r="AA6" s="192">
        <f>'Sales Summary'!F32</f>
        <v>5372245</v>
      </c>
      <c r="AB6" s="237">
        <f>'Sales Summary'!G32</f>
        <v>59035.659340659338</v>
      </c>
      <c r="AC6" s="112"/>
      <c r="AD6" s="271">
        <f t="shared" ref="AD6:AD11" si="2">AB6*(1+$N$15)</f>
        <v>58793.613137362634</v>
      </c>
      <c r="AE6" s="90">
        <f>ROUNDDOWN(AD6/$AF$3,0)</f>
        <v>14698</v>
      </c>
      <c r="AF6" s="73"/>
      <c r="AG6" s="73"/>
      <c r="AH6" s="52"/>
    </row>
    <row r="7" spans="2:34" ht="15.75" customHeight="1">
      <c r="B7" s="331"/>
      <c r="C7" s="54" t="s">
        <v>115</v>
      </c>
      <c r="D7" s="54" t="s">
        <v>103</v>
      </c>
      <c r="E7" s="54" t="s">
        <v>104</v>
      </c>
      <c r="F7" s="101">
        <v>75000</v>
      </c>
      <c r="G7" s="54" t="s">
        <v>59</v>
      </c>
      <c r="H7" s="4">
        <v>-1.7498944400000001</v>
      </c>
      <c r="I7" s="4">
        <v>41.48407778</v>
      </c>
      <c r="J7" s="170">
        <f>'Sales Summary'!E6+'WQT Log'!Y23</f>
        <v>9</v>
      </c>
      <c r="K7" s="236">
        <f>'Sales Summary'!E19+'WQT Log'!AV8-3</f>
        <v>179</v>
      </c>
      <c r="L7" s="236">
        <f>'Sales Summary'!E33+'WQT Log'!BB8</f>
        <v>29</v>
      </c>
      <c r="M7" s="100">
        <v>44562</v>
      </c>
      <c r="N7" s="4">
        <f>'Sales Summary'!C6</f>
        <v>364</v>
      </c>
      <c r="O7" s="4">
        <f>'Sales Summary'!C19</f>
        <v>365</v>
      </c>
      <c r="P7" s="43">
        <f>'Sales Summary'!C33</f>
        <v>91</v>
      </c>
      <c r="Q7" s="278">
        <f>'Sales Summary'!F6</f>
        <v>4362669</v>
      </c>
      <c r="R7" s="269">
        <f>'Sales Summary'!G6</f>
        <v>11985.354395604396</v>
      </c>
      <c r="S7" s="287"/>
      <c r="T7" s="271">
        <f t="shared" si="0"/>
        <v>11936.214442582417</v>
      </c>
      <c r="U7" s="77">
        <f t="shared" ref="U7:U11" si="3">ROUNDDOWN(T7/$AF$3,0)</f>
        <v>2984</v>
      </c>
      <c r="V7" s="192">
        <f>'Sales Summary'!F19</f>
        <v>5872742</v>
      </c>
      <c r="W7" s="192">
        <f>'Sales Summary'!G19</f>
        <v>16089.704109589042</v>
      </c>
      <c r="X7" s="191"/>
      <c r="Y7" s="271">
        <f t="shared" si="1"/>
        <v>16023.736322739727</v>
      </c>
      <c r="Z7" s="90">
        <f t="shared" ref="Z7:Z11" si="4">ROUNDDOWN(Y7/$AF$3,0)</f>
        <v>4005</v>
      </c>
      <c r="AA7" s="192">
        <f>'Sales Summary'!F33</f>
        <v>1518093</v>
      </c>
      <c r="AB7" s="237">
        <f>'Sales Summary'!G33</f>
        <v>16682.340659340658</v>
      </c>
      <c r="AC7" s="112"/>
      <c r="AD7" s="271">
        <f t="shared" si="2"/>
        <v>16613.943062637361</v>
      </c>
      <c r="AE7" s="90">
        <f t="shared" ref="AE7:AE10" si="5">ROUNDDOWN(AD7/$AF$3,0)</f>
        <v>4153</v>
      </c>
      <c r="AF7" s="73"/>
      <c r="AG7" s="73"/>
      <c r="AH7" s="52"/>
    </row>
    <row r="8" spans="2:34" ht="15.75" customHeight="1">
      <c r="B8" s="331"/>
      <c r="C8" s="54" t="s">
        <v>116</v>
      </c>
      <c r="D8" s="54" t="s">
        <v>117</v>
      </c>
      <c r="E8" s="54" t="s">
        <v>104</v>
      </c>
      <c r="F8" s="101">
        <v>15000</v>
      </c>
      <c r="G8" s="54" t="s">
        <v>61</v>
      </c>
      <c r="H8" s="4">
        <v>-2.2289138899999998</v>
      </c>
      <c r="I8" s="4">
        <v>40.846722219999997</v>
      </c>
      <c r="J8" s="170">
        <f>'Sales Summary'!E7+'WQT Log'!Y24</f>
        <v>105</v>
      </c>
      <c r="K8" s="236">
        <f>'Sales Summary'!E20+'WQT Log'!AV9-3</f>
        <v>204</v>
      </c>
      <c r="L8" s="236">
        <f>'Sales Summary'!E34+'WQT Log'!BB9</f>
        <v>8</v>
      </c>
      <c r="M8" s="100">
        <v>44828</v>
      </c>
      <c r="N8" s="4">
        <f>'Sales Summary'!C7</f>
        <v>99</v>
      </c>
      <c r="O8" s="4">
        <f>'Sales Summary'!C20</f>
        <v>365</v>
      </c>
      <c r="P8" s="43">
        <f>'Sales Summary'!C34</f>
        <v>91</v>
      </c>
      <c r="Q8" s="278">
        <f>'Sales Summary'!F7</f>
        <v>313540</v>
      </c>
      <c r="R8" s="269">
        <f>'Sales Summary'!G7</f>
        <v>3167.0707070707072</v>
      </c>
      <c r="S8" s="287"/>
      <c r="T8" s="271">
        <f t="shared" si="0"/>
        <v>3154.0857171717171</v>
      </c>
      <c r="U8" s="77">
        <f t="shared" si="3"/>
        <v>788</v>
      </c>
      <c r="V8" s="192">
        <f>'Sales Summary'!F20</f>
        <v>1331955</v>
      </c>
      <c r="W8" s="192">
        <f>'Sales Summary'!G20</f>
        <v>3649.1917808219177</v>
      </c>
      <c r="X8" s="191"/>
      <c r="Y8" s="271">
        <f t="shared" si="1"/>
        <v>3634.2300945205479</v>
      </c>
      <c r="Z8" s="90">
        <f t="shared" si="4"/>
        <v>908</v>
      </c>
      <c r="AA8" s="192">
        <f>'Sales Summary'!F34</f>
        <v>731200</v>
      </c>
      <c r="AB8" s="237">
        <f>'Sales Summary'!G34</f>
        <v>8035.1648351648355</v>
      </c>
      <c r="AC8" s="112"/>
      <c r="AD8" s="271">
        <f t="shared" si="2"/>
        <v>8002.2206593406599</v>
      </c>
      <c r="AE8" s="90">
        <f t="shared" si="5"/>
        <v>2000</v>
      </c>
      <c r="AF8" s="73"/>
      <c r="AG8" s="73"/>
      <c r="AH8" s="52"/>
    </row>
    <row r="9" spans="2:34" ht="15.75" customHeight="1">
      <c r="B9" s="331"/>
      <c r="C9" s="54" t="s">
        <v>118</v>
      </c>
      <c r="D9" s="54" t="s">
        <v>103</v>
      </c>
      <c r="E9" s="54" t="s">
        <v>104</v>
      </c>
      <c r="F9" s="101">
        <v>75000</v>
      </c>
      <c r="G9" s="54" t="s">
        <v>63</v>
      </c>
      <c r="H9" s="4">
        <v>-4.0957222199999999</v>
      </c>
      <c r="I9" s="4">
        <v>39.640608329999999</v>
      </c>
      <c r="J9" s="170">
        <f>'Sales Summary'!E8+'WQT Log'!Y25</f>
        <v>0</v>
      </c>
      <c r="K9" s="236">
        <f>'Sales Summary'!E21+'WQT Log'!AV10</f>
        <v>1</v>
      </c>
      <c r="L9" s="236">
        <f>'Sales Summary'!E35+'WQT Log'!BB10</f>
        <v>0</v>
      </c>
      <c r="M9" s="100">
        <v>44921</v>
      </c>
      <c r="N9" s="4">
        <f>'Sales Summary'!C8</f>
        <v>6</v>
      </c>
      <c r="O9" s="4">
        <f>'Sales Summary'!C21</f>
        <v>365</v>
      </c>
      <c r="P9" s="43">
        <f>'Sales Summary'!C35</f>
        <v>91</v>
      </c>
      <c r="Q9" s="278">
        <f>'Sales Summary'!F8</f>
        <v>89690</v>
      </c>
      <c r="R9" s="269">
        <f>'Sales Summary'!G8</f>
        <v>14948.333333333334</v>
      </c>
      <c r="S9" s="287"/>
      <c r="T9" s="271">
        <f t="shared" si="0"/>
        <v>14887.045166666667</v>
      </c>
      <c r="U9" s="77">
        <f t="shared" si="3"/>
        <v>3721</v>
      </c>
      <c r="V9" s="192">
        <f>'Sales Summary'!F21</f>
        <v>12668540</v>
      </c>
      <c r="W9" s="192">
        <f>'Sales Summary'!G21</f>
        <v>34708.32876712329</v>
      </c>
      <c r="X9" s="191"/>
      <c r="Y9" s="271">
        <f t="shared" si="1"/>
        <v>34566.024619178083</v>
      </c>
      <c r="Z9" s="90">
        <f t="shared" si="4"/>
        <v>8641</v>
      </c>
      <c r="AA9" s="192">
        <f>'Sales Summary'!F35</f>
        <v>4731213</v>
      </c>
      <c r="AB9" s="237">
        <f>'Sales Summary'!G35</f>
        <v>51991.351648351651</v>
      </c>
      <c r="AC9" s="112"/>
      <c r="AD9" s="271">
        <f t="shared" si="2"/>
        <v>51778.18710659341</v>
      </c>
      <c r="AE9" s="90">
        <f t="shared" si="5"/>
        <v>12944</v>
      </c>
      <c r="AF9" s="73"/>
      <c r="AG9" s="73"/>
      <c r="AH9" s="52"/>
    </row>
    <row r="10" spans="2:34" ht="15.75" customHeight="1">
      <c r="B10" s="331"/>
      <c r="C10" s="54" t="s">
        <v>119</v>
      </c>
      <c r="D10" s="54" t="s">
        <v>111</v>
      </c>
      <c r="E10" s="54" t="s">
        <v>104</v>
      </c>
      <c r="F10" s="101">
        <v>15000</v>
      </c>
      <c r="G10" s="54" t="s">
        <v>64</v>
      </c>
      <c r="H10" s="4">
        <v>-0.93858333000000005</v>
      </c>
      <c r="I10" s="4">
        <v>38.058327779999999</v>
      </c>
      <c r="J10" s="170">
        <f>'Sales Summary'!E9+'WQT Log'!Y26</f>
        <v>7</v>
      </c>
      <c r="K10" s="236">
        <f>'Sales Summary'!E22+'WQT Log'!AV11-11</f>
        <v>81</v>
      </c>
      <c r="L10" s="236">
        <f>'Sales Summary'!E36+'WQT Log'!BB11</f>
        <v>40</v>
      </c>
      <c r="M10" s="100">
        <v>44879</v>
      </c>
      <c r="N10" s="4">
        <f>'Sales Summary'!C9</f>
        <v>48</v>
      </c>
      <c r="O10" s="4">
        <f>'Sales Summary'!C22</f>
        <v>365</v>
      </c>
      <c r="P10" s="43">
        <f>'Sales Summary'!C36</f>
        <v>91</v>
      </c>
      <c r="Q10" s="278">
        <f>'Sales Summary'!F9</f>
        <v>79165</v>
      </c>
      <c r="R10" s="269">
        <f>'Sales Summary'!G9</f>
        <v>1649.2708333333333</v>
      </c>
      <c r="S10" s="287"/>
      <c r="T10" s="271">
        <f t="shared" si="0"/>
        <v>1642.5088229166665</v>
      </c>
      <c r="U10" s="77">
        <f t="shared" si="3"/>
        <v>410</v>
      </c>
      <c r="V10" s="192">
        <f>'Sales Summary'!F22</f>
        <v>3181304</v>
      </c>
      <c r="W10" s="192">
        <f>'Sales Summary'!G22</f>
        <v>8715.9013698630133</v>
      </c>
      <c r="X10" s="191"/>
      <c r="Y10" s="271">
        <f t="shared" si="1"/>
        <v>8680.1661742465749</v>
      </c>
      <c r="Z10" s="90">
        <f t="shared" si="4"/>
        <v>2170</v>
      </c>
      <c r="AA10" s="192">
        <f>'Sales Summary'!F36</f>
        <v>924800</v>
      </c>
      <c r="AB10" s="237">
        <f>'Sales Summary'!G36</f>
        <v>10162.637362637362</v>
      </c>
      <c r="AC10" s="112"/>
      <c r="AD10" s="271">
        <f t="shared" si="2"/>
        <v>10120.970549450549</v>
      </c>
      <c r="AE10" s="90">
        <f t="shared" si="5"/>
        <v>2530</v>
      </c>
      <c r="AF10" s="73"/>
      <c r="AG10" s="73"/>
      <c r="AH10" s="52"/>
    </row>
    <row r="11" spans="2:34" ht="15.75" customHeight="1">
      <c r="B11" s="331"/>
      <c r="C11" s="54" t="s">
        <v>120</v>
      </c>
      <c r="D11" s="54" t="s">
        <v>111</v>
      </c>
      <c r="E11" s="104" t="s">
        <v>104</v>
      </c>
      <c r="F11" s="105">
        <v>15000</v>
      </c>
      <c r="G11" s="104" t="s">
        <v>65</v>
      </c>
      <c r="H11" s="106">
        <v>-1.76888611</v>
      </c>
      <c r="I11" s="106">
        <v>37.62950833</v>
      </c>
      <c r="J11" s="225">
        <f>('Sales Summary'!E10+'WQT Log'!Y27)-1</f>
        <v>4</v>
      </c>
      <c r="K11" s="236">
        <f>'Sales Summary'!E23+'WQT Log'!AV12</f>
        <v>1</v>
      </c>
      <c r="L11" s="236">
        <f>'Sales Summary'!E37+'WQT Log'!BB12</f>
        <v>1</v>
      </c>
      <c r="M11" s="168">
        <v>44659</v>
      </c>
      <c r="N11">
        <f>'Sales Summary'!C10</f>
        <v>268</v>
      </c>
      <c r="O11" s="4">
        <f>'Sales Summary'!C23</f>
        <v>365</v>
      </c>
      <c r="P11" s="43">
        <f>'Sales Summary'!C37</f>
        <v>91</v>
      </c>
      <c r="Q11" s="279">
        <f>'Sales Summary'!F10</f>
        <v>1586991</v>
      </c>
      <c r="R11" s="280">
        <f>'Sales Summary'!G10</f>
        <v>5921.6082089552237</v>
      </c>
      <c r="S11" s="289"/>
      <c r="T11" s="281">
        <f t="shared" si="0"/>
        <v>5897.3296152985076</v>
      </c>
      <c r="U11" s="77">
        <f t="shared" si="3"/>
        <v>1474</v>
      </c>
      <c r="V11" s="192">
        <f>'Sales Summary'!F23</f>
        <v>2659506</v>
      </c>
      <c r="W11" s="192">
        <f>'Sales Summary'!G23</f>
        <v>7286.317808219178</v>
      </c>
      <c r="X11" s="193"/>
      <c r="Y11" s="281">
        <f t="shared" si="1"/>
        <v>7256.4439052054795</v>
      </c>
      <c r="Z11" s="90">
        <f t="shared" si="4"/>
        <v>1814</v>
      </c>
      <c r="AA11" s="192">
        <f>'Sales Summary'!F37</f>
        <v>638545</v>
      </c>
      <c r="AB11" s="237">
        <f>'Sales Summary'!G37</f>
        <v>7016.9780219780223</v>
      </c>
      <c r="AC11" s="113"/>
      <c r="AD11" s="281">
        <f t="shared" si="2"/>
        <v>6988.2084120879126</v>
      </c>
      <c r="AE11" s="90">
        <f>ROUNDDOWN(AD11/$AF$3,0)</f>
        <v>1747</v>
      </c>
      <c r="AF11" s="73"/>
      <c r="AG11" s="73"/>
      <c r="AH11" s="52"/>
    </row>
    <row r="12" spans="2:34" ht="15.75" customHeight="1">
      <c r="B12" s="332"/>
      <c r="C12" s="108"/>
      <c r="D12" s="89"/>
      <c r="E12" s="89"/>
      <c r="F12" s="89"/>
      <c r="G12" s="89"/>
      <c r="H12" s="89"/>
      <c r="I12" s="89"/>
      <c r="J12" s="167">
        <f>SUM(J3:J11)</f>
        <v>136</v>
      </c>
      <c r="K12" s="167">
        <f>SUM(K3:K11)</f>
        <v>557</v>
      </c>
      <c r="L12" s="167">
        <f>SUM(L3:L11)</f>
        <v>114</v>
      </c>
      <c r="M12" s="109"/>
      <c r="N12" s="167">
        <f>SUM(N3:N11)</f>
        <v>1710</v>
      </c>
      <c r="O12" s="167">
        <f>SUM(O3:O11)</f>
        <v>2920</v>
      </c>
      <c r="P12" s="167">
        <f>SUM(P3:P11)</f>
        <v>728</v>
      </c>
      <c r="Q12" s="283">
        <f>SUM(Q3:Q11)</f>
        <v>44936991</v>
      </c>
      <c r="R12" s="284">
        <f>SUM(R3:R11)</f>
        <v>162996.71847583828</v>
      </c>
      <c r="S12" s="273"/>
      <c r="T12" s="285">
        <f>SUM(T3:T11)</f>
        <v>162328.43193008733</v>
      </c>
      <c r="U12" s="91">
        <f>SUM(U3:U11)</f>
        <v>40578</v>
      </c>
      <c r="V12" s="194">
        <f>SUM(V3:V11)</f>
        <v>77403179</v>
      </c>
      <c r="W12" s="92">
        <f>SUM(W3:W11)</f>
        <v>212063.50150684931</v>
      </c>
      <c r="X12" s="89"/>
      <c r="Y12" s="285">
        <f>SUM(Y3:Y11)</f>
        <v>211194.04115067123</v>
      </c>
      <c r="Z12" s="91">
        <f>SUM(Z3:Z11)</f>
        <v>52796</v>
      </c>
      <c r="AA12" s="110">
        <f>SUM(AA3:AA11)</f>
        <v>23151452</v>
      </c>
      <c r="AB12" s="92">
        <f>SUM(AB3:AB11)</f>
        <v>254411.56043956045</v>
      </c>
      <c r="AC12" s="89"/>
      <c r="AD12" s="285">
        <f>SUM(AD3:AD11)</f>
        <v>253368.4730417582</v>
      </c>
      <c r="AE12" s="91">
        <f>SUM(AE3:AE11)</f>
        <v>63339</v>
      </c>
    </row>
    <row r="13" spans="2:34">
      <c r="C13" s="22" t="s">
        <v>121</v>
      </c>
      <c r="D13" s="22"/>
      <c r="E13" s="22"/>
      <c r="F13" s="22"/>
      <c r="H13" s="22"/>
      <c r="K13" s="165"/>
      <c r="L13" s="165"/>
      <c r="M13" s="22" t="s">
        <v>122</v>
      </c>
      <c r="N13" s="165">
        <f>J12/N12</f>
        <v>7.9532163742690065E-2</v>
      </c>
      <c r="O13" s="207">
        <f>K12/O12</f>
        <v>0.19075342465753425</v>
      </c>
      <c r="P13" s="207">
        <f>L12/P12</f>
        <v>0.15659340659340659</v>
      </c>
      <c r="Q13" t="s">
        <v>123</v>
      </c>
    </row>
    <row r="14" spans="2:34">
      <c r="B14" s="23" t="s">
        <v>51</v>
      </c>
      <c r="C14" s="26">
        <v>44562</v>
      </c>
      <c r="K14" s="165"/>
      <c r="L14" s="165"/>
      <c r="M14" s="22" t="s">
        <v>124</v>
      </c>
      <c r="N14" s="165">
        <f>'WQT Log'!AD13/'GS10987 PTDs'!N12</f>
        <v>5.7894736842105263E-2</v>
      </c>
      <c r="O14" s="165">
        <f>'WQT Log'!AV13/'GS10987 PTDs'!O12</f>
        <v>0.18424657534246575</v>
      </c>
      <c r="P14" s="207">
        <f>'WQT Log'!BB13/'GS10987 PTDs'!P12</f>
        <v>0.13873626373626374</v>
      </c>
      <c r="Q14" t="s">
        <v>125</v>
      </c>
    </row>
    <row r="15" spans="2:34">
      <c r="B15" s="24" t="s">
        <v>54</v>
      </c>
      <c r="C15" s="25">
        <v>44926</v>
      </c>
      <c r="M15" s="22" t="s">
        <v>126</v>
      </c>
      <c r="N15" s="165">
        <v>-4.1000000000000003E-3</v>
      </c>
      <c r="O15" s="293" t="s">
        <v>127</v>
      </c>
      <c r="W15" s="185"/>
    </row>
    <row r="16" spans="2:34">
      <c r="B16" s="24" t="s">
        <v>58</v>
      </c>
      <c r="C16" s="25">
        <v>45291</v>
      </c>
    </row>
    <row r="17" spans="2:15">
      <c r="B17" s="108" t="s">
        <v>62</v>
      </c>
      <c r="C17" s="26">
        <v>45382</v>
      </c>
    </row>
    <row r="19" spans="2:15">
      <c r="B19" s="27" t="s">
        <v>128</v>
      </c>
      <c r="D19" s="22" t="s">
        <v>129</v>
      </c>
    </row>
    <row r="20" spans="2:15">
      <c r="B20" s="28" t="s">
        <v>130</v>
      </c>
      <c r="C20" s="258">
        <f>60000/365</f>
        <v>164.38356164383561</v>
      </c>
      <c r="D20" s="87">
        <f>C20*C24</f>
        <v>134958.90410958903</v>
      </c>
    </row>
    <row r="21" spans="2:15">
      <c r="B21" s="29" t="s">
        <v>131</v>
      </c>
      <c r="C21" s="30">
        <f>C15-C14+1</f>
        <v>365</v>
      </c>
      <c r="E21" s="49"/>
    </row>
    <row r="22" spans="2:15">
      <c r="B22" s="240" t="s">
        <v>132</v>
      </c>
      <c r="C22" s="30">
        <f>C16-C15</f>
        <v>365</v>
      </c>
      <c r="E22" s="49"/>
    </row>
    <row r="23" spans="2:15">
      <c r="B23" s="240" t="s">
        <v>133</v>
      </c>
      <c r="C23" s="30">
        <f>C17-C16</f>
        <v>91</v>
      </c>
      <c r="E23" s="49"/>
    </row>
    <row r="24" spans="2:15">
      <c r="B24" s="31" t="s">
        <v>134</v>
      </c>
      <c r="C24" s="32">
        <f>C21+C22+C23</f>
        <v>821</v>
      </c>
      <c r="E24" s="49"/>
    </row>
    <row r="25" spans="2:15">
      <c r="B25" s="224"/>
      <c r="C25" s="6"/>
      <c r="E25" s="49"/>
    </row>
    <row r="27" spans="2:15">
      <c r="B27" s="151" t="s">
        <v>80</v>
      </c>
      <c r="C27" s="152" t="s">
        <v>84</v>
      </c>
      <c r="D27" s="79" t="s">
        <v>135</v>
      </c>
      <c r="E27" s="80" t="s">
        <v>136</v>
      </c>
      <c r="F27" s="81" t="s">
        <v>137</v>
      </c>
      <c r="G27" s="79" t="s">
        <v>138</v>
      </c>
      <c r="H27" s="80" t="s">
        <v>139</v>
      </c>
      <c r="I27" s="81" t="s">
        <v>140</v>
      </c>
      <c r="J27" s="79" t="s">
        <v>141</v>
      </c>
      <c r="K27" s="80" t="s">
        <v>142</v>
      </c>
      <c r="L27" s="81" t="s">
        <v>143</v>
      </c>
      <c r="M27" s="81" t="s">
        <v>144</v>
      </c>
      <c r="N27" s="81" t="s">
        <v>145</v>
      </c>
      <c r="O27" s="81" t="s">
        <v>146</v>
      </c>
    </row>
    <row r="28" spans="2:15">
      <c r="B28" s="153" t="s">
        <v>102</v>
      </c>
      <c r="C28" s="54" t="s">
        <v>52</v>
      </c>
      <c r="D28" s="77">
        <f>F28*($C$42/($C$42+$C$43))</f>
        <v>913950</v>
      </c>
      <c r="E28" s="77">
        <f>$F$28*($C$43/($C$42+$C$43))</f>
        <v>2741850</v>
      </c>
      <c r="F28" s="180">
        <f>U3*($C$21-J3)</f>
        <v>3655800</v>
      </c>
      <c r="G28" s="90">
        <f>I28*($C$42/($C$42+$C$43))</f>
        <v>927646.5</v>
      </c>
      <c r="H28" s="90">
        <f>I28*($C$43/($C$42+$C$43))</f>
        <v>2782939.5</v>
      </c>
      <c r="I28" s="85">
        <f>Z3*($C$22-K3)</f>
        <v>3710586</v>
      </c>
      <c r="J28" s="90">
        <f t="shared" ref="J28:J35" si="6">L28*($C$42/($C$42+$C$43))</f>
        <v>258872.25</v>
      </c>
      <c r="K28" s="90">
        <f>L28*($C$43/($C$42+$C$43))</f>
        <v>776616.75</v>
      </c>
      <c r="L28" s="85">
        <f>AE3*($C$23-L3)</f>
        <v>1035489</v>
      </c>
      <c r="M28" s="85">
        <f>D28+G28+J28</f>
        <v>2100468.75</v>
      </c>
      <c r="N28" s="85">
        <f>E28+H28+K28</f>
        <v>6301406.25</v>
      </c>
      <c r="O28" s="85">
        <f t="shared" ref="O28:O36" si="7">I28+F28+L28</f>
        <v>8401875</v>
      </c>
    </row>
    <row r="29" spans="2:15">
      <c r="B29" s="153" t="s">
        <v>109</v>
      </c>
      <c r="C29" s="54" t="s">
        <v>55</v>
      </c>
      <c r="D29" s="77">
        <f t="shared" ref="D29:D35" si="8">F29*($C$42/($C$42+$C$43))</f>
        <v>945272.5</v>
      </c>
      <c r="E29" s="77">
        <f t="shared" ref="E29:E35" si="9">F29*($C$43/($C$42+$C$43))</f>
        <v>2835817.5</v>
      </c>
      <c r="F29" s="180">
        <f>U4*($C$21-J4)</f>
        <v>3781090</v>
      </c>
      <c r="G29" s="90">
        <f t="shared" ref="G29:G35" si="10">I29*($C$42/($C$42+$C$43))</f>
        <v>993798.75</v>
      </c>
      <c r="H29" s="90">
        <f t="shared" ref="H29:H35" si="11">I29*($C$43/($C$42+$C$43))</f>
        <v>2981396.25</v>
      </c>
      <c r="I29" s="85">
        <f>Z4*($C$22-K4)</f>
        <v>3975195</v>
      </c>
      <c r="J29" s="90">
        <f t="shared" si="6"/>
        <v>315952</v>
      </c>
      <c r="K29" s="90">
        <f t="shared" ref="K29:K35" si="12">L29*($C$43/($C$42+$C$43))</f>
        <v>947856</v>
      </c>
      <c r="L29" s="85">
        <f>AE4*($C$23-L4)</f>
        <v>1263808</v>
      </c>
      <c r="M29" s="85">
        <f t="shared" ref="M29:M35" si="13">D29+G29+J29</f>
        <v>2255023.25</v>
      </c>
      <c r="N29" s="85">
        <f t="shared" ref="N29:N35" si="14">E29+H29+K29</f>
        <v>6765069.75</v>
      </c>
      <c r="O29" s="85">
        <f t="shared" si="7"/>
        <v>9020093</v>
      </c>
    </row>
    <row r="30" spans="2:15">
      <c r="B30" s="154" t="s">
        <v>113</v>
      </c>
      <c r="C30" s="54" t="s">
        <v>114</v>
      </c>
      <c r="D30" s="77">
        <f t="shared" si="8"/>
        <v>508848</v>
      </c>
      <c r="E30" s="77">
        <f t="shared" si="9"/>
        <v>1526544</v>
      </c>
      <c r="F30" s="180">
        <f t="shared" ref="F30:F35" si="15">IF($C$14&lt;M6,($C$15-M6-J6+1)*U6,U6*($C$21-J6))</f>
        <v>2035392</v>
      </c>
      <c r="G30" s="90">
        <f t="shared" si="10"/>
        <v>986971</v>
      </c>
      <c r="H30" s="90">
        <f t="shared" si="11"/>
        <v>2960913</v>
      </c>
      <c r="I30" s="85">
        <f t="shared" ref="I30:I35" si="16">Z6*($C$22-K6)</f>
        <v>3947884</v>
      </c>
      <c r="J30" s="90">
        <f t="shared" si="6"/>
        <v>202097.5</v>
      </c>
      <c r="K30" s="90">
        <f>L30*($C$43/($C$42+$C$43))</f>
        <v>606292.5</v>
      </c>
      <c r="L30" s="85">
        <f t="shared" ref="L30:L35" si="17">AE6*($C$23-L6)</f>
        <v>808390</v>
      </c>
      <c r="M30" s="85">
        <f t="shared" si="13"/>
        <v>1697916.5</v>
      </c>
      <c r="N30" s="85">
        <f t="shared" si="14"/>
        <v>5093749.5</v>
      </c>
      <c r="O30" s="85">
        <f t="shared" si="7"/>
        <v>6791666</v>
      </c>
    </row>
    <row r="31" spans="2:15">
      <c r="B31" s="154" t="s">
        <v>115</v>
      </c>
      <c r="C31" s="54" t="s">
        <v>59</v>
      </c>
      <c r="D31" s="77">
        <f>F31*($C$42/($C$42+$C$43))</f>
        <v>265576</v>
      </c>
      <c r="E31" s="77">
        <f t="shared" si="9"/>
        <v>796728</v>
      </c>
      <c r="F31" s="180">
        <f t="shared" si="15"/>
        <v>1062304</v>
      </c>
      <c r="G31" s="90">
        <f t="shared" si="10"/>
        <v>186232.5</v>
      </c>
      <c r="H31" s="90">
        <f t="shared" si="11"/>
        <v>558697.5</v>
      </c>
      <c r="I31" s="85">
        <f t="shared" si="16"/>
        <v>744930</v>
      </c>
      <c r="J31" s="90">
        <f t="shared" si="6"/>
        <v>64371.5</v>
      </c>
      <c r="K31" s="90">
        <f t="shared" si="12"/>
        <v>193114.5</v>
      </c>
      <c r="L31" s="85">
        <f t="shared" si="17"/>
        <v>257486</v>
      </c>
      <c r="M31" s="85">
        <f t="shared" si="13"/>
        <v>516180</v>
      </c>
      <c r="N31" s="85">
        <f t="shared" si="14"/>
        <v>1548540</v>
      </c>
      <c r="O31" s="85">
        <f t="shared" si="7"/>
        <v>2064720</v>
      </c>
    </row>
    <row r="32" spans="2:15">
      <c r="B32" s="154" t="s">
        <v>116</v>
      </c>
      <c r="C32" s="54" t="s">
        <v>61</v>
      </c>
      <c r="D32" s="77">
        <f t="shared" si="8"/>
        <v>-1182</v>
      </c>
      <c r="E32" s="77">
        <f t="shared" si="9"/>
        <v>-3546</v>
      </c>
      <c r="F32" s="180">
        <f t="shared" si="15"/>
        <v>-4728</v>
      </c>
      <c r="G32" s="90">
        <f t="shared" si="10"/>
        <v>36547</v>
      </c>
      <c r="H32" s="90">
        <f t="shared" si="11"/>
        <v>109641</v>
      </c>
      <c r="I32" s="85">
        <f t="shared" si="16"/>
        <v>146188</v>
      </c>
      <c r="J32" s="90">
        <f t="shared" si="6"/>
        <v>41500</v>
      </c>
      <c r="K32" s="90">
        <f t="shared" si="12"/>
        <v>124500</v>
      </c>
      <c r="L32" s="85">
        <f t="shared" si="17"/>
        <v>166000</v>
      </c>
      <c r="M32" s="85">
        <f t="shared" si="13"/>
        <v>76865</v>
      </c>
      <c r="N32" s="85">
        <f t="shared" si="14"/>
        <v>230595</v>
      </c>
      <c r="O32" s="85">
        <f t="shared" si="7"/>
        <v>307460</v>
      </c>
    </row>
    <row r="33" spans="2:15">
      <c r="B33" s="154" t="s">
        <v>118</v>
      </c>
      <c r="C33" s="54" t="s">
        <v>63</v>
      </c>
      <c r="D33" s="77">
        <f t="shared" si="8"/>
        <v>5581.5</v>
      </c>
      <c r="E33" s="77">
        <f t="shared" si="9"/>
        <v>16744.5</v>
      </c>
      <c r="F33" s="180">
        <f t="shared" si="15"/>
        <v>22326</v>
      </c>
      <c r="G33" s="90">
        <f t="shared" si="10"/>
        <v>786331</v>
      </c>
      <c r="H33" s="90">
        <f t="shared" si="11"/>
        <v>2358993</v>
      </c>
      <c r="I33" s="85">
        <f t="shared" si="16"/>
        <v>3145324</v>
      </c>
      <c r="J33" s="90">
        <f t="shared" si="6"/>
        <v>294476</v>
      </c>
      <c r="K33" s="90">
        <f t="shared" si="12"/>
        <v>883428</v>
      </c>
      <c r="L33" s="85">
        <f t="shared" si="17"/>
        <v>1177904</v>
      </c>
      <c r="M33" s="85">
        <f t="shared" si="13"/>
        <v>1086388.5</v>
      </c>
      <c r="N33" s="85">
        <f t="shared" si="14"/>
        <v>3259165.5</v>
      </c>
      <c r="O33" s="85">
        <f t="shared" si="7"/>
        <v>4345554</v>
      </c>
    </row>
    <row r="34" spans="2:15">
      <c r="B34" s="154" t="s">
        <v>119</v>
      </c>
      <c r="C34" s="54" t="s">
        <v>64</v>
      </c>
      <c r="D34" s="77">
        <f t="shared" si="8"/>
        <v>4202.5</v>
      </c>
      <c r="E34" s="77">
        <f t="shared" si="9"/>
        <v>12607.5</v>
      </c>
      <c r="F34" s="180">
        <f t="shared" si="15"/>
        <v>16810</v>
      </c>
      <c r="G34" s="90">
        <f t="shared" si="10"/>
        <v>154070</v>
      </c>
      <c r="H34" s="90">
        <f t="shared" si="11"/>
        <v>462210</v>
      </c>
      <c r="I34" s="85">
        <f t="shared" si="16"/>
        <v>616280</v>
      </c>
      <c r="J34" s="90">
        <f t="shared" si="6"/>
        <v>32257.5</v>
      </c>
      <c r="K34" s="90">
        <f t="shared" si="12"/>
        <v>96772.5</v>
      </c>
      <c r="L34" s="85">
        <f t="shared" si="17"/>
        <v>129030</v>
      </c>
      <c r="M34" s="85">
        <f t="shared" si="13"/>
        <v>190530</v>
      </c>
      <c r="N34" s="85">
        <f t="shared" si="14"/>
        <v>571590</v>
      </c>
      <c r="O34" s="85">
        <f t="shared" si="7"/>
        <v>762120</v>
      </c>
    </row>
    <row r="35" spans="2:15">
      <c r="B35" s="155" t="s">
        <v>120</v>
      </c>
      <c r="C35" s="104" t="s">
        <v>65</v>
      </c>
      <c r="D35" s="150">
        <f t="shared" si="8"/>
        <v>97284</v>
      </c>
      <c r="E35" s="150">
        <f t="shared" si="9"/>
        <v>291852</v>
      </c>
      <c r="F35" s="181">
        <f t="shared" si="15"/>
        <v>389136</v>
      </c>
      <c r="G35" s="107">
        <f t="shared" si="10"/>
        <v>165074</v>
      </c>
      <c r="H35" s="107">
        <f t="shared" si="11"/>
        <v>495222</v>
      </c>
      <c r="I35" s="238">
        <f t="shared" si="16"/>
        <v>660296</v>
      </c>
      <c r="J35" s="107">
        <f t="shared" si="6"/>
        <v>39307.5</v>
      </c>
      <c r="K35" s="107">
        <f t="shared" si="12"/>
        <v>117922.5</v>
      </c>
      <c r="L35" s="85">
        <f t="shared" si="17"/>
        <v>157230</v>
      </c>
      <c r="M35" s="85">
        <f t="shared" si="13"/>
        <v>301665.5</v>
      </c>
      <c r="N35" s="85">
        <f t="shared" si="14"/>
        <v>904996.5</v>
      </c>
      <c r="O35" s="85">
        <f t="shared" si="7"/>
        <v>1206662</v>
      </c>
    </row>
    <row r="36" spans="2:15">
      <c r="B36" s="76" t="s">
        <v>24</v>
      </c>
      <c r="C36" s="89"/>
      <c r="D36" s="78">
        <f t="shared" ref="D36:I36" si="18">SUM(D28:D35)</f>
        <v>2739532.5</v>
      </c>
      <c r="E36" s="182">
        <f t="shared" si="18"/>
        <v>8218597.5</v>
      </c>
      <c r="F36" s="78">
        <f t="shared" si="18"/>
        <v>10958130</v>
      </c>
      <c r="G36" s="239">
        <f t="shared" si="18"/>
        <v>4236670.75</v>
      </c>
      <c r="H36" s="239">
        <f t="shared" si="18"/>
        <v>12710012.25</v>
      </c>
      <c r="I36" s="239">
        <f t="shared" si="18"/>
        <v>16946683</v>
      </c>
      <c r="J36" s="239">
        <f t="shared" ref="J36:K36" si="19">SUM(J28:J35)</f>
        <v>1248834.25</v>
      </c>
      <c r="K36" s="239">
        <f t="shared" si="19"/>
        <v>3746502.75</v>
      </c>
      <c r="L36" s="239">
        <f>SUM(L28:L35)</f>
        <v>4995337</v>
      </c>
      <c r="M36" s="239">
        <f>SUM(M28:M35)</f>
        <v>8225037.5</v>
      </c>
      <c r="N36" s="239">
        <f>SUM(N28:N35)</f>
        <v>24675112.5</v>
      </c>
      <c r="O36" s="239">
        <f t="shared" si="7"/>
        <v>32900150</v>
      </c>
    </row>
    <row r="38" spans="2:15">
      <c r="B38" s="54" t="s">
        <v>147</v>
      </c>
      <c r="C38" s="85">
        <f>D36</f>
        <v>2739532.5</v>
      </c>
    </row>
    <row r="39" spans="2:15">
      <c r="B39" s="54" t="s">
        <v>148</v>
      </c>
      <c r="C39" s="85">
        <f>E36</f>
        <v>8218597.5</v>
      </c>
    </row>
    <row r="41" spans="2:15">
      <c r="B41" s="329" t="s">
        <v>149</v>
      </c>
      <c r="C41" s="330"/>
      <c r="D41" s="13" t="s">
        <v>150</v>
      </c>
    </row>
    <row r="42" spans="2:15">
      <c r="B42" s="4" t="s">
        <v>151</v>
      </c>
      <c r="C42" s="82">
        <v>0.24</v>
      </c>
      <c r="D42" s="82">
        <f>C42/(C42+C43)</f>
        <v>0.25</v>
      </c>
      <c r="F42" s="86"/>
    </row>
    <row r="43" spans="2:15">
      <c r="B43" s="4" t="s">
        <v>152</v>
      </c>
      <c r="C43" s="82">
        <v>0.72</v>
      </c>
      <c r="D43" s="82">
        <f>C43/(C43+C42)</f>
        <v>0.75</v>
      </c>
    </row>
    <row r="44" spans="2:15">
      <c r="B44" s="83" t="s">
        <v>153</v>
      </c>
      <c r="C44" s="84">
        <f>100%-(C43+C42)</f>
        <v>4.0000000000000036E-2</v>
      </c>
    </row>
  </sheetData>
  <mergeCells count="5">
    <mergeCell ref="B41:C41"/>
    <mergeCell ref="B3:B12"/>
    <mergeCell ref="Q1:S1"/>
    <mergeCell ref="V1:X1"/>
    <mergeCell ref="AA1:AC1"/>
  </mergeCells>
  <phoneticPr fontId="16" type="noConversion"/>
  <conditionalFormatting sqref="G13:G14">
    <cfRule type="duplicateValues" dxfId="32" priority="65"/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CE3B4-51E7-4F22-B8D9-91567CFC4FC1}">
  <dimension ref="A1:BD30"/>
  <sheetViews>
    <sheetView zoomScale="115" zoomScaleNormal="70" workbookViewId="0">
      <pane xSplit="2" ySplit="4" topLeftCell="AV14" activePane="bottomRight" state="frozen"/>
      <selection pane="topRight" activeCell="C1" sqref="C1"/>
      <selection pane="bottomLeft" activeCell="A5" sqref="A5"/>
      <selection pane="bottomRight" activeCell="AB20" sqref="AB20"/>
    </sheetView>
  </sheetViews>
  <sheetFormatPr defaultColWidth="8.81640625" defaultRowHeight="14.5"/>
  <cols>
    <col min="1" max="1" width="21.7265625" customWidth="1"/>
    <col min="2" max="2" width="25.7265625" customWidth="1"/>
    <col min="3" max="3" width="12.7265625" bestFit="1" customWidth="1"/>
    <col min="4" max="4" width="21.1796875" bestFit="1" customWidth="1"/>
    <col min="5" max="5" width="15.7265625" customWidth="1"/>
    <col min="6" max="6" width="4.81640625" bestFit="1" customWidth="1"/>
    <col min="7" max="7" width="14.453125" customWidth="1"/>
    <col min="8" max="8" width="4.1796875" bestFit="1" customWidth="1"/>
    <col min="9" max="9" width="11" bestFit="1" customWidth="1"/>
    <col min="10" max="10" width="13" customWidth="1"/>
    <col min="11" max="11" width="8.453125" bestFit="1" customWidth="1"/>
    <col min="12" max="12" width="11.7265625" bestFit="1" customWidth="1"/>
    <col min="13" max="13" width="4.453125" bestFit="1" customWidth="1"/>
    <col min="14" max="14" width="11" bestFit="1" customWidth="1"/>
    <col min="15" max="15" width="14.81640625" customWidth="1"/>
    <col min="16" max="16" width="4.81640625" bestFit="1" customWidth="1"/>
    <col min="17" max="17" width="15.453125" customWidth="1"/>
    <col min="18" max="18" width="4.1796875" bestFit="1" customWidth="1"/>
    <col min="19" max="19" width="11" bestFit="1" customWidth="1"/>
    <col min="20" max="20" width="16.453125" customWidth="1"/>
    <col min="21" max="21" width="4.81640625" bestFit="1" customWidth="1"/>
    <col min="22" max="22" width="15.81640625" customWidth="1"/>
    <col min="23" max="23" width="7.7265625" customWidth="1"/>
    <col min="24" max="24" width="21.26953125" customWidth="1"/>
    <col min="25" max="25" width="14.81640625" customWidth="1"/>
    <col min="26" max="26" width="15.1796875" customWidth="1"/>
    <col min="27" max="28" width="11" customWidth="1"/>
    <col min="29" max="29" width="13.7265625" customWidth="1"/>
    <col min="30" max="30" width="11" customWidth="1"/>
    <col min="31" max="31" width="6.81640625" bestFit="1" customWidth="1"/>
    <col min="32" max="32" width="15.26953125" bestFit="1" customWidth="1"/>
    <col min="33" max="33" width="5.453125" bestFit="1" customWidth="1"/>
    <col min="34" max="34" width="13.81640625" bestFit="1" customWidth="1"/>
    <col min="35" max="35" width="6.81640625" bestFit="1" customWidth="1"/>
    <col min="36" max="36" width="15.26953125" bestFit="1" customWidth="1"/>
    <col min="37" max="37" width="5.453125" bestFit="1" customWidth="1"/>
    <col min="38" max="38" width="13.81640625" bestFit="1" customWidth="1"/>
    <col min="39" max="39" width="6.81640625" bestFit="1" customWidth="1"/>
    <col min="40" max="40" width="15.26953125" bestFit="1" customWidth="1"/>
    <col min="41" max="41" width="10.1796875" customWidth="1"/>
    <col min="42" max="42" width="23.7265625" customWidth="1"/>
    <col min="43" max="43" width="13.26953125" customWidth="1"/>
    <col min="44" max="44" width="15.26953125" bestFit="1" customWidth="1"/>
    <col min="45" max="45" width="9.81640625" bestFit="1" customWidth="1"/>
    <col min="46" max="46" width="18.7265625" customWidth="1"/>
    <col min="47" max="47" width="17.453125" customWidth="1"/>
    <col min="48" max="48" width="22.7265625" bestFit="1" customWidth="1"/>
    <col min="49" max="49" width="11.81640625" bestFit="1" customWidth="1"/>
    <col min="50" max="50" width="15.26953125" bestFit="1" customWidth="1"/>
    <col min="52" max="52" width="19.1796875" customWidth="1"/>
    <col min="53" max="53" width="28" customWidth="1"/>
    <col min="54" max="54" width="21.453125" customWidth="1"/>
    <col min="55" max="55" width="15.453125" customWidth="1"/>
  </cols>
  <sheetData>
    <row r="1" spans="1:55" ht="15" thickBot="1"/>
    <row r="2" spans="1:55" ht="14.5" customHeight="1" thickBot="1">
      <c r="F2" s="346">
        <v>2022</v>
      </c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187"/>
      <c r="Z2" s="79"/>
      <c r="AA2" s="79"/>
      <c r="AB2" s="80"/>
      <c r="AC2" s="79"/>
      <c r="AD2" s="347" t="s">
        <v>154</v>
      </c>
      <c r="AE2" s="350">
        <v>2023</v>
      </c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2"/>
      <c r="AW2" s="350">
        <v>2024</v>
      </c>
      <c r="AX2" s="351"/>
      <c r="AY2" s="351"/>
      <c r="AZ2" s="351"/>
      <c r="BA2" s="351"/>
      <c r="BB2" s="352"/>
      <c r="BC2" s="343" t="s">
        <v>155</v>
      </c>
    </row>
    <row r="3" spans="1:55" ht="15" thickBot="1">
      <c r="A3" s="339" t="s">
        <v>84</v>
      </c>
      <c r="B3" s="339" t="s">
        <v>156</v>
      </c>
      <c r="C3" s="339" t="s">
        <v>85</v>
      </c>
      <c r="D3" s="339" t="s">
        <v>86</v>
      </c>
      <c r="E3" s="342" t="s">
        <v>157</v>
      </c>
      <c r="F3" s="339" t="s">
        <v>158</v>
      </c>
      <c r="G3" s="339"/>
      <c r="H3" s="339"/>
      <c r="I3" s="349"/>
      <c r="J3" s="120"/>
      <c r="K3" s="339" t="s">
        <v>159</v>
      </c>
      <c r="L3" s="339"/>
      <c r="M3" s="339"/>
      <c r="N3" s="349"/>
      <c r="O3" s="120"/>
      <c r="P3" s="339" t="s">
        <v>160</v>
      </c>
      <c r="Q3" s="339"/>
      <c r="R3" s="339"/>
      <c r="S3" s="349"/>
      <c r="T3" s="120"/>
      <c r="U3" s="339" t="s">
        <v>161</v>
      </c>
      <c r="V3" s="339"/>
      <c r="W3" s="339"/>
      <c r="X3" s="339"/>
      <c r="Y3" s="338" t="s">
        <v>162</v>
      </c>
      <c r="Z3" s="339"/>
      <c r="AA3" s="339"/>
      <c r="AB3" s="340"/>
      <c r="AC3" s="188"/>
      <c r="AD3" s="348"/>
      <c r="AE3" s="350" t="s">
        <v>158</v>
      </c>
      <c r="AF3" s="351"/>
      <c r="AG3" s="351"/>
      <c r="AH3" s="352"/>
      <c r="AI3" s="350" t="s">
        <v>159</v>
      </c>
      <c r="AJ3" s="351"/>
      <c r="AK3" s="351"/>
      <c r="AL3" s="352"/>
      <c r="AM3" s="350" t="s">
        <v>160</v>
      </c>
      <c r="AN3" s="351"/>
      <c r="AO3" s="351"/>
      <c r="AP3" s="351"/>
      <c r="AQ3" s="350" t="s">
        <v>161</v>
      </c>
      <c r="AR3" s="351"/>
      <c r="AS3" s="351"/>
      <c r="AT3" s="352"/>
      <c r="AU3" s="351">
        <v>2023</v>
      </c>
      <c r="AV3" s="352"/>
      <c r="AW3" s="350" t="s">
        <v>158</v>
      </c>
      <c r="AX3" s="351"/>
      <c r="AY3" s="351"/>
      <c r="AZ3" s="351"/>
      <c r="BA3" s="350">
        <v>2024</v>
      </c>
      <c r="BB3" s="352"/>
      <c r="BC3" s="344"/>
    </row>
    <row r="4" spans="1:55" ht="15" thickBot="1">
      <c r="A4" s="341"/>
      <c r="B4" s="341"/>
      <c r="C4" s="341"/>
      <c r="D4" s="341"/>
      <c r="E4" s="342"/>
      <c r="F4" s="118" t="s">
        <v>163</v>
      </c>
      <c r="G4" s="118" t="s">
        <v>164</v>
      </c>
      <c r="H4" s="118" t="s">
        <v>165</v>
      </c>
      <c r="I4" s="119" t="s">
        <v>166</v>
      </c>
      <c r="J4" s="120"/>
      <c r="K4" s="118" t="s">
        <v>163</v>
      </c>
      <c r="L4" s="118" t="s">
        <v>164</v>
      </c>
      <c r="M4" s="118" t="s">
        <v>165</v>
      </c>
      <c r="N4" s="119" t="s">
        <v>166</v>
      </c>
      <c r="O4" s="120"/>
      <c r="P4" s="118" t="s">
        <v>163</v>
      </c>
      <c r="Q4" s="118" t="s">
        <v>164</v>
      </c>
      <c r="R4" s="118" t="s">
        <v>165</v>
      </c>
      <c r="S4" s="119" t="s">
        <v>166</v>
      </c>
      <c r="T4" s="120"/>
      <c r="U4" s="118" t="s">
        <v>163</v>
      </c>
      <c r="V4" s="118" t="s">
        <v>164</v>
      </c>
      <c r="W4" s="118" t="s">
        <v>165</v>
      </c>
      <c r="X4" s="118" t="s">
        <v>166</v>
      </c>
      <c r="Y4" s="186"/>
      <c r="Z4" s="118"/>
      <c r="AA4" s="118"/>
      <c r="AB4" s="188"/>
      <c r="AC4" s="188"/>
      <c r="AD4" s="348"/>
      <c r="AE4" s="186" t="s">
        <v>163</v>
      </c>
      <c r="AF4" s="118" t="s">
        <v>164</v>
      </c>
      <c r="AG4" s="118" t="s">
        <v>165</v>
      </c>
      <c r="AH4" s="119" t="s">
        <v>166</v>
      </c>
      <c r="AI4" s="118" t="s">
        <v>163</v>
      </c>
      <c r="AJ4" s="118" t="s">
        <v>164</v>
      </c>
      <c r="AK4" s="118" t="s">
        <v>165</v>
      </c>
      <c r="AL4" s="119" t="s">
        <v>166</v>
      </c>
      <c r="AM4" s="118" t="s">
        <v>163</v>
      </c>
      <c r="AN4" s="118" t="s">
        <v>164</v>
      </c>
      <c r="AO4" s="118" t="s">
        <v>165</v>
      </c>
      <c r="AP4" s="118" t="s">
        <v>166</v>
      </c>
      <c r="AQ4" s="186" t="s">
        <v>163</v>
      </c>
      <c r="AR4" s="118" t="s">
        <v>164</v>
      </c>
      <c r="AS4" s="118" t="s">
        <v>165</v>
      </c>
      <c r="AT4" s="188" t="s">
        <v>166</v>
      </c>
      <c r="AU4" s="118" t="s">
        <v>167</v>
      </c>
      <c r="AV4" s="232" t="s">
        <v>168</v>
      </c>
      <c r="AW4" s="186" t="s">
        <v>163</v>
      </c>
      <c r="AX4" s="118" t="s">
        <v>164</v>
      </c>
      <c r="AY4" s="118" t="s">
        <v>165</v>
      </c>
      <c r="AZ4" s="118" t="s">
        <v>166</v>
      </c>
      <c r="BA4" s="186" t="s">
        <v>169</v>
      </c>
      <c r="BB4" s="230" t="s">
        <v>170</v>
      </c>
      <c r="BC4" s="345"/>
    </row>
    <row r="5" spans="1:55">
      <c r="A5" s="54" t="s">
        <v>52</v>
      </c>
      <c r="B5" s="121">
        <v>44074</v>
      </c>
      <c r="C5" s="4">
        <v>-4.0836030000000001</v>
      </c>
      <c r="D5" s="4">
        <v>39.664079999999998</v>
      </c>
      <c r="E5" s="122">
        <f t="shared" ref="E5:E12" si="0">EDATE(B5,6)</f>
        <v>44255</v>
      </c>
      <c r="F5" s="123" t="s">
        <v>171</v>
      </c>
      <c r="G5" s="86">
        <v>44628</v>
      </c>
      <c r="I5" s="124"/>
      <c r="J5" s="127">
        <v>44651</v>
      </c>
      <c r="K5" s="128"/>
      <c r="L5" s="86"/>
      <c r="N5" s="124"/>
      <c r="O5" s="127">
        <v>44742</v>
      </c>
      <c r="P5" s="123" t="s">
        <v>171</v>
      </c>
      <c r="Q5" s="86">
        <v>44748</v>
      </c>
      <c r="S5" s="124"/>
      <c r="T5" s="127">
        <v>44834</v>
      </c>
      <c r="U5" s="123" t="s">
        <v>171</v>
      </c>
      <c r="V5" s="86">
        <v>44840</v>
      </c>
      <c r="Y5" s="198"/>
      <c r="AB5" s="125"/>
      <c r="AC5" s="126">
        <v>44926</v>
      </c>
      <c r="AD5">
        <v>0</v>
      </c>
      <c r="AE5" s="195" t="s">
        <v>171</v>
      </c>
      <c r="AF5" s="196">
        <v>44929</v>
      </c>
      <c r="AG5" s="143"/>
      <c r="AH5" s="143"/>
      <c r="AI5" s="195" t="s">
        <v>171</v>
      </c>
      <c r="AJ5" s="196">
        <v>45048</v>
      </c>
      <c r="AK5" s="143"/>
      <c r="AL5" s="143"/>
      <c r="AM5" s="195" t="s">
        <v>171</v>
      </c>
      <c r="AN5" s="196">
        <v>45128</v>
      </c>
      <c r="AO5" s="143"/>
      <c r="AP5" s="143"/>
      <c r="AQ5" s="195" t="s">
        <v>171</v>
      </c>
      <c r="AR5" s="196">
        <v>45208</v>
      </c>
      <c r="AS5" s="143"/>
      <c r="AT5" s="233"/>
      <c r="AU5" s="196">
        <v>45291</v>
      </c>
      <c r="AV5" s="233">
        <v>0</v>
      </c>
      <c r="AW5" s="195" t="s">
        <v>171</v>
      </c>
      <c r="AX5" s="196">
        <v>45327</v>
      </c>
      <c r="AY5" s="143"/>
      <c r="AZ5" s="143"/>
      <c r="BA5" s="234">
        <v>45382</v>
      </c>
      <c r="BB5" s="125">
        <v>0</v>
      </c>
      <c r="BC5" s="201">
        <f t="shared" ref="BC5:BC12" si="1">BB5+AV5+AD5</f>
        <v>0</v>
      </c>
    </row>
    <row r="6" spans="1:55">
      <c r="A6" s="54" t="s">
        <v>55</v>
      </c>
      <c r="B6" s="121">
        <v>44375</v>
      </c>
      <c r="C6" s="4">
        <v>-3.9954026336999999</v>
      </c>
      <c r="D6" s="4">
        <v>39.708616520500001</v>
      </c>
      <c r="E6" s="129">
        <f t="shared" si="0"/>
        <v>44558</v>
      </c>
      <c r="F6" s="123" t="s">
        <v>171</v>
      </c>
      <c r="G6" s="86">
        <v>44628</v>
      </c>
      <c r="I6" s="124"/>
      <c r="J6" s="127">
        <v>44651</v>
      </c>
      <c r="K6" s="128"/>
      <c r="L6" s="86"/>
      <c r="N6" s="124"/>
      <c r="O6" s="127">
        <v>44742</v>
      </c>
      <c r="P6" s="123" t="s">
        <v>171</v>
      </c>
      <c r="Q6" s="86">
        <v>44748</v>
      </c>
      <c r="S6" s="124"/>
      <c r="T6" s="127">
        <v>44834</v>
      </c>
      <c r="U6" s="123" t="s">
        <v>171</v>
      </c>
      <c r="V6" s="86">
        <v>44840</v>
      </c>
      <c r="Y6" s="198"/>
      <c r="AB6" s="125"/>
      <c r="AC6" s="126">
        <v>44926</v>
      </c>
      <c r="AD6">
        <v>0</v>
      </c>
      <c r="AE6" s="197" t="s">
        <v>171</v>
      </c>
      <c r="AF6" s="86">
        <v>44931</v>
      </c>
      <c r="AI6" s="197" t="s">
        <v>171</v>
      </c>
      <c r="AJ6" s="86">
        <v>45048</v>
      </c>
      <c r="AM6" s="197" t="s">
        <v>171</v>
      </c>
      <c r="AN6" s="86">
        <v>45129</v>
      </c>
      <c r="AQ6" s="197" t="s">
        <v>171</v>
      </c>
      <c r="AR6" s="86">
        <v>45211</v>
      </c>
      <c r="AT6" s="125"/>
      <c r="AU6" s="234">
        <v>45291</v>
      </c>
      <c r="AV6" s="125">
        <v>0</v>
      </c>
      <c r="AW6" s="197" t="s">
        <v>171</v>
      </c>
      <c r="AX6" s="86">
        <v>45320</v>
      </c>
      <c r="BA6" s="234">
        <v>45382</v>
      </c>
      <c r="BB6" s="125">
        <v>0</v>
      </c>
      <c r="BC6" s="148">
        <f t="shared" si="1"/>
        <v>0</v>
      </c>
    </row>
    <row r="7" spans="1:55">
      <c r="A7" s="54" t="s">
        <v>114</v>
      </c>
      <c r="B7" s="100">
        <v>44732</v>
      </c>
      <c r="C7" s="4">
        <v>-1.54946111</v>
      </c>
      <c r="D7" s="4">
        <v>36.940791670000003</v>
      </c>
      <c r="E7" s="129">
        <f t="shared" si="0"/>
        <v>44915</v>
      </c>
      <c r="F7" s="131"/>
      <c r="G7" s="131"/>
      <c r="H7" s="131"/>
      <c r="I7" s="130"/>
      <c r="J7" s="133"/>
      <c r="K7" s="131"/>
      <c r="L7" s="131"/>
      <c r="M7" s="131"/>
      <c r="N7" s="130"/>
      <c r="O7" s="133"/>
      <c r="P7" s="123" t="s">
        <v>171</v>
      </c>
      <c r="Q7" s="86">
        <v>44795</v>
      </c>
      <c r="S7" s="124"/>
      <c r="T7" s="133"/>
      <c r="U7" s="123" t="s">
        <v>171</v>
      </c>
      <c r="V7" s="86">
        <v>44874</v>
      </c>
      <c r="Y7" s="198"/>
      <c r="AB7" s="125"/>
      <c r="AC7" s="132"/>
      <c r="AD7">
        <v>0</v>
      </c>
      <c r="AE7" s="197" t="s">
        <v>171</v>
      </c>
      <c r="AF7" s="86">
        <v>44937</v>
      </c>
      <c r="AI7" s="197" t="s">
        <v>171</v>
      </c>
      <c r="AJ7" s="86">
        <v>45040</v>
      </c>
      <c r="AM7" s="197" t="s">
        <v>171</v>
      </c>
      <c r="AN7" s="86">
        <v>45138</v>
      </c>
      <c r="AQ7" s="198"/>
      <c r="AR7" s="86"/>
      <c r="AS7" s="231" t="s">
        <v>172</v>
      </c>
      <c r="AT7" s="126">
        <v>45210</v>
      </c>
      <c r="AU7" s="234">
        <v>45291</v>
      </c>
      <c r="AV7" s="125">
        <f>AU7-AT7</f>
        <v>81</v>
      </c>
      <c r="AW7" s="197" t="s">
        <v>171</v>
      </c>
      <c r="AX7" s="86">
        <v>45327</v>
      </c>
      <c r="BA7" s="234">
        <v>45382</v>
      </c>
      <c r="BB7" s="125">
        <f>AX7-AU7</f>
        <v>36</v>
      </c>
      <c r="BC7" s="148">
        <f>BB7+AV7+AD7</f>
        <v>117</v>
      </c>
    </row>
    <row r="8" spans="1:55">
      <c r="A8" s="54" t="s">
        <v>59</v>
      </c>
      <c r="B8" s="100">
        <v>44562</v>
      </c>
      <c r="C8" s="4">
        <v>-1.7498944400000001</v>
      </c>
      <c r="D8" s="4">
        <v>41.48407778</v>
      </c>
      <c r="E8" s="129">
        <f t="shared" si="0"/>
        <v>44743</v>
      </c>
      <c r="I8" s="124"/>
      <c r="J8" s="127">
        <v>44651</v>
      </c>
      <c r="M8" s="252"/>
      <c r="N8" s="253"/>
      <c r="O8" s="127">
        <v>44742</v>
      </c>
      <c r="P8" s="123" t="s">
        <v>171</v>
      </c>
      <c r="Q8" s="86">
        <v>44797</v>
      </c>
      <c r="S8" s="124"/>
      <c r="T8" s="127">
        <v>44834</v>
      </c>
      <c r="U8" s="123" t="s">
        <v>171</v>
      </c>
      <c r="V8" s="86">
        <v>44924</v>
      </c>
      <c r="Y8" s="198"/>
      <c r="AB8" s="125"/>
      <c r="AC8" s="126">
        <v>44926</v>
      </c>
      <c r="AD8">
        <v>0</v>
      </c>
      <c r="AE8" s="197" t="s">
        <v>171</v>
      </c>
      <c r="AF8" s="86">
        <v>44950</v>
      </c>
      <c r="AI8" s="198"/>
      <c r="AK8" s="231" t="s">
        <v>172</v>
      </c>
      <c r="AL8" s="86">
        <v>45040</v>
      </c>
      <c r="AM8" s="197" t="s">
        <v>171</v>
      </c>
      <c r="AN8" s="86">
        <v>45138</v>
      </c>
      <c r="AQ8" s="198"/>
      <c r="AS8" s="231" t="s">
        <v>172</v>
      </c>
      <c r="AT8" s="126">
        <v>45210</v>
      </c>
      <c r="AU8" s="234">
        <v>45291</v>
      </c>
      <c r="AV8" s="125">
        <f>(AU8-AT8)+(AN8-AL8)</f>
        <v>179</v>
      </c>
      <c r="AW8" s="197" t="s">
        <v>171</v>
      </c>
      <c r="AX8" s="86">
        <v>45320</v>
      </c>
      <c r="BA8" s="234">
        <v>45382</v>
      </c>
      <c r="BB8" s="125">
        <f>AX8-AU8</f>
        <v>29</v>
      </c>
      <c r="BC8" s="148">
        <f t="shared" si="1"/>
        <v>208</v>
      </c>
    </row>
    <row r="9" spans="1:55">
      <c r="A9" s="54" t="s">
        <v>61</v>
      </c>
      <c r="B9" s="100">
        <v>44828</v>
      </c>
      <c r="C9" s="4">
        <v>-2.2289138899999998</v>
      </c>
      <c r="D9" s="4">
        <v>40.846722219999997</v>
      </c>
      <c r="E9" s="129">
        <f t="shared" si="0"/>
        <v>45009</v>
      </c>
      <c r="F9" s="131"/>
      <c r="G9" s="131"/>
      <c r="H9" s="131"/>
      <c r="I9" s="130"/>
      <c r="J9" s="133"/>
      <c r="K9" s="131"/>
      <c r="L9" s="131"/>
      <c r="M9" s="131"/>
      <c r="N9" s="130"/>
      <c r="O9" s="133"/>
      <c r="P9" s="128"/>
      <c r="Q9" s="86"/>
      <c r="S9" s="124"/>
      <c r="T9" s="133"/>
      <c r="Y9" s="198"/>
      <c r="AB9" s="125"/>
      <c r="AC9" s="256">
        <v>44926</v>
      </c>
      <c r="AD9">
        <f>AC9-B9</f>
        <v>98</v>
      </c>
      <c r="AE9" s="198"/>
      <c r="AG9" s="231" t="s">
        <v>172</v>
      </c>
      <c r="AH9" s="86">
        <v>44964</v>
      </c>
      <c r="AI9" s="197" t="s">
        <v>171</v>
      </c>
      <c r="AJ9" s="86">
        <v>45051</v>
      </c>
      <c r="AM9" s="198"/>
      <c r="AO9" s="231" t="s">
        <v>172</v>
      </c>
      <c r="AP9" s="86">
        <v>45138</v>
      </c>
      <c r="AQ9" s="197" t="s">
        <v>171</v>
      </c>
      <c r="AR9" s="86">
        <v>45210</v>
      </c>
      <c r="AT9" s="125"/>
      <c r="AU9" s="234">
        <v>45291</v>
      </c>
      <c r="AV9" s="125">
        <f>(AR9-AP9)+(AJ9-AC9)</f>
        <v>197</v>
      </c>
      <c r="AW9" s="197" t="s">
        <v>171</v>
      </c>
      <c r="AX9" s="86">
        <v>45327</v>
      </c>
      <c r="BA9" s="234">
        <v>45382</v>
      </c>
      <c r="BB9" s="125">
        <v>0</v>
      </c>
      <c r="BC9" s="148">
        <f t="shared" si="1"/>
        <v>295</v>
      </c>
    </row>
    <row r="10" spans="1:55">
      <c r="A10" s="54" t="s">
        <v>63</v>
      </c>
      <c r="B10" s="100">
        <v>44921</v>
      </c>
      <c r="C10" s="4">
        <v>-4.0957222199999999</v>
      </c>
      <c r="D10" s="4">
        <v>39.640608329999999</v>
      </c>
      <c r="E10" s="129">
        <f t="shared" si="0"/>
        <v>45103</v>
      </c>
      <c r="F10" s="131"/>
      <c r="G10" s="131"/>
      <c r="H10" s="131"/>
      <c r="I10" s="130"/>
      <c r="J10" s="133"/>
      <c r="K10" s="131"/>
      <c r="L10" s="131"/>
      <c r="M10" s="131"/>
      <c r="N10" s="130"/>
      <c r="O10" s="133"/>
      <c r="P10" s="131"/>
      <c r="Q10" s="131"/>
      <c r="R10" s="131"/>
      <c r="S10" s="130"/>
      <c r="T10" s="133"/>
      <c r="U10" s="123" t="s">
        <v>171</v>
      </c>
      <c r="V10" s="86">
        <v>44912</v>
      </c>
      <c r="Y10" s="198"/>
      <c r="AB10" s="125"/>
      <c r="AC10" s="132"/>
      <c r="AD10">
        <v>0</v>
      </c>
      <c r="AE10" s="197" t="s">
        <v>171</v>
      </c>
      <c r="AF10" s="86">
        <v>44929</v>
      </c>
      <c r="AI10" s="197" t="s">
        <v>171</v>
      </c>
      <c r="AJ10" s="86">
        <v>45048</v>
      </c>
      <c r="AM10" s="197" t="s">
        <v>171</v>
      </c>
      <c r="AN10" s="86">
        <v>45129</v>
      </c>
      <c r="AQ10" s="197" t="s">
        <v>171</v>
      </c>
      <c r="AR10" s="86">
        <v>45208</v>
      </c>
      <c r="AT10" s="125"/>
      <c r="AU10" s="234">
        <v>45291</v>
      </c>
      <c r="AV10" s="125">
        <v>0</v>
      </c>
      <c r="AW10" s="197" t="s">
        <v>171</v>
      </c>
      <c r="AX10" s="86">
        <v>45320</v>
      </c>
      <c r="BA10" s="234">
        <v>45382</v>
      </c>
      <c r="BB10" s="125">
        <v>0</v>
      </c>
      <c r="BC10" s="148">
        <f t="shared" si="1"/>
        <v>0</v>
      </c>
    </row>
    <row r="11" spans="1:55">
      <c r="A11" s="54" t="s">
        <v>64</v>
      </c>
      <c r="B11" s="100">
        <v>44879</v>
      </c>
      <c r="C11" s="4">
        <v>-0.93858333000000005</v>
      </c>
      <c r="D11" s="4">
        <v>38.058327779999999</v>
      </c>
      <c r="E11" s="129">
        <f t="shared" si="0"/>
        <v>45060</v>
      </c>
      <c r="F11" s="131"/>
      <c r="G11" s="131"/>
      <c r="H11" s="131"/>
      <c r="I11" s="130"/>
      <c r="J11" s="133"/>
      <c r="K11" s="131"/>
      <c r="L11" s="131"/>
      <c r="M11" s="131"/>
      <c r="N11" s="130"/>
      <c r="O11" s="133"/>
      <c r="P11" s="131"/>
      <c r="Q11" s="131"/>
      <c r="R11" s="131"/>
      <c r="S11" s="130"/>
      <c r="T11" s="133"/>
      <c r="U11" s="123" t="s">
        <v>171</v>
      </c>
      <c r="V11" s="86">
        <v>44869</v>
      </c>
      <c r="Y11" s="198"/>
      <c r="AB11" s="125"/>
      <c r="AC11" s="132"/>
      <c r="AD11">
        <v>0</v>
      </c>
      <c r="AE11" s="197" t="s">
        <v>171</v>
      </c>
      <c r="AF11" s="86">
        <v>44981</v>
      </c>
      <c r="AI11" s="197" t="s">
        <v>171</v>
      </c>
      <c r="AJ11" s="86">
        <v>45040</v>
      </c>
      <c r="AM11" s="197" t="s">
        <v>171</v>
      </c>
      <c r="AN11" s="86">
        <v>45138</v>
      </c>
      <c r="AQ11" s="199"/>
      <c r="AR11" s="86"/>
      <c r="AS11" s="231" t="s">
        <v>172</v>
      </c>
      <c r="AT11" s="126">
        <v>45210</v>
      </c>
      <c r="AU11" s="234">
        <v>45291</v>
      </c>
      <c r="AV11" s="125">
        <f>AU11-AT11</f>
        <v>81</v>
      </c>
      <c r="AW11" s="197" t="s">
        <v>171</v>
      </c>
      <c r="AX11" s="86">
        <v>45327</v>
      </c>
      <c r="BA11" s="234">
        <v>45382</v>
      </c>
      <c r="BB11" s="125">
        <f>AX11-AU11</f>
        <v>36</v>
      </c>
      <c r="BC11" s="148">
        <f t="shared" si="1"/>
        <v>117</v>
      </c>
    </row>
    <row r="12" spans="1:55" ht="15" thickBot="1">
      <c r="A12" s="54" t="s">
        <v>65</v>
      </c>
      <c r="B12" s="100">
        <v>44659</v>
      </c>
      <c r="C12" s="4">
        <v>-1.76888611</v>
      </c>
      <c r="D12" s="4">
        <v>37.62950833</v>
      </c>
      <c r="E12" s="129">
        <f t="shared" si="0"/>
        <v>44842</v>
      </c>
      <c r="F12" s="134"/>
      <c r="G12" s="134"/>
      <c r="H12" s="134"/>
      <c r="I12" s="135"/>
      <c r="J12" s="136"/>
      <c r="K12" s="137"/>
      <c r="L12" s="137"/>
      <c r="M12" s="137"/>
      <c r="N12" s="138"/>
      <c r="O12" s="127">
        <v>44742</v>
      </c>
      <c r="P12" s="139" t="s">
        <v>171</v>
      </c>
      <c r="Q12" s="140">
        <v>44793</v>
      </c>
      <c r="R12" s="137"/>
      <c r="S12" s="138"/>
      <c r="T12" s="127">
        <v>44834</v>
      </c>
      <c r="U12" s="141" t="s">
        <v>172</v>
      </c>
      <c r="V12" s="140">
        <v>44916</v>
      </c>
      <c r="W12" s="137"/>
      <c r="X12" s="137"/>
      <c r="Y12" s="200" t="s">
        <v>171</v>
      </c>
      <c r="Z12" s="140">
        <v>44917</v>
      </c>
      <c r="AA12" s="137"/>
      <c r="AB12" s="142"/>
      <c r="AC12" s="126">
        <v>44926</v>
      </c>
      <c r="AD12" s="226">
        <f>Z12-V12</f>
        <v>1</v>
      </c>
      <c r="AE12" s="200" t="s">
        <v>171</v>
      </c>
      <c r="AF12" s="140">
        <v>44937</v>
      </c>
      <c r="AG12" s="137"/>
      <c r="AH12" s="137"/>
      <c r="AI12" s="200" t="s">
        <v>171</v>
      </c>
      <c r="AJ12" s="140">
        <v>45040</v>
      </c>
      <c r="AK12" s="137"/>
      <c r="AL12" s="137"/>
      <c r="AM12" s="200" t="s">
        <v>171</v>
      </c>
      <c r="AN12" s="140">
        <v>45122</v>
      </c>
      <c r="AO12" s="137"/>
      <c r="AP12" s="137"/>
      <c r="AQ12" s="200" t="s">
        <v>171</v>
      </c>
      <c r="AR12" s="140">
        <v>45210</v>
      </c>
      <c r="AS12" s="137"/>
      <c r="AT12" s="142"/>
      <c r="AU12" s="140">
        <v>45291</v>
      </c>
      <c r="AV12" s="142">
        <v>0</v>
      </c>
      <c r="AW12" s="200" t="s">
        <v>171</v>
      </c>
      <c r="AX12" s="140">
        <v>45327</v>
      </c>
      <c r="AY12" s="137"/>
      <c r="AZ12" s="137"/>
      <c r="BA12" s="235">
        <v>45382</v>
      </c>
      <c r="BB12" s="142">
        <v>0</v>
      </c>
      <c r="BC12" s="227">
        <f t="shared" si="1"/>
        <v>1</v>
      </c>
    </row>
    <row r="13" spans="1:55" ht="15" thickBot="1">
      <c r="O13" s="143"/>
      <c r="T13" s="143"/>
      <c r="U13" t="s">
        <v>163</v>
      </c>
      <c r="V13">
        <f>COUNTIF(U5:U12,"=ü")</f>
        <v>6</v>
      </c>
      <c r="W13" s="251">
        <f>V13/V15</f>
        <v>0.8571428571428571</v>
      </c>
      <c r="AC13" s="108" t="s">
        <v>173</v>
      </c>
      <c r="AD13" s="202">
        <f>SUM(AD5:AD12)</f>
        <v>99</v>
      </c>
      <c r="AE13" t="s">
        <v>163</v>
      </c>
      <c r="AF13">
        <f>COUNTIF(AE5:AG12,"=ü")</f>
        <v>7</v>
      </c>
      <c r="AG13" s="251">
        <f>AF13/AF15</f>
        <v>0.875</v>
      </c>
      <c r="AI13" t="s">
        <v>163</v>
      </c>
      <c r="AJ13">
        <f>COUNTIF(AI5:AK12,"=ü")</f>
        <v>7</v>
      </c>
      <c r="AK13" s="251">
        <f>AJ13/AJ15</f>
        <v>0.875</v>
      </c>
      <c r="AM13" t="s">
        <v>163</v>
      </c>
      <c r="AN13">
        <f>COUNTIF(AM5:AO12,"=ü")</f>
        <v>7</v>
      </c>
      <c r="AO13" s="251">
        <f>AN13/AN15</f>
        <v>0.875</v>
      </c>
      <c r="AQ13" t="s">
        <v>163</v>
      </c>
      <c r="AR13">
        <f>COUNTIF(AQ5:AS12,"=ü")</f>
        <v>5</v>
      </c>
      <c r="AS13" s="251">
        <f>AR13/AR15</f>
        <v>0.625</v>
      </c>
      <c r="AU13" s="108" t="s">
        <v>173</v>
      </c>
      <c r="AV13" s="202">
        <f>SUM(AV5:AV12)</f>
        <v>538</v>
      </c>
      <c r="AW13" t="s">
        <v>163</v>
      </c>
      <c r="AX13">
        <f>COUNTIF(AW5:AY12,"=ü")</f>
        <v>8</v>
      </c>
      <c r="AY13" s="251">
        <f>AX13/AX15</f>
        <v>1</v>
      </c>
      <c r="AZ13" s="108" t="s">
        <v>173</v>
      </c>
      <c r="BA13" s="89"/>
      <c r="BB13" s="202">
        <f>SUM(BB5:BB12)</f>
        <v>101</v>
      </c>
      <c r="BC13" s="30">
        <f>SUM(BC5:BC12)</f>
        <v>738</v>
      </c>
    </row>
    <row r="14" spans="1:55">
      <c r="U14" t="s">
        <v>165</v>
      </c>
      <c r="V14">
        <f>COUNTIF(U5:U12,"=û")</f>
        <v>1</v>
      </c>
      <c r="W14" s="251">
        <f>V14/V15</f>
        <v>0.14285714285714285</v>
      </c>
      <c r="AE14" t="s">
        <v>165</v>
      </c>
      <c r="AF14">
        <f>COUNTIF(AE5:AG12,"=û")</f>
        <v>1</v>
      </c>
      <c r="AG14" s="251">
        <f>AF14/AF15</f>
        <v>0.125</v>
      </c>
      <c r="AI14" t="s">
        <v>165</v>
      </c>
      <c r="AJ14">
        <f>COUNTIF(AI5:AK12,"=û")</f>
        <v>1</v>
      </c>
      <c r="AK14" s="251">
        <f>AJ14/AJ15</f>
        <v>0.125</v>
      </c>
      <c r="AM14" t="s">
        <v>165</v>
      </c>
      <c r="AN14">
        <f>COUNTIF(AM5:AO12,"=û")</f>
        <v>1</v>
      </c>
      <c r="AO14" s="251">
        <f>AN14/AN15</f>
        <v>0.125</v>
      </c>
      <c r="AQ14" t="s">
        <v>165</v>
      </c>
      <c r="AR14">
        <f>COUNTIF(AQ5:AS12,"=û")</f>
        <v>3</v>
      </c>
      <c r="AS14" s="251">
        <f>AR14/AR15</f>
        <v>0.375</v>
      </c>
      <c r="AW14" t="s">
        <v>165</v>
      </c>
      <c r="AX14">
        <f>COUNTIF(AW5:AY12,"=û")</f>
        <v>0</v>
      </c>
      <c r="AY14" s="251">
        <f>AX14/AX15</f>
        <v>0</v>
      </c>
    </row>
    <row r="15" spans="1:55">
      <c r="V15">
        <f>SUM(V13:V14)</f>
        <v>7</v>
      </c>
      <c r="AF15">
        <f>SUM(AF13:AF14)</f>
        <v>8</v>
      </c>
      <c r="AJ15">
        <f>SUM(AJ13:AJ14)</f>
        <v>8</v>
      </c>
      <c r="AN15">
        <f>SUM(AN13:AN14)</f>
        <v>8</v>
      </c>
      <c r="AR15">
        <f>SUM(AR13:AR14)</f>
        <v>8</v>
      </c>
      <c r="AX15">
        <f>SUM(AX13:AX14)</f>
        <v>8</v>
      </c>
    </row>
    <row r="16" spans="1:55">
      <c r="F16" s="86"/>
    </row>
    <row r="17" spans="6:56">
      <c r="F17" s="86"/>
    </row>
    <row r="18" spans="6:56" ht="15" thickBot="1">
      <c r="F18" s="86"/>
    </row>
    <row r="19" spans="6:56" ht="15" thickBot="1">
      <c r="F19" s="86"/>
      <c r="W19" s="145" t="s">
        <v>43</v>
      </c>
      <c r="X19" s="146" t="s">
        <v>45</v>
      </c>
      <c r="Y19" s="147" t="s">
        <v>174</v>
      </c>
      <c r="AN19" s="145" t="s">
        <v>43</v>
      </c>
      <c r="AO19" s="145" t="s">
        <v>43</v>
      </c>
      <c r="AP19" s="146" t="s">
        <v>67</v>
      </c>
      <c r="AQ19" s="147" t="s">
        <v>174</v>
      </c>
      <c r="AT19" s="145" t="s">
        <v>43</v>
      </c>
      <c r="AU19" s="145" t="s">
        <v>43</v>
      </c>
      <c r="AV19" s="146" t="s">
        <v>73</v>
      </c>
      <c r="AW19" s="147" t="s">
        <v>174</v>
      </c>
      <c r="AZ19" s="145" t="s">
        <v>43</v>
      </c>
      <c r="BA19" s="145" t="s">
        <v>43</v>
      </c>
      <c r="BB19" s="146" t="s">
        <v>175</v>
      </c>
      <c r="BC19" s="147" t="s">
        <v>174</v>
      </c>
    </row>
    <row r="20" spans="6:56">
      <c r="F20" s="86"/>
      <c r="W20" s="148" t="s">
        <v>52</v>
      </c>
      <c r="X20">
        <f>[1]Likoni!$T$7</f>
        <v>365</v>
      </c>
      <c r="Y20" s="125">
        <f>AD5</f>
        <v>0</v>
      </c>
      <c r="AN20" s="148" t="s">
        <v>52</v>
      </c>
      <c r="AO20" s="148" t="s">
        <v>52</v>
      </c>
      <c r="AP20">
        <f>'Sales Summary'!C16</f>
        <v>365</v>
      </c>
      <c r="AQ20" s="125">
        <f t="shared" ref="AQ20:AQ27" si="2">AV5</f>
        <v>0</v>
      </c>
      <c r="AT20" s="148" t="s">
        <v>52</v>
      </c>
      <c r="AU20" s="148" t="s">
        <v>52</v>
      </c>
      <c r="AV20">
        <f>'Sales Summary'!C30</f>
        <v>91</v>
      </c>
      <c r="AW20" s="125">
        <f>BB5</f>
        <v>0</v>
      </c>
      <c r="AZ20" s="148" t="s">
        <v>52</v>
      </c>
      <c r="BA20" s="148" t="s">
        <v>52</v>
      </c>
      <c r="BB20">
        <f>'Sales Summary'!C3+'Sales Summary'!C16+'Sales Summary'!C30</f>
        <v>821</v>
      </c>
      <c r="BC20" s="125">
        <f t="shared" ref="BC20:BC27" si="3">BC5</f>
        <v>0</v>
      </c>
    </row>
    <row r="21" spans="6:56">
      <c r="F21" s="86"/>
      <c r="W21" s="148" t="s">
        <v>55</v>
      </c>
      <c r="X21">
        <f>[1]Bamburi!$T$7</f>
        <v>365</v>
      </c>
      <c r="Y21" s="125">
        <f t="shared" ref="Y21:Y27" si="4">AD6</f>
        <v>0</v>
      </c>
      <c r="AN21" s="148" t="s">
        <v>55</v>
      </c>
      <c r="AO21" s="148" t="s">
        <v>55</v>
      </c>
      <c r="AP21">
        <f>'Sales Summary'!C17</f>
        <v>365</v>
      </c>
      <c r="AQ21" s="125">
        <f t="shared" si="2"/>
        <v>0</v>
      </c>
      <c r="AT21" s="148" t="s">
        <v>55</v>
      </c>
      <c r="AU21" s="148" t="s">
        <v>55</v>
      </c>
      <c r="AV21">
        <f>'Sales Summary'!C31</f>
        <v>91</v>
      </c>
      <c r="AW21" s="125">
        <f t="shared" ref="AW21:AW27" si="5">BB6</f>
        <v>0</v>
      </c>
      <c r="AZ21" s="148" t="s">
        <v>55</v>
      </c>
      <c r="BA21" s="148" t="s">
        <v>55</v>
      </c>
      <c r="BB21">
        <f>'Sales Summary'!C4+'Sales Summary'!C17+'Sales Summary'!C31</f>
        <v>821</v>
      </c>
      <c r="BC21" s="125">
        <f t="shared" si="3"/>
        <v>0</v>
      </c>
    </row>
    <row r="22" spans="6:56">
      <c r="F22" s="86"/>
      <c r="W22" s="148" t="s">
        <v>57</v>
      </c>
      <c r="X22">
        <f>[1]Kitengela!$T$7</f>
        <v>195</v>
      </c>
      <c r="Y22" s="125">
        <f t="shared" si="4"/>
        <v>0</v>
      </c>
      <c r="AN22" s="148" t="s">
        <v>57</v>
      </c>
      <c r="AO22" s="148" t="s">
        <v>57</v>
      </c>
      <c r="AP22">
        <f>'Sales Summary'!C18</f>
        <v>365</v>
      </c>
      <c r="AQ22" s="125">
        <f>AV7</f>
        <v>81</v>
      </c>
      <c r="AT22" s="148" t="s">
        <v>57</v>
      </c>
      <c r="AU22" s="148" t="s">
        <v>57</v>
      </c>
      <c r="AV22">
        <f>'Sales Summary'!C32</f>
        <v>91</v>
      </c>
      <c r="AW22" s="125">
        <f t="shared" si="5"/>
        <v>36</v>
      </c>
      <c r="AZ22" s="148" t="s">
        <v>57</v>
      </c>
      <c r="BA22" s="148" t="s">
        <v>57</v>
      </c>
      <c r="BB22">
        <f>'Sales Summary'!C5+'Sales Summary'!C18+'Sales Summary'!C32</f>
        <v>651</v>
      </c>
      <c r="BC22" s="125">
        <f t="shared" si="3"/>
        <v>117</v>
      </c>
    </row>
    <row r="23" spans="6:56">
      <c r="F23" s="86"/>
      <c r="W23" s="148" t="s">
        <v>59</v>
      </c>
      <c r="X23">
        <f>[1]Kiunga!$T$7</f>
        <v>365</v>
      </c>
      <c r="Y23" s="125">
        <f t="shared" si="4"/>
        <v>0</v>
      </c>
      <c r="AN23" s="148" t="s">
        <v>59</v>
      </c>
      <c r="AO23" s="148" t="s">
        <v>59</v>
      </c>
      <c r="AP23">
        <f>'Sales Summary'!C19</f>
        <v>365</v>
      </c>
      <c r="AQ23" s="125">
        <f t="shared" si="2"/>
        <v>179</v>
      </c>
      <c r="AT23" s="148" t="s">
        <v>59</v>
      </c>
      <c r="AU23" s="148" t="s">
        <v>59</v>
      </c>
      <c r="AV23">
        <f>'Sales Summary'!C33</f>
        <v>91</v>
      </c>
      <c r="AW23" s="125">
        <f t="shared" si="5"/>
        <v>29</v>
      </c>
      <c r="AZ23" s="148" t="s">
        <v>59</v>
      </c>
      <c r="BA23" s="148" t="s">
        <v>59</v>
      </c>
      <c r="BB23">
        <f>'Sales Summary'!C6+'Sales Summary'!C19+'Sales Summary'!C33</f>
        <v>820</v>
      </c>
      <c r="BC23" s="125">
        <f t="shared" si="3"/>
        <v>208</v>
      </c>
    </row>
    <row r="24" spans="6:56">
      <c r="F24" s="86"/>
      <c r="W24" s="148" t="s">
        <v>61</v>
      </c>
      <c r="X24">
        <f>[1]Mokowe!$T$7</f>
        <v>99</v>
      </c>
      <c r="Y24" s="125">
        <f t="shared" si="4"/>
        <v>98</v>
      </c>
      <c r="AN24" s="148" t="s">
        <v>61</v>
      </c>
      <c r="AO24" s="148" t="s">
        <v>61</v>
      </c>
      <c r="AP24">
        <f>'Sales Summary'!C20</f>
        <v>365</v>
      </c>
      <c r="AQ24" s="125">
        <f>AV9</f>
        <v>197</v>
      </c>
      <c r="AT24" s="148" t="s">
        <v>61</v>
      </c>
      <c r="AU24" s="148" t="s">
        <v>61</v>
      </c>
      <c r="AV24">
        <f>'Sales Summary'!C34</f>
        <v>91</v>
      </c>
      <c r="AW24" s="125">
        <f t="shared" si="5"/>
        <v>0</v>
      </c>
      <c r="AZ24" s="148" t="s">
        <v>61</v>
      </c>
      <c r="BA24" s="148" t="s">
        <v>61</v>
      </c>
      <c r="BB24">
        <f>'Sales Summary'!C7+'Sales Summary'!C20+'Sales Summary'!C34</f>
        <v>555</v>
      </c>
      <c r="BC24" s="125">
        <f t="shared" si="3"/>
        <v>295</v>
      </c>
    </row>
    <row r="25" spans="6:56">
      <c r="W25" s="148" t="s">
        <v>63</v>
      </c>
      <c r="X25">
        <f>[1]Mtongwe!$T$7</f>
        <v>6</v>
      </c>
      <c r="Y25" s="125">
        <f t="shared" si="4"/>
        <v>0</v>
      </c>
      <c r="AN25" s="148" t="s">
        <v>63</v>
      </c>
      <c r="AO25" s="148" t="s">
        <v>63</v>
      </c>
      <c r="AP25">
        <f>'Sales Summary'!C21</f>
        <v>365</v>
      </c>
      <c r="AQ25" s="125">
        <f t="shared" si="2"/>
        <v>0</v>
      </c>
      <c r="AT25" s="148" t="s">
        <v>63</v>
      </c>
      <c r="AU25" s="148" t="s">
        <v>63</v>
      </c>
      <c r="AV25">
        <f>'Sales Summary'!C35</f>
        <v>91</v>
      </c>
      <c r="AW25" s="125">
        <f t="shared" si="5"/>
        <v>0</v>
      </c>
      <c r="AZ25" s="148" t="s">
        <v>63</v>
      </c>
      <c r="BA25" s="148" t="s">
        <v>63</v>
      </c>
      <c r="BB25">
        <f>'Sales Summary'!C8+'Sales Summary'!C21+'Sales Summary'!C35</f>
        <v>462</v>
      </c>
      <c r="BC25" s="125">
        <f t="shared" si="3"/>
        <v>0</v>
      </c>
    </row>
    <row r="26" spans="6:56">
      <c r="W26" s="148" t="s">
        <v>64</v>
      </c>
      <c r="X26">
        <f>[1]Mwingi!$T$7</f>
        <v>48</v>
      </c>
      <c r="Y26" s="125">
        <f t="shared" si="4"/>
        <v>0</v>
      </c>
      <c r="AN26" s="148" t="s">
        <v>64</v>
      </c>
      <c r="AO26" s="148" t="s">
        <v>64</v>
      </c>
      <c r="AP26">
        <f>'Sales Summary'!C22</f>
        <v>365</v>
      </c>
      <c r="AQ26" s="125">
        <f>AV11</f>
        <v>81</v>
      </c>
      <c r="AT26" s="148" t="s">
        <v>64</v>
      </c>
      <c r="AU26" s="148" t="s">
        <v>64</v>
      </c>
      <c r="AV26">
        <f>'Sales Summary'!C36</f>
        <v>91</v>
      </c>
      <c r="AW26" s="125">
        <f t="shared" si="5"/>
        <v>36</v>
      </c>
      <c r="AZ26" s="148" t="s">
        <v>64</v>
      </c>
      <c r="BA26" s="148" t="s">
        <v>64</v>
      </c>
      <c r="BB26">
        <f>'Sales Summary'!C9+'Sales Summary'!C22+'Sales Summary'!C36</f>
        <v>504</v>
      </c>
      <c r="BC26" s="125">
        <f t="shared" si="3"/>
        <v>117</v>
      </c>
    </row>
    <row r="27" spans="6:56" ht="15" thickBot="1">
      <c r="W27" s="149" t="s">
        <v>65</v>
      </c>
      <c r="X27" s="137">
        <f>[1]Wote!$T$7</f>
        <v>268</v>
      </c>
      <c r="Y27" s="125">
        <f t="shared" si="4"/>
        <v>1</v>
      </c>
      <c r="AN27" s="149" t="s">
        <v>65</v>
      </c>
      <c r="AO27" s="149" t="s">
        <v>65</v>
      </c>
      <c r="AP27">
        <f>'Sales Summary'!C23</f>
        <v>365</v>
      </c>
      <c r="AQ27" s="125">
        <f t="shared" si="2"/>
        <v>0</v>
      </c>
      <c r="AT27" s="149" t="s">
        <v>65</v>
      </c>
      <c r="AU27" s="149" t="s">
        <v>65</v>
      </c>
      <c r="AV27">
        <f>'Sales Summary'!C37</f>
        <v>91</v>
      </c>
      <c r="AW27" s="125">
        <f t="shared" si="5"/>
        <v>0</v>
      </c>
      <c r="AZ27" s="149" t="s">
        <v>65</v>
      </c>
      <c r="BA27" s="149" t="s">
        <v>65</v>
      </c>
      <c r="BB27">
        <f>'Sales Summary'!C10+'Sales Summary'!C23+'Sales Summary'!C37</f>
        <v>724</v>
      </c>
      <c r="BC27" s="125">
        <f t="shared" si="3"/>
        <v>1</v>
      </c>
    </row>
    <row r="28" spans="6:56" ht="15" thickBot="1">
      <c r="W28" s="30" t="s">
        <v>24</v>
      </c>
      <c r="X28" s="146">
        <f>SUM(X20:X27)</f>
        <v>1711</v>
      </c>
      <c r="Y28" s="147">
        <f>SUM(Y20:Y27)</f>
        <v>99</v>
      </c>
      <c r="AN28" s="30" t="s">
        <v>24</v>
      </c>
      <c r="AO28" s="30" t="s">
        <v>24</v>
      </c>
      <c r="AP28" s="146">
        <f>SUM(AP20:AP27)</f>
        <v>2920</v>
      </c>
      <c r="AQ28" s="147">
        <f>SUM(AQ20:AQ27)</f>
        <v>538</v>
      </c>
      <c r="AT28" s="30" t="s">
        <v>24</v>
      </c>
      <c r="AU28" s="30" t="s">
        <v>24</v>
      </c>
      <c r="AV28" s="146">
        <f>SUM(AV20:AV27)</f>
        <v>728</v>
      </c>
      <c r="AW28" s="147">
        <f>SUM(AW20:AW27)</f>
        <v>101</v>
      </c>
      <c r="AZ28" s="30" t="s">
        <v>24</v>
      </c>
      <c r="BA28" s="30" t="s">
        <v>24</v>
      </c>
      <c r="BB28" s="146">
        <f>SUM(BB20:BB27)</f>
        <v>5358</v>
      </c>
      <c r="BC28" s="147">
        <f>SUM(BC20:BC27)</f>
        <v>738</v>
      </c>
    </row>
    <row r="29" spans="6:56">
      <c r="Y29" t="s">
        <v>176</v>
      </c>
      <c r="Z29" s="144">
        <f>Y28/X28</f>
        <v>5.7860900058445353E-2</v>
      </c>
      <c r="AQ29" t="s">
        <v>176</v>
      </c>
      <c r="AR29" s="144">
        <f>AQ28/AP28</f>
        <v>0.18424657534246575</v>
      </c>
      <c r="AW29" t="s">
        <v>176</v>
      </c>
      <c r="AX29" s="144">
        <f>AW28/AV28</f>
        <v>0.13873626373626374</v>
      </c>
      <c r="BC29" t="s">
        <v>165</v>
      </c>
      <c r="BD29" s="144">
        <f>BC28/BB28</f>
        <v>0.13773796192609183</v>
      </c>
    </row>
    <row r="30" spans="6:56">
      <c r="Y30" t="s">
        <v>163</v>
      </c>
      <c r="Z30" s="165">
        <f>1-Z29</f>
        <v>0.94213909994155465</v>
      </c>
      <c r="AQ30" t="s">
        <v>163</v>
      </c>
      <c r="AR30" s="165">
        <f>1-AR29</f>
        <v>0.8157534246575342</v>
      </c>
      <c r="AW30" t="s">
        <v>163</v>
      </c>
      <c r="AX30" s="165">
        <f>1-AX29</f>
        <v>0.86126373626373631</v>
      </c>
      <c r="BC30" t="s">
        <v>163</v>
      </c>
      <c r="BD30" s="165">
        <f>1-BD29</f>
        <v>0.86226203807390811</v>
      </c>
    </row>
  </sheetData>
  <mergeCells count="22">
    <mergeCell ref="BC2:BC4"/>
    <mergeCell ref="F2:X2"/>
    <mergeCell ref="AD2:AD4"/>
    <mergeCell ref="F3:I3"/>
    <mergeCell ref="K3:N3"/>
    <mergeCell ref="P3:S3"/>
    <mergeCell ref="U3:X3"/>
    <mergeCell ref="AW3:AZ3"/>
    <mergeCell ref="AE3:AH3"/>
    <mergeCell ref="AI3:AL3"/>
    <mergeCell ref="BA3:BB3"/>
    <mergeCell ref="AW2:BB2"/>
    <mergeCell ref="AM3:AP3"/>
    <mergeCell ref="AQ3:AT3"/>
    <mergeCell ref="AE2:AV2"/>
    <mergeCell ref="AU3:AV3"/>
    <mergeCell ref="Y3:AB3"/>
    <mergeCell ref="A3:A4"/>
    <mergeCell ref="B3:B4"/>
    <mergeCell ref="C3:C4"/>
    <mergeCell ref="D3:D4"/>
    <mergeCell ref="E3:E4"/>
  </mergeCells>
  <conditionalFormatting sqref="F5:F6">
    <cfRule type="containsText" dxfId="31" priority="57" operator="containsText" text="ü">
      <formula>NOT(ISERROR(SEARCH("ü",F5)))</formula>
    </cfRule>
    <cfRule type="containsText" dxfId="30" priority="58" operator="containsText" text="û">
      <formula>NOT(ISERROR(SEARCH("û",F5)))</formula>
    </cfRule>
  </conditionalFormatting>
  <conditionalFormatting sqref="K5:K6">
    <cfRule type="containsText" dxfId="29" priority="61" operator="containsText" text="ü">
      <formula>NOT(ISERROR(SEARCH("ü",K5)))</formula>
    </cfRule>
    <cfRule type="containsText" dxfId="28" priority="62" operator="containsText" text="û">
      <formula>NOT(ISERROR(SEARCH("û",K5)))</formula>
    </cfRule>
  </conditionalFormatting>
  <conditionalFormatting sqref="P5:P9">
    <cfRule type="containsText" dxfId="27" priority="59" operator="containsText" text="ü">
      <formula>NOT(ISERROR(SEARCH("ü",P5)))</formula>
    </cfRule>
    <cfRule type="containsText" dxfId="26" priority="60" operator="containsText" text="û">
      <formula>NOT(ISERROR(SEARCH("û",P5)))</formula>
    </cfRule>
  </conditionalFormatting>
  <conditionalFormatting sqref="P12">
    <cfRule type="containsText" dxfId="25" priority="53" operator="containsText" text="ü">
      <formula>NOT(ISERROR(SEARCH("ü",P12)))</formula>
    </cfRule>
    <cfRule type="containsText" dxfId="24" priority="54" operator="containsText" text="û">
      <formula>NOT(ISERROR(SEARCH("û",P12)))</formula>
    </cfRule>
  </conditionalFormatting>
  <conditionalFormatting sqref="U5:U8">
    <cfRule type="containsText" dxfId="23" priority="63" operator="containsText" text="ü">
      <formula>NOT(ISERROR(SEARCH("ü",U5)))</formula>
    </cfRule>
    <cfRule type="containsText" dxfId="22" priority="64" operator="containsText" text="û">
      <formula>NOT(ISERROR(SEARCH("û",U5)))</formula>
    </cfRule>
  </conditionalFormatting>
  <conditionalFormatting sqref="U10:U11">
    <cfRule type="containsText" dxfId="21" priority="55" operator="containsText" text="ü">
      <formula>NOT(ISERROR(SEARCH("ü",U10)))</formula>
    </cfRule>
    <cfRule type="containsText" dxfId="20" priority="56" operator="containsText" text="û">
      <formula>NOT(ISERROR(SEARCH("û",U10)))</formula>
    </cfRule>
  </conditionalFormatting>
  <conditionalFormatting sqref="Y12">
    <cfRule type="containsText" dxfId="19" priority="3" operator="containsText" text="ü">
      <formula>NOT(ISERROR(SEARCH("ü",Y12)))</formula>
    </cfRule>
    <cfRule type="containsText" dxfId="18" priority="4" operator="containsText" text="û">
      <formula>NOT(ISERROR(SEARCH("û",Y12)))</formula>
    </cfRule>
  </conditionalFormatting>
  <conditionalFormatting sqref="AE5:AE8">
    <cfRule type="containsText" dxfId="17" priority="49" operator="containsText" text="ü">
      <formula>NOT(ISERROR(SEARCH("ü",AE5)))</formula>
    </cfRule>
    <cfRule type="containsText" dxfId="16" priority="50" operator="containsText" text="û">
      <formula>NOT(ISERROR(SEARCH("û",AE5)))</formula>
    </cfRule>
  </conditionalFormatting>
  <conditionalFormatting sqref="AE10:AE12">
    <cfRule type="containsText" dxfId="15" priority="47" operator="containsText" text="ü">
      <formula>NOT(ISERROR(SEARCH("ü",AE10)))</formula>
    </cfRule>
    <cfRule type="containsText" dxfId="14" priority="48" operator="containsText" text="û">
      <formula>NOT(ISERROR(SEARCH("û",AE10)))</formula>
    </cfRule>
  </conditionalFormatting>
  <conditionalFormatting sqref="AI5:AI7">
    <cfRule type="containsText" dxfId="13" priority="43" operator="containsText" text="ü">
      <formula>NOT(ISERROR(SEARCH("ü",AI5)))</formula>
    </cfRule>
    <cfRule type="containsText" dxfId="12" priority="44" operator="containsText" text="û">
      <formula>NOT(ISERROR(SEARCH("û",AI5)))</formula>
    </cfRule>
  </conditionalFormatting>
  <conditionalFormatting sqref="AI9:AI12">
    <cfRule type="containsText" dxfId="11" priority="41" operator="containsText" text="ü">
      <formula>NOT(ISERROR(SEARCH("ü",AI9)))</formula>
    </cfRule>
    <cfRule type="containsText" dxfId="10" priority="42" operator="containsText" text="û">
      <formula>NOT(ISERROR(SEARCH("û",AI9)))</formula>
    </cfRule>
  </conditionalFormatting>
  <conditionalFormatting sqref="AM5:AM8">
    <cfRule type="containsText" dxfId="9" priority="37" operator="containsText" text="ü">
      <formula>NOT(ISERROR(SEARCH("ü",AM5)))</formula>
    </cfRule>
    <cfRule type="containsText" dxfId="8" priority="38" operator="containsText" text="û">
      <formula>NOT(ISERROR(SEARCH("û",AM5)))</formula>
    </cfRule>
  </conditionalFormatting>
  <conditionalFormatting sqref="AM10:AM12">
    <cfRule type="containsText" dxfId="7" priority="35" operator="containsText" text="ü">
      <formula>NOT(ISERROR(SEARCH("ü",AM10)))</formula>
    </cfRule>
    <cfRule type="containsText" dxfId="6" priority="36" operator="containsText" text="û">
      <formula>NOT(ISERROR(SEARCH("û",AM10)))</formula>
    </cfRule>
  </conditionalFormatting>
  <conditionalFormatting sqref="AQ5:AQ6">
    <cfRule type="containsText" dxfId="5" priority="33" operator="containsText" text="ü">
      <formula>NOT(ISERROR(SEARCH("ü",AQ5)))</formula>
    </cfRule>
    <cfRule type="containsText" dxfId="4" priority="34" operator="containsText" text="û">
      <formula>NOT(ISERROR(SEARCH("û",AQ5)))</formula>
    </cfRule>
  </conditionalFormatting>
  <conditionalFormatting sqref="AQ9:AQ12">
    <cfRule type="containsText" dxfId="3" priority="31" operator="containsText" text="ü">
      <formula>NOT(ISERROR(SEARCH("ü",AQ9)))</formula>
    </cfRule>
    <cfRule type="containsText" dxfId="2" priority="32" operator="containsText" text="û">
      <formula>NOT(ISERROR(SEARCH("û",AQ9)))</formula>
    </cfRule>
  </conditionalFormatting>
  <conditionalFormatting sqref="AW5:AW12">
    <cfRule type="containsText" dxfId="1" priority="5" operator="containsText" text="ü">
      <formula>NOT(ISERROR(SEARCH("ü",AW5)))</formula>
    </cfRule>
    <cfRule type="containsText" dxfId="0" priority="6" operator="containsText" text="û">
      <formula>NOT(ISERROR(SEARCH("û",AW5)))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1B746-8A1E-4F6C-9846-81487FC76C84}">
  <sheetPr codeName="Sheet7"/>
  <dimension ref="B1:S43"/>
  <sheetViews>
    <sheetView showGridLines="0" topLeftCell="H23" zoomScale="102" zoomScaleNormal="85" zoomScaleSheetLayoutView="50" workbookViewId="0">
      <selection activeCell="P28" sqref="P28"/>
    </sheetView>
  </sheetViews>
  <sheetFormatPr defaultColWidth="8.81640625" defaultRowHeight="14.5"/>
  <cols>
    <col min="2" max="2" width="72.1796875" style="1" customWidth="1"/>
    <col min="3" max="3" width="19.1796875" style="1" bestFit="1" customWidth="1"/>
    <col min="4" max="4" width="12.453125" style="1" bestFit="1" customWidth="1"/>
    <col min="5" max="5" width="12.81640625" style="1" bestFit="1" customWidth="1"/>
    <col min="6" max="7" width="8.7265625" style="1"/>
    <col min="8" max="8" width="79.453125" bestFit="1" customWidth="1"/>
    <col min="9" max="9" width="15" customWidth="1"/>
    <col min="10" max="10" width="15.26953125" customWidth="1"/>
    <col min="11" max="11" width="16.81640625" customWidth="1"/>
    <col min="13" max="13" width="79.453125" bestFit="1" customWidth="1"/>
    <col min="14" max="14" width="16.7265625" bestFit="1" customWidth="1"/>
    <col min="15" max="15" width="10.7265625" bestFit="1" customWidth="1"/>
    <col min="16" max="16" width="11.453125" bestFit="1" customWidth="1"/>
    <col min="18" max="18" width="17.26953125" customWidth="1"/>
  </cols>
  <sheetData>
    <row r="1" spans="2:18">
      <c r="B1" s="358">
        <v>2022</v>
      </c>
      <c r="C1" s="358"/>
      <c r="D1" s="358"/>
      <c r="E1" s="358"/>
      <c r="H1" s="358">
        <v>2023</v>
      </c>
      <c r="I1" s="358"/>
      <c r="J1" s="358"/>
      <c r="K1" s="358"/>
      <c r="M1" s="355">
        <v>2024</v>
      </c>
      <c r="N1" s="355"/>
      <c r="O1" s="355"/>
      <c r="P1" s="355"/>
    </row>
    <row r="2" spans="2:18">
      <c r="B2" s="356" t="s">
        <v>177</v>
      </c>
      <c r="C2" s="356"/>
      <c r="D2" s="356"/>
      <c r="E2" s="356"/>
      <c r="H2" s="356" t="s">
        <v>178</v>
      </c>
      <c r="I2" s="356"/>
      <c r="J2" s="356"/>
      <c r="K2" s="356"/>
      <c r="M2" s="356" t="s">
        <v>179</v>
      </c>
      <c r="N2" s="356"/>
      <c r="O2" s="356"/>
      <c r="P2" s="356"/>
    </row>
    <row r="3" spans="2:18">
      <c r="H3" s="1"/>
      <c r="I3" s="1"/>
      <c r="J3" s="1"/>
      <c r="K3" s="1"/>
      <c r="M3" s="1"/>
      <c r="N3" s="1"/>
      <c r="O3" s="1"/>
      <c r="P3" s="1"/>
    </row>
    <row r="4" spans="2:18">
      <c r="B4" s="311" t="s">
        <v>180</v>
      </c>
      <c r="C4" s="311"/>
      <c r="D4" s="311"/>
      <c r="E4" s="311"/>
      <c r="H4" s="311" t="s">
        <v>180</v>
      </c>
      <c r="I4" s="311"/>
      <c r="J4" s="311"/>
      <c r="K4" s="311"/>
      <c r="M4" s="311" t="s">
        <v>180</v>
      </c>
      <c r="N4" s="311"/>
      <c r="O4" s="311"/>
      <c r="P4" s="311"/>
    </row>
    <row r="5" spans="2:18">
      <c r="B5" s="4" t="s">
        <v>181</v>
      </c>
      <c r="C5" s="4" t="s">
        <v>182</v>
      </c>
      <c r="D5" s="4" t="s">
        <v>18</v>
      </c>
      <c r="E5" s="50">
        <v>7.0000000000000007E-2</v>
      </c>
      <c r="H5" s="4" t="s">
        <v>181</v>
      </c>
      <c r="I5" s="4" t="s">
        <v>182</v>
      </c>
      <c r="J5" s="4" t="s">
        <v>18</v>
      </c>
      <c r="K5" s="50">
        <f>E5</f>
        <v>7.0000000000000007E-2</v>
      </c>
      <c r="M5" s="4" t="s">
        <v>181</v>
      </c>
      <c r="N5" s="4" t="s">
        <v>182</v>
      </c>
      <c r="O5" s="4" t="s">
        <v>18</v>
      </c>
      <c r="P5" s="51">
        <f>E5</f>
        <v>7.0000000000000007E-2</v>
      </c>
    </row>
    <row r="6" spans="2:18">
      <c r="B6" s="4" t="s">
        <v>183</v>
      </c>
      <c r="C6" s="4" t="s">
        <v>184</v>
      </c>
      <c r="D6" s="4"/>
      <c r="E6" s="33">
        <f>'GS10987 PTDs'!D36</f>
        <v>2739532.5</v>
      </c>
      <c r="H6" s="4" t="s">
        <v>183</v>
      </c>
      <c r="I6" s="4" t="s">
        <v>184</v>
      </c>
      <c r="J6" s="4"/>
      <c r="K6" s="33">
        <f>'GS10987 PTDs'!G36</f>
        <v>4236670.75</v>
      </c>
      <c r="M6" s="4" t="s">
        <v>183</v>
      </c>
      <c r="N6" s="4" t="s">
        <v>184</v>
      </c>
      <c r="O6" s="4"/>
      <c r="P6" s="33">
        <f>'GS10987 PTDs'!J36</f>
        <v>1248834.25</v>
      </c>
      <c r="R6" s="63">
        <f>SUM(P6,K6,E6)</f>
        <v>8225037.5</v>
      </c>
    </row>
    <row r="7" spans="2:18">
      <c r="B7" s="4" t="s">
        <v>185</v>
      </c>
      <c r="C7" s="4" t="s">
        <v>186</v>
      </c>
      <c r="D7" s="4" t="s">
        <v>187</v>
      </c>
      <c r="E7" s="34">
        <v>4.0000000000000002E-4</v>
      </c>
      <c r="H7" s="4" t="s">
        <v>185</v>
      </c>
      <c r="I7" s="4" t="s">
        <v>186</v>
      </c>
      <c r="J7" s="4" t="s">
        <v>187</v>
      </c>
      <c r="K7" s="34">
        <f>E7</f>
        <v>4.0000000000000002E-4</v>
      </c>
      <c r="M7" s="4" t="s">
        <v>185</v>
      </c>
      <c r="N7" s="4" t="s">
        <v>186</v>
      </c>
      <c r="O7" s="4" t="s">
        <v>187</v>
      </c>
      <c r="P7" s="34">
        <f>E7</f>
        <v>4.0000000000000002E-4</v>
      </c>
    </row>
    <row r="8" spans="2:18">
      <c r="B8" s="4" t="s">
        <v>188</v>
      </c>
      <c r="C8" s="4" t="s">
        <v>189</v>
      </c>
      <c r="D8" s="4" t="s">
        <v>190</v>
      </c>
      <c r="E8" s="35">
        <v>4</v>
      </c>
      <c r="H8" s="4" t="s">
        <v>188</v>
      </c>
      <c r="I8" s="4" t="s">
        <v>189</v>
      </c>
      <c r="J8" s="4" t="s">
        <v>190</v>
      </c>
      <c r="K8" s="35">
        <f t="shared" ref="K8:K9" si="0">E8</f>
        <v>4</v>
      </c>
      <c r="M8" s="4" t="s">
        <v>188</v>
      </c>
      <c r="N8" s="4" t="s">
        <v>189</v>
      </c>
      <c r="O8" s="4" t="s">
        <v>190</v>
      </c>
      <c r="P8" s="35">
        <f>E8</f>
        <v>4</v>
      </c>
    </row>
    <row r="9" spans="2:18">
      <c r="B9" s="21" t="s">
        <v>191</v>
      </c>
      <c r="C9" s="4" t="s">
        <v>192</v>
      </c>
      <c r="D9" s="4" t="s">
        <v>190</v>
      </c>
      <c r="E9" s="36">
        <v>0</v>
      </c>
      <c r="H9" s="4" t="s">
        <v>191</v>
      </c>
      <c r="I9" s="4" t="s">
        <v>192</v>
      </c>
      <c r="J9" s="4" t="s">
        <v>190</v>
      </c>
      <c r="K9" s="36">
        <f t="shared" si="0"/>
        <v>0</v>
      </c>
      <c r="M9" s="4" t="s">
        <v>191</v>
      </c>
      <c r="N9" s="4" t="s">
        <v>192</v>
      </c>
      <c r="O9" s="4" t="s">
        <v>190</v>
      </c>
      <c r="P9" s="36">
        <f>E9</f>
        <v>0</v>
      </c>
    </row>
    <row r="10" spans="2:18">
      <c r="B10" s="4" t="s">
        <v>193</v>
      </c>
      <c r="C10" s="4" t="s">
        <v>194</v>
      </c>
      <c r="D10" s="4" t="s">
        <v>195</v>
      </c>
      <c r="E10" s="33">
        <f>ROUNDDOWN((1-E5)*E6*E7*(E8+E9),0)</f>
        <v>4076</v>
      </c>
      <c r="H10" s="4" t="s">
        <v>193</v>
      </c>
      <c r="I10" s="4" t="s">
        <v>194</v>
      </c>
      <c r="J10" s="4" t="s">
        <v>195</v>
      </c>
      <c r="K10" s="33">
        <f>ROUNDDOWN((1-K5)*K6*K7*(K8+K9),0)</f>
        <v>6304</v>
      </c>
      <c r="M10" s="4" t="s">
        <v>193</v>
      </c>
      <c r="N10" s="4" t="s">
        <v>194</v>
      </c>
      <c r="O10" s="4" t="s">
        <v>195</v>
      </c>
      <c r="P10" s="33">
        <f>ROUNDDOWN((1-P5)*P6*P7*(P8+P9),0)</f>
        <v>1858</v>
      </c>
    </row>
    <row r="11" spans="2:18">
      <c r="H11" s="1"/>
      <c r="I11" s="1"/>
      <c r="J11" s="1"/>
      <c r="K11" s="1"/>
      <c r="M11" s="1"/>
      <c r="N11" s="1"/>
      <c r="O11" s="1"/>
      <c r="P11" s="1"/>
    </row>
    <row r="12" spans="2:18">
      <c r="B12" s="311" t="s">
        <v>196</v>
      </c>
      <c r="C12" s="311"/>
      <c r="D12" s="311"/>
      <c r="E12" s="311"/>
      <c r="H12" s="311" t="s">
        <v>196</v>
      </c>
      <c r="I12" s="311"/>
      <c r="J12" s="311"/>
      <c r="K12" s="311"/>
      <c r="M12" s="311" t="s">
        <v>196</v>
      </c>
      <c r="N12" s="311"/>
      <c r="O12" s="311"/>
      <c r="P12" s="311"/>
    </row>
    <row r="13" spans="2:18">
      <c r="B13" s="4" t="s">
        <v>197</v>
      </c>
      <c r="C13" s="4" t="s">
        <v>182</v>
      </c>
      <c r="D13" s="4" t="s">
        <v>27</v>
      </c>
      <c r="E13" s="51">
        <f>E5</f>
        <v>7.0000000000000007E-2</v>
      </c>
      <c r="H13" s="4" t="s">
        <v>197</v>
      </c>
      <c r="I13" s="4" t="s">
        <v>182</v>
      </c>
      <c r="J13" s="4" t="s">
        <v>27</v>
      </c>
      <c r="K13" s="51">
        <f>E13</f>
        <v>7.0000000000000007E-2</v>
      </c>
      <c r="M13" s="4" t="s">
        <v>197</v>
      </c>
      <c r="N13" s="4" t="s">
        <v>182</v>
      </c>
      <c r="O13" s="4" t="s">
        <v>27</v>
      </c>
      <c r="P13" s="51">
        <f>E13</f>
        <v>7.0000000000000007E-2</v>
      </c>
    </row>
    <row r="14" spans="2:18">
      <c r="B14" s="4" t="s">
        <v>183</v>
      </c>
      <c r="C14" s="4" t="s">
        <v>184</v>
      </c>
      <c r="D14" s="4"/>
      <c r="E14" s="33">
        <f>E6</f>
        <v>2739532.5</v>
      </c>
      <c r="H14" s="4" t="s">
        <v>183</v>
      </c>
      <c r="I14" s="4" t="s">
        <v>184</v>
      </c>
      <c r="J14" s="4"/>
      <c r="K14" s="246">
        <f>K6</f>
        <v>4236670.75</v>
      </c>
      <c r="M14" s="4" t="s">
        <v>183</v>
      </c>
      <c r="N14" s="4" t="s">
        <v>184</v>
      </c>
      <c r="O14" s="4"/>
      <c r="P14" s="246">
        <f>P6</f>
        <v>1248834.25</v>
      </c>
    </row>
    <row r="15" spans="2:18">
      <c r="B15" s="4" t="s">
        <v>198</v>
      </c>
      <c r="C15" s="4" t="s">
        <v>199</v>
      </c>
      <c r="D15" s="4" t="s">
        <v>187</v>
      </c>
      <c r="E15" s="38">
        <f>E7</f>
        <v>4.0000000000000002E-4</v>
      </c>
      <c r="H15" s="4" t="s">
        <v>198</v>
      </c>
      <c r="I15" s="4" t="s">
        <v>199</v>
      </c>
      <c r="J15" s="4" t="s">
        <v>187</v>
      </c>
      <c r="K15" s="183">
        <f>E15</f>
        <v>4.0000000000000002E-4</v>
      </c>
      <c r="M15" s="4" t="s">
        <v>198</v>
      </c>
      <c r="N15" s="4" t="s">
        <v>199</v>
      </c>
      <c r="O15" s="4" t="s">
        <v>187</v>
      </c>
      <c r="P15" s="183">
        <f>E15</f>
        <v>4.0000000000000002E-4</v>
      </c>
    </row>
    <row r="16" spans="2:18">
      <c r="B16" s="4" t="s">
        <v>200</v>
      </c>
      <c r="C16" s="4" t="s">
        <v>201</v>
      </c>
      <c r="D16" s="4" t="s">
        <v>190</v>
      </c>
      <c r="E16" s="39">
        <v>0</v>
      </c>
      <c r="H16" s="4" t="s">
        <v>200</v>
      </c>
      <c r="I16" s="4" t="s">
        <v>201</v>
      </c>
      <c r="J16" s="4" t="s">
        <v>190</v>
      </c>
      <c r="K16" s="184">
        <f>E16</f>
        <v>0</v>
      </c>
      <c r="M16" s="4" t="s">
        <v>200</v>
      </c>
      <c r="N16" s="4" t="s">
        <v>201</v>
      </c>
      <c r="O16" s="4" t="s">
        <v>190</v>
      </c>
      <c r="P16" s="184">
        <f>E16</f>
        <v>0</v>
      </c>
    </row>
    <row r="17" spans="2:19">
      <c r="B17" s="4" t="s">
        <v>202</v>
      </c>
      <c r="C17" s="4" t="s">
        <v>203</v>
      </c>
      <c r="D17" s="4" t="s">
        <v>190</v>
      </c>
      <c r="E17" s="39">
        <v>0</v>
      </c>
      <c r="H17" s="4" t="s">
        <v>202</v>
      </c>
      <c r="I17" s="4" t="s">
        <v>203</v>
      </c>
      <c r="J17" s="4" t="s">
        <v>190</v>
      </c>
      <c r="K17" s="116">
        <f>0.0314465408805031*4</f>
        <v>0.12578616352201241</v>
      </c>
      <c r="M17" s="4" t="s">
        <v>202</v>
      </c>
      <c r="N17" s="4" t="s">
        <v>203</v>
      </c>
      <c r="O17" s="4" t="s">
        <v>190</v>
      </c>
      <c r="P17" s="116">
        <f>0.0314465408805031*4</f>
        <v>0.12578616352201241</v>
      </c>
    </row>
    <row r="18" spans="2:19">
      <c r="B18" s="4" t="s">
        <v>204</v>
      </c>
      <c r="C18" s="4" t="s">
        <v>205</v>
      </c>
      <c r="D18" s="4" t="s">
        <v>195</v>
      </c>
      <c r="E18" s="36">
        <f>ROUNDDOWN((1-E13)*E14*E15*(E16+E17),0)</f>
        <v>0</v>
      </c>
      <c r="H18" s="4" t="s">
        <v>204</v>
      </c>
      <c r="I18" s="4" t="s">
        <v>205</v>
      </c>
      <c r="J18" s="4" t="s">
        <v>195</v>
      </c>
      <c r="K18" s="36">
        <f>ROUNDDOWN((1-K13)*K14*K15*(K16+K17),0)</f>
        <v>198</v>
      </c>
      <c r="M18" s="4" t="s">
        <v>204</v>
      </c>
      <c r="N18" s="4" t="s">
        <v>205</v>
      </c>
      <c r="O18" s="4" t="s">
        <v>195</v>
      </c>
      <c r="P18" s="36">
        <f>ROUNDDOWN((1-P13)*P14*P15*(P16+P17),0)</f>
        <v>58</v>
      </c>
    </row>
    <row r="19" spans="2:19">
      <c r="H19" s="1"/>
      <c r="I19" s="1"/>
      <c r="J19" s="1"/>
      <c r="K19" s="1"/>
      <c r="M19" s="1"/>
      <c r="N19" s="1"/>
      <c r="O19" s="1"/>
      <c r="P19" s="1"/>
    </row>
    <row r="20" spans="2:19">
      <c r="B20" s="353" t="s">
        <v>206</v>
      </c>
      <c r="C20" s="323"/>
      <c r="D20" s="323"/>
      <c r="E20" s="354"/>
      <c r="H20" s="353" t="s">
        <v>206</v>
      </c>
      <c r="I20" s="323"/>
      <c r="J20" s="323"/>
      <c r="K20" s="354"/>
      <c r="M20" s="353" t="s">
        <v>206</v>
      </c>
      <c r="N20" s="323"/>
      <c r="O20" s="323"/>
      <c r="P20" s="354"/>
    </row>
    <row r="21" spans="2:19">
      <c r="B21" s="21" t="s">
        <v>207</v>
      </c>
      <c r="C21" s="4" t="s">
        <v>207</v>
      </c>
      <c r="D21" s="4" t="s">
        <v>208</v>
      </c>
      <c r="E21" s="37">
        <v>0.92</v>
      </c>
      <c r="H21" s="21" t="s">
        <v>207</v>
      </c>
      <c r="I21" s="4" t="s">
        <v>207</v>
      </c>
      <c r="J21" s="4" t="s">
        <v>208</v>
      </c>
      <c r="K21" s="37">
        <f>E21</f>
        <v>0.92</v>
      </c>
      <c r="M21" s="21" t="s">
        <v>207</v>
      </c>
      <c r="N21" s="4" t="s">
        <v>207</v>
      </c>
      <c r="O21" s="4" t="s">
        <v>208</v>
      </c>
      <c r="P21" s="37">
        <f>E21</f>
        <v>0.92</v>
      </c>
    </row>
    <row r="22" spans="2:19">
      <c r="B22" s="4" t="s">
        <v>209</v>
      </c>
      <c r="C22" s="4" t="s">
        <v>210</v>
      </c>
      <c r="D22" s="4" t="s">
        <v>211</v>
      </c>
      <c r="E22" s="39">
        <v>112</v>
      </c>
      <c r="H22" s="4" t="s">
        <v>209</v>
      </c>
      <c r="I22" s="4" t="s">
        <v>210</v>
      </c>
      <c r="J22" s="4" t="s">
        <v>211</v>
      </c>
      <c r="K22" s="36">
        <f>E22</f>
        <v>112</v>
      </c>
      <c r="M22" s="4" t="s">
        <v>209</v>
      </c>
      <c r="N22" s="4" t="s">
        <v>210</v>
      </c>
      <c r="O22" s="4" t="s">
        <v>211</v>
      </c>
      <c r="P22" s="36">
        <f>E22</f>
        <v>112</v>
      </c>
    </row>
    <row r="23" spans="2:19">
      <c r="B23" s="4" t="s">
        <v>212</v>
      </c>
      <c r="C23" s="4" t="s">
        <v>213</v>
      </c>
      <c r="D23" s="4" t="s">
        <v>214</v>
      </c>
      <c r="E23" s="39">
        <v>9.4600000000000009</v>
      </c>
      <c r="H23" s="4" t="s">
        <v>212</v>
      </c>
      <c r="I23" s="4" t="s">
        <v>213</v>
      </c>
      <c r="J23" s="4" t="s">
        <v>214</v>
      </c>
      <c r="K23" s="37">
        <f t="shared" ref="K23:K24" si="1">E23</f>
        <v>9.4600000000000009</v>
      </c>
      <c r="M23" s="4" t="s">
        <v>212</v>
      </c>
      <c r="N23" s="4" t="s">
        <v>213</v>
      </c>
      <c r="O23" s="4" t="s">
        <v>214</v>
      </c>
      <c r="P23" s="37">
        <f>E23</f>
        <v>9.4600000000000009</v>
      </c>
    </row>
    <row r="24" spans="2:19">
      <c r="B24" s="4" t="s">
        <v>215</v>
      </c>
      <c r="C24" s="4" t="s">
        <v>216</v>
      </c>
      <c r="D24" s="4" t="s">
        <v>217</v>
      </c>
      <c r="E24" s="39">
        <v>1.5599999999999999E-2</v>
      </c>
      <c r="H24" s="4" t="s">
        <v>215</v>
      </c>
      <c r="I24" s="4" t="s">
        <v>216</v>
      </c>
      <c r="J24" s="4" t="s">
        <v>217</v>
      </c>
      <c r="K24" s="116">
        <f t="shared" si="1"/>
        <v>1.5599999999999999E-2</v>
      </c>
      <c r="M24" s="4" t="s">
        <v>215</v>
      </c>
      <c r="N24" s="4" t="s">
        <v>216</v>
      </c>
      <c r="O24" s="4" t="s">
        <v>217</v>
      </c>
      <c r="P24" s="116">
        <f>E24</f>
        <v>1.5599999999999999E-2</v>
      </c>
    </row>
    <row r="25" spans="2:19">
      <c r="H25" s="1"/>
      <c r="I25" s="1"/>
      <c r="J25" s="1"/>
      <c r="K25" s="1"/>
      <c r="M25" s="1"/>
      <c r="N25" s="1"/>
      <c r="O25" s="1"/>
      <c r="P25" s="1"/>
    </row>
    <row r="26" spans="2:19">
      <c r="B26" s="353" t="s">
        <v>6</v>
      </c>
      <c r="C26" s="323"/>
      <c r="D26" s="323"/>
      <c r="E26" s="354"/>
      <c r="H26" s="353" t="s">
        <v>6</v>
      </c>
      <c r="I26" s="323"/>
      <c r="J26" s="323"/>
      <c r="K26" s="354"/>
      <c r="M26" s="353" t="s">
        <v>6</v>
      </c>
      <c r="N26" s="323"/>
      <c r="O26" s="323"/>
      <c r="P26" s="354"/>
    </row>
    <row r="27" spans="2:19">
      <c r="B27" s="4" t="s">
        <v>11</v>
      </c>
      <c r="C27" s="4" t="s">
        <v>12</v>
      </c>
      <c r="D27" s="4" t="s">
        <v>13</v>
      </c>
      <c r="E27" s="298">
        <f>ROUNDDOWN(E10*((E22*E21)+E23)*E24,0)</f>
        <v>7153</v>
      </c>
      <c r="H27" s="4" t="s">
        <v>11</v>
      </c>
      <c r="I27" s="4" t="s">
        <v>12</v>
      </c>
      <c r="J27" s="4" t="s">
        <v>13</v>
      </c>
      <c r="K27" s="40">
        <f>ROUNDDOWN(K10*((K22*K21)+K23)*K24,0)</f>
        <v>11063</v>
      </c>
      <c r="M27" s="4" t="s">
        <v>11</v>
      </c>
      <c r="N27" s="4" t="s">
        <v>12</v>
      </c>
      <c r="O27" s="4" t="s">
        <v>13</v>
      </c>
      <c r="P27" s="40">
        <f>ROUNDDOWN(P10*((P22*P21)+P23)*P24,0)</f>
        <v>3260</v>
      </c>
      <c r="Q27" s="257"/>
      <c r="R27" s="257"/>
      <c r="S27" s="257"/>
    </row>
    <row r="28" spans="2:19">
      <c r="B28" s="4" t="s">
        <v>14</v>
      </c>
      <c r="C28" s="4" t="s">
        <v>15</v>
      </c>
      <c r="D28" s="43" t="s">
        <v>13</v>
      </c>
      <c r="E28" s="297">
        <f>E18*((E22*E21)+E23)*E24</f>
        <v>0</v>
      </c>
      <c r="H28" s="4" t="s">
        <v>14</v>
      </c>
      <c r="I28" s="4" t="s">
        <v>15</v>
      </c>
      <c r="J28" s="4" t="s">
        <v>13</v>
      </c>
      <c r="K28" s="40">
        <f>K18*((K22*K21)+K23)*K24</f>
        <v>347.49</v>
      </c>
      <c r="M28" s="4" t="s">
        <v>14</v>
      </c>
      <c r="N28" s="4" t="s">
        <v>15</v>
      </c>
      <c r="O28" s="4" t="s">
        <v>13</v>
      </c>
      <c r="P28" s="40">
        <f>P18*((P22*P21)+P23)*P24</f>
        <v>101.78999999999999</v>
      </c>
      <c r="R28" s="257"/>
    </row>
    <row r="29" spans="2:19">
      <c r="B29" s="4" t="s">
        <v>16</v>
      </c>
      <c r="C29" s="4" t="s">
        <v>17</v>
      </c>
      <c r="D29" s="4" t="s">
        <v>18</v>
      </c>
      <c r="E29" s="261">
        <v>0.70899999999999996</v>
      </c>
      <c r="H29" s="4" t="s">
        <v>16</v>
      </c>
      <c r="I29" s="4" t="s">
        <v>17</v>
      </c>
      <c r="J29" s="4" t="s">
        <v>18</v>
      </c>
      <c r="K29" s="44">
        <v>0.80220000000000002</v>
      </c>
      <c r="M29" s="4" t="s">
        <v>16</v>
      </c>
      <c r="N29" s="4" t="s">
        <v>17</v>
      </c>
      <c r="O29" s="4" t="s">
        <v>18</v>
      </c>
      <c r="P29" s="44">
        <v>0.80220000000000002</v>
      </c>
    </row>
    <row r="30" spans="2:19">
      <c r="B30" s="4" t="s">
        <v>19</v>
      </c>
      <c r="C30" s="4" t="s">
        <v>20</v>
      </c>
      <c r="D30" s="4" t="s">
        <v>13</v>
      </c>
      <c r="E30" s="41">
        <v>0.05</v>
      </c>
      <c r="H30" s="4" t="s">
        <v>19</v>
      </c>
      <c r="I30" s="4" t="s">
        <v>20</v>
      </c>
      <c r="J30" s="4" t="s">
        <v>13</v>
      </c>
      <c r="K30" s="41">
        <f>E30</f>
        <v>0.05</v>
      </c>
      <c r="M30" s="4" t="s">
        <v>19</v>
      </c>
      <c r="N30" s="4" t="s">
        <v>20</v>
      </c>
      <c r="O30" s="4" t="s">
        <v>13</v>
      </c>
      <c r="P30" s="41">
        <f>E30</f>
        <v>0.05</v>
      </c>
    </row>
    <row r="31" spans="2:19">
      <c r="B31" s="4" t="s">
        <v>218</v>
      </c>
      <c r="C31" s="4" t="s">
        <v>22</v>
      </c>
      <c r="D31" s="4" t="s">
        <v>13</v>
      </c>
      <c r="E31" s="33">
        <f>ROUNDDOWN(((E27-E28)*E29)*(1-E30),0)</f>
        <v>4817</v>
      </c>
      <c r="H31" s="4" t="s">
        <v>218</v>
      </c>
      <c r="I31" s="4" t="s">
        <v>22</v>
      </c>
      <c r="J31" s="4" t="s">
        <v>13</v>
      </c>
      <c r="K31" s="184">
        <f>ROUNDDOWN(((K27-K28)*K29)*(1-K30),0)</f>
        <v>8166</v>
      </c>
      <c r="M31" s="4" t="s">
        <v>218</v>
      </c>
      <c r="N31" s="4" t="s">
        <v>22</v>
      </c>
      <c r="O31" s="4" t="s">
        <v>13</v>
      </c>
      <c r="P31" s="184">
        <f>ROUNDDOWN(((P27-P28)*P29)*(1-P30),0)</f>
        <v>2406</v>
      </c>
    </row>
    <row r="32" spans="2:19">
      <c r="D32" s="42"/>
      <c r="H32" s="1"/>
      <c r="I32" s="1"/>
      <c r="J32" s="42"/>
      <c r="K32" s="1"/>
      <c r="M32" s="1"/>
      <c r="N32" s="1"/>
      <c r="O32" s="42"/>
      <c r="P32" s="1"/>
    </row>
    <row r="33" spans="2:16">
      <c r="B33" s="353" t="s">
        <v>23</v>
      </c>
      <c r="C33" s="323"/>
      <c r="D33" s="323"/>
      <c r="E33" s="354"/>
      <c r="H33" s="353" t="s">
        <v>23</v>
      </c>
      <c r="I33" s="323"/>
      <c r="J33" s="323"/>
      <c r="K33" s="354"/>
      <c r="M33" s="353" t="s">
        <v>23</v>
      </c>
      <c r="N33" s="323"/>
      <c r="O33" s="323"/>
      <c r="P33" s="354"/>
    </row>
    <row r="34" spans="2:16">
      <c r="B34" s="43" t="s">
        <v>25</v>
      </c>
      <c r="C34" s="4" t="s">
        <v>26</v>
      </c>
      <c r="D34" s="10" t="s">
        <v>27</v>
      </c>
      <c r="E34" s="248">
        <v>0.17399999999999999</v>
      </c>
      <c r="H34" s="43" t="s">
        <v>25</v>
      </c>
      <c r="I34" s="4" t="s">
        <v>26</v>
      </c>
      <c r="J34" s="10" t="s">
        <v>27</v>
      </c>
      <c r="K34" s="44">
        <f>E34</f>
        <v>0.17399999999999999</v>
      </c>
      <c r="M34" s="43" t="s">
        <v>25</v>
      </c>
      <c r="N34" s="4" t="s">
        <v>26</v>
      </c>
      <c r="O34" s="10" t="s">
        <v>27</v>
      </c>
      <c r="P34" s="44">
        <f>E34</f>
        <v>0.17399999999999999</v>
      </c>
    </row>
    <row r="35" spans="2:16">
      <c r="B35" s="45" t="s">
        <v>219</v>
      </c>
      <c r="C35" s="13" t="s">
        <v>22</v>
      </c>
      <c r="D35" s="46" t="s">
        <v>13</v>
      </c>
      <c r="E35" s="115">
        <f>ROUNDDOWN(E31*(1-E34),0)</f>
        <v>3978</v>
      </c>
      <c r="H35" s="47" t="s">
        <v>219</v>
      </c>
      <c r="I35" s="13" t="s">
        <v>22</v>
      </c>
      <c r="J35" s="46" t="s">
        <v>13</v>
      </c>
      <c r="K35" s="115">
        <f>ROUNDDOWN(K31*(1-K34),0)</f>
        <v>6745</v>
      </c>
      <c r="M35" s="47" t="s">
        <v>219</v>
      </c>
      <c r="N35" s="13" t="s">
        <v>22</v>
      </c>
      <c r="O35" s="46" t="s">
        <v>13</v>
      </c>
      <c r="P35" s="115">
        <f>ROUNDDOWN(P31*(1-P34),0)</f>
        <v>1987</v>
      </c>
    </row>
    <row r="36" spans="2:16">
      <c r="H36" s="1"/>
      <c r="I36" s="1"/>
      <c r="J36" s="1"/>
      <c r="K36" s="1"/>
      <c r="M36" s="1"/>
      <c r="N36" s="1"/>
      <c r="O36" s="1"/>
      <c r="P36" s="1"/>
    </row>
    <row r="37" spans="2:16">
      <c r="B37" s="47" t="s">
        <v>220</v>
      </c>
      <c r="C37" s="13"/>
      <c r="D37" s="46" t="s">
        <v>13</v>
      </c>
      <c r="E37" s="117">
        <f>IF(E35&gt;'GS10987 PTDs'!C21*'GS10987 PTDs'!C20,'GS10987 PTDs'!C21*'GS10987 PTDs'!C20,E35)</f>
        <v>3978</v>
      </c>
      <c r="H37" s="47" t="s">
        <v>220</v>
      </c>
      <c r="I37" s="13"/>
      <c r="J37" s="46" t="s">
        <v>13</v>
      </c>
      <c r="K37" s="117">
        <f>IF(K35&gt;'GS10987 PTDs'!C21*'GS10987 PTDs'!C20,'GS10987 PTDs'!C21*'GS10987 PTDs'!C20,K35)</f>
        <v>6745</v>
      </c>
      <c r="M37" s="47" t="s">
        <v>220</v>
      </c>
      <c r="N37" s="13"/>
      <c r="O37" s="46" t="s">
        <v>13</v>
      </c>
      <c r="P37" s="117">
        <f>IF(P35&gt;'GS10987 PTDs'!C21*'GS10987 PTDs'!C20,'GS10987 PTDs'!C21*'GS10987 PTDs'!C20,P35)</f>
        <v>1987</v>
      </c>
    </row>
    <row r="38" spans="2:16" ht="30" customHeight="1">
      <c r="B38" s="357" t="s">
        <v>221</v>
      </c>
      <c r="C38" s="357"/>
      <c r="D38" s="357"/>
      <c r="E38" s="357"/>
    </row>
    <row r="39" spans="2:16" ht="30" customHeight="1"/>
    <row r="43" spans="2:16">
      <c r="E43" s="6"/>
    </row>
  </sheetData>
  <mergeCells count="22">
    <mergeCell ref="B38:E38"/>
    <mergeCell ref="B26:E26"/>
    <mergeCell ref="B33:E33"/>
    <mergeCell ref="H33:K33"/>
    <mergeCell ref="H1:K1"/>
    <mergeCell ref="B1:E1"/>
    <mergeCell ref="H2:K2"/>
    <mergeCell ref="H4:K4"/>
    <mergeCell ref="H12:K12"/>
    <mergeCell ref="H20:K20"/>
    <mergeCell ref="H26:K26"/>
    <mergeCell ref="B2:E2"/>
    <mergeCell ref="B4:E4"/>
    <mergeCell ref="B12:E12"/>
    <mergeCell ref="B20:E20"/>
    <mergeCell ref="M33:P33"/>
    <mergeCell ref="M1:P1"/>
    <mergeCell ref="M2:P2"/>
    <mergeCell ref="M4:P4"/>
    <mergeCell ref="M12:P12"/>
    <mergeCell ref="M20:P20"/>
    <mergeCell ref="M26:P2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3FDE-17F7-4C50-AA75-76073398B079}">
  <sheetPr codeName="Sheet8"/>
  <dimension ref="B1:Q44"/>
  <sheetViews>
    <sheetView showGridLines="0" tabSelected="1" topLeftCell="A24" zoomScale="90" zoomScaleNormal="90" workbookViewId="0">
      <selection activeCell="C40" sqref="C40"/>
    </sheetView>
  </sheetViews>
  <sheetFormatPr defaultColWidth="8.81640625" defaultRowHeight="14.5"/>
  <cols>
    <col min="2" max="2" width="72.1796875" style="1" customWidth="1"/>
    <col min="3" max="3" width="19.1796875" style="1" bestFit="1" customWidth="1"/>
    <col min="4" max="4" width="12.453125" style="1" bestFit="1" customWidth="1"/>
    <col min="5" max="5" width="12.81640625" style="1" bestFit="1" customWidth="1"/>
    <col min="6" max="6" width="8.7265625" style="1"/>
    <col min="7" max="7" width="72.1796875" style="1" customWidth="1"/>
    <col min="8" max="8" width="19.1796875" style="1" bestFit="1" customWidth="1"/>
    <col min="9" max="9" width="12.453125" style="1" bestFit="1" customWidth="1"/>
    <col min="10" max="10" width="12.81640625" style="1" bestFit="1" customWidth="1"/>
    <col min="12" max="12" width="72.1796875" style="1" customWidth="1"/>
    <col min="13" max="13" width="19.1796875" style="1" bestFit="1" customWidth="1"/>
    <col min="14" max="14" width="12.453125" style="1" bestFit="1" customWidth="1"/>
    <col min="15" max="15" width="12.81640625" style="1" bestFit="1" customWidth="1"/>
    <col min="16" max="16" width="19.1796875" customWidth="1"/>
    <col min="17" max="17" width="26.1796875" customWidth="1"/>
  </cols>
  <sheetData>
    <row r="1" spans="2:17">
      <c r="B1" s="358">
        <v>2022</v>
      </c>
      <c r="C1" s="358"/>
      <c r="D1" s="358"/>
      <c r="E1" s="358"/>
      <c r="G1" s="358">
        <v>2023</v>
      </c>
      <c r="H1" s="358"/>
      <c r="I1" s="358"/>
      <c r="J1" s="358"/>
      <c r="L1" s="358">
        <v>2024</v>
      </c>
      <c r="M1" s="358"/>
      <c r="N1" s="358"/>
      <c r="O1" s="358"/>
    </row>
    <row r="2" spans="2:17">
      <c r="B2" s="356" t="s">
        <v>177</v>
      </c>
      <c r="C2" s="356"/>
      <c r="D2" s="356"/>
      <c r="E2" s="356"/>
      <c r="G2" s="356" t="s">
        <v>178</v>
      </c>
      <c r="H2" s="356"/>
      <c r="I2" s="356"/>
      <c r="J2" s="356"/>
      <c r="L2" s="356" t="s">
        <v>179</v>
      </c>
      <c r="M2" s="356"/>
      <c r="N2" s="356"/>
      <c r="O2" s="356"/>
    </row>
    <row r="4" spans="2:17">
      <c r="B4" s="311" t="s">
        <v>180</v>
      </c>
      <c r="C4" s="311"/>
      <c r="D4" s="311"/>
      <c r="E4" s="311"/>
      <c r="G4" s="311" t="s">
        <v>180</v>
      </c>
      <c r="H4" s="311"/>
      <c r="I4" s="311"/>
      <c r="J4" s="311"/>
      <c r="L4" s="311" t="s">
        <v>180</v>
      </c>
      <c r="M4" s="311"/>
      <c r="N4" s="311"/>
      <c r="O4" s="311"/>
    </row>
    <row r="5" spans="2:17">
      <c r="B5" s="4" t="s">
        <v>181</v>
      </c>
      <c r="C5" s="4" t="s">
        <v>182</v>
      </c>
      <c r="D5" s="4" t="s">
        <v>18</v>
      </c>
      <c r="E5" s="51">
        <v>7.0000000000000007E-2</v>
      </c>
      <c r="G5" s="4" t="s">
        <v>181</v>
      </c>
      <c r="H5" s="4" t="s">
        <v>182</v>
      </c>
      <c r="I5" s="4" t="s">
        <v>18</v>
      </c>
      <c r="J5" s="50">
        <v>7.0000000000000007E-2</v>
      </c>
      <c r="L5" s="4" t="s">
        <v>181</v>
      </c>
      <c r="M5" s="4" t="s">
        <v>182</v>
      </c>
      <c r="N5" s="4" t="s">
        <v>18</v>
      </c>
      <c r="O5" s="50">
        <v>7.0000000000000007E-2</v>
      </c>
    </row>
    <row r="6" spans="2:17">
      <c r="B6" s="4" t="s">
        <v>183</v>
      </c>
      <c r="C6" s="4" t="s">
        <v>184</v>
      </c>
      <c r="D6" s="4"/>
      <c r="E6" s="33">
        <f>'GS10987 PTDs'!E36</f>
        <v>8218597.5</v>
      </c>
      <c r="G6" s="4" t="s">
        <v>183</v>
      </c>
      <c r="H6" s="4" t="s">
        <v>184</v>
      </c>
      <c r="I6" s="4"/>
      <c r="J6" s="33">
        <f>'GS10987 PTDs'!H36</f>
        <v>12710012.25</v>
      </c>
      <c r="L6" s="4" t="s">
        <v>183</v>
      </c>
      <c r="M6" s="4" t="s">
        <v>184</v>
      </c>
      <c r="N6" s="4"/>
      <c r="O6" s="33">
        <f>'GS10987 PTDs'!K36</f>
        <v>3746502.75</v>
      </c>
      <c r="P6" s="63"/>
      <c r="Q6" s="63">
        <f>SUM(O6,J6,E6)</f>
        <v>24675112.5</v>
      </c>
    </row>
    <row r="7" spans="2:17">
      <c r="B7" s="4" t="s">
        <v>185</v>
      </c>
      <c r="C7" s="4" t="s">
        <v>186</v>
      </c>
      <c r="D7" s="4" t="s">
        <v>187</v>
      </c>
      <c r="E7" s="116">
        <v>1E-4</v>
      </c>
      <c r="G7" s="4" t="s">
        <v>185</v>
      </c>
      <c r="H7" s="4" t="s">
        <v>186</v>
      </c>
      <c r="I7" s="4" t="s">
        <v>187</v>
      </c>
      <c r="J7" s="116">
        <v>1E-4</v>
      </c>
      <c r="L7" s="4" t="s">
        <v>185</v>
      </c>
      <c r="M7" s="4" t="s">
        <v>186</v>
      </c>
      <c r="N7" s="4" t="s">
        <v>187</v>
      </c>
      <c r="O7" s="116">
        <v>1E-4</v>
      </c>
    </row>
    <row r="8" spans="2:17" ht="29">
      <c r="B8" s="21" t="s">
        <v>188</v>
      </c>
      <c r="C8" s="4" t="s">
        <v>189</v>
      </c>
      <c r="D8" s="4" t="s">
        <v>190</v>
      </c>
      <c r="E8" s="35">
        <v>4</v>
      </c>
      <c r="G8" s="21" t="s">
        <v>188</v>
      </c>
      <c r="H8" s="4" t="s">
        <v>189</v>
      </c>
      <c r="I8" s="4" t="s">
        <v>190</v>
      </c>
      <c r="J8" s="35">
        <v>4</v>
      </c>
      <c r="L8" s="21" t="s">
        <v>188</v>
      </c>
      <c r="M8" s="4" t="s">
        <v>189</v>
      </c>
      <c r="N8" s="4" t="s">
        <v>190</v>
      </c>
      <c r="O8" s="35">
        <v>4</v>
      </c>
    </row>
    <row r="9" spans="2:17">
      <c r="B9" s="21" t="s">
        <v>191</v>
      </c>
      <c r="C9" s="4" t="s">
        <v>192</v>
      </c>
      <c r="D9" s="4" t="s">
        <v>190</v>
      </c>
      <c r="E9" s="36">
        <v>0</v>
      </c>
      <c r="G9" s="21" t="s">
        <v>191</v>
      </c>
      <c r="H9" s="4" t="s">
        <v>192</v>
      </c>
      <c r="I9" s="4" t="s">
        <v>190</v>
      </c>
      <c r="J9" s="36">
        <v>0</v>
      </c>
      <c r="L9" s="21" t="s">
        <v>191</v>
      </c>
      <c r="M9" s="4" t="s">
        <v>192</v>
      </c>
      <c r="N9" s="4" t="s">
        <v>190</v>
      </c>
      <c r="O9" s="36">
        <v>0</v>
      </c>
    </row>
    <row r="10" spans="2:17">
      <c r="B10" s="4" t="s">
        <v>193</v>
      </c>
      <c r="C10" s="4" t="s">
        <v>194</v>
      </c>
      <c r="D10" s="4" t="s">
        <v>195</v>
      </c>
      <c r="E10" s="33">
        <f>ROUNDDOWN((1-E5)*E6*E7*(E8+E9),0)</f>
        <v>3057</v>
      </c>
      <c r="G10" s="4" t="s">
        <v>193</v>
      </c>
      <c r="H10" s="4" t="s">
        <v>194</v>
      </c>
      <c r="I10" s="4" t="s">
        <v>195</v>
      </c>
      <c r="J10" s="33">
        <f>ROUNDDOWN((1-J5)*J6*J7*(J8+J9),0)</f>
        <v>4728</v>
      </c>
      <c r="L10" s="4" t="s">
        <v>193</v>
      </c>
      <c r="M10" s="4" t="s">
        <v>194</v>
      </c>
      <c r="N10" s="4" t="s">
        <v>195</v>
      </c>
      <c r="O10" s="33">
        <f>ROUNDDOWN((1-O5)*O6*O7*(O8+O9),0)</f>
        <v>1393</v>
      </c>
    </row>
    <row r="12" spans="2:17">
      <c r="B12" s="311" t="s">
        <v>196</v>
      </c>
      <c r="C12" s="311"/>
      <c r="D12" s="311"/>
      <c r="E12" s="311"/>
      <c r="G12" s="311" t="s">
        <v>196</v>
      </c>
      <c r="H12" s="311"/>
      <c r="I12" s="311"/>
      <c r="J12" s="311"/>
      <c r="L12" s="311" t="s">
        <v>196</v>
      </c>
      <c r="M12" s="311"/>
      <c r="N12" s="311"/>
      <c r="O12" s="311"/>
    </row>
    <row r="13" spans="2:17">
      <c r="B13" s="4" t="s">
        <v>197</v>
      </c>
      <c r="C13" s="4" t="s">
        <v>182</v>
      </c>
      <c r="D13" s="4" t="s">
        <v>27</v>
      </c>
      <c r="E13" s="51">
        <f>E5</f>
        <v>7.0000000000000007E-2</v>
      </c>
      <c r="G13" s="4" t="s">
        <v>197</v>
      </c>
      <c r="H13" s="4" t="s">
        <v>182</v>
      </c>
      <c r="I13" s="4" t="s">
        <v>27</v>
      </c>
      <c r="J13" s="51">
        <f>J5</f>
        <v>7.0000000000000007E-2</v>
      </c>
      <c r="L13" s="4" t="s">
        <v>197</v>
      </c>
      <c r="M13" s="4" t="s">
        <v>182</v>
      </c>
      <c r="N13" s="4" t="s">
        <v>27</v>
      </c>
      <c r="O13" s="51">
        <f>O5</f>
        <v>7.0000000000000007E-2</v>
      </c>
    </row>
    <row r="14" spans="2:17">
      <c r="B14" s="4" t="s">
        <v>183</v>
      </c>
      <c r="C14" s="4" t="s">
        <v>184</v>
      </c>
      <c r="D14" s="4"/>
      <c r="E14" s="33">
        <f>E6</f>
        <v>8218597.5</v>
      </c>
      <c r="G14" s="4" t="s">
        <v>183</v>
      </c>
      <c r="H14" s="4" t="s">
        <v>184</v>
      </c>
      <c r="I14" s="4"/>
      <c r="J14" s="33">
        <f>J6</f>
        <v>12710012.25</v>
      </c>
      <c r="L14" s="4" t="s">
        <v>183</v>
      </c>
      <c r="M14" s="4" t="s">
        <v>184</v>
      </c>
      <c r="N14" s="4"/>
      <c r="O14" s="33">
        <f>O6</f>
        <v>3746502.75</v>
      </c>
    </row>
    <row r="15" spans="2:17">
      <c r="B15" s="4" t="s">
        <v>198</v>
      </c>
      <c r="C15" s="4" t="s">
        <v>199</v>
      </c>
      <c r="D15" s="4" t="s">
        <v>187</v>
      </c>
      <c r="E15" s="116">
        <f>E7</f>
        <v>1E-4</v>
      </c>
      <c r="G15" s="4" t="s">
        <v>198</v>
      </c>
      <c r="H15" s="4" t="s">
        <v>199</v>
      </c>
      <c r="I15" s="4" t="s">
        <v>187</v>
      </c>
      <c r="J15" s="116">
        <f>J7</f>
        <v>1E-4</v>
      </c>
      <c r="L15" s="4" t="s">
        <v>198</v>
      </c>
      <c r="M15" s="4" t="s">
        <v>199</v>
      </c>
      <c r="N15" s="4" t="s">
        <v>187</v>
      </c>
      <c r="O15" s="116">
        <f>O7</f>
        <v>1E-4</v>
      </c>
    </row>
    <row r="16" spans="2:17">
      <c r="B16" s="4" t="s">
        <v>200</v>
      </c>
      <c r="C16" s="4" t="s">
        <v>201</v>
      </c>
      <c r="D16" s="4" t="s">
        <v>190</v>
      </c>
      <c r="E16" s="39">
        <v>0</v>
      </c>
      <c r="G16" s="4" t="s">
        <v>200</v>
      </c>
      <c r="H16" s="4" t="s">
        <v>201</v>
      </c>
      <c r="I16" s="4" t="s">
        <v>190</v>
      </c>
      <c r="J16" s="39">
        <v>0</v>
      </c>
      <c r="L16" s="4" t="s">
        <v>200</v>
      </c>
      <c r="M16" s="4" t="s">
        <v>201</v>
      </c>
      <c r="N16" s="4" t="s">
        <v>190</v>
      </c>
      <c r="O16" s="39">
        <v>0</v>
      </c>
    </row>
    <row r="17" spans="2:17">
      <c r="B17" s="4" t="s">
        <v>202</v>
      </c>
      <c r="C17" s="4" t="s">
        <v>203</v>
      </c>
      <c r="D17" s="4" t="s">
        <v>190</v>
      </c>
      <c r="E17" s="39">
        <v>0</v>
      </c>
      <c r="G17" s="4" t="s">
        <v>202</v>
      </c>
      <c r="H17" s="4" t="s">
        <v>203</v>
      </c>
      <c r="I17" s="4" t="s">
        <v>190</v>
      </c>
      <c r="J17" s="116">
        <f>'GS10987 ER Calcs Wood'!K17</f>
        <v>0.12578616352201241</v>
      </c>
      <c r="L17" s="4" t="s">
        <v>202</v>
      </c>
      <c r="M17" s="4" t="s">
        <v>203</v>
      </c>
      <c r="N17" s="4" t="s">
        <v>190</v>
      </c>
      <c r="O17" s="116">
        <f>'GS10987 ER Calcs Wood'!K17</f>
        <v>0.12578616352201241</v>
      </c>
    </row>
    <row r="18" spans="2:17">
      <c r="B18" s="4" t="s">
        <v>204</v>
      </c>
      <c r="C18" s="4" t="s">
        <v>205</v>
      </c>
      <c r="D18" s="4" t="s">
        <v>195</v>
      </c>
      <c r="E18" s="36">
        <f>ROUNDDOWN((1-E13)*E14*E15*(E16+E17),0)</f>
        <v>0</v>
      </c>
      <c r="G18" s="4" t="s">
        <v>204</v>
      </c>
      <c r="H18" s="4" t="s">
        <v>205</v>
      </c>
      <c r="I18" s="4" t="s">
        <v>195</v>
      </c>
      <c r="J18" s="36">
        <f>ROUNDDOWN((1-J13)*J14*J15*(J16+J17),0)</f>
        <v>148</v>
      </c>
      <c r="L18" s="4" t="s">
        <v>204</v>
      </c>
      <c r="M18" s="4" t="s">
        <v>205</v>
      </c>
      <c r="N18" s="4" t="s">
        <v>195</v>
      </c>
      <c r="O18" s="36">
        <f>ROUNDDOWN((1-O13)*O14*O15*(O16+O17),0)</f>
        <v>43</v>
      </c>
    </row>
    <row r="20" spans="2:17">
      <c r="B20" s="353" t="s">
        <v>206</v>
      </c>
      <c r="C20" s="323"/>
      <c r="D20" s="323"/>
      <c r="E20" s="354"/>
      <c r="G20" s="353" t="s">
        <v>206</v>
      </c>
      <c r="H20" s="323"/>
      <c r="I20" s="323"/>
      <c r="J20" s="354"/>
      <c r="L20" s="353" t="s">
        <v>206</v>
      </c>
      <c r="M20" s="323"/>
      <c r="N20" s="323"/>
      <c r="O20" s="354"/>
    </row>
    <row r="21" spans="2:17">
      <c r="B21" s="21" t="s">
        <v>207</v>
      </c>
      <c r="C21" s="4" t="s">
        <v>207</v>
      </c>
      <c r="D21" s="4" t="s">
        <v>208</v>
      </c>
      <c r="E21" s="37">
        <v>0.92</v>
      </c>
      <c r="G21" s="21" t="s">
        <v>207</v>
      </c>
      <c r="H21" s="4" t="s">
        <v>207</v>
      </c>
      <c r="I21" s="4" t="s">
        <v>208</v>
      </c>
      <c r="J21" s="37">
        <f>E21</f>
        <v>0.92</v>
      </c>
      <c r="L21" s="21" t="s">
        <v>207</v>
      </c>
      <c r="M21" s="4" t="s">
        <v>207</v>
      </c>
      <c r="N21" s="4" t="s">
        <v>208</v>
      </c>
      <c r="O21" s="37">
        <f>E21</f>
        <v>0.92</v>
      </c>
    </row>
    <row r="22" spans="2:17">
      <c r="B22" s="4" t="s">
        <v>209</v>
      </c>
      <c r="C22" s="4" t="s">
        <v>210</v>
      </c>
      <c r="D22" s="4" t="s">
        <v>211</v>
      </c>
      <c r="E22" s="39">
        <v>112</v>
      </c>
      <c r="G22" s="4" t="s">
        <v>209</v>
      </c>
      <c r="H22" s="4" t="s">
        <v>210</v>
      </c>
      <c r="I22" s="4" t="s">
        <v>211</v>
      </c>
      <c r="J22" s="39">
        <f>E22</f>
        <v>112</v>
      </c>
      <c r="L22" s="4" t="s">
        <v>209</v>
      </c>
      <c r="M22" s="4" t="s">
        <v>210</v>
      </c>
      <c r="N22" s="4" t="s">
        <v>211</v>
      </c>
      <c r="O22" s="39">
        <f>E22</f>
        <v>112</v>
      </c>
    </row>
    <row r="23" spans="2:17">
      <c r="B23" s="4" t="s">
        <v>212</v>
      </c>
      <c r="C23" s="4" t="s">
        <v>213</v>
      </c>
      <c r="D23" s="4" t="s">
        <v>214</v>
      </c>
      <c r="E23" s="39">
        <v>9.4600000000000009</v>
      </c>
      <c r="G23" s="4" t="s">
        <v>212</v>
      </c>
      <c r="H23" s="4" t="s">
        <v>213</v>
      </c>
      <c r="I23" s="4" t="s">
        <v>214</v>
      </c>
      <c r="J23" s="39">
        <f>E23</f>
        <v>9.4600000000000009</v>
      </c>
      <c r="L23" s="4" t="s">
        <v>212</v>
      </c>
      <c r="M23" s="4" t="s">
        <v>213</v>
      </c>
      <c r="N23" s="4" t="s">
        <v>214</v>
      </c>
      <c r="O23" s="39">
        <f>E23</f>
        <v>9.4600000000000009</v>
      </c>
    </row>
    <row r="24" spans="2:17">
      <c r="B24" s="4" t="s">
        <v>215</v>
      </c>
      <c r="C24" s="4" t="s">
        <v>216</v>
      </c>
      <c r="D24" s="4" t="s">
        <v>217</v>
      </c>
      <c r="E24" s="39">
        <v>1.5599999999999999E-2</v>
      </c>
      <c r="G24" s="4" t="s">
        <v>215</v>
      </c>
      <c r="H24" s="4" t="s">
        <v>216</v>
      </c>
      <c r="I24" s="4" t="s">
        <v>217</v>
      </c>
      <c r="J24" s="39">
        <f>E24</f>
        <v>1.5599999999999999E-2</v>
      </c>
      <c r="L24" s="4" t="s">
        <v>215</v>
      </c>
      <c r="M24" s="4" t="s">
        <v>216</v>
      </c>
      <c r="N24" s="4" t="s">
        <v>217</v>
      </c>
      <c r="O24" s="39">
        <f>E24</f>
        <v>1.5599999999999999E-2</v>
      </c>
    </row>
    <row r="25" spans="2:17">
      <c r="B25" s="4" t="s">
        <v>265</v>
      </c>
      <c r="C25" s="4" t="s">
        <v>222</v>
      </c>
      <c r="D25" s="4" t="s">
        <v>223</v>
      </c>
      <c r="E25" s="39">
        <v>4</v>
      </c>
      <c r="G25" s="4" t="s">
        <v>265</v>
      </c>
      <c r="H25" s="4" t="s">
        <v>222</v>
      </c>
      <c r="I25" s="4" t="s">
        <v>223</v>
      </c>
      <c r="J25" s="39">
        <f>E25</f>
        <v>4</v>
      </c>
      <c r="L25" s="4" t="s">
        <v>265</v>
      </c>
      <c r="M25" s="4" t="s">
        <v>222</v>
      </c>
      <c r="N25" s="4" t="s">
        <v>223</v>
      </c>
      <c r="O25" s="39">
        <f>E25</f>
        <v>4</v>
      </c>
    </row>
    <row r="27" spans="2:17">
      <c r="B27" s="353" t="s">
        <v>6</v>
      </c>
      <c r="C27" s="323"/>
      <c r="D27" s="323"/>
      <c r="E27" s="354"/>
      <c r="G27" s="353" t="s">
        <v>6</v>
      </c>
      <c r="H27" s="323"/>
      <c r="I27" s="323"/>
      <c r="J27" s="354"/>
      <c r="L27" s="353" t="s">
        <v>6</v>
      </c>
      <c r="M27" s="323"/>
      <c r="N27" s="323"/>
      <c r="O27" s="354"/>
    </row>
    <row r="28" spans="2:17">
      <c r="B28" s="4" t="s">
        <v>11</v>
      </c>
      <c r="C28" s="4" t="s">
        <v>12</v>
      </c>
      <c r="D28" s="4" t="s">
        <v>13</v>
      </c>
      <c r="E28" s="298">
        <f>ROUNDDOWN(E10*E25*((E22*E21)+E23)*E24,0)</f>
        <v>21460</v>
      </c>
      <c r="G28" s="4" t="s">
        <v>11</v>
      </c>
      <c r="H28" s="4" t="s">
        <v>12</v>
      </c>
      <c r="I28" s="4" t="s">
        <v>13</v>
      </c>
      <c r="J28" s="40">
        <f>ROUNDDOWN(J10*J25*((J22*J21)+J23)*J24,0)</f>
        <v>33190</v>
      </c>
      <c r="L28" s="4" t="s">
        <v>11</v>
      </c>
      <c r="M28" s="4" t="s">
        <v>12</v>
      </c>
      <c r="N28" s="4" t="s">
        <v>13</v>
      </c>
      <c r="O28" s="40">
        <f>ROUNDDOWN(O10*O25*((O22*O21)+O23)*O24,0)</f>
        <v>9778</v>
      </c>
      <c r="P28" s="257"/>
      <c r="Q28" s="257"/>
    </row>
    <row r="29" spans="2:17">
      <c r="B29" s="4" t="s">
        <v>14</v>
      </c>
      <c r="C29" s="4" t="s">
        <v>15</v>
      </c>
      <c r="D29" s="43" t="s">
        <v>13</v>
      </c>
      <c r="E29" s="297">
        <f>E18*E25*((E22*E21)+E23)*E24</f>
        <v>0</v>
      </c>
      <c r="G29" s="4" t="s">
        <v>14</v>
      </c>
      <c r="H29" s="4" t="s">
        <v>15</v>
      </c>
      <c r="I29" s="4" t="s">
        <v>13</v>
      </c>
      <c r="J29" s="40">
        <f>J18*J25*((J22*J21)+J23)*J24</f>
        <v>1038.96</v>
      </c>
      <c r="L29" s="4" t="s">
        <v>14</v>
      </c>
      <c r="M29" s="4" t="s">
        <v>15</v>
      </c>
      <c r="N29" s="4" t="s">
        <v>13</v>
      </c>
      <c r="O29" s="40">
        <f>O18*O25*((O22*O21)+O23)*O24</f>
        <v>301.86</v>
      </c>
    </row>
    <row r="30" spans="2:17">
      <c r="B30" s="4" t="s">
        <v>16</v>
      </c>
      <c r="C30" s="4" t="s">
        <v>17</v>
      </c>
      <c r="D30" s="4" t="s">
        <v>18</v>
      </c>
      <c r="E30" s="299">
        <v>0.70899999999999996</v>
      </c>
      <c r="G30" s="4" t="s">
        <v>16</v>
      </c>
      <c r="H30" s="4" t="s">
        <v>17</v>
      </c>
      <c r="I30" s="4" t="s">
        <v>18</v>
      </c>
      <c r="J30" s="44">
        <v>0.80220000000000002</v>
      </c>
      <c r="L30" s="4" t="s">
        <v>16</v>
      </c>
      <c r="M30" s="4" t="s">
        <v>17</v>
      </c>
      <c r="N30" s="4" t="s">
        <v>18</v>
      </c>
      <c r="O30" s="44">
        <v>0.80220000000000002</v>
      </c>
      <c r="Q30" s="257"/>
    </row>
    <row r="31" spans="2:17">
      <c r="B31" s="4" t="s">
        <v>19</v>
      </c>
      <c r="C31" s="4" t="s">
        <v>20</v>
      </c>
      <c r="D31" s="4" t="s">
        <v>13</v>
      </c>
      <c r="E31" s="41">
        <v>0.05</v>
      </c>
      <c r="G31" s="4" t="s">
        <v>19</v>
      </c>
      <c r="H31" s="4" t="s">
        <v>20</v>
      </c>
      <c r="I31" s="4" t="s">
        <v>13</v>
      </c>
      <c r="J31" s="41">
        <v>0.05</v>
      </c>
      <c r="L31" s="4" t="s">
        <v>19</v>
      </c>
      <c r="M31" s="4" t="s">
        <v>20</v>
      </c>
      <c r="N31" s="4" t="s">
        <v>13</v>
      </c>
      <c r="O31" s="41">
        <v>0.05</v>
      </c>
    </row>
    <row r="32" spans="2:17">
      <c r="B32" s="4" t="s">
        <v>218</v>
      </c>
      <c r="C32" s="4" t="s">
        <v>22</v>
      </c>
      <c r="D32" s="4" t="s">
        <v>13</v>
      </c>
      <c r="E32" s="33">
        <f>ROUNDDOWN(((E28-E29)*E30)*(1-E31),0)</f>
        <v>14454</v>
      </c>
      <c r="G32" s="4" t="s">
        <v>218</v>
      </c>
      <c r="H32" s="4" t="s">
        <v>22</v>
      </c>
      <c r="I32" s="4" t="s">
        <v>13</v>
      </c>
      <c r="J32" s="33">
        <f>ROUNDDOWN(((J28-J29)*J30)*(1-J31),0)</f>
        <v>24501</v>
      </c>
      <c r="L32" s="4" t="s">
        <v>218</v>
      </c>
      <c r="M32" s="4" t="s">
        <v>22</v>
      </c>
      <c r="N32" s="4" t="s">
        <v>13</v>
      </c>
      <c r="O32" s="33">
        <f>ROUNDDOWN(((O28-O29)*O30)*(1-O31),0)</f>
        <v>7221</v>
      </c>
    </row>
    <row r="33" spans="2:15">
      <c r="D33" s="42"/>
      <c r="I33" s="42"/>
      <c r="N33" s="42"/>
    </row>
    <row r="34" spans="2:15">
      <c r="B34" s="359" t="s">
        <v>23</v>
      </c>
      <c r="C34" s="360"/>
      <c r="D34" s="360"/>
      <c r="E34" s="361"/>
      <c r="G34" s="353" t="s">
        <v>23</v>
      </c>
      <c r="H34" s="323"/>
      <c r="I34" s="323"/>
      <c r="J34" s="354"/>
      <c r="L34" s="353" t="s">
        <v>23</v>
      </c>
      <c r="M34" s="323"/>
      <c r="N34" s="323"/>
      <c r="O34" s="354"/>
    </row>
    <row r="35" spans="2:15">
      <c r="B35" s="163" t="s">
        <v>25</v>
      </c>
      <c r="C35" s="260" t="s">
        <v>26</v>
      </c>
      <c r="D35" s="205" t="s">
        <v>27</v>
      </c>
      <c r="E35" s="261">
        <v>0.17399999999999999</v>
      </c>
      <c r="G35" s="43" t="s">
        <v>25</v>
      </c>
      <c r="H35" s="4" t="s">
        <v>26</v>
      </c>
      <c r="I35" s="10" t="s">
        <v>27</v>
      </c>
      <c r="J35" s="44">
        <v>0.17399999999999999</v>
      </c>
      <c r="L35" s="43" t="s">
        <v>25</v>
      </c>
      <c r="M35" s="4" t="s">
        <v>26</v>
      </c>
      <c r="N35" s="10" t="s">
        <v>27</v>
      </c>
      <c r="O35" s="44">
        <v>0.17399999999999999</v>
      </c>
    </row>
    <row r="36" spans="2:15">
      <c r="B36" s="45" t="s">
        <v>219</v>
      </c>
      <c r="C36" s="13" t="s">
        <v>22</v>
      </c>
      <c r="D36" s="46" t="s">
        <v>13</v>
      </c>
      <c r="E36" s="115">
        <f>ROUNDDOWN(E32*(1-E35),0)</f>
        <v>11939</v>
      </c>
      <c r="G36" s="45" t="s">
        <v>219</v>
      </c>
      <c r="H36" s="13" t="s">
        <v>22</v>
      </c>
      <c r="I36" s="46" t="s">
        <v>13</v>
      </c>
      <c r="J36" s="115">
        <f>ROUNDDOWN(J32*(1-J35),0)</f>
        <v>20237</v>
      </c>
      <c r="L36" s="45" t="s">
        <v>219</v>
      </c>
      <c r="M36" s="13" t="s">
        <v>22</v>
      </c>
      <c r="N36" s="46" t="s">
        <v>13</v>
      </c>
      <c r="O36" s="115">
        <f>ROUNDDOWN(O32*(1-O35),0)</f>
        <v>5964</v>
      </c>
    </row>
    <row r="38" spans="2:15">
      <c r="B38" s="47" t="s">
        <v>220</v>
      </c>
      <c r="C38" s="13"/>
      <c r="D38" s="46" t="s">
        <v>13</v>
      </c>
      <c r="E38" s="115">
        <f>IF(E36&gt;'GS10987 PTDs'!C21*'GS10987 PTDs'!C20,'GS10987 PTDs'!C21*'GS10987 PTDs'!C20,E36)</f>
        <v>11939</v>
      </c>
      <c r="G38" s="47" t="s">
        <v>220</v>
      </c>
      <c r="H38" s="13"/>
      <c r="I38" s="46" t="s">
        <v>13</v>
      </c>
      <c r="J38" s="115">
        <f>IF(J36&gt;'GS10987 PTDs'!C21*'GS10987 PTDs'!C20,'GS10987 PTDs'!C21*'GS10987 PTDs'!C20,J36)</f>
        <v>20237</v>
      </c>
      <c r="L38" s="47" t="s">
        <v>220</v>
      </c>
      <c r="M38" s="13"/>
      <c r="N38" s="46" t="s">
        <v>13</v>
      </c>
      <c r="O38" s="115">
        <f>IF(O36&gt;'GS10987 PTDs'!C21*'GS10987 PTDs'!C20,'GS10987 PTDs'!C21*'GS10987 PTDs'!C20,O36)</f>
        <v>5964</v>
      </c>
    </row>
    <row r="39" spans="2:15" ht="30" customHeight="1">
      <c r="B39" s="357" t="s">
        <v>221</v>
      </c>
      <c r="C39" s="357"/>
      <c r="D39" s="357"/>
      <c r="E39" s="357"/>
      <c r="G39" s="357" t="s">
        <v>221</v>
      </c>
      <c r="H39" s="357"/>
      <c r="I39" s="357"/>
      <c r="J39" s="357"/>
      <c r="L39" s="357" t="s">
        <v>221</v>
      </c>
      <c r="M39" s="357"/>
      <c r="N39" s="357"/>
      <c r="O39" s="357"/>
    </row>
    <row r="40" spans="2:15" ht="30" customHeight="1"/>
    <row r="44" spans="2:15">
      <c r="E44" s="6"/>
      <c r="J44" s="6"/>
      <c r="O44" s="6"/>
    </row>
  </sheetData>
  <mergeCells count="24">
    <mergeCell ref="G20:J20"/>
    <mergeCell ref="G27:J27"/>
    <mergeCell ref="G34:J34"/>
    <mergeCell ref="G39:J39"/>
    <mergeCell ref="B1:E1"/>
    <mergeCell ref="G1:J1"/>
    <mergeCell ref="G2:J2"/>
    <mergeCell ref="G4:J4"/>
    <mergeCell ref="G12:J12"/>
    <mergeCell ref="B2:E2"/>
    <mergeCell ref="B4:E4"/>
    <mergeCell ref="B39:E39"/>
    <mergeCell ref="B27:E27"/>
    <mergeCell ref="B34:E34"/>
    <mergeCell ref="B12:E12"/>
    <mergeCell ref="B20:E20"/>
    <mergeCell ref="L27:O27"/>
    <mergeCell ref="L34:O34"/>
    <mergeCell ref="L39:O39"/>
    <mergeCell ref="L1:O1"/>
    <mergeCell ref="L2:O2"/>
    <mergeCell ref="L4:O4"/>
    <mergeCell ref="L12:O12"/>
    <mergeCell ref="L20:O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95AFD-79AF-4E99-9101-0FC65BAAD1C0}">
  <sheetPr codeName="Sheet9"/>
  <dimension ref="A1:I26"/>
  <sheetViews>
    <sheetView topLeftCell="A9" zoomScale="90" zoomScaleNormal="90" workbookViewId="0">
      <selection activeCell="C8" sqref="C8"/>
    </sheetView>
  </sheetViews>
  <sheetFormatPr defaultColWidth="8.81640625" defaultRowHeight="14.5"/>
  <cols>
    <col min="1" max="1" width="32.453125" customWidth="1"/>
    <col min="2" max="2" width="69" customWidth="1"/>
    <col min="3" max="5" width="20.453125" customWidth="1"/>
    <col min="6" max="6" width="10.1796875" customWidth="1"/>
    <col min="7" max="7" width="33.81640625" bestFit="1" customWidth="1"/>
    <col min="9" max="9" width="13.453125" bestFit="1" customWidth="1"/>
    <col min="11" max="12" width="3.81640625" customWidth="1"/>
    <col min="13" max="13" width="8.7265625" customWidth="1"/>
    <col min="16" max="16" width="24.81640625" customWidth="1"/>
    <col min="17" max="17" width="39.26953125" customWidth="1"/>
    <col min="18" max="18" width="30.453125" customWidth="1"/>
    <col min="19" max="19" width="10.453125" customWidth="1"/>
    <col min="20" max="20" width="20" customWidth="1"/>
  </cols>
  <sheetData>
    <row r="1" spans="1:8" ht="22" customHeight="1"/>
    <row r="2" spans="1:8" ht="18.5">
      <c r="A2" s="59" t="s">
        <v>224</v>
      </c>
      <c r="C2" s="221">
        <v>2022</v>
      </c>
      <c r="D2" s="221">
        <v>2023</v>
      </c>
      <c r="E2" s="221">
        <v>2024</v>
      </c>
      <c r="F2" s="221"/>
      <c r="G2" s="221"/>
    </row>
    <row r="3" spans="1:8">
      <c r="A3" s="60" t="s">
        <v>225</v>
      </c>
      <c r="B3" s="56" t="s">
        <v>226</v>
      </c>
      <c r="C3" s="58" t="s">
        <v>227</v>
      </c>
      <c r="D3" s="58"/>
      <c r="E3" s="58"/>
      <c r="F3" s="56" t="s">
        <v>228</v>
      </c>
      <c r="G3" s="56" t="s">
        <v>95</v>
      </c>
    </row>
    <row r="4" spans="1:8" ht="29">
      <c r="A4" s="21" t="s">
        <v>229</v>
      </c>
      <c r="B4" s="21" t="s">
        <v>230</v>
      </c>
      <c r="C4" s="61">
        <f>C5*(1-C7)*(1-C8)</f>
        <v>28454.105159999999</v>
      </c>
      <c r="D4" s="61">
        <f>D5*(1-D7)*(1-D8)</f>
        <v>37021.611120000001</v>
      </c>
      <c r="E4" s="61">
        <f>E5*(1-E7)*(1-E8)</f>
        <v>44414.573579999997</v>
      </c>
      <c r="F4" s="4" t="s">
        <v>231</v>
      </c>
      <c r="G4" s="4" t="s">
        <v>232</v>
      </c>
    </row>
    <row r="5" spans="1:8" ht="16">
      <c r="A5" s="21" t="s">
        <v>233</v>
      </c>
      <c r="B5" s="21" t="s">
        <v>234</v>
      </c>
      <c r="C5" s="62">
        <f>'GS10987 PTDs'!U12</f>
        <v>40578</v>
      </c>
      <c r="D5" s="62">
        <f>'GS10987 PTDs'!Z12</f>
        <v>52796</v>
      </c>
      <c r="E5" s="62">
        <f>'GS10987 PTDs'!AE12</f>
        <v>63339</v>
      </c>
      <c r="F5" s="4" t="s">
        <v>231</v>
      </c>
      <c r="G5" s="4" t="s">
        <v>235</v>
      </c>
      <c r="H5" s="63">
        <f>C5-C4</f>
        <v>12123.894840000001</v>
      </c>
    </row>
    <row r="6" spans="1:8">
      <c r="A6" s="21"/>
      <c r="B6" s="21" t="s">
        <v>236</v>
      </c>
      <c r="C6" s="62">
        <f>C5-C4</f>
        <v>12123.894840000001</v>
      </c>
      <c r="D6" s="62">
        <f>D5-D4</f>
        <v>15774.388879999999</v>
      </c>
      <c r="E6" s="62">
        <f t="shared" ref="E6" si="0">E5-E4</f>
        <v>18924.426420000003</v>
      </c>
      <c r="F6" s="4" t="s">
        <v>231</v>
      </c>
      <c r="G6" s="4"/>
      <c r="H6" s="63"/>
    </row>
    <row r="7" spans="1:8" ht="29.5">
      <c r="A7" s="21" t="s">
        <v>237</v>
      </c>
      <c r="B7" s="21" t="s">
        <v>238</v>
      </c>
      <c r="C7" s="64">
        <f>'GS10987 ER Calcs Wood'!E5</f>
        <v>7.0000000000000007E-2</v>
      </c>
      <c r="D7" s="64">
        <f>C7</f>
        <v>7.0000000000000007E-2</v>
      </c>
      <c r="E7" s="64">
        <f>D7</f>
        <v>7.0000000000000007E-2</v>
      </c>
      <c r="F7" s="4" t="s">
        <v>239</v>
      </c>
      <c r="G7" s="4" t="s">
        <v>240</v>
      </c>
    </row>
    <row r="8" spans="1:8" ht="31.5" customHeight="1">
      <c r="A8" s="21" t="s">
        <v>241</v>
      </c>
      <c r="B8" s="21" t="s">
        <v>242</v>
      </c>
      <c r="C8" s="94">
        <v>0.246</v>
      </c>
      <c r="D8" s="94">
        <f>C8</f>
        <v>0.246</v>
      </c>
      <c r="E8" s="94">
        <f>D8</f>
        <v>0.246</v>
      </c>
      <c r="F8" s="4" t="s">
        <v>239</v>
      </c>
      <c r="G8" s="4" t="s">
        <v>243</v>
      </c>
    </row>
    <row r="9" spans="1:8">
      <c r="A9" s="65"/>
      <c r="B9" s="65"/>
      <c r="C9" s="66"/>
      <c r="D9" s="66"/>
      <c r="E9" s="66"/>
    </row>
    <row r="10" spans="1:8">
      <c r="A10" s="65" t="s">
        <v>244</v>
      </c>
      <c r="B10" s="67"/>
    </row>
    <row r="11" spans="1:8" ht="17.25" customHeight="1">
      <c r="A11" s="58" t="s">
        <v>225</v>
      </c>
      <c r="B11" s="56" t="s">
        <v>226</v>
      </c>
      <c r="C11" s="58" t="s">
        <v>227</v>
      </c>
      <c r="D11" s="58"/>
      <c r="E11" s="58"/>
      <c r="F11" s="56" t="s">
        <v>228</v>
      </c>
      <c r="G11" s="56" t="s">
        <v>95</v>
      </c>
    </row>
    <row r="12" spans="1:8">
      <c r="A12" s="21" t="s">
        <v>245</v>
      </c>
      <c r="B12" s="21" t="s">
        <v>246</v>
      </c>
      <c r="C12" s="222">
        <f>IFERROR(C13-C14, "No Data")</f>
        <v>2.15</v>
      </c>
      <c r="D12" s="222">
        <f t="shared" ref="D12:E12" si="1">IFERROR(D13-D14, "No Data")</f>
        <v>2.23</v>
      </c>
      <c r="E12" s="222">
        <f t="shared" si="1"/>
        <v>2.23</v>
      </c>
      <c r="F12" s="4" t="s">
        <v>247</v>
      </c>
      <c r="G12" s="4" t="s">
        <v>232</v>
      </c>
    </row>
    <row r="13" spans="1:8">
      <c r="A13" s="21" t="s">
        <v>248</v>
      </c>
      <c r="B13" s="21" t="s">
        <v>249</v>
      </c>
      <c r="C13" s="68">
        <f>2.4</f>
        <v>2.4</v>
      </c>
      <c r="D13" s="68">
        <f>C13</f>
        <v>2.4</v>
      </c>
      <c r="E13" s="68">
        <f>C13</f>
        <v>2.4</v>
      </c>
      <c r="F13" s="4" t="s">
        <v>247</v>
      </c>
      <c r="G13" s="4" t="s">
        <v>250</v>
      </c>
    </row>
    <row r="14" spans="1:8">
      <c r="A14" s="21" t="s">
        <v>251</v>
      </c>
      <c r="B14" s="21" t="s">
        <v>252</v>
      </c>
      <c r="C14" s="247">
        <v>0.25</v>
      </c>
      <c r="D14" s="247">
        <v>0.17</v>
      </c>
      <c r="E14" s="247">
        <v>0.17</v>
      </c>
      <c r="F14" s="4" t="s">
        <v>247</v>
      </c>
      <c r="G14" s="4" t="s">
        <v>253</v>
      </c>
    </row>
    <row r="15" spans="1:8">
      <c r="A15" s="65"/>
      <c r="B15" s="65"/>
      <c r="C15" s="69"/>
      <c r="D15" s="69"/>
      <c r="E15" s="69"/>
    </row>
    <row r="16" spans="1:8">
      <c r="A16" s="65" t="s">
        <v>254</v>
      </c>
    </row>
    <row r="17" spans="1:9">
      <c r="A17" s="58" t="s">
        <v>225</v>
      </c>
      <c r="B17" s="56" t="s">
        <v>226</v>
      </c>
      <c r="C17" s="58" t="s">
        <v>227</v>
      </c>
      <c r="D17" s="58"/>
      <c r="E17" s="58"/>
      <c r="F17" s="56" t="s">
        <v>228</v>
      </c>
      <c r="G17" s="56" t="s">
        <v>95</v>
      </c>
    </row>
    <row r="18" spans="1:9" ht="29">
      <c r="A18" s="21" t="s">
        <v>255</v>
      </c>
      <c r="B18" s="21" t="s">
        <v>256</v>
      </c>
      <c r="C18" s="61">
        <f>C19*(1-C21)*C22</f>
        <v>26755.915860000001</v>
      </c>
      <c r="D18" s="61">
        <f>D19*(1-D21)*D22</f>
        <v>39388.244616000004</v>
      </c>
      <c r="E18" s="61">
        <f>E19*(1-E21)*E22</f>
        <v>47253.807593999998</v>
      </c>
      <c r="F18" s="4" t="s">
        <v>231</v>
      </c>
      <c r="G18" s="4" t="s">
        <v>232</v>
      </c>
    </row>
    <row r="19" spans="1:9">
      <c r="A19" s="21" t="s">
        <v>257</v>
      </c>
      <c r="B19" s="21" t="s">
        <v>234</v>
      </c>
      <c r="C19" s="95">
        <f>C5</f>
        <v>40578</v>
      </c>
      <c r="D19" s="95">
        <f>D5</f>
        <v>52796</v>
      </c>
      <c r="E19" s="95">
        <f>E5</f>
        <v>63339</v>
      </c>
      <c r="F19" s="4" t="s">
        <v>231</v>
      </c>
      <c r="G19" s="4" t="s">
        <v>235</v>
      </c>
      <c r="H19" s="63">
        <f>C19-C18</f>
        <v>13822.084139999999</v>
      </c>
    </row>
    <row r="20" spans="1:9">
      <c r="A20" s="21"/>
      <c r="B20" s="21" t="s">
        <v>236</v>
      </c>
      <c r="C20" s="95">
        <f>C19-C18</f>
        <v>13822.084139999999</v>
      </c>
      <c r="D20" s="95">
        <f>D19-D18</f>
        <v>13407.755383999996</v>
      </c>
      <c r="E20" s="95">
        <f>E19-E18</f>
        <v>16085.192406000002</v>
      </c>
      <c r="F20" s="4" t="s">
        <v>231</v>
      </c>
      <c r="G20" s="4"/>
      <c r="H20" s="63"/>
    </row>
    <row r="21" spans="1:9" ht="29">
      <c r="A21" s="21" t="s">
        <v>182</v>
      </c>
      <c r="B21" s="48" t="s">
        <v>258</v>
      </c>
      <c r="C21" s="64">
        <f t="shared" ref="C21:E21" si="2">C7</f>
        <v>7.0000000000000007E-2</v>
      </c>
      <c r="D21" s="64">
        <f t="shared" si="2"/>
        <v>7.0000000000000007E-2</v>
      </c>
      <c r="E21" s="64">
        <f t="shared" si="2"/>
        <v>7.0000000000000007E-2</v>
      </c>
      <c r="F21" s="4" t="s">
        <v>239</v>
      </c>
      <c r="G21" s="4" t="s">
        <v>240</v>
      </c>
    </row>
    <row r="22" spans="1:9" ht="16.5">
      <c r="A22" s="21" t="s">
        <v>259</v>
      </c>
      <c r="B22" s="21" t="s">
        <v>260</v>
      </c>
      <c r="C22" s="249">
        <f>'GS10987 ER Calcs Wood'!E29</f>
        <v>0.70899999999999996</v>
      </c>
      <c r="D22" s="249">
        <f>'GS10987 ER Calcs Wood'!K29</f>
        <v>0.80220000000000002</v>
      </c>
      <c r="E22" s="249">
        <f>'GS10987 ER Calcs Wood'!P29</f>
        <v>0.80220000000000002</v>
      </c>
      <c r="F22" s="4" t="s">
        <v>239</v>
      </c>
      <c r="G22" s="4" t="s">
        <v>253</v>
      </c>
      <c r="I22" s="49"/>
    </row>
    <row r="23" spans="1:9">
      <c r="A23" s="65"/>
      <c r="B23" s="65"/>
      <c r="C23" s="70"/>
      <c r="D23" s="70"/>
      <c r="E23" s="70"/>
      <c r="I23" s="49"/>
    </row>
    <row r="24" spans="1:9">
      <c r="A24" s="65" t="s">
        <v>261</v>
      </c>
    </row>
    <row r="25" spans="1:9">
      <c r="A25" s="58" t="s">
        <v>225</v>
      </c>
      <c r="B25" s="56" t="s">
        <v>226</v>
      </c>
      <c r="C25" s="56"/>
      <c r="D25" s="56"/>
      <c r="E25" s="56"/>
      <c r="F25" s="56" t="s">
        <v>228</v>
      </c>
      <c r="G25" s="56" t="s">
        <v>95</v>
      </c>
    </row>
    <row r="26" spans="1:9">
      <c r="A26" s="21" t="s">
        <v>262</v>
      </c>
      <c r="B26" s="4" t="s">
        <v>263</v>
      </c>
      <c r="C26" s="169">
        <f>'GS10987 Summary'!E57</f>
        <v>15917</v>
      </c>
      <c r="D26" s="169">
        <f>'GS10987 Summary'!E58</f>
        <v>26982</v>
      </c>
      <c r="E26" s="169">
        <f>'GS10987 Summary'!E59</f>
        <v>7951</v>
      </c>
      <c r="F26" s="4" t="s">
        <v>264</v>
      </c>
      <c r="G26" s="4" t="s">
        <v>235</v>
      </c>
      <c r="H26" s="63">
        <f>SUM(C26:E26)</f>
        <v>50850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D8FF0EBC1E34CAA966933F5D9F9ED" ma:contentTypeVersion="19" ma:contentTypeDescription="Create a new document." ma:contentTypeScope="" ma:versionID="9eb1bf08cc29ea9418feaaa960cb77d7">
  <xsd:schema xmlns:xsd="http://www.w3.org/2001/XMLSchema" xmlns:xs="http://www.w3.org/2001/XMLSchema" xmlns:p="http://schemas.microsoft.com/office/2006/metadata/properties" xmlns:ns1="http://schemas.microsoft.com/sharepoint/v3" xmlns:ns2="8bcd9205-aa71-43b1-82fe-dcc00a36dd04" xmlns:ns3="83a6049c-05c8-4e22-bd03-2c19a5f84a8b" targetNamespace="http://schemas.microsoft.com/office/2006/metadata/properties" ma:root="true" ma:fieldsID="6f853d6009e99f35033fb835818bee78" ns1:_="" ns2:_="" ns3:_="">
    <xsd:import namespace="http://schemas.microsoft.com/sharepoint/v3"/>
    <xsd:import namespace="8bcd9205-aa71-43b1-82fe-dcc00a36dd04"/>
    <xsd:import namespace="83a6049c-05c8-4e22-bd03-2c19a5f84a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1:PublishingStartDate" minOccurs="0"/>
                <xsd:element ref="ns1:PublishingExpirationDat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2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3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cd9205-aa71-43b1-82fe-dcc00a36dd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905b797-93a9-4c36-9d72-1ad65c8e50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6049c-05c8-4e22-bd03-2c19a5f84a8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e97f6c16-a42c-4dfe-b35d-62a0e7d34d20}" ma:internalName="TaxCatchAll" ma:showField="CatchAllData" ma:web="83a6049c-05c8-4e22-bd03-2c19a5f84a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lcf76f155ced4ddcb4097134ff3c332f xmlns="8bcd9205-aa71-43b1-82fe-dcc00a36dd04">
      <Terms xmlns="http://schemas.microsoft.com/office/infopath/2007/PartnerControls"/>
    </lcf76f155ced4ddcb4097134ff3c332f>
    <TaxCatchAll xmlns="83a6049c-05c8-4e22-bd03-2c19a5f84a8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1F6CB8-F605-4EE7-B85D-144CC812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bcd9205-aa71-43b1-82fe-dcc00a36dd04"/>
    <ds:schemaRef ds:uri="83a6049c-05c8-4e22-bd03-2c19a5f84a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4F6AA-5AEB-4829-A11B-00D41FA3CF75}">
  <ds:schemaRefs>
    <ds:schemaRef ds:uri="8bcd9205-aa71-43b1-82fe-dcc00a36dd04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83a6049c-05c8-4e22-bd03-2c19a5f84a8b"/>
  </ds:schemaRefs>
</ds:datastoreItem>
</file>

<file path=customXml/itemProps3.xml><?xml version="1.0" encoding="utf-8"?>
<ds:datastoreItem xmlns:ds="http://schemas.openxmlformats.org/officeDocument/2006/customXml" ds:itemID="{C8B1CCF8-4346-40B8-970B-08386F2D0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GS10987 Summary</vt:lpstr>
      <vt:lpstr>Sales Summary</vt:lpstr>
      <vt:lpstr>GS10987 PTDs</vt:lpstr>
      <vt:lpstr>WQT Log</vt:lpstr>
      <vt:lpstr>GS10987 ER Calcs Wood</vt:lpstr>
      <vt:lpstr>GS10987 ER Calcs Charcoal</vt:lpstr>
      <vt:lpstr>SDG Calculations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co2la</dc:creator>
  <cp:keywords/>
  <dc:description/>
  <cp:lastModifiedBy>Stephen Morris</cp:lastModifiedBy>
  <cp:revision/>
  <dcterms:created xsi:type="dcterms:W3CDTF">2021-06-09T13:43:43Z</dcterms:created>
  <dcterms:modified xsi:type="dcterms:W3CDTF">2025-03-26T12:00:36Z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0x010100467D8FF0EBC1E34CAA966933F5D9F9ED</vt:lpwstr>
  </property>
  <property fmtid="{D5CDD505-2E9C-101B-9397-08002B2CF9AE}" pid="3" name="MediaServiceImageTags">
    <vt:lpwstr/>
  </property>
</Properties>
</file>