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2balance.sharepoint.com/Shared Documents/Projects/GS7591 - IPSWAEC/1. Kenya_SS/GivePower (GS10987)/4_Validation/2_Design_Review/Round 1/"/>
    </mc:Choice>
  </mc:AlternateContent>
  <xr:revisionPtr revIDLastSave="2" documentId="8_{CE1CD2A0-CF30-4F41-B1C1-1040B63ABE95}" xr6:coauthVersionLast="47" xr6:coauthVersionMax="47" xr10:uidLastSave="{F43D7756-CE26-472F-A597-0685EF299B82}"/>
  <bookViews>
    <workbookView xWindow="-110" yWindow="-110" windowWidth="19420" windowHeight="10420" xr2:uid="{89717A99-FB5F-4223-B498-625A6C41A91B}"/>
  </bookViews>
  <sheets>
    <sheet name="GS10987 Ex Antes" sheetId="7" r:id="rId1"/>
    <sheet name="Useful Energy Output" sheetId="8" r:id="rId2"/>
    <sheet name="SDG Calculations" sheetId="9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7" l="1"/>
  <c r="E59" i="7"/>
  <c r="F17" i="9"/>
  <c r="F4" i="9"/>
  <c r="C18" i="8"/>
  <c r="C6" i="8"/>
  <c r="C11" i="9"/>
  <c r="C12" i="9" s="1"/>
  <c r="O15" i="8" l="1"/>
  <c r="O16" i="8" s="1"/>
  <c r="O17" i="8"/>
  <c r="O18" i="8" s="1"/>
  <c r="H25" i="7"/>
  <c r="C16" i="8" l="1"/>
  <c r="C17" i="8" s="1"/>
  <c r="C19" i="8" s="1"/>
  <c r="C21" i="8" s="1"/>
  <c r="C23" i="8" s="1"/>
  <c r="C4" i="8"/>
  <c r="C5" i="8" s="1"/>
  <c r="C7" i="8" s="1"/>
  <c r="C9" i="8" s="1"/>
  <c r="J15" i="7"/>
  <c r="K15" i="7" s="1"/>
  <c r="J16" i="7"/>
  <c r="K16" i="7" s="1"/>
  <c r="K17" i="7" l="1"/>
  <c r="E15" i="7" s="1"/>
  <c r="E52" i="7" l="1"/>
  <c r="E51" i="7"/>
  <c r="E63" i="7"/>
  <c r="E70" i="7"/>
  <c r="E54" i="7"/>
  <c r="E66" i="7"/>
  <c r="E22" i="7"/>
  <c r="O5" i="8"/>
  <c r="O3" i="8"/>
  <c r="O4" i="8" s="1"/>
  <c r="C10" i="9" l="1"/>
  <c r="O6" i="8"/>
  <c r="J21" i="8" l="1"/>
  <c r="J23" i="8" s="1"/>
  <c r="F21" i="8"/>
  <c r="F23" i="8" s="1"/>
  <c r="I21" i="8"/>
  <c r="I23" i="8" s="1"/>
  <c r="E21" i="8"/>
  <c r="E23" i="8" s="1"/>
  <c r="L21" i="8"/>
  <c r="L23" i="8" s="1"/>
  <c r="H21" i="8"/>
  <c r="H23" i="8" s="1"/>
  <c r="D21" i="8"/>
  <c r="D23" i="8" s="1"/>
  <c r="K21" i="8"/>
  <c r="K23" i="8" s="1"/>
  <c r="G21" i="8"/>
  <c r="G23" i="8" s="1"/>
  <c r="J9" i="8"/>
  <c r="J11" i="8" s="1"/>
  <c r="F9" i="8"/>
  <c r="F11" i="8" s="1"/>
  <c r="I9" i="8"/>
  <c r="I11" i="8" s="1"/>
  <c r="E9" i="8"/>
  <c r="E11" i="8" s="1"/>
  <c r="K9" i="8"/>
  <c r="K11" i="8" s="1"/>
  <c r="G9" i="8"/>
  <c r="G11" i="8" s="1"/>
  <c r="C11" i="8"/>
  <c r="L9" i="8"/>
  <c r="L11" i="8" s="1"/>
  <c r="H9" i="8"/>
  <c r="H11" i="8" s="1"/>
  <c r="D9" i="8"/>
  <c r="D11" i="8" s="1"/>
  <c r="H22" i="7" l="1"/>
  <c r="C17" i="9" l="1"/>
  <c r="C4" i="9"/>
  <c r="H24" i="7"/>
  <c r="E64" i="7" s="1"/>
  <c r="E75" i="7" s="1"/>
  <c r="H23" i="7"/>
  <c r="E31" i="7" s="1"/>
  <c r="E84" i="7"/>
  <c r="E77" i="7"/>
  <c r="E76" i="7"/>
  <c r="E67" i="7"/>
  <c r="E65" i="7"/>
  <c r="E74" i="7"/>
  <c r="E57" i="7"/>
  <c r="E40" i="7"/>
  <c r="C19" i="9" s="1"/>
  <c r="E33" i="7"/>
  <c r="E32" i="7"/>
  <c r="E23" i="7"/>
  <c r="E21" i="7"/>
  <c r="E19" i="7"/>
  <c r="E13" i="7"/>
  <c r="J9" i="7"/>
  <c r="J11" i="7" s="1"/>
  <c r="E30" i="7" l="1"/>
  <c r="E35" i="7" s="1"/>
  <c r="E39" i="7" s="1"/>
  <c r="E26" i="7"/>
  <c r="E38" i="7" s="1"/>
  <c r="E79" i="7"/>
  <c r="E83" i="7" s="1"/>
  <c r="E71" i="7"/>
  <c r="E82" i="7" s="1"/>
  <c r="E86" i="7" s="1"/>
  <c r="E42" i="7" l="1"/>
  <c r="E89" i="7" s="1"/>
  <c r="C18" i="9"/>
  <c r="C16" i="9" s="1"/>
  <c r="C5" i="9"/>
  <c r="C3" i="9" s="1"/>
  <c r="H7" i="7"/>
  <c r="H8" i="7"/>
  <c r="H5" i="7"/>
  <c r="H4" i="7"/>
  <c r="H6" i="7"/>
  <c r="H9" i="7" l="1"/>
  <c r="H11" i="7" s="1"/>
  <c r="E90" i="7"/>
  <c r="K4" i="7" s="1"/>
  <c r="E87" i="7"/>
  <c r="E43" i="7"/>
  <c r="C23" i="9" l="1"/>
  <c r="K5" i="7"/>
  <c r="K6" i="7"/>
  <c r="K7" i="7"/>
  <c r="K8" i="7"/>
  <c r="K9" i="7" l="1"/>
  <c r="K1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co2la</author>
    <author>co2balance PC 3</author>
    <author>tc={E7204831-95E8-41E4-9B71-84950EF650D6}</author>
    <author>tc={8D072C6B-0EFA-4994-98FA-3C6E79255962}</author>
    <author>tc={87663709-CDAA-4F84-B325-B13B53ADDF8F}</author>
  </authors>
  <commentList>
    <comment ref="E4" authorId="0" shapeId="0" xr:uid="{EE69871C-616B-4F9B-B9A5-78DA71355AC0}">
      <text>
        <r>
          <rPr>
            <b/>
            <sz val="9"/>
            <color indexed="81"/>
            <rFont val="Tahoma"/>
            <family val="2"/>
          </rPr>
          <t>co2la:</t>
        </r>
        <r>
          <rPr>
            <sz val="9"/>
            <color indexed="81"/>
            <rFont val="Tahoma"/>
            <family val="2"/>
          </rPr>
          <t xml:space="preserve">
Default value</t>
        </r>
      </text>
    </comment>
    <comment ref="E6" authorId="1" shapeId="0" xr:uid="{429D58B3-B660-43DF-8E6C-C831B09739C9}">
      <text>
        <r>
          <rPr>
            <b/>
            <sz val="9"/>
            <color indexed="81"/>
            <rFont val="Tahoma"/>
            <family val="2"/>
          </rPr>
          <t>co2balance PC 3:</t>
        </r>
        <r>
          <rPr>
            <sz val="9"/>
            <color indexed="81"/>
            <rFont val="Tahoma"/>
            <family val="2"/>
          </rPr>
          <t xml:space="preserve">
Assumed in advance of data</t>
        </r>
      </text>
    </comment>
    <comment ref="E7" authorId="1" shapeId="0" xr:uid="{ADA8565D-E45D-44C2-9A9F-CA4E9C7FF4AF}">
      <text>
        <r>
          <rPr>
            <b/>
            <sz val="9"/>
            <color indexed="81"/>
            <rFont val="Tahoma"/>
            <family val="2"/>
          </rPr>
          <t>co2balance PC 3:</t>
        </r>
        <r>
          <rPr>
            <sz val="9"/>
            <color indexed="81"/>
            <rFont val="Tahoma"/>
            <family val="2"/>
          </rPr>
          <t xml:space="preserve">
CDM default value
https://cdm.unfccc.int/Reference/Notes/meth/meth_note12.pdf</t>
        </r>
      </text>
    </comment>
    <comment ref="E8" authorId="0" shapeId="0" xr:uid="{33CA5D14-68EF-4506-BBB7-23D70BC1A340}">
      <text>
        <r>
          <rPr>
            <b/>
            <sz val="9"/>
            <color indexed="81"/>
            <rFont val="Tahoma"/>
            <family val="2"/>
          </rPr>
          <t>co2la:</t>
        </r>
        <r>
          <rPr>
            <sz val="9"/>
            <color indexed="81"/>
            <rFont val="Tahoma"/>
            <family val="2"/>
          </rPr>
          <t xml:space="preserve">
Assumed in advance of data collection</t>
        </r>
      </text>
    </comment>
    <comment ref="E9" authorId="1" shapeId="0" xr:uid="{E82CDB8C-6408-4FAA-9DBA-8F22E600B594}">
      <text>
        <r>
          <rPr>
            <b/>
            <sz val="9"/>
            <color indexed="81"/>
            <rFont val="Tahoma"/>
            <family val="2"/>
          </rPr>
          <t>co2balance PC 3:</t>
        </r>
        <r>
          <rPr>
            <sz val="9"/>
            <color indexed="81"/>
            <rFont val="Tahoma"/>
            <family val="2"/>
          </rPr>
          <t xml:space="preserve">
Default Value</t>
        </r>
      </text>
    </comment>
    <comment ref="E10" authorId="0" shapeId="0" xr:uid="{63BA8F7B-0674-4B7D-B850-A5E735395B2E}">
      <text>
        <r>
          <rPr>
            <b/>
            <sz val="9"/>
            <color indexed="81"/>
            <rFont val="Tahoma"/>
            <charset val="1"/>
          </rPr>
          <t>co2la:</t>
        </r>
        <r>
          <rPr>
            <sz val="9"/>
            <color indexed="81"/>
            <rFont val="Tahoma"/>
            <charset val="1"/>
          </rPr>
          <t xml:space="preserve">
Baseline Survey</t>
        </r>
      </text>
    </comment>
    <comment ref="H14" authorId="2" shapeId="0" xr:uid="{E7204831-95E8-41E4-9B71-84950EF650D6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https://www.ipcc-nggip.iges.or.jp/public/gp/bgp/2_2_Non-CO2_Stationary_Combustion.pdf</t>
      </text>
    </comment>
    <comment ref="I14" authorId="3" shapeId="0" xr:uid="{8D072C6B-0EFA-4994-98FA-3C6E79255962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https://www.ghgprotocol.org/sites/default/files/ghgp/Global-Warming-Potential-Values%20%28Feb%2016%202016%29_1.pdf</t>
      </text>
    </comment>
    <comment ref="E15" authorId="0" shapeId="0" xr:uid="{B4540D29-02B5-4634-A0AD-4AE4FD07F1F1}">
      <text>
        <r>
          <rPr>
            <b/>
            <sz val="9"/>
            <color indexed="81"/>
            <rFont val="Tahoma"/>
            <family val="2"/>
          </rPr>
          <t>co2la:</t>
        </r>
        <r>
          <rPr>
            <sz val="9"/>
            <color indexed="81"/>
            <rFont val="Tahoma"/>
            <family val="2"/>
          </rPr>
          <t xml:space="preserve">
AR5 updated default emissions factor values</t>
        </r>
      </text>
    </comment>
    <comment ref="H20" authorId="4" shapeId="0" xr:uid="{87663709-CDAA-4F84-B325-B13B53ADDF8F}">
      <text>
        <t>[Threaded comment]
Your version of Excel allows you to read this threaded comment; however, any edits to it will get removed if the file is opened in a newer version of Excel. Learn more: https://go.microsoft.com/fwlink/?linkid=870924
Comment:
    Type III projects capped at 60,000 ERs per year (https://globalgoals.goldstandard.org/ru-2020-ssc-application-of-suppressed-demand/)</t>
      </text>
    </comment>
    <comment ref="E21" authorId="1" shapeId="0" xr:uid="{0106E7F2-AAA2-41F8-9614-DEACBAA341BD}">
      <text>
        <r>
          <rPr>
            <b/>
            <sz val="9"/>
            <color indexed="81"/>
            <rFont val="Tahoma"/>
            <family val="2"/>
          </rPr>
          <t>co2balance PC 3:</t>
        </r>
        <r>
          <rPr>
            <sz val="9"/>
            <color indexed="81"/>
            <rFont val="Tahoma"/>
            <family val="2"/>
          </rPr>
          <t xml:space="preserve">
Default</t>
        </r>
      </text>
    </comment>
    <comment ref="E22" authorId="1" shapeId="0" xr:uid="{4D03982E-8244-4EF8-B4A6-3DB16A434675}">
      <text>
        <r>
          <rPr>
            <b/>
            <sz val="9"/>
            <color indexed="81"/>
            <rFont val="Tahoma"/>
            <family val="2"/>
          </rPr>
          <t>co2balance PC 3:</t>
        </r>
        <r>
          <rPr>
            <sz val="9"/>
            <color indexed="81"/>
            <rFont val="Tahoma"/>
            <family val="2"/>
          </rPr>
          <t xml:space="preserve">
amount assumed in advance of data</t>
        </r>
      </text>
    </comment>
    <comment ref="E25" authorId="0" shapeId="0" xr:uid="{35824C8F-5285-4412-818A-0482A6D1AC49}">
      <text>
        <r>
          <rPr>
            <b/>
            <sz val="9"/>
            <color indexed="81"/>
            <rFont val="Tahoma"/>
            <family val="2"/>
          </rPr>
          <t>co2la:</t>
        </r>
        <r>
          <rPr>
            <sz val="9"/>
            <color indexed="81"/>
            <rFont val="Tahoma"/>
            <family val="2"/>
          </rPr>
          <t xml:space="preserve">
Baseline Survey Results</t>
        </r>
      </text>
    </comment>
    <comment ref="E34" authorId="1" shapeId="0" xr:uid="{BBB68553-2B09-4F6B-A77D-22B45B57EB9F}">
      <text>
        <r>
          <rPr>
            <b/>
            <sz val="9"/>
            <color indexed="81"/>
            <rFont val="Tahoma"/>
            <family val="2"/>
          </rPr>
          <t>co2balance PC 3:</t>
        </r>
        <r>
          <rPr>
            <sz val="9"/>
            <color indexed="81"/>
            <rFont val="Tahoma"/>
            <family val="2"/>
          </rPr>
          <t xml:space="preserve">
amount assumed in advance of data</t>
        </r>
      </text>
    </comment>
    <comment ref="E48" authorId="0" shapeId="0" xr:uid="{5F47881D-786E-4A03-A2F2-1CDF34ADE937}">
      <text>
        <r>
          <rPr>
            <b/>
            <sz val="9"/>
            <color indexed="81"/>
            <rFont val="Tahoma"/>
            <family val="2"/>
          </rPr>
          <t>co2la:</t>
        </r>
        <r>
          <rPr>
            <sz val="9"/>
            <color indexed="81"/>
            <rFont val="Tahoma"/>
            <family val="2"/>
          </rPr>
          <t xml:space="preserve">
Default Value</t>
        </r>
      </text>
    </comment>
    <comment ref="E50" authorId="1" shapeId="0" xr:uid="{97909270-7167-43D7-8E94-AAD82E77B9F4}">
      <text>
        <r>
          <rPr>
            <b/>
            <sz val="9"/>
            <color indexed="81"/>
            <rFont val="Tahoma"/>
            <family val="2"/>
          </rPr>
          <t>co2balance PC 3:</t>
        </r>
        <r>
          <rPr>
            <sz val="9"/>
            <color indexed="81"/>
            <rFont val="Tahoma"/>
            <family val="2"/>
          </rPr>
          <t xml:space="preserve">
Assumed in advance of data</t>
        </r>
      </text>
    </comment>
    <comment ref="E51" authorId="1" shapeId="0" xr:uid="{E88527AA-D941-46FA-8C96-9EED051E1C7A}">
      <text>
        <r>
          <rPr>
            <b/>
            <sz val="9"/>
            <color indexed="81"/>
            <rFont val="Tahoma"/>
            <family val="2"/>
          </rPr>
          <t>co2balance PC 3:</t>
        </r>
        <r>
          <rPr>
            <sz val="9"/>
            <color indexed="81"/>
            <rFont val="Tahoma"/>
            <family val="2"/>
          </rPr>
          <t xml:space="preserve">
CDM default value
https://cdm.unfccc.int/Reference/Notes/meth/meth_note12.pdf</t>
        </r>
      </text>
    </comment>
    <comment ref="E52" authorId="0" shapeId="0" xr:uid="{ED6C2E73-2D97-4B3F-B7A8-7E77E25B9321}">
      <text>
        <r>
          <rPr>
            <b/>
            <sz val="9"/>
            <color indexed="81"/>
            <rFont val="Tahoma"/>
            <family val="2"/>
          </rPr>
          <t>co2la:</t>
        </r>
        <r>
          <rPr>
            <sz val="9"/>
            <color indexed="81"/>
            <rFont val="Tahoma"/>
            <family val="2"/>
          </rPr>
          <t xml:space="preserve">
Assumed in advance of data collection</t>
        </r>
      </text>
    </comment>
    <comment ref="E53" authorId="1" shapeId="0" xr:uid="{60CF1C6D-7135-429C-A094-CD38C0B483A2}">
      <text>
        <r>
          <rPr>
            <b/>
            <sz val="9"/>
            <color indexed="81"/>
            <rFont val="Tahoma"/>
            <family val="2"/>
          </rPr>
          <t>co2balance PC 3:</t>
        </r>
        <r>
          <rPr>
            <sz val="9"/>
            <color indexed="81"/>
            <rFont val="Tahoma"/>
            <family val="2"/>
          </rPr>
          <t xml:space="preserve">
Default Value</t>
        </r>
      </text>
    </comment>
    <comment ref="E54" authorId="0" shapeId="0" xr:uid="{D73C7B61-F5CF-4AD4-A978-EDF9F83A1E04}">
      <text>
        <r>
          <rPr>
            <b/>
            <sz val="9"/>
            <color indexed="81"/>
            <rFont val="Tahoma"/>
            <family val="2"/>
          </rPr>
          <t>co2la:</t>
        </r>
        <r>
          <rPr>
            <sz val="9"/>
            <color indexed="81"/>
            <rFont val="Tahoma"/>
            <family val="2"/>
          </rPr>
          <t xml:space="preserve">
Baseline Survey</t>
        </r>
      </text>
    </comment>
    <comment ref="E59" authorId="0" shapeId="0" xr:uid="{D3C24BBB-51B8-4487-BF65-2BDED1C56DCC}">
      <text>
        <r>
          <rPr>
            <b/>
            <sz val="9"/>
            <color indexed="81"/>
            <rFont val="Tahoma"/>
            <family val="2"/>
          </rPr>
          <t>co2la:</t>
        </r>
        <r>
          <rPr>
            <sz val="9"/>
            <color indexed="81"/>
            <rFont val="Tahoma"/>
            <family val="2"/>
          </rPr>
          <t xml:space="preserve">
AR5 updated default emissions factor values</t>
        </r>
      </text>
    </comment>
    <comment ref="E65" authorId="1" shapeId="0" xr:uid="{71C907F4-3A80-4471-9B35-57C53FE182B7}">
      <text>
        <r>
          <rPr>
            <b/>
            <sz val="9"/>
            <color indexed="81"/>
            <rFont val="Tahoma"/>
            <family val="2"/>
          </rPr>
          <t>co2balance PC 3:</t>
        </r>
        <r>
          <rPr>
            <sz val="9"/>
            <color indexed="81"/>
            <rFont val="Tahoma"/>
            <family val="2"/>
          </rPr>
          <t xml:space="preserve">
Default Value</t>
        </r>
      </text>
    </comment>
    <comment ref="E66" authorId="1" shapeId="0" xr:uid="{57466940-A5CD-4A0E-A754-FA270FD86F72}">
      <text>
        <r>
          <rPr>
            <b/>
            <sz val="9"/>
            <color indexed="81"/>
            <rFont val="Tahoma"/>
            <family val="2"/>
          </rPr>
          <t>co2balance PC 3:</t>
        </r>
        <r>
          <rPr>
            <sz val="9"/>
            <color indexed="81"/>
            <rFont val="Tahoma"/>
            <family val="2"/>
          </rPr>
          <t xml:space="preserve">
amount assumed in advance of data</t>
        </r>
      </text>
    </comment>
    <comment ref="E70" authorId="0" shapeId="0" xr:uid="{A084305C-6394-4EB0-884F-86DAD36498A6}">
      <text>
        <r>
          <rPr>
            <b/>
            <sz val="9"/>
            <color indexed="81"/>
            <rFont val="Tahoma"/>
            <family val="2"/>
          </rPr>
          <t>co2la:</t>
        </r>
        <r>
          <rPr>
            <sz val="9"/>
            <color indexed="81"/>
            <rFont val="Tahoma"/>
            <family val="2"/>
          </rPr>
          <t xml:space="preserve">
Assumed ahead of data collection</t>
        </r>
      </text>
    </comment>
    <comment ref="E78" authorId="1" shapeId="0" xr:uid="{09E65E4C-B3BD-4B2C-9B8E-30942F269389}">
      <text>
        <r>
          <rPr>
            <b/>
            <sz val="9"/>
            <color indexed="81"/>
            <rFont val="Tahoma"/>
            <family val="2"/>
          </rPr>
          <t>co2balance PC 3:</t>
        </r>
        <r>
          <rPr>
            <sz val="9"/>
            <color indexed="81"/>
            <rFont val="Tahoma"/>
            <family val="2"/>
          </rPr>
          <t xml:space="preserve">
amount assumed in advance of data</t>
        </r>
      </text>
    </comment>
  </commentList>
</comments>
</file>

<file path=xl/sharedStrings.xml><?xml version="1.0" encoding="utf-8"?>
<sst xmlns="http://schemas.openxmlformats.org/spreadsheetml/2006/main" count="338" uniqueCount="155">
  <si>
    <t>Woodfuel Scenario</t>
  </si>
  <si>
    <t>Project Variables</t>
  </si>
  <si>
    <t>Year</t>
  </si>
  <si>
    <t>Baseline emissions (tCO2e)</t>
  </si>
  <si>
    <t>Project emissions (tCO2e)</t>
  </si>
  <si>
    <t>Leakage (tCO2e)</t>
  </si>
  <si>
    <t>Emission reductions (tCO2e)</t>
  </si>
  <si>
    <t>Quantity safe water litres supplied by project technology</t>
  </si>
  <si>
    <t>Qp,y</t>
  </si>
  <si>
    <t>L/pd</t>
  </si>
  <si>
    <t>N/A</t>
  </si>
  <si>
    <t>Quantity of raw water boiled in addition to project tech water</t>
  </si>
  <si>
    <t>Qp, raw, y</t>
  </si>
  <si>
    <t>Quantity of safe water boiled</t>
  </si>
  <si>
    <t xml:space="preserve">Qp, cleanboil, y </t>
  </si>
  <si>
    <t>NRB</t>
  </si>
  <si>
    <t>fNRB</t>
  </si>
  <si>
    <t>fraction</t>
  </si>
  <si>
    <t>Usage rate</t>
  </si>
  <si>
    <t>Up,y</t>
  </si>
  <si>
    <t>Tonnes of wood to boil water - water boiling test</t>
  </si>
  <si>
    <t>Wp,y</t>
  </si>
  <si>
    <t>T/L</t>
  </si>
  <si>
    <t>Total</t>
  </si>
  <si>
    <t>% safe anyway</t>
  </si>
  <si>
    <t>Cj</t>
  </si>
  <si>
    <t>Total number of crediting years</t>
  </si>
  <si>
    <t>Annual average over the crediting period</t>
  </si>
  <si>
    <t>Constants</t>
  </si>
  <si>
    <t>Fraction</t>
  </si>
  <si>
    <t>Emissions Factor Non-CO2 (wood)</t>
  </si>
  <si>
    <t>Emissions factor fuel (co2)</t>
  </si>
  <si>
    <t>EFb,fuel,co2</t>
  </si>
  <si>
    <t>tCO2/TJ</t>
  </si>
  <si>
    <t>Gas</t>
  </si>
  <si>
    <t>Default Emissions Factor (kg_gas/TJNCV)</t>
  </si>
  <si>
    <t>GWP of Gas</t>
  </si>
  <si>
    <t>Default Emissions Factor (kg_CO2e/TJNCV)</t>
  </si>
  <si>
    <t>Default Emissions Factor (t_CO2e/TJNCV)</t>
  </si>
  <si>
    <t>Emissions factor fuel (non-co2)</t>
  </si>
  <si>
    <t>EFb, fuel, non-co2</t>
  </si>
  <si>
    <t>TCO2/TJ</t>
  </si>
  <si>
    <t>CH4</t>
  </si>
  <si>
    <t>Net calorific value of fuel</t>
  </si>
  <si>
    <t>NCV,b,fuel</t>
  </si>
  <si>
    <t>TJ/T</t>
  </si>
  <si>
    <t>N2O</t>
  </si>
  <si>
    <t xml:space="preserve">Total: </t>
  </si>
  <si>
    <t>Baseline Fuel Use (Bby)</t>
  </si>
  <si>
    <t>Portion using safe water</t>
  </si>
  <si>
    <t>Person Days</t>
  </si>
  <si>
    <t>Npy</t>
  </si>
  <si>
    <t>Emission Reduction cap</t>
  </si>
  <si>
    <t>Fuel to treat  1 litre of water using baseline tech</t>
  </si>
  <si>
    <t>Wb,y</t>
  </si>
  <si>
    <t>Number of desal plants included</t>
  </si>
  <si>
    <t>Quantity safe water litres consumed in project scenario supplied by project technology</t>
  </si>
  <si>
    <t>Number of users per plant</t>
  </si>
  <si>
    <t>Quantity of raw water boiled in addition to project technology water</t>
  </si>
  <si>
    <t>Wood users</t>
  </si>
  <si>
    <t>Suppressed Demand Assessment</t>
  </si>
  <si>
    <t>Charcoal users</t>
  </si>
  <si>
    <r>
      <t xml:space="preserve">Percentage of </t>
    </r>
    <r>
      <rPr>
        <b/>
        <u/>
        <sz val="11"/>
        <color indexed="8"/>
        <rFont val="Calibri"/>
        <family val="2"/>
      </rPr>
      <t>non</t>
    </r>
    <r>
      <rPr>
        <sz val="11"/>
        <color theme="1"/>
        <rFont val="Calibri"/>
        <family val="2"/>
        <scheme val="minor"/>
      </rPr>
      <t>-suppressed demand users</t>
    </r>
  </si>
  <si>
    <t>Xboil</t>
  </si>
  <si>
    <t>Percentage</t>
  </si>
  <si>
    <t>Days in year</t>
  </si>
  <si>
    <t>Bb,y</t>
  </si>
  <si>
    <t>T</t>
  </si>
  <si>
    <t>Proportional Users (wood/charcoal)</t>
  </si>
  <si>
    <t>Baseline Survey Q24 - Report Sheet Cells D90-96</t>
  </si>
  <si>
    <t>Project Fuel Use (Pby)</t>
  </si>
  <si>
    <t>Main stove for cooking and boiling water</t>
  </si>
  <si>
    <t>Portion users</t>
  </si>
  <si>
    <t>Traditional Woodfuel</t>
  </si>
  <si>
    <t>Charcoal Stove</t>
  </si>
  <si>
    <t>Fossil fuel required to treat 1 litre for water in project scenario</t>
  </si>
  <si>
    <t xml:space="preserve">Wp,y </t>
  </si>
  <si>
    <t>LPG Stove</t>
  </si>
  <si>
    <r>
      <t>&lt;</t>
    </r>
    <r>
      <rPr>
        <i/>
        <sz val="11"/>
        <color theme="1"/>
        <rFont val="Calibri"/>
        <family val="2"/>
        <scheme val="minor"/>
      </rPr>
      <t>de minimus</t>
    </r>
  </si>
  <si>
    <t>Kerosene Stove</t>
  </si>
  <si>
    <t>Quantity of fuel consumed in project scenario per HH</t>
  </si>
  <si>
    <t>Bp,y</t>
  </si>
  <si>
    <t>Emissions Reductions</t>
  </si>
  <si>
    <t>Baseline emissions per year</t>
  </si>
  <si>
    <t>BEb,y</t>
  </si>
  <si>
    <t>tCO2/y</t>
  </si>
  <si>
    <t>Project emissions per year</t>
  </si>
  <si>
    <t>PEp,y</t>
  </si>
  <si>
    <t>Leakage</t>
  </si>
  <si>
    <t>LEp,y</t>
  </si>
  <si>
    <t>Emission Reductions</t>
  </si>
  <si>
    <t>Ery</t>
  </si>
  <si>
    <t>Capped Emission Reductions</t>
  </si>
  <si>
    <t>Charcoal Scenario</t>
  </si>
  <si>
    <t>Tonnes of charcoal to boil water - water boiling test</t>
  </si>
  <si>
    <t>Total ERs wood + charcoal</t>
  </si>
  <si>
    <t>Capped Total ERs wood + charcoal</t>
  </si>
  <si>
    <t>Family Size</t>
  </si>
  <si>
    <t>Baseline Survey</t>
  </si>
  <si>
    <t>NCV biomass (TJ/t)</t>
  </si>
  <si>
    <t>Default Value</t>
  </si>
  <si>
    <t>J/kWh</t>
  </si>
  <si>
    <t>Fuel to treat  1 litre of water using baseline tech (t/L)</t>
  </si>
  <si>
    <t>kWh/J</t>
  </si>
  <si>
    <t>Mean  baseline stove wood consumption (t/stove/day)</t>
  </si>
  <si>
    <t>NCV biomass (J/t)#</t>
  </si>
  <si>
    <t>NCV Biomass (kWh/t)</t>
  </si>
  <si>
    <t>Mean baseline stove energy consumption (kWh/stove/day)</t>
  </si>
  <si>
    <t>Estimated daily use (hours)</t>
  </si>
  <si>
    <t>Estimated fuel consumption (kW)</t>
  </si>
  <si>
    <t>Assumed thermal efficiency of stove</t>
  </si>
  <si>
    <t>Useful output (kW)</t>
  </si>
  <si>
    <t xml:space="preserve"> </t>
  </si>
  <si>
    <t>SDG 3: Good Health and Well-Being</t>
  </si>
  <si>
    <t>Parameter</t>
  </si>
  <si>
    <t>Description</t>
  </si>
  <si>
    <t>Value</t>
  </si>
  <si>
    <t>Unit</t>
  </si>
  <si>
    <t>Source</t>
  </si>
  <si>
    <t>Psafe</t>
  </si>
  <si>
    <t>Number of additional persons consuming safe water in the project activity compared to the baseline scenario</t>
  </si>
  <si>
    <t>people</t>
  </si>
  <si>
    <t>Calculation</t>
  </si>
  <si>
    <r>
      <t>P</t>
    </r>
    <r>
      <rPr>
        <vertAlign val="subscript"/>
        <sz val="11"/>
        <color theme="1"/>
        <rFont val="Avenir Book"/>
      </rPr>
      <t>y</t>
    </r>
  </si>
  <si>
    <t>Number of persons having access to safe water in the project activity</t>
  </si>
  <si>
    <t>Ex Ante Calculations Estimate</t>
  </si>
  <si>
    <r>
      <t>C</t>
    </r>
    <r>
      <rPr>
        <vertAlign val="subscript"/>
        <sz val="11"/>
        <color theme="1"/>
        <rFont val="Avenir Book"/>
      </rPr>
      <t>j</t>
    </r>
  </si>
  <si>
    <t>Portion of users of the project technology j who in the baseline were already consuming safe water without boiling it.</t>
  </si>
  <si>
    <t>%</t>
  </si>
  <si>
    <t>Baseline Survey Report cell D58</t>
  </si>
  <si>
    <r>
      <t>P</t>
    </r>
    <r>
      <rPr>
        <vertAlign val="subscript"/>
        <sz val="11"/>
        <color theme="1"/>
        <rFont val="Avenir Book"/>
      </rPr>
      <t>b, boil</t>
    </r>
  </si>
  <si>
    <r>
      <t>Percentage of</t>
    </r>
    <r>
      <rPr>
        <vertAlign val="subscript"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persons boiling water for purification in the baseline scenario</t>
    </r>
  </si>
  <si>
    <t>Baseline Survey Report cell D72</t>
  </si>
  <si>
    <t>SDG 5: Gender Equality</t>
  </si>
  <si>
    <t>TRy</t>
  </si>
  <si>
    <t xml:space="preserve">Total reduction time spent collecting water for project activity in year y </t>
  </si>
  <si>
    <t>hours</t>
  </si>
  <si>
    <t>Tb,y</t>
  </si>
  <si>
    <t xml:space="preserve">Baseline time spent collecting water per household per day </t>
  </si>
  <si>
    <t xml:space="preserve">Baseline Project Survey Q15-16 </t>
  </si>
  <si>
    <t>Tp,y</t>
  </si>
  <si>
    <t xml:space="preserve">Project time spent collecting water per household per day </t>
  </si>
  <si>
    <t>Project Survey (estimate)</t>
  </si>
  <si>
    <t>SDG 6: Clean Water and Sanitation</t>
  </si>
  <si>
    <t>Paccess</t>
  </si>
  <si>
    <t>Number of additional persons having access to safe water in the project activity compared to the baseline scenario</t>
  </si>
  <si>
    <t>Py</t>
  </si>
  <si>
    <t>Expressed as a percentage, the portion of users of the project technology j who in the baseline were already consuming safe water without boiling it.</t>
  </si>
  <si>
    <t xml:space="preserve">Up,y </t>
  </si>
  <si>
    <r>
      <t>Usage rate in project scenario p during</t>
    </r>
    <r>
      <rPr>
        <vertAlign val="sub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year y</t>
    </r>
  </si>
  <si>
    <t>Estimation (Project Usage Survey)</t>
  </si>
  <si>
    <t>SDG 13: Climate Action</t>
  </si>
  <si>
    <t>Er,y</t>
  </si>
  <si>
    <t xml:space="preserve">CO2 emission reductions for the current monitoring period </t>
  </si>
  <si>
    <t>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</si>
</sst>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_-* #,##0_-;\-* #,##0_-;_-* &quot;-&quot;??_-;_-@_-"/>
    <numFmt numFmtId="166" formatCode="0.000"/>
    <numFmt numFmtId="167" formatCode="0.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11"/>
      <color theme="1"/>
      <name val="Avenir Book"/>
    </font>
    <font>
      <vertAlign val="subscript"/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4" borderId="1" xfId="0" applyFill="1" applyBorder="1"/>
    <xf numFmtId="2" fontId="0" fillId="4" borderId="1" xfId="0" applyNumberFormat="1" applyFill="1" applyBorder="1"/>
    <xf numFmtId="164" fontId="0" fillId="4" borderId="1" xfId="0" applyNumberFormat="1" applyFill="1" applyBorder="1"/>
    <xf numFmtId="10" fontId="0" fillId="4" borderId="1" xfId="2" applyNumberFormat="1" applyFont="1" applyFill="1" applyBorder="1"/>
    <xf numFmtId="0" fontId="2" fillId="0" borderId="0" xfId="0" applyFont="1"/>
    <xf numFmtId="0" fontId="0" fillId="8" borderId="1" xfId="0" applyFill="1" applyBorder="1"/>
    <xf numFmtId="1" fontId="0" fillId="0" borderId="0" xfId="0" applyNumberFormat="1"/>
    <xf numFmtId="3" fontId="0" fillId="9" borderId="1" xfId="0" applyNumberFormat="1" applyFill="1" applyBorder="1"/>
    <xf numFmtId="0" fontId="0" fillId="9" borderId="1" xfId="0" applyFill="1" applyBorder="1"/>
    <xf numFmtId="0" fontId="0" fillId="0" borderId="2" xfId="0" applyBorder="1"/>
    <xf numFmtId="0" fontId="0" fillId="0" borderId="4" xfId="0" applyBorder="1"/>
    <xf numFmtId="165" fontId="0" fillId="4" borderId="1" xfId="0" applyNumberFormat="1" applyFill="1" applyBorder="1"/>
    <xf numFmtId="3" fontId="0" fillId="4" borderId="1" xfId="0" applyNumberFormat="1" applyFill="1" applyBorder="1"/>
    <xf numFmtId="166" fontId="0" fillId="4" borderId="1" xfId="0" applyNumberFormat="1" applyFill="1" applyBorder="1"/>
    <xf numFmtId="165" fontId="0" fillId="6" borderId="1" xfId="1" applyNumberFormat="1" applyFont="1" applyFill="1" applyBorder="1"/>
    <xf numFmtId="0" fontId="0" fillId="0" borderId="0" xfId="0" applyFont="1"/>
    <xf numFmtId="0" fontId="0" fillId="0" borderId="1" xfId="0" applyBorder="1" applyAlignment="1">
      <alignment horizontal="left"/>
    </xf>
    <xf numFmtId="0" fontId="0" fillId="10" borderId="1" xfId="0" applyFill="1" applyBorder="1" applyAlignment="1">
      <alignment horizontal="right"/>
    </xf>
    <xf numFmtId="0" fontId="0" fillId="9" borderId="0" xfId="0" applyFill="1"/>
    <xf numFmtId="0" fontId="0" fillId="10" borderId="1" xfId="0" applyFill="1" applyBorder="1"/>
    <xf numFmtId="0" fontId="7" fillId="9" borderId="1" xfId="0" applyFont="1" applyFill="1" applyBorder="1"/>
    <xf numFmtId="4" fontId="0" fillId="9" borderId="1" xfId="0" applyNumberFormat="1" applyFill="1" applyBorder="1"/>
    <xf numFmtId="0" fontId="0" fillId="9" borderId="4" xfId="0" applyFill="1" applyBorder="1"/>
    <xf numFmtId="0" fontId="0" fillId="0" borderId="1" xfId="0" applyBorder="1" applyAlignment="1">
      <alignment horizontal="center"/>
    </xf>
    <xf numFmtId="4" fontId="0" fillId="9" borderId="4" xfId="0" applyNumberFormat="1" applyFill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9" fontId="0" fillId="9" borderId="1" xfId="0" applyNumberFormat="1" applyFill="1" applyBorder="1"/>
    <xf numFmtId="2" fontId="0" fillId="9" borderId="1" xfId="0" applyNumberFormat="1" applyFill="1" applyBorder="1"/>
    <xf numFmtId="2" fontId="0" fillId="0" borderId="1" xfId="0" applyNumberFormat="1" applyBorder="1"/>
    <xf numFmtId="2" fontId="0" fillId="9" borderId="5" xfId="0" applyNumberFormat="1" applyFill="1" applyBorder="1"/>
    <xf numFmtId="2" fontId="0" fillId="0" borderId="5" xfId="0" applyNumberFormat="1" applyBorder="1"/>
    <xf numFmtId="2" fontId="0" fillId="6" borderId="1" xfId="0" applyNumberFormat="1" applyFill="1" applyBorder="1"/>
    <xf numFmtId="0" fontId="2" fillId="9" borderId="0" xfId="0" applyFont="1" applyFill="1"/>
    <xf numFmtId="0" fontId="0" fillId="12" borderId="1" xfId="0" applyFill="1" applyBorder="1" applyAlignment="1">
      <alignment wrapText="1"/>
    </xf>
    <xf numFmtId="0" fontId="0" fillId="12" borderId="1" xfId="0" applyFill="1" applyBorder="1"/>
    <xf numFmtId="0" fontId="0" fillId="0" borderId="1" xfId="0" applyBorder="1" applyAlignment="1">
      <alignment vertical="top" wrapText="1"/>
    </xf>
    <xf numFmtId="10" fontId="0" fillId="0" borderId="1" xfId="0" applyNumberFormat="1" applyBorder="1" applyAlignment="1">
      <alignment horizontal="right" wrapText="1"/>
    </xf>
    <xf numFmtId="9" fontId="0" fillId="0" borderId="1" xfId="2" applyFont="1" applyBorder="1" applyAlignment="1">
      <alignment horizontal="right" wrapText="1"/>
    </xf>
    <xf numFmtId="165" fontId="2" fillId="0" borderId="1" xfId="1" applyNumberFormat="1" applyFont="1" applyBorder="1" applyAlignment="1">
      <alignment horizontal="left"/>
    </xf>
    <xf numFmtId="2" fontId="0" fillId="0" borderId="1" xfId="0" applyNumberFormat="1" applyFont="1" applyBorder="1" applyAlignment="1">
      <alignment horizontal="right" wrapText="1"/>
    </xf>
    <xf numFmtId="0" fontId="0" fillId="0" borderId="5" xfId="0" applyFill="1" applyBorder="1"/>
    <xf numFmtId="0" fontId="0" fillId="0" borderId="7" xfId="0" applyBorder="1"/>
    <xf numFmtId="167" fontId="0" fillId="4" borderId="1" xfId="0" applyNumberForma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9" fontId="0" fillId="0" borderId="0" xfId="2" applyFont="1"/>
    <xf numFmtId="3" fontId="0" fillId="0" borderId="1" xfId="0" applyNumberFormat="1" applyBorder="1"/>
    <xf numFmtId="0" fontId="0" fillId="0" borderId="1" xfId="0" applyFill="1" applyBorder="1"/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6" xfId="0" applyFont="1" applyFill="1" applyBorder="1" applyAlignment="1">
      <alignment vertical="center" wrapText="1"/>
    </xf>
    <xf numFmtId="165" fontId="2" fillId="0" borderId="1" xfId="1" applyNumberFormat="1" applyFont="1" applyBorder="1" applyAlignment="1">
      <alignment horizontal="right" wrapText="1"/>
    </xf>
    <xf numFmtId="165" fontId="0" fillId="0" borderId="1" xfId="1" applyNumberFormat="1" applyFont="1" applyBorder="1"/>
    <xf numFmtId="0" fontId="12" fillId="0" borderId="0" xfId="0" applyFont="1" applyAlignment="1">
      <alignment vertical="top" wrapText="1"/>
    </xf>
    <xf numFmtId="165" fontId="0" fillId="0" borderId="1" xfId="1" applyNumberFormat="1" applyFont="1" applyBorder="1" applyAlignment="1">
      <alignment horizontal="right" wrapText="1"/>
    </xf>
    <xf numFmtId="9" fontId="0" fillId="0" borderId="1" xfId="2" applyFont="1" applyBorder="1" applyAlignment="1">
      <alignment wrapText="1"/>
    </xf>
    <xf numFmtId="2" fontId="2" fillId="0" borderId="0" xfId="0" applyNumberFormat="1" applyFont="1"/>
    <xf numFmtId="0" fontId="0" fillId="12" borderId="5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9" fontId="0" fillId="0" borderId="0" xfId="2" applyFont="1" applyBorder="1" applyAlignment="1">
      <alignment horizontal="right" wrapText="1"/>
    </xf>
    <xf numFmtId="0" fontId="0" fillId="0" borderId="0" xfId="0" applyBorder="1"/>
    <xf numFmtId="2" fontId="0" fillId="0" borderId="0" xfId="0" applyNumberFormat="1" applyBorder="1"/>
    <xf numFmtId="9" fontId="0" fillId="0" borderId="0" xfId="2" applyFont="1" applyBorder="1" applyAlignment="1">
      <alignment wrapText="1"/>
    </xf>
    <xf numFmtId="0" fontId="0" fillId="0" borderId="7" xfId="0" applyFill="1" applyBorder="1" applyAlignment="1">
      <alignment wrapText="1"/>
    </xf>
    <xf numFmtId="165" fontId="0" fillId="0" borderId="0" xfId="0" applyNumberFormat="1"/>
    <xf numFmtId="165" fontId="0" fillId="0" borderId="0" xfId="0" applyNumberFormat="1" applyFill="1"/>
    <xf numFmtId="9" fontId="0" fillId="0" borderId="0" xfId="2" applyNumberFormat="1" applyFont="1"/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13" borderId="2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4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mes Walker" id="{BDBC27EF-8E36-48CA-8210-F1C0FE77EF52}" userId="James Walker" providerId="None"/>
  <person displayName="Emma Donnachie" id="{7CC697A4-55AD-451F-8B56-66C5FF53059D}" userId="Emma Donnachie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4" dT="2021-03-10T15:06:04.05" personId="{7CC697A4-55AD-451F-8B56-66C5FF53059D}" id="{E7204831-95E8-41E4-9B71-84950EF650D6}">
    <text>https://www.ipcc-nggip.iges.or.jp/public/gp/bgp/2_2_Non-CO2_Stationary_Combustion.pdf</text>
  </threadedComment>
  <threadedComment ref="I14" dT="2021-03-10T15:06:32.14" personId="{7CC697A4-55AD-451F-8B56-66C5FF53059D}" id="{8D072C6B-0EFA-4994-98FA-3C6E79255962}">
    <text>https://www.ghgprotocol.org/sites/default/files/ghgp/Global-Warming-Potential-Values%20%28Feb%2016%202016%29_1.pdf</text>
  </threadedComment>
  <threadedComment ref="H20" dT="2021-03-17T10:09:17.83" personId="{BDBC27EF-8E36-48CA-8210-F1C0FE77EF52}" id="{87663709-CDAA-4F84-B325-B13B53ADDF8F}">
    <text>Type III projects capped at 60,000 ERs per year (https://globalgoals.goldstandard.org/ru-2020-ssc-application-of-suppressed-demand/)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F8576-2FEF-403C-AB62-2A34D212A11C}">
  <dimension ref="A1:O90"/>
  <sheetViews>
    <sheetView showGridLines="0" tabSelected="1" topLeftCell="A61" zoomScale="90" zoomScaleNormal="90" workbookViewId="0">
      <selection activeCell="E8" sqref="E8"/>
    </sheetView>
  </sheetViews>
  <sheetFormatPr defaultRowHeight="14.5"/>
  <cols>
    <col min="1" max="1" width="9.1796875" customWidth="1"/>
    <col min="2" max="2" width="62.1796875" customWidth="1"/>
    <col min="3" max="3" width="17.1796875" bestFit="1" customWidth="1"/>
    <col min="4" max="4" width="22" customWidth="1"/>
    <col min="5" max="5" width="14.453125" bestFit="1" customWidth="1"/>
    <col min="6" max="6" width="15.81640625" customWidth="1"/>
    <col min="7" max="7" width="23.453125" bestFit="1" customWidth="1"/>
    <col min="8" max="8" width="20.26953125" customWidth="1"/>
    <col min="9" max="9" width="17.54296875" customWidth="1"/>
    <col min="10" max="11" width="21.7265625" customWidth="1"/>
    <col min="13" max="13" width="10.1796875" bestFit="1" customWidth="1"/>
    <col min="15" max="15" width="24.453125" customWidth="1"/>
    <col min="18" max="18" width="9.26953125" bestFit="1" customWidth="1"/>
  </cols>
  <sheetData>
    <row r="1" spans="2:12">
      <c r="B1" s="8" t="s">
        <v>0</v>
      </c>
    </row>
    <row r="2" spans="2:12">
      <c r="F2" s="1"/>
    </row>
    <row r="3" spans="2:12" ht="25">
      <c r="B3" s="82" t="s">
        <v>1</v>
      </c>
      <c r="C3" s="82"/>
      <c r="D3" s="82"/>
      <c r="E3" s="82"/>
      <c r="G3" s="53" t="s">
        <v>2</v>
      </c>
      <c r="H3" s="53" t="s">
        <v>3</v>
      </c>
      <c r="I3" s="53" t="s">
        <v>4</v>
      </c>
      <c r="J3" s="53" t="s">
        <v>5</v>
      </c>
      <c r="K3" s="53" t="s">
        <v>6</v>
      </c>
    </row>
    <row r="4" spans="2:12">
      <c r="B4" s="2" t="s">
        <v>7</v>
      </c>
      <c r="C4" s="3" t="s">
        <v>8</v>
      </c>
      <c r="D4" s="3" t="s">
        <v>9</v>
      </c>
      <c r="E4" s="4">
        <v>4</v>
      </c>
      <c r="G4" s="54">
        <v>2021</v>
      </c>
      <c r="H4" s="55">
        <f>$E$38+$E$82</f>
        <v>84814.689363616868</v>
      </c>
      <c r="I4" s="56" t="s">
        <v>10</v>
      </c>
      <c r="J4" s="54">
        <v>0</v>
      </c>
      <c r="K4" s="55">
        <f>$E$90</f>
        <v>60000</v>
      </c>
    </row>
    <row r="5" spans="2:12">
      <c r="B5" s="2" t="s">
        <v>11</v>
      </c>
      <c r="C5" s="3" t="s">
        <v>12</v>
      </c>
      <c r="D5" s="3" t="s">
        <v>9</v>
      </c>
      <c r="E5" s="4">
        <v>0</v>
      </c>
      <c r="G5" s="54">
        <v>2022</v>
      </c>
      <c r="H5" s="55">
        <f>$E$38+$E$82</f>
        <v>84814.689363616868</v>
      </c>
      <c r="I5" s="56" t="s">
        <v>10</v>
      </c>
      <c r="J5" s="54">
        <v>0</v>
      </c>
      <c r="K5" s="55">
        <f>$E$90</f>
        <v>60000</v>
      </c>
    </row>
    <row r="6" spans="2:12">
      <c r="B6" s="2" t="s">
        <v>13</v>
      </c>
      <c r="C6" s="3" t="s">
        <v>14</v>
      </c>
      <c r="D6" s="3" t="s">
        <v>9</v>
      </c>
      <c r="E6" s="4">
        <v>0</v>
      </c>
      <c r="G6" s="54">
        <v>2023</v>
      </c>
      <c r="H6" s="55">
        <f>$E$38+$E$82</f>
        <v>84814.689363616868</v>
      </c>
      <c r="I6" s="56" t="s">
        <v>10</v>
      </c>
      <c r="J6" s="54">
        <v>0</v>
      </c>
      <c r="K6" s="55">
        <f>$E$90</f>
        <v>60000</v>
      </c>
    </row>
    <row r="7" spans="2:12">
      <c r="B7" s="2" t="s">
        <v>15</v>
      </c>
      <c r="C7" s="3" t="s">
        <v>16</v>
      </c>
      <c r="D7" s="3" t="s">
        <v>17</v>
      </c>
      <c r="E7" s="5">
        <v>0.92</v>
      </c>
      <c r="G7" s="54">
        <v>2024</v>
      </c>
      <c r="H7" s="55">
        <f>$E$38+$E$82</f>
        <v>84814.689363616868</v>
      </c>
      <c r="I7" s="56" t="s">
        <v>10</v>
      </c>
      <c r="J7" s="54">
        <v>0</v>
      </c>
      <c r="K7" s="55">
        <f>$E$90</f>
        <v>60000</v>
      </c>
    </row>
    <row r="8" spans="2:12">
      <c r="B8" s="2" t="s">
        <v>18</v>
      </c>
      <c r="C8" s="3" t="s">
        <v>19</v>
      </c>
      <c r="D8" s="3" t="s">
        <v>17</v>
      </c>
      <c r="E8" s="4">
        <v>0.9</v>
      </c>
      <c r="G8" s="57">
        <v>2025</v>
      </c>
      <c r="H8" s="55">
        <f>$E$38+$E$82</f>
        <v>84814.689363616868</v>
      </c>
      <c r="I8" s="56" t="s">
        <v>10</v>
      </c>
      <c r="J8" s="54">
        <v>0</v>
      </c>
      <c r="K8" s="55">
        <f>$E$90</f>
        <v>60000</v>
      </c>
    </row>
    <row r="9" spans="2:12">
      <c r="B9" s="2" t="s">
        <v>20</v>
      </c>
      <c r="C9" s="3" t="s">
        <v>21</v>
      </c>
      <c r="D9" s="3" t="s">
        <v>22</v>
      </c>
      <c r="E9" s="47">
        <v>4.0000000000000002E-4</v>
      </c>
      <c r="G9" s="53" t="s">
        <v>23</v>
      </c>
      <c r="H9" s="55">
        <f>SUM(H4:H8)</f>
        <v>424073.44681808434</v>
      </c>
      <c r="I9" s="56" t="s">
        <v>10</v>
      </c>
      <c r="J9" s="54">
        <f>SUM(J4:J8)</f>
        <v>0</v>
      </c>
      <c r="K9" s="55">
        <f>SUM(K4:K8)</f>
        <v>300000</v>
      </c>
    </row>
    <row r="10" spans="2:12" ht="25">
      <c r="B10" s="2" t="s">
        <v>24</v>
      </c>
      <c r="C10" s="3" t="s">
        <v>25</v>
      </c>
      <c r="D10" s="3" t="s">
        <v>17</v>
      </c>
      <c r="E10" s="7">
        <v>7.0000000000000007E-2</v>
      </c>
      <c r="G10" s="53" t="s">
        <v>26</v>
      </c>
      <c r="H10" s="87">
        <v>5</v>
      </c>
      <c r="I10" s="88"/>
      <c r="J10" s="88"/>
      <c r="K10" s="89"/>
    </row>
    <row r="11" spans="2:12" ht="25">
      <c r="G11" s="54" t="s">
        <v>27</v>
      </c>
      <c r="H11" s="55">
        <f>H9/$H$10</f>
        <v>84814.689363616868</v>
      </c>
      <c r="I11" s="56" t="s">
        <v>10</v>
      </c>
      <c r="J11" s="54">
        <f>J9/$H$10</f>
        <v>0</v>
      </c>
      <c r="K11" s="55">
        <f>K9/$H$10</f>
        <v>60000</v>
      </c>
    </row>
    <row r="12" spans="2:12">
      <c r="B12" s="83" t="s">
        <v>28</v>
      </c>
      <c r="C12" s="84"/>
      <c r="D12" s="84"/>
      <c r="E12" s="85"/>
    </row>
    <row r="13" spans="2:12">
      <c r="B13" s="2" t="s">
        <v>15</v>
      </c>
      <c r="C13" s="3" t="s">
        <v>15</v>
      </c>
      <c r="D13" s="3" t="s">
        <v>29</v>
      </c>
      <c r="E13" s="5">
        <f>E7</f>
        <v>0.92</v>
      </c>
      <c r="G13" s="90" t="s">
        <v>30</v>
      </c>
      <c r="H13" s="91"/>
      <c r="I13" s="91"/>
      <c r="J13" s="91"/>
      <c r="K13" s="92"/>
    </row>
    <row r="14" spans="2:12" ht="29">
      <c r="B14" s="3" t="s">
        <v>31</v>
      </c>
      <c r="C14" s="3" t="s">
        <v>32</v>
      </c>
      <c r="D14" s="3" t="s">
        <v>33</v>
      </c>
      <c r="E14" s="4">
        <v>112</v>
      </c>
      <c r="F14" s="8"/>
      <c r="G14" s="48" t="s">
        <v>34</v>
      </c>
      <c r="H14" s="48" t="s">
        <v>35</v>
      </c>
      <c r="I14" s="48" t="s">
        <v>36</v>
      </c>
      <c r="J14" s="48" t="s">
        <v>37</v>
      </c>
      <c r="K14" s="48" t="s">
        <v>38</v>
      </c>
    </row>
    <row r="15" spans="2:12">
      <c r="B15" s="3" t="s">
        <v>39</v>
      </c>
      <c r="C15" s="3" t="s">
        <v>40</v>
      </c>
      <c r="D15" s="3" t="s">
        <v>41</v>
      </c>
      <c r="E15" s="17">
        <f>K17</f>
        <v>9.4600000000000009</v>
      </c>
      <c r="G15" s="3" t="s">
        <v>42</v>
      </c>
      <c r="H15" s="3">
        <v>300</v>
      </c>
      <c r="I15" s="3">
        <v>28</v>
      </c>
      <c r="J15" s="3">
        <f>H15*I15</f>
        <v>8400</v>
      </c>
      <c r="K15" s="3">
        <f>J15/1000</f>
        <v>8.4</v>
      </c>
      <c r="L15" s="8"/>
    </row>
    <row r="16" spans="2:12">
      <c r="B16" s="3" t="s">
        <v>43</v>
      </c>
      <c r="C16" s="3" t="s">
        <v>44</v>
      </c>
      <c r="D16" s="3" t="s">
        <v>45</v>
      </c>
      <c r="E16" s="4">
        <v>1.5599999999999999E-2</v>
      </c>
      <c r="G16" s="3" t="s">
        <v>46</v>
      </c>
      <c r="H16" s="3">
        <v>4</v>
      </c>
      <c r="I16" s="3">
        <v>265</v>
      </c>
      <c r="J16" s="3">
        <f>H16*I16</f>
        <v>1060</v>
      </c>
      <c r="K16" s="3">
        <f>J16/1000</f>
        <v>1.06</v>
      </c>
    </row>
    <row r="17" spans="2:12">
      <c r="G17" s="3"/>
      <c r="H17" s="3"/>
      <c r="I17" s="3"/>
      <c r="J17" s="49" t="s">
        <v>47</v>
      </c>
      <c r="K17" s="3">
        <f>SUM(K15:K16)</f>
        <v>9.4600000000000009</v>
      </c>
    </row>
    <row r="18" spans="2:12">
      <c r="B18" s="75" t="s">
        <v>48</v>
      </c>
      <c r="C18" s="76"/>
      <c r="D18" s="76"/>
      <c r="E18" s="77"/>
    </row>
    <row r="19" spans="2:12">
      <c r="B19" s="3" t="s">
        <v>49</v>
      </c>
      <c r="C19" s="3" t="s">
        <v>25</v>
      </c>
      <c r="D19" s="3" t="s">
        <v>17</v>
      </c>
      <c r="E19" s="7">
        <f>E10</f>
        <v>7.0000000000000007E-2</v>
      </c>
      <c r="G19" s="8"/>
      <c r="H19" s="8"/>
    </row>
    <row r="20" spans="2:12">
      <c r="B20" s="3" t="s">
        <v>50</v>
      </c>
      <c r="C20" s="3" t="s">
        <v>51</v>
      </c>
      <c r="D20" s="3"/>
      <c r="E20" s="18">
        <f>H21*H23*H25</f>
        <v>7443990.8256880743</v>
      </c>
      <c r="G20" s="9" t="s">
        <v>52</v>
      </c>
      <c r="H20" s="16">
        <v>60000</v>
      </c>
    </row>
    <row r="21" spans="2:12" s="8" customFormat="1">
      <c r="B21" s="3" t="s">
        <v>53</v>
      </c>
      <c r="C21" s="3" t="s">
        <v>54</v>
      </c>
      <c r="D21" s="3" t="s">
        <v>22</v>
      </c>
      <c r="E21" s="47">
        <f>E9</f>
        <v>4.0000000000000002E-4</v>
      </c>
      <c r="G21" t="s">
        <v>55</v>
      </c>
      <c r="H21" s="73">
        <v>9</v>
      </c>
      <c r="I21"/>
      <c r="L21"/>
    </row>
    <row r="22" spans="2:12" ht="29">
      <c r="B22" s="2" t="s">
        <v>56</v>
      </c>
      <c r="C22" s="3" t="s">
        <v>8</v>
      </c>
      <c r="D22" s="3" t="s">
        <v>9</v>
      </c>
      <c r="E22" s="4">
        <f>E4</f>
        <v>4</v>
      </c>
      <c r="G22" t="s">
        <v>57</v>
      </c>
      <c r="H22" s="16">
        <f>40000/E4</f>
        <v>10000</v>
      </c>
    </row>
    <row r="23" spans="2:12">
      <c r="B23" s="3" t="s">
        <v>58</v>
      </c>
      <c r="C23" s="3" t="s">
        <v>12</v>
      </c>
      <c r="D23" s="3" t="s">
        <v>9</v>
      </c>
      <c r="E23" s="4">
        <f>E5</f>
        <v>0</v>
      </c>
      <c r="G23" t="s">
        <v>59</v>
      </c>
      <c r="H23" s="16">
        <f>$H$22*H30</f>
        <v>2385.3211009174315</v>
      </c>
    </row>
    <row r="24" spans="2:12">
      <c r="B24" s="81" t="s">
        <v>60</v>
      </c>
      <c r="C24" s="81"/>
      <c r="D24" s="81"/>
      <c r="E24" s="81"/>
      <c r="G24" t="s">
        <v>61</v>
      </c>
      <c r="H24" s="16">
        <f>$H$22*H31</f>
        <v>7201.8348623853208</v>
      </c>
    </row>
    <row r="25" spans="2:12">
      <c r="B25" s="13" t="s">
        <v>62</v>
      </c>
      <c r="C25" s="3" t="s">
        <v>63</v>
      </c>
      <c r="D25" s="14" t="s">
        <v>64</v>
      </c>
      <c r="E25" s="7">
        <v>0.17399999999999999</v>
      </c>
      <c r="G25" t="s">
        <v>65</v>
      </c>
      <c r="H25" s="10">
        <f>365*0.95</f>
        <v>346.75</v>
      </c>
    </row>
    <row r="26" spans="2:12">
      <c r="B26" s="3" t="s">
        <v>48</v>
      </c>
      <c r="C26" s="3" t="s">
        <v>66</v>
      </c>
      <c r="D26" s="3" t="s">
        <v>67</v>
      </c>
      <c r="E26" s="16">
        <f>(1-E25)*(1-E19)*E20*E21*(E22+E23)</f>
        <v>9149.3197959633035</v>
      </c>
    </row>
    <row r="27" spans="2:12">
      <c r="G27" s="8" t="s">
        <v>68</v>
      </c>
    </row>
    <row r="28" spans="2:12">
      <c r="F28" s="8"/>
      <c r="G28" t="s">
        <v>69</v>
      </c>
    </row>
    <row r="29" spans="2:12">
      <c r="B29" s="75" t="s">
        <v>70</v>
      </c>
      <c r="C29" s="76"/>
      <c r="D29" s="76"/>
      <c r="E29" s="77"/>
      <c r="G29" t="s">
        <v>71</v>
      </c>
    </row>
    <row r="30" spans="2:12">
      <c r="B30" s="3" t="s">
        <v>72</v>
      </c>
      <c r="C30" s="3" t="s">
        <v>25</v>
      </c>
      <c r="D30" s="3" t="s">
        <v>17</v>
      </c>
      <c r="E30" s="7">
        <f>E19</f>
        <v>7.0000000000000007E-2</v>
      </c>
      <c r="G30" t="s">
        <v>73</v>
      </c>
      <c r="H30" s="74">
        <v>0.23853211009174313</v>
      </c>
    </row>
    <row r="31" spans="2:12">
      <c r="B31" s="3" t="s">
        <v>50</v>
      </c>
      <c r="C31" s="3" t="s">
        <v>51</v>
      </c>
      <c r="D31" s="3"/>
      <c r="E31" s="15">
        <f>E20</f>
        <v>7443990.8256880743</v>
      </c>
      <c r="G31" t="s">
        <v>74</v>
      </c>
      <c r="H31" s="74">
        <v>0.72018348623853212</v>
      </c>
    </row>
    <row r="32" spans="2:12">
      <c r="B32" s="2" t="s">
        <v>75</v>
      </c>
      <c r="C32" s="3" t="s">
        <v>76</v>
      </c>
      <c r="D32" s="3" t="s">
        <v>22</v>
      </c>
      <c r="E32" s="6">
        <f>E9</f>
        <v>4.0000000000000002E-4</v>
      </c>
      <c r="G32" t="s">
        <v>77</v>
      </c>
      <c r="H32" s="50">
        <v>1.3761467889908258E-2</v>
      </c>
      <c r="I32" s="86" t="s">
        <v>78</v>
      </c>
    </row>
    <row r="33" spans="1:15">
      <c r="B33" s="3" t="s">
        <v>11</v>
      </c>
      <c r="C33" s="3" t="s">
        <v>12</v>
      </c>
      <c r="D33" s="3" t="s">
        <v>9</v>
      </c>
      <c r="E33" s="4">
        <f>E5</f>
        <v>0</v>
      </c>
      <c r="G33" t="s">
        <v>79</v>
      </c>
      <c r="H33" s="50">
        <v>2.2935779816513763E-2</v>
      </c>
      <c r="I33" s="86"/>
    </row>
    <row r="34" spans="1:15">
      <c r="B34" s="3" t="s">
        <v>13</v>
      </c>
      <c r="C34" s="3" t="s">
        <v>14</v>
      </c>
      <c r="D34" s="3" t="s">
        <v>9</v>
      </c>
      <c r="E34" s="4">
        <v>0</v>
      </c>
    </row>
    <row r="35" spans="1:15">
      <c r="B35" s="3" t="s">
        <v>80</v>
      </c>
      <c r="C35" s="3" t="s">
        <v>81</v>
      </c>
      <c r="D35" s="3" t="s">
        <v>67</v>
      </c>
      <c r="E35" s="4">
        <f>(1-E30)*E31*E32*(E33+E34)</f>
        <v>0</v>
      </c>
    </row>
    <row r="37" spans="1:15">
      <c r="B37" s="78" t="s">
        <v>82</v>
      </c>
      <c r="C37" s="79"/>
      <c r="D37" s="79"/>
      <c r="E37" s="80"/>
    </row>
    <row r="38" spans="1:15">
      <c r="B38" s="3" t="s">
        <v>83</v>
      </c>
      <c r="C38" s="3" t="s">
        <v>84</v>
      </c>
      <c r="D38" s="3" t="s">
        <v>85</v>
      </c>
      <c r="E38" s="16">
        <f>E26*((E14*E13)+E15)*E16</f>
        <v>16057.056241915598</v>
      </c>
    </row>
    <row r="39" spans="1:15">
      <c r="B39" s="3" t="s">
        <v>86</v>
      </c>
      <c r="C39" s="3" t="s">
        <v>87</v>
      </c>
      <c r="D39" s="3" t="s">
        <v>85</v>
      </c>
      <c r="E39" s="16">
        <f>E35*((E14*E7)+E15)*E16</f>
        <v>0</v>
      </c>
    </row>
    <row r="40" spans="1:15">
      <c r="B40" s="3" t="s">
        <v>18</v>
      </c>
      <c r="C40" s="3" t="s">
        <v>19</v>
      </c>
      <c r="D40" s="3" t="s">
        <v>17</v>
      </c>
      <c r="E40" s="4">
        <f>E8</f>
        <v>0.9</v>
      </c>
    </row>
    <row r="41" spans="1:15">
      <c r="B41" s="3" t="s">
        <v>88</v>
      </c>
      <c r="C41" s="3" t="s">
        <v>89</v>
      </c>
      <c r="D41" s="3" t="s">
        <v>85</v>
      </c>
      <c r="E41" s="4">
        <v>0</v>
      </c>
    </row>
    <row r="42" spans="1:15">
      <c r="B42" s="3" t="s">
        <v>90</v>
      </c>
      <c r="C42" s="3" t="s">
        <v>91</v>
      </c>
      <c r="D42" s="3" t="s">
        <v>85</v>
      </c>
      <c r="E42" s="16">
        <f>((E38-E39)*E40)-E41</f>
        <v>14451.350617724038</v>
      </c>
    </row>
    <row r="43" spans="1:15">
      <c r="B43" s="45" t="s">
        <v>92</v>
      </c>
      <c r="C43" s="46"/>
      <c r="D43" s="46"/>
      <c r="E43" s="16">
        <f>IF(E42&gt;$H$20,$H$20,E42)</f>
        <v>14451.350617724038</v>
      </c>
    </row>
    <row r="44" spans="1:1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</row>
    <row r="45" spans="1:15">
      <c r="B45" s="8" t="s">
        <v>93</v>
      </c>
    </row>
    <row r="46" spans="1:15">
      <c r="B46" s="19"/>
    </row>
    <row r="47" spans="1:15">
      <c r="B47" s="82" t="s">
        <v>1</v>
      </c>
      <c r="C47" s="82"/>
      <c r="D47" s="82"/>
      <c r="E47" s="82"/>
    </row>
    <row r="48" spans="1:15">
      <c r="B48" s="2" t="s">
        <v>7</v>
      </c>
      <c r="C48" s="3" t="s">
        <v>8</v>
      </c>
      <c r="D48" s="3" t="s">
        <v>9</v>
      </c>
      <c r="E48" s="4">
        <v>4</v>
      </c>
    </row>
    <row r="49" spans="2:6">
      <c r="B49" s="2" t="s">
        <v>11</v>
      </c>
      <c r="C49" s="3" t="s">
        <v>12</v>
      </c>
      <c r="D49" s="3" t="s">
        <v>9</v>
      </c>
      <c r="E49" s="4">
        <v>0</v>
      </c>
    </row>
    <row r="50" spans="2:6">
      <c r="B50" s="2" t="s">
        <v>13</v>
      </c>
      <c r="C50" s="3" t="s">
        <v>14</v>
      </c>
      <c r="D50" s="3" t="s">
        <v>9</v>
      </c>
      <c r="E50" s="4">
        <v>0</v>
      </c>
    </row>
    <row r="51" spans="2:6">
      <c r="B51" s="2" t="s">
        <v>15</v>
      </c>
      <c r="C51" s="3" t="s">
        <v>16</v>
      </c>
      <c r="D51" s="3" t="s">
        <v>17</v>
      </c>
      <c r="E51" s="5">
        <f>E7</f>
        <v>0.92</v>
      </c>
    </row>
    <row r="52" spans="2:6">
      <c r="B52" s="2" t="s">
        <v>18</v>
      </c>
      <c r="C52" s="3" t="s">
        <v>19</v>
      </c>
      <c r="D52" s="3" t="s">
        <v>17</v>
      </c>
      <c r="E52" s="5">
        <f>E8</f>
        <v>0.9</v>
      </c>
    </row>
    <row r="53" spans="2:6">
      <c r="B53" s="2" t="s">
        <v>94</v>
      </c>
      <c r="C53" s="3" t="s">
        <v>21</v>
      </c>
      <c r="D53" s="3" t="s">
        <v>22</v>
      </c>
      <c r="E53" s="47">
        <v>1E-4</v>
      </c>
    </row>
    <row r="54" spans="2:6">
      <c r="B54" s="2" t="s">
        <v>24</v>
      </c>
      <c r="C54" s="3" t="s">
        <v>25</v>
      </c>
      <c r="D54" s="3" t="s">
        <v>17</v>
      </c>
      <c r="E54" s="7">
        <f>E10</f>
        <v>7.0000000000000007E-2</v>
      </c>
    </row>
    <row r="56" spans="2:6">
      <c r="B56" s="83" t="s">
        <v>28</v>
      </c>
      <c r="C56" s="84"/>
      <c r="D56" s="84"/>
      <c r="E56" s="85"/>
    </row>
    <row r="57" spans="2:6">
      <c r="B57" s="2" t="s">
        <v>15</v>
      </c>
      <c r="C57" s="3" t="s">
        <v>15</v>
      </c>
      <c r="D57" s="3" t="s">
        <v>29</v>
      </c>
      <c r="E57" s="5">
        <f>E51</f>
        <v>0.92</v>
      </c>
    </row>
    <row r="58" spans="2:6">
      <c r="B58" s="3" t="s">
        <v>31</v>
      </c>
      <c r="C58" s="3" t="s">
        <v>32</v>
      </c>
      <c r="D58" s="3" t="s">
        <v>33</v>
      </c>
      <c r="E58" s="4">
        <v>336</v>
      </c>
      <c r="F58" s="8"/>
    </row>
    <row r="59" spans="2:6">
      <c r="B59" s="3" t="s">
        <v>39</v>
      </c>
      <c r="C59" s="3" t="s">
        <v>40</v>
      </c>
      <c r="D59" s="3" t="s">
        <v>41</v>
      </c>
      <c r="E59" s="17">
        <f>K17*3</f>
        <v>28.380000000000003</v>
      </c>
    </row>
    <row r="60" spans="2:6">
      <c r="B60" s="3" t="s">
        <v>43</v>
      </c>
      <c r="C60" s="3" t="s">
        <v>44</v>
      </c>
      <c r="D60" s="3" t="s">
        <v>45</v>
      </c>
      <c r="E60" s="4">
        <v>2.9499999999999998E-2</v>
      </c>
    </row>
    <row r="62" spans="2:6">
      <c r="B62" s="75" t="s">
        <v>48</v>
      </c>
      <c r="C62" s="76"/>
      <c r="D62" s="76"/>
      <c r="E62" s="77"/>
    </row>
    <row r="63" spans="2:6">
      <c r="B63" s="3" t="s">
        <v>49</v>
      </c>
      <c r="C63" s="3" t="s">
        <v>25</v>
      </c>
      <c r="D63" s="3" t="s">
        <v>17</v>
      </c>
      <c r="E63" s="7">
        <f>E10</f>
        <v>7.0000000000000007E-2</v>
      </c>
    </row>
    <row r="64" spans="2:6">
      <c r="B64" s="3" t="s">
        <v>50</v>
      </c>
      <c r="C64" s="3" t="s">
        <v>51</v>
      </c>
      <c r="D64" s="3"/>
      <c r="E64" s="18">
        <f>H21*H24*H25</f>
        <v>22475126.146788992</v>
      </c>
    </row>
    <row r="65" spans="2:11">
      <c r="B65" s="3" t="s">
        <v>53</v>
      </c>
      <c r="C65" s="3" t="s">
        <v>54</v>
      </c>
      <c r="D65" s="3" t="s">
        <v>22</v>
      </c>
      <c r="E65" s="47">
        <f>E53</f>
        <v>1E-4</v>
      </c>
      <c r="I65" s="8"/>
      <c r="J65" s="8"/>
      <c r="K65" s="8"/>
    </row>
    <row r="66" spans="2:11" ht="29">
      <c r="B66" s="2" t="s">
        <v>56</v>
      </c>
      <c r="C66" s="3" t="s">
        <v>8</v>
      </c>
      <c r="D66" s="3" t="s">
        <v>9</v>
      </c>
      <c r="E66" s="4">
        <f>E48</f>
        <v>4</v>
      </c>
      <c r="G66" s="8"/>
      <c r="H66" s="8"/>
    </row>
    <row r="67" spans="2:11">
      <c r="B67" s="3" t="s">
        <v>58</v>
      </c>
      <c r="C67" s="3" t="s">
        <v>12</v>
      </c>
      <c r="D67" s="3" t="s">
        <v>9</v>
      </c>
      <c r="E67" s="4">
        <f>E49</f>
        <v>0</v>
      </c>
    </row>
    <row r="68" spans="2:11">
      <c r="B68" s="81" t="s">
        <v>60</v>
      </c>
      <c r="C68" s="81"/>
      <c r="D68" s="81"/>
      <c r="E68" s="81"/>
    </row>
    <row r="69" spans="2:11">
      <c r="B69" s="13"/>
      <c r="C69" s="3"/>
      <c r="D69" s="14"/>
      <c r="E69" s="7"/>
    </row>
    <row r="70" spans="2:11">
      <c r="B70" s="13" t="s">
        <v>62</v>
      </c>
      <c r="C70" s="3" t="s">
        <v>63</v>
      </c>
      <c r="D70" s="14" t="s">
        <v>64</v>
      </c>
      <c r="E70" s="7">
        <f>E25</f>
        <v>0.17399999999999999</v>
      </c>
    </row>
    <row r="71" spans="2:11">
      <c r="B71" s="3" t="s">
        <v>48</v>
      </c>
      <c r="C71" s="3" t="s">
        <v>66</v>
      </c>
      <c r="D71" s="3" t="s">
        <v>67</v>
      </c>
      <c r="E71" s="16">
        <f>(1-E70)*(1-E63)*E64*E65*(E66+E67)</f>
        <v>6905.9769613761473</v>
      </c>
    </row>
    <row r="72" spans="2:11">
      <c r="F72" s="8"/>
    </row>
    <row r="73" spans="2:11">
      <c r="B73" s="75" t="s">
        <v>70</v>
      </c>
      <c r="C73" s="76"/>
      <c r="D73" s="76"/>
      <c r="E73" s="77"/>
    </row>
    <row r="74" spans="2:11">
      <c r="B74" s="3" t="s">
        <v>72</v>
      </c>
      <c r="C74" s="3" t="s">
        <v>25</v>
      </c>
      <c r="D74" s="3" t="s">
        <v>17</v>
      </c>
      <c r="E74" s="7">
        <f>E63</f>
        <v>7.0000000000000007E-2</v>
      </c>
    </row>
    <row r="75" spans="2:11">
      <c r="B75" s="3" t="s">
        <v>50</v>
      </c>
      <c r="C75" s="3" t="s">
        <v>51</v>
      </c>
      <c r="D75" s="3"/>
      <c r="E75" s="15">
        <f>E64</f>
        <v>22475126.146788992</v>
      </c>
    </row>
    <row r="76" spans="2:11">
      <c r="B76" s="2" t="s">
        <v>75</v>
      </c>
      <c r="C76" s="3" t="s">
        <v>76</v>
      </c>
      <c r="D76" s="3" t="s">
        <v>22</v>
      </c>
      <c r="E76" s="47">
        <f>E53</f>
        <v>1E-4</v>
      </c>
    </row>
    <row r="77" spans="2:11">
      <c r="B77" s="3" t="s">
        <v>11</v>
      </c>
      <c r="C77" s="3" t="s">
        <v>12</v>
      </c>
      <c r="D77" s="3" t="s">
        <v>9</v>
      </c>
      <c r="E77" s="4">
        <f>E49</f>
        <v>0</v>
      </c>
    </row>
    <row r="78" spans="2:11">
      <c r="B78" s="3" t="s">
        <v>13</v>
      </c>
      <c r="C78" s="3" t="s">
        <v>14</v>
      </c>
      <c r="D78" s="3" t="s">
        <v>9</v>
      </c>
      <c r="E78" s="4">
        <v>0</v>
      </c>
    </row>
    <row r="79" spans="2:11">
      <c r="B79" s="3" t="s">
        <v>80</v>
      </c>
      <c r="C79" s="3" t="s">
        <v>81</v>
      </c>
      <c r="D79" s="3" t="s">
        <v>67</v>
      </c>
      <c r="E79" s="4">
        <f>(1-E74)*E75*E76*(E77+E78)</f>
        <v>0</v>
      </c>
    </row>
    <row r="81" spans="2:5">
      <c r="B81" s="78" t="s">
        <v>82</v>
      </c>
      <c r="C81" s="79"/>
      <c r="D81" s="79"/>
      <c r="E81" s="80"/>
    </row>
    <row r="82" spans="2:5">
      <c r="B82" s="3" t="s">
        <v>83</v>
      </c>
      <c r="C82" s="3" t="s">
        <v>84</v>
      </c>
      <c r="D82" s="3" t="s">
        <v>85</v>
      </c>
      <c r="E82" s="16">
        <f>E71*((E58*E57)+E59)*E60</f>
        <v>68757.633121701263</v>
      </c>
    </row>
    <row r="83" spans="2:5">
      <c r="B83" s="3" t="s">
        <v>86</v>
      </c>
      <c r="C83" s="3" t="s">
        <v>87</v>
      </c>
      <c r="D83" s="3" t="s">
        <v>85</v>
      </c>
      <c r="E83" s="16">
        <f>E79*((E58*E51)+E59)*E60</f>
        <v>0</v>
      </c>
    </row>
    <row r="84" spans="2:5">
      <c r="B84" s="3" t="s">
        <v>18</v>
      </c>
      <c r="C84" s="3" t="s">
        <v>19</v>
      </c>
      <c r="D84" s="3" t="s">
        <v>17</v>
      </c>
      <c r="E84" s="4">
        <f>E52</f>
        <v>0.9</v>
      </c>
    </row>
    <row r="85" spans="2:5">
      <c r="B85" s="3" t="s">
        <v>88</v>
      </c>
      <c r="C85" s="3" t="s">
        <v>89</v>
      </c>
      <c r="D85" s="3" t="s">
        <v>85</v>
      </c>
      <c r="E85" s="4">
        <v>0</v>
      </c>
    </row>
    <row r="86" spans="2:5">
      <c r="B86" s="3" t="s">
        <v>90</v>
      </c>
      <c r="C86" s="3" t="s">
        <v>91</v>
      </c>
      <c r="D86" s="3" t="s">
        <v>85</v>
      </c>
      <c r="E86" s="16">
        <f>((E82-E83)*E84)-E85</f>
        <v>61881.869809531141</v>
      </c>
    </row>
    <row r="87" spans="2:5">
      <c r="B87" s="45" t="s">
        <v>92</v>
      </c>
      <c r="C87" s="46"/>
      <c r="D87" s="46"/>
      <c r="E87" s="16">
        <f>IF(E86&gt;$H$20,$H$20,E86)</f>
        <v>60000</v>
      </c>
    </row>
    <row r="89" spans="2:5">
      <c r="B89" s="3" t="s">
        <v>95</v>
      </c>
      <c r="C89" s="3" t="s">
        <v>91</v>
      </c>
      <c r="D89" s="3" t="s">
        <v>85</v>
      </c>
      <c r="E89" s="51">
        <f>E42+E86</f>
        <v>76333.220427255175</v>
      </c>
    </row>
    <row r="90" spans="2:5">
      <c r="B90" s="52" t="s">
        <v>96</v>
      </c>
      <c r="C90" s="3" t="s">
        <v>91</v>
      </c>
      <c r="D90" s="3" t="s">
        <v>85</v>
      </c>
      <c r="E90" s="16">
        <f>IF(E89&gt;$H$20,$H$20,E89)</f>
        <v>60000</v>
      </c>
    </row>
  </sheetData>
  <mergeCells count="15">
    <mergeCell ref="I32:I33"/>
    <mergeCell ref="H10:K10"/>
    <mergeCell ref="G13:K13"/>
    <mergeCell ref="B3:E3"/>
    <mergeCell ref="B12:E12"/>
    <mergeCell ref="B73:E73"/>
    <mergeCell ref="B81:E81"/>
    <mergeCell ref="B62:E62"/>
    <mergeCell ref="B68:E68"/>
    <mergeCell ref="B18:E18"/>
    <mergeCell ref="B24:E24"/>
    <mergeCell ref="B29:E29"/>
    <mergeCell ref="B37:E37"/>
    <mergeCell ref="B47:E47"/>
    <mergeCell ref="B56:E56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E14C1-9786-4424-85DC-75399B860AED}">
  <dimension ref="B1:O32"/>
  <sheetViews>
    <sheetView workbookViewId="0">
      <selection activeCell="C20" sqref="C20"/>
    </sheetView>
  </sheetViews>
  <sheetFormatPr defaultRowHeight="14.5"/>
  <cols>
    <col min="1" max="1" width="3.453125" style="22" customWidth="1"/>
    <col min="2" max="2" width="55" style="22" bestFit="1" customWidth="1"/>
    <col min="3" max="13" width="8.7265625" style="22"/>
    <col min="14" max="14" width="20.26953125" style="22" bestFit="1" customWidth="1"/>
    <col min="15" max="15" width="18.81640625" style="22" customWidth="1"/>
    <col min="16" max="256" width="8.7265625" style="22"/>
    <col min="257" max="257" width="3.453125" style="22" customWidth="1"/>
    <col min="258" max="258" width="48.7265625" style="22" bestFit="1" customWidth="1"/>
    <col min="259" max="512" width="8.7265625" style="22"/>
    <col min="513" max="513" width="3.453125" style="22" customWidth="1"/>
    <col min="514" max="514" width="48.7265625" style="22" bestFit="1" customWidth="1"/>
    <col min="515" max="768" width="8.7265625" style="22"/>
    <col min="769" max="769" width="3.453125" style="22" customWidth="1"/>
    <col min="770" max="770" width="48.7265625" style="22" bestFit="1" customWidth="1"/>
    <col min="771" max="1024" width="8.7265625" style="22"/>
    <col min="1025" max="1025" width="3.453125" style="22" customWidth="1"/>
    <col min="1026" max="1026" width="48.7265625" style="22" bestFit="1" customWidth="1"/>
    <col min="1027" max="1280" width="8.7265625" style="22"/>
    <col min="1281" max="1281" width="3.453125" style="22" customWidth="1"/>
    <col min="1282" max="1282" width="48.7265625" style="22" bestFit="1" customWidth="1"/>
    <col min="1283" max="1536" width="8.7265625" style="22"/>
    <col min="1537" max="1537" width="3.453125" style="22" customWidth="1"/>
    <col min="1538" max="1538" width="48.7265625" style="22" bestFit="1" customWidth="1"/>
    <col min="1539" max="1792" width="8.7265625" style="22"/>
    <col min="1793" max="1793" width="3.453125" style="22" customWidth="1"/>
    <col min="1794" max="1794" width="48.7265625" style="22" bestFit="1" customWidth="1"/>
    <col min="1795" max="2048" width="8.7265625" style="22"/>
    <col min="2049" max="2049" width="3.453125" style="22" customWidth="1"/>
    <col min="2050" max="2050" width="48.7265625" style="22" bestFit="1" customWidth="1"/>
    <col min="2051" max="2304" width="8.7265625" style="22"/>
    <col min="2305" max="2305" width="3.453125" style="22" customWidth="1"/>
    <col min="2306" max="2306" width="48.7265625" style="22" bestFit="1" customWidth="1"/>
    <col min="2307" max="2560" width="8.7265625" style="22"/>
    <col min="2561" max="2561" width="3.453125" style="22" customWidth="1"/>
    <col min="2562" max="2562" width="48.7265625" style="22" bestFit="1" customWidth="1"/>
    <col min="2563" max="2816" width="8.7265625" style="22"/>
    <col min="2817" max="2817" width="3.453125" style="22" customWidth="1"/>
    <col min="2818" max="2818" width="48.7265625" style="22" bestFit="1" customWidth="1"/>
    <col min="2819" max="3072" width="8.7265625" style="22"/>
    <col min="3073" max="3073" width="3.453125" style="22" customWidth="1"/>
    <col min="3074" max="3074" width="48.7265625" style="22" bestFit="1" customWidth="1"/>
    <col min="3075" max="3328" width="8.7265625" style="22"/>
    <col min="3329" max="3329" width="3.453125" style="22" customWidth="1"/>
    <col min="3330" max="3330" width="48.7265625" style="22" bestFit="1" customWidth="1"/>
    <col min="3331" max="3584" width="8.7265625" style="22"/>
    <col min="3585" max="3585" width="3.453125" style="22" customWidth="1"/>
    <col min="3586" max="3586" width="48.7265625" style="22" bestFit="1" customWidth="1"/>
    <col min="3587" max="3840" width="8.7265625" style="22"/>
    <col min="3841" max="3841" width="3.453125" style="22" customWidth="1"/>
    <col min="3842" max="3842" width="48.7265625" style="22" bestFit="1" customWidth="1"/>
    <col min="3843" max="4096" width="8.7265625" style="22"/>
    <col min="4097" max="4097" width="3.453125" style="22" customWidth="1"/>
    <col min="4098" max="4098" width="48.7265625" style="22" bestFit="1" customWidth="1"/>
    <col min="4099" max="4352" width="8.7265625" style="22"/>
    <col min="4353" max="4353" width="3.453125" style="22" customWidth="1"/>
    <col min="4354" max="4354" width="48.7265625" style="22" bestFit="1" customWidth="1"/>
    <col min="4355" max="4608" width="8.7265625" style="22"/>
    <col min="4609" max="4609" width="3.453125" style="22" customWidth="1"/>
    <col min="4610" max="4610" width="48.7265625" style="22" bestFit="1" customWidth="1"/>
    <col min="4611" max="4864" width="8.7265625" style="22"/>
    <col min="4865" max="4865" width="3.453125" style="22" customWidth="1"/>
    <col min="4866" max="4866" width="48.7265625" style="22" bestFit="1" customWidth="1"/>
    <col min="4867" max="5120" width="8.7265625" style="22"/>
    <col min="5121" max="5121" width="3.453125" style="22" customWidth="1"/>
    <col min="5122" max="5122" width="48.7265625" style="22" bestFit="1" customWidth="1"/>
    <col min="5123" max="5376" width="8.7265625" style="22"/>
    <col min="5377" max="5377" width="3.453125" style="22" customWidth="1"/>
    <col min="5378" max="5378" width="48.7265625" style="22" bestFit="1" customWidth="1"/>
    <col min="5379" max="5632" width="8.7265625" style="22"/>
    <col min="5633" max="5633" width="3.453125" style="22" customWidth="1"/>
    <col min="5634" max="5634" width="48.7265625" style="22" bestFit="1" customWidth="1"/>
    <col min="5635" max="5888" width="8.7265625" style="22"/>
    <col min="5889" max="5889" width="3.453125" style="22" customWidth="1"/>
    <col min="5890" max="5890" width="48.7265625" style="22" bestFit="1" customWidth="1"/>
    <col min="5891" max="6144" width="8.7265625" style="22"/>
    <col min="6145" max="6145" width="3.453125" style="22" customWidth="1"/>
    <col min="6146" max="6146" width="48.7265625" style="22" bestFit="1" customWidth="1"/>
    <col min="6147" max="6400" width="8.7265625" style="22"/>
    <col min="6401" max="6401" width="3.453125" style="22" customWidth="1"/>
    <col min="6402" max="6402" width="48.7265625" style="22" bestFit="1" customWidth="1"/>
    <col min="6403" max="6656" width="8.7265625" style="22"/>
    <col min="6657" max="6657" width="3.453125" style="22" customWidth="1"/>
    <col min="6658" max="6658" width="48.7265625" style="22" bestFit="1" customWidth="1"/>
    <col min="6659" max="6912" width="8.7265625" style="22"/>
    <col min="6913" max="6913" width="3.453125" style="22" customWidth="1"/>
    <col min="6914" max="6914" width="48.7265625" style="22" bestFit="1" customWidth="1"/>
    <col min="6915" max="7168" width="8.7265625" style="22"/>
    <col min="7169" max="7169" width="3.453125" style="22" customWidth="1"/>
    <col min="7170" max="7170" width="48.7265625" style="22" bestFit="1" customWidth="1"/>
    <col min="7171" max="7424" width="8.7265625" style="22"/>
    <col min="7425" max="7425" width="3.453125" style="22" customWidth="1"/>
    <col min="7426" max="7426" width="48.7265625" style="22" bestFit="1" customWidth="1"/>
    <col min="7427" max="7680" width="8.7265625" style="22"/>
    <col min="7681" max="7681" width="3.453125" style="22" customWidth="1"/>
    <col min="7682" max="7682" width="48.7265625" style="22" bestFit="1" customWidth="1"/>
    <col min="7683" max="7936" width="8.7265625" style="22"/>
    <col min="7937" max="7937" width="3.453125" style="22" customWidth="1"/>
    <col min="7938" max="7938" width="48.7265625" style="22" bestFit="1" customWidth="1"/>
    <col min="7939" max="8192" width="8.7265625" style="22"/>
    <col min="8193" max="8193" width="3.453125" style="22" customWidth="1"/>
    <col min="8194" max="8194" width="48.7265625" style="22" bestFit="1" customWidth="1"/>
    <col min="8195" max="8448" width="8.7265625" style="22"/>
    <col min="8449" max="8449" width="3.453125" style="22" customWidth="1"/>
    <col min="8450" max="8450" width="48.7265625" style="22" bestFit="1" customWidth="1"/>
    <col min="8451" max="8704" width="8.7265625" style="22"/>
    <col min="8705" max="8705" width="3.453125" style="22" customWidth="1"/>
    <col min="8706" max="8706" width="48.7265625" style="22" bestFit="1" customWidth="1"/>
    <col min="8707" max="8960" width="8.7265625" style="22"/>
    <col min="8961" max="8961" width="3.453125" style="22" customWidth="1"/>
    <col min="8962" max="8962" width="48.7265625" style="22" bestFit="1" customWidth="1"/>
    <col min="8963" max="9216" width="8.7265625" style="22"/>
    <col min="9217" max="9217" width="3.453125" style="22" customWidth="1"/>
    <col min="9218" max="9218" width="48.7265625" style="22" bestFit="1" customWidth="1"/>
    <col min="9219" max="9472" width="8.7265625" style="22"/>
    <col min="9473" max="9473" width="3.453125" style="22" customWidth="1"/>
    <col min="9474" max="9474" width="48.7265625" style="22" bestFit="1" customWidth="1"/>
    <col min="9475" max="9728" width="8.7265625" style="22"/>
    <col min="9729" max="9729" width="3.453125" style="22" customWidth="1"/>
    <col min="9730" max="9730" width="48.7265625" style="22" bestFit="1" customWidth="1"/>
    <col min="9731" max="9984" width="8.7265625" style="22"/>
    <col min="9985" max="9985" width="3.453125" style="22" customWidth="1"/>
    <col min="9986" max="9986" width="48.7265625" style="22" bestFit="1" customWidth="1"/>
    <col min="9987" max="10240" width="8.7265625" style="22"/>
    <col min="10241" max="10241" width="3.453125" style="22" customWidth="1"/>
    <col min="10242" max="10242" width="48.7265625" style="22" bestFit="1" customWidth="1"/>
    <col min="10243" max="10496" width="8.7265625" style="22"/>
    <col min="10497" max="10497" width="3.453125" style="22" customWidth="1"/>
    <col min="10498" max="10498" width="48.7265625" style="22" bestFit="1" customWidth="1"/>
    <col min="10499" max="10752" width="8.7265625" style="22"/>
    <col min="10753" max="10753" width="3.453125" style="22" customWidth="1"/>
    <col min="10754" max="10754" width="48.7265625" style="22" bestFit="1" customWidth="1"/>
    <col min="10755" max="11008" width="8.7265625" style="22"/>
    <col min="11009" max="11009" width="3.453125" style="22" customWidth="1"/>
    <col min="11010" max="11010" width="48.7265625" style="22" bestFit="1" customWidth="1"/>
    <col min="11011" max="11264" width="8.7265625" style="22"/>
    <col min="11265" max="11265" width="3.453125" style="22" customWidth="1"/>
    <col min="11266" max="11266" width="48.7265625" style="22" bestFit="1" customWidth="1"/>
    <col min="11267" max="11520" width="8.7265625" style="22"/>
    <col min="11521" max="11521" width="3.453125" style="22" customWidth="1"/>
    <col min="11522" max="11522" width="48.7265625" style="22" bestFit="1" customWidth="1"/>
    <col min="11523" max="11776" width="8.7265625" style="22"/>
    <col min="11777" max="11777" width="3.453125" style="22" customWidth="1"/>
    <col min="11778" max="11778" width="48.7265625" style="22" bestFit="1" customWidth="1"/>
    <col min="11779" max="12032" width="8.7265625" style="22"/>
    <col min="12033" max="12033" width="3.453125" style="22" customWidth="1"/>
    <col min="12034" max="12034" width="48.7265625" style="22" bestFit="1" customWidth="1"/>
    <col min="12035" max="12288" width="8.7265625" style="22"/>
    <col min="12289" max="12289" width="3.453125" style="22" customWidth="1"/>
    <col min="12290" max="12290" width="48.7265625" style="22" bestFit="1" customWidth="1"/>
    <col min="12291" max="12544" width="8.7265625" style="22"/>
    <col min="12545" max="12545" width="3.453125" style="22" customWidth="1"/>
    <col min="12546" max="12546" width="48.7265625" style="22" bestFit="1" customWidth="1"/>
    <col min="12547" max="12800" width="8.7265625" style="22"/>
    <col min="12801" max="12801" width="3.453125" style="22" customWidth="1"/>
    <col min="12802" max="12802" width="48.7265625" style="22" bestFit="1" customWidth="1"/>
    <col min="12803" max="13056" width="8.7265625" style="22"/>
    <col min="13057" max="13057" width="3.453125" style="22" customWidth="1"/>
    <col min="13058" max="13058" width="48.7265625" style="22" bestFit="1" customWidth="1"/>
    <col min="13059" max="13312" width="8.7265625" style="22"/>
    <col min="13313" max="13313" width="3.453125" style="22" customWidth="1"/>
    <col min="13314" max="13314" width="48.7265625" style="22" bestFit="1" customWidth="1"/>
    <col min="13315" max="13568" width="8.7265625" style="22"/>
    <col min="13569" max="13569" width="3.453125" style="22" customWidth="1"/>
    <col min="13570" max="13570" width="48.7265625" style="22" bestFit="1" customWidth="1"/>
    <col min="13571" max="13824" width="8.7265625" style="22"/>
    <col min="13825" max="13825" width="3.453125" style="22" customWidth="1"/>
    <col min="13826" max="13826" width="48.7265625" style="22" bestFit="1" customWidth="1"/>
    <col min="13827" max="14080" width="8.7265625" style="22"/>
    <col min="14081" max="14081" width="3.453125" style="22" customWidth="1"/>
    <col min="14082" max="14082" width="48.7265625" style="22" bestFit="1" customWidth="1"/>
    <col min="14083" max="14336" width="8.7265625" style="22"/>
    <col min="14337" max="14337" width="3.453125" style="22" customWidth="1"/>
    <col min="14338" max="14338" width="48.7265625" style="22" bestFit="1" customWidth="1"/>
    <col min="14339" max="14592" width="8.7265625" style="22"/>
    <col min="14593" max="14593" width="3.453125" style="22" customWidth="1"/>
    <col min="14594" max="14594" width="48.7265625" style="22" bestFit="1" customWidth="1"/>
    <col min="14595" max="14848" width="8.7265625" style="22"/>
    <col min="14849" max="14849" width="3.453125" style="22" customWidth="1"/>
    <col min="14850" max="14850" width="48.7265625" style="22" bestFit="1" customWidth="1"/>
    <col min="14851" max="15104" width="8.7265625" style="22"/>
    <col min="15105" max="15105" width="3.453125" style="22" customWidth="1"/>
    <col min="15106" max="15106" width="48.7265625" style="22" bestFit="1" customWidth="1"/>
    <col min="15107" max="15360" width="8.7265625" style="22"/>
    <col min="15361" max="15361" width="3.453125" style="22" customWidth="1"/>
    <col min="15362" max="15362" width="48.7265625" style="22" bestFit="1" customWidth="1"/>
    <col min="15363" max="15616" width="8.7265625" style="22"/>
    <col min="15617" max="15617" width="3.453125" style="22" customWidth="1"/>
    <col min="15618" max="15618" width="48.7265625" style="22" bestFit="1" customWidth="1"/>
    <col min="15619" max="15872" width="8.7265625" style="22"/>
    <col min="15873" max="15873" width="3.453125" style="22" customWidth="1"/>
    <col min="15874" max="15874" width="48.7265625" style="22" bestFit="1" customWidth="1"/>
    <col min="15875" max="16128" width="8.7265625" style="22"/>
    <col min="16129" max="16129" width="3.453125" style="22" customWidth="1"/>
    <col min="16130" max="16130" width="48.7265625" style="22" bestFit="1" customWidth="1"/>
    <col min="16131" max="16384" width="8.7265625" style="22"/>
  </cols>
  <sheetData>
    <row r="1" spans="2:15">
      <c r="B1" s="37" t="s">
        <v>0</v>
      </c>
    </row>
    <row r="2" spans="2:15">
      <c r="B2" s="20" t="s">
        <v>97</v>
      </c>
      <c r="C2" s="21">
        <v>5.52</v>
      </c>
      <c r="D2" s="22" t="s">
        <v>98</v>
      </c>
      <c r="N2" s="9" t="s">
        <v>99</v>
      </c>
      <c r="O2" s="12">
        <v>1.5599999999999999E-2</v>
      </c>
    </row>
    <row r="3" spans="2:15">
      <c r="B3" s="2" t="s">
        <v>7</v>
      </c>
      <c r="C3" s="23">
        <v>4</v>
      </c>
      <c r="D3" s="22" t="s">
        <v>100</v>
      </c>
      <c r="N3" s="9" t="s">
        <v>101</v>
      </c>
      <c r="O3" s="11">
        <f>60*60*1000</f>
        <v>3600000</v>
      </c>
    </row>
    <row r="4" spans="2:15">
      <c r="B4" s="3" t="s">
        <v>102</v>
      </c>
      <c r="C4" s="3">
        <f>'GS10987 Ex Antes'!E9</f>
        <v>4.0000000000000002E-4</v>
      </c>
      <c r="N4" s="9" t="s">
        <v>103</v>
      </c>
      <c r="O4" s="12">
        <f>1/O3</f>
        <v>2.7777777777777776E-7</v>
      </c>
    </row>
    <row r="5" spans="2:15">
      <c r="B5" s="12" t="s">
        <v>104</v>
      </c>
      <c r="C5" s="24">
        <f>C4*C3*C2</f>
        <v>8.8319999999999996E-3</v>
      </c>
      <c r="H5"/>
      <c r="N5" s="9" t="s">
        <v>105</v>
      </c>
      <c r="O5" s="11">
        <f>O2*1000000000000</f>
        <v>15600000000</v>
      </c>
    </row>
    <row r="6" spans="2:15">
      <c r="B6" s="12" t="s">
        <v>106</v>
      </c>
      <c r="C6" s="11">
        <f>O6</f>
        <v>4333.333333333333</v>
      </c>
      <c r="H6"/>
      <c r="N6" s="9" t="s">
        <v>106</v>
      </c>
      <c r="O6" s="11">
        <f>O5*O4</f>
        <v>4333.333333333333</v>
      </c>
    </row>
    <row r="7" spans="2:15">
      <c r="B7" s="12" t="s">
        <v>107</v>
      </c>
      <c r="C7" s="25">
        <f>C6*C5</f>
        <v>38.271999999999998</v>
      </c>
    </row>
    <row r="8" spans="2:15">
      <c r="B8" s="12" t="s">
        <v>108</v>
      </c>
      <c r="C8" s="12">
        <v>1</v>
      </c>
      <c r="D8" s="26">
        <v>2</v>
      </c>
      <c r="E8" s="12">
        <v>3</v>
      </c>
      <c r="F8" s="3">
        <v>4</v>
      </c>
      <c r="G8" s="12">
        <v>5</v>
      </c>
      <c r="H8" s="27">
        <v>6</v>
      </c>
      <c r="I8" s="12">
        <v>7</v>
      </c>
      <c r="J8" s="12">
        <v>8</v>
      </c>
      <c r="K8" s="12">
        <v>9</v>
      </c>
      <c r="L8" s="12">
        <v>10</v>
      </c>
    </row>
    <row r="9" spans="2:15">
      <c r="B9" s="12" t="s">
        <v>109</v>
      </c>
      <c r="C9" s="25">
        <f>$C$7/C8</f>
        <v>38.271999999999998</v>
      </c>
      <c r="D9" s="28">
        <f t="shared" ref="D9:L9" si="0">$C$7/D8</f>
        <v>19.135999999999999</v>
      </c>
      <c r="E9" s="25">
        <f t="shared" si="0"/>
        <v>12.757333333333333</v>
      </c>
      <c r="F9" s="29">
        <f t="shared" si="0"/>
        <v>9.5679999999999996</v>
      </c>
      <c r="G9" s="25">
        <f t="shared" si="0"/>
        <v>7.6543999999999999</v>
      </c>
      <c r="H9" s="30">
        <f t="shared" si="0"/>
        <v>6.3786666666666667</v>
      </c>
      <c r="I9" s="25">
        <f t="shared" si="0"/>
        <v>5.4674285714285711</v>
      </c>
      <c r="J9" s="25">
        <f t="shared" si="0"/>
        <v>4.7839999999999998</v>
      </c>
      <c r="K9" s="25">
        <f t="shared" si="0"/>
        <v>4.2524444444444445</v>
      </c>
      <c r="L9" s="25">
        <f t="shared" si="0"/>
        <v>3.8271999999999999</v>
      </c>
    </row>
    <row r="10" spans="2:15">
      <c r="B10" s="12" t="s">
        <v>110</v>
      </c>
      <c r="C10" s="31">
        <v>0.1</v>
      </c>
      <c r="D10" s="32"/>
      <c r="E10" s="32"/>
      <c r="F10" s="33"/>
      <c r="G10" s="34"/>
      <c r="H10" s="35"/>
      <c r="I10" s="34"/>
      <c r="J10" s="32"/>
      <c r="K10" s="32"/>
      <c r="L10" s="32"/>
    </row>
    <row r="11" spans="2:15">
      <c r="B11" s="12" t="s">
        <v>111</v>
      </c>
      <c r="C11" s="36">
        <f t="shared" ref="C11:L11" si="1">$C$10*C9</f>
        <v>3.8271999999999999</v>
      </c>
      <c r="D11" s="32">
        <f t="shared" si="1"/>
        <v>1.9136</v>
      </c>
      <c r="E11" s="32">
        <f t="shared" si="1"/>
        <v>1.2757333333333334</v>
      </c>
      <c r="F11" s="32">
        <f t="shared" si="1"/>
        <v>0.95679999999999998</v>
      </c>
      <c r="G11" s="32">
        <f t="shared" si="1"/>
        <v>0.76544000000000001</v>
      </c>
      <c r="H11" s="32">
        <f t="shared" si="1"/>
        <v>0.63786666666666669</v>
      </c>
      <c r="I11" s="32">
        <f t="shared" si="1"/>
        <v>0.54674285714285709</v>
      </c>
      <c r="J11" s="32">
        <f t="shared" si="1"/>
        <v>0.47839999999999999</v>
      </c>
      <c r="K11" s="32">
        <f t="shared" si="1"/>
        <v>0.42524444444444448</v>
      </c>
      <c r="L11" s="32">
        <f t="shared" si="1"/>
        <v>0.38272</v>
      </c>
    </row>
    <row r="13" spans="2:15">
      <c r="B13" s="37" t="s">
        <v>93</v>
      </c>
    </row>
    <row r="14" spans="2:15">
      <c r="B14" s="20" t="s">
        <v>97</v>
      </c>
      <c r="C14" s="21">
        <v>5.52</v>
      </c>
      <c r="D14" s="22" t="s">
        <v>98</v>
      </c>
      <c r="N14" s="9" t="s">
        <v>99</v>
      </c>
      <c r="O14" s="12">
        <v>2.9499999999999998E-2</v>
      </c>
    </row>
    <row r="15" spans="2:15">
      <c r="B15" s="2" t="s">
        <v>7</v>
      </c>
      <c r="C15" s="23">
        <v>4</v>
      </c>
      <c r="D15" s="22" t="s">
        <v>100</v>
      </c>
      <c r="N15" s="9" t="s">
        <v>101</v>
      </c>
      <c r="O15" s="11">
        <f>60*60*1000</f>
        <v>3600000</v>
      </c>
    </row>
    <row r="16" spans="2:15">
      <c r="B16" s="3" t="s">
        <v>102</v>
      </c>
      <c r="C16" s="3">
        <f>'GS10987 Ex Antes'!E53</f>
        <v>1E-4</v>
      </c>
      <c r="N16" s="9" t="s">
        <v>103</v>
      </c>
      <c r="O16" s="12">
        <f>1/O15</f>
        <v>2.7777777777777776E-7</v>
      </c>
    </row>
    <row r="17" spans="2:15">
      <c r="B17" s="12" t="s">
        <v>104</v>
      </c>
      <c r="C17" s="24">
        <f>C16*C15*C14</f>
        <v>2.2079999999999999E-3</v>
      </c>
      <c r="H17"/>
      <c r="N17" s="9" t="s">
        <v>105</v>
      </c>
      <c r="O17" s="11">
        <f>O14*1000000000000</f>
        <v>29500000000</v>
      </c>
    </row>
    <row r="18" spans="2:15">
      <c r="B18" s="12" t="s">
        <v>106</v>
      </c>
      <c r="C18" s="11">
        <f>O18</f>
        <v>8194.4444444444434</v>
      </c>
      <c r="H18"/>
      <c r="N18" s="9" t="s">
        <v>106</v>
      </c>
      <c r="O18" s="11">
        <f>O17*O16</f>
        <v>8194.4444444444434</v>
      </c>
    </row>
    <row r="19" spans="2:15">
      <c r="B19" s="12" t="s">
        <v>107</v>
      </c>
      <c r="C19" s="25">
        <f>C18*C17</f>
        <v>18.09333333333333</v>
      </c>
    </row>
    <row r="20" spans="2:15">
      <c r="B20" s="12" t="s">
        <v>108</v>
      </c>
      <c r="C20" s="12">
        <v>1</v>
      </c>
      <c r="D20" s="26">
        <v>2</v>
      </c>
      <c r="E20" s="12">
        <v>3</v>
      </c>
      <c r="F20" s="3">
        <v>4</v>
      </c>
      <c r="G20" s="12">
        <v>5</v>
      </c>
      <c r="H20" s="27">
        <v>6</v>
      </c>
      <c r="I20" s="12">
        <v>7</v>
      </c>
      <c r="J20" s="12">
        <v>8</v>
      </c>
      <c r="K20" s="12">
        <v>9</v>
      </c>
      <c r="L20" s="12">
        <v>10</v>
      </c>
    </row>
    <row r="21" spans="2:15">
      <c r="B21" s="12" t="s">
        <v>109</v>
      </c>
      <c r="C21" s="25">
        <f>$C$19/C20</f>
        <v>18.09333333333333</v>
      </c>
      <c r="D21" s="28">
        <f t="shared" ref="D21:L21" si="2">$C$7/D20</f>
        <v>19.135999999999999</v>
      </c>
      <c r="E21" s="25">
        <f t="shared" si="2"/>
        <v>12.757333333333333</v>
      </c>
      <c r="F21" s="29">
        <f t="shared" si="2"/>
        <v>9.5679999999999996</v>
      </c>
      <c r="G21" s="25">
        <f t="shared" si="2"/>
        <v>7.6543999999999999</v>
      </c>
      <c r="H21" s="30">
        <f t="shared" si="2"/>
        <v>6.3786666666666667</v>
      </c>
      <c r="I21" s="25">
        <f t="shared" si="2"/>
        <v>5.4674285714285711</v>
      </c>
      <c r="J21" s="25">
        <f t="shared" si="2"/>
        <v>4.7839999999999998</v>
      </c>
      <c r="K21" s="25">
        <f t="shared" si="2"/>
        <v>4.2524444444444445</v>
      </c>
      <c r="L21" s="25">
        <f t="shared" si="2"/>
        <v>3.8271999999999999</v>
      </c>
    </row>
    <row r="22" spans="2:15">
      <c r="B22" s="12" t="s">
        <v>110</v>
      </c>
      <c r="C22" s="31">
        <v>0.1</v>
      </c>
      <c r="D22" s="32"/>
      <c r="E22" s="32"/>
      <c r="F22" s="33"/>
      <c r="G22" s="34"/>
      <c r="H22" s="35"/>
      <c r="I22" s="34"/>
      <c r="J22" s="32"/>
      <c r="K22" s="32"/>
      <c r="L22" s="32"/>
    </row>
    <row r="23" spans="2:15">
      <c r="B23" s="12" t="s">
        <v>111</v>
      </c>
      <c r="C23" s="36">
        <f>$C$22*C21</f>
        <v>1.809333333333333</v>
      </c>
      <c r="D23" s="32">
        <f t="shared" ref="D23:L23" si="3">$C$10*D21</f>
        <v>1.9136</v>
      </c>
      <c r="E23" s="32">
        <f t="shared" si="3"/>
        <v>1.2757333333333334</v>
      </c>
      <c r="F23" s="32">
        <f t="shared" si="3"/>
        <v>0.95679999999999998</v>
      </c>
      <c r="G23" s="32">
        <f t="shared" si="3"/>
        <v>0.76544000000000001</v>
      </c>
      <c r="H23" s="32">
        <f t="shared" si="3"/>
        <v>0.63786666666666669</v>
      </c>
      <c r="I23" s="32">
        <f t="shared" si="3"/>
        <v>0.54674285714285709</v>
      </c>
      <c r="J23" s="32">
        <f t="shared" si="3"/>
        <v>0.47839999999999999</v>
      </c>
      <c r="K23" s="32">
        <f t="shared" si="3"/>
        <v>0.42524444444444448</v>
      </c>
      <c r="L23" s="32">
        <f t="shared" si="3"/>
        <v>0.38272</v>
      </c>
    </row>
    <row r="25" spans="2:15">
      <c r="B25" s="37"/>
    </row>
    <row r="32" spans="2:15">
      <c r="G32" s="22" t="s">
        <v>112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2093D-3088-4A86-83BA-5811D073F5D3}">
  <dimension ref="A1:G23"/>
  <sheetViews>
    <sheetView zoomScale="85" zoomScaleNormal="85" workbookViewId="0">
      <selection activeCell="F17" sqref="F17"/>
    </sheetView>
  </sheetViews>
  <sheetFormatPr defaultRowHeight="14.5"/>
  <cols>
    <col min="1" max="1" width="23" bestFit="1" customWidth="1"/>
    <col min="2" max="2" width="69" customWidth="1"/>
    <col min="3" max="3" width="20.54296875" customWidth="1"/>
    <col min="4" max="4" width="10.1796875" customWidth="1"/>
    <col min="5" max="5" width="33.81640625" bestFit="1" customWidth="1"/>
    <col min="7" max="7" width="13.453125" bestFit="1" customWidth="1"/>
    <col min="9" max="10" width="3.81640625" customWidth="1"/>
    <col min="14" max="14" width="24.81640625" customWidth="1"/>
    <col min="15" max="15" width="39.26953125" customWidth="1"/>
    <col min="16" max="16" width="30.54296875" customWidth="1"/>
    <col min="17" max="17" width="10.453125" customWidth="1"/>
    <col min="18" max="18" width="20" customWidth="1"/>
  </cols>
  <sheetData>
    <row r="1" spans="1:6" ht="29">
      <c r="A1" s="71" t="s">
        <v>113</v>
      </c>
    </row>
    <row r="2" spans="1:6">
      <c r="A2" s="64" t="s">
        <v>114</v>
      </c>
      <c r="B2" s="39" t="s">
        <v>115</v>
      </c>
      <c r="C2" s="38" t="s">
        <v>116</v>
      </c>
      <c r="D2" s="39" t="s">
        <v>117</v>
      </c>
      <c r="E2" s="39" t="s">
        <v>118</v>
      </c>
    </row>
    <row r="3" spans="1:6" ht="29">
      <c r="A3" s="2" t="s">
        <v>119</v>
      </c>
      <c r="B3" s="2" t="s">
        <v>120</v>
      </c>
      <c r="C3" s="58">
        <f>C4*(1-C5)*(1-C6)</f>
        <v>62775</v>
      </c>
      <c r="D3" s="3" t="s">
        <v>121</v>
      </c>
      <c r="E3" s="3" t="s">
        <v>122</v>
      </c>
    </row>
    <row r="4" spans="1:6" ht="16">
      <c r="A4" s="2" t="s">
        <v>123</v>
      </c>
      <c r="B4" s="2" t="s">
        <v>124</v>
      </c>
      <c r="C4" s="61">
        <f>'GS10987 Ex Antes'!H22*'GS10987 Ex Antes'!H21</f>
        <v>90000</v>
      </c>
      <c r="D4" s="3" t="s">
        <v>121</v>
      </c>
      <c r="E4" s="3" t="s">
        <v>125</v>
      </c>
      <c r="F4" s="72">
        <f>C4-C3</f>
        <v>27225</v>
      </c>
    </row>
    <row r="5" spans="1:6" ht="29.5">
      <c r="A5" s="2" t="s">
        <v>126</v>
      </c>
      <c r="B5" s="2" t="s">
        <v>127</v>
      </c>
      <c r="C5" s="41">
        <f>'GS10987 Ex Antes'!E30</f>
        <v>7.0000000000000007E-2</v>
      </c>
      <c r="D5" s="3" t="s">
        <v>128</v>
      </c>
      <c r="E5" s="3" t="s">
        <v>129</v>
      </c>
    </row>
    <row r="6" spans="1:6" ht="16">
      <c r="A6" s="2" t="s">
        <v>130</v>
      </c>
      <c r="B6" s="2" t="s">
        <v>131</v>
      </c>
      <c r="C6" s="62">
        <v>0.25</v>
      </c>
      <c r="D6" s="3" t="s">
        <v>128</v>
      </c>
      <c r="E6" s="3" t="s">
        <v>132</v>
      </c>
    </row>
    <row r="7" spans="1:6">
      <c r="A7" s="66"/>
      <c r="B7" s="66"/>
      <c r="C7" s="70"/>
      <c r="D7" s="68"/>
      <c r="E7" s="68"/>
    </row>
    <row r="8" spans="1:6">
      <c r="A8" s="65" t="s">
        <v>133</v>
      </c>
      <c r="B8" s="60"/>
    </row>
    <row r="9" spans="1:6" ht="17.25" customHeight="1">
      <c r="A9" s="38" t="s">
        <v>114</v>
      </c>
      <c r="B9" s="39" t="s">
        <v>115</v>
      </c>
      <c r="C9" s="38" t="s">
        <v>116</v>
      </c>
      <c r="D9" s="39" t="s">
        <v>117</v>
      </c>
      <c r="E9" s="39" t="s">
        <v>118</v>
      </c>
    </row>
    <row r="10" spans="1:6">
      <c r="A10" s="2" t="s">
        <v>134</v>
      </c>
      <c r="B10" s="2" t="s">
        <v>135</v>
      </c>
      <c r="C10" s="63">
        <f>C11-C12</f>
        <v>0.5</v>
      </c>
      <c r="D10" s="3" t="s">
        <v>136</v>
      </c>
      <c r="E10" s="3" t="s">
        <v>122</v>
      </c>
    </row>
    <row r="11" spans="1:6">
      <c r="A11" s="2" t="s">
        <v>137</v>
      </c>
      <c r="B11" s="2" t="s">
        <v>138</v>
      </c>
      <c r="C11" s="44">
        <f>2.4</f>
        <v>2.4</v>
      </c>
      <c r="D11" s="3" t="s">
        <v>136</v>
      </c>
      <c r="E11" s="3" t="s">
        <v>139</v>
      </c>
    </row>
    <row r="12" spans="1:6">
      <c r="A12" s="2" t="s">
        <v>140</v>
      </c>
      <c r="B12" s="2" t="s">
        <v>141</v>
      </c>
      <c r="C12" s="33">
        <f>C11-0.5</f>
        <v>1.9</v>
      </c>
      <c r="D12" s="3" t="s">
        <v>136</v>
      </c>
      <c r="E12" s="3" t="s">
        <v>142</v>
      </c>
    </row>
    <row r="13" spans="1:6">
      <c r="A13" s="66"/>
      <c r="B13" s="66"/>
      <c r="C13" s="69"/>
      <c r="D13" s="68"/>
      <c r="E13" s="68"/>
    </row>
    <row r="14" spans="1:6" ht="29">
      <c r="A14" s="65" t="s">
        <v>143</v>
      </c>
    </row>
    <row r="15" spans="1:6">
      <c r="A15" s="38" t="s">
        <v>114</v>
      </c>
      <c r="B15" s="39" t="s">
        <v>115</v>
      </c>
      <c r="C15" s="38" t="s">
        <v>116</v>
      </c>
      <c r="D15" s="39" t="s">
        <v>117</v>
      </c>
      <c r="E15" s="39" t="s">
        <v>118</v>
      </c>
    </row>
    <row r="16" spans="1:6" ht="29">
      <c r="A16" s="2" t="s">
        <v>144</v>
      </c>
      <c r="B16" s="2" t="s">
        <v>145</v>
      </c>
      <c r="C16" s="58">
        <f>C17*(1-C18)*C19</f>
        <v>75330</v>
      </c>
      <c r="D16" s="3" t="s">
        <v>121</v>
      </c>
      <c r="E16" s="3" t="s">
        <v>122</v>
      </c>
    </row>
    <row r="17" spans="1:7">
      <c r="A17" s="2" t="s">
        <v>146</v>
      </c>
      <c r="B17" s="2" t="s">
        <v>124</v>
      </c>
      <c r="C17" s="59">
        <f>'GS10987 Ex Antes'!H22*'GS10987 Ex Antes'!H21</f>
        <v>90000</v>
      </c>
      <c r="D17" s="3" t="s">
        <v>121</v>
      </c>
      <c r="E17" s="3" t="s">
        <v>125</v>
      </c>
      <c r="F17" s="72">
        <f>C17-C16</f>
        <v>14670</v>
      </c>
      <c r="G17" s="10"/>
    </row>
    <row r="18" spans="1:7" ht="29">
      <c r="A18" s="2" t="s">
        <v>25</v>
      </c>
      <c r="B18" s="40" t="s">
        <v>147</v>
      </c>
      <c r="C18" s="41">
        <f>'GS10987 Ex Antes'!E30</f>
        <v>7.0000000000000007E-2</v>
      </c>
      <c r="D18" s="3" t="s">
        <v>128</v>
      </c>
      <c r="E18" s="3" t="s">
        <v>129</v>
      </c>
    </row>
    <row r="19" spans="1:7" ht="16.5">
      <c r="A19" s="2" t="s">
        <v>148</v>
      </c>
      <c r="B19" s="2" t="s">
        <v>149</v>
      </c>
      <c r="C19" s="42">
        <f>'GS10987 Ex Antes'!E40</f>
        <v>0.9</v>
      </c>
      <c r="D19" s="3" t="s">
        <v>128</v>
      </c>
      <c r="E19" s="3" t="s">
        <v>150</v>
      </c>
      <c r="G19" s="10"/>
    </row>
    <row r="20" spans="1:7">
      <c r="A20" s="66"/>
      <c r="B20" s="66"/>
      <c r="C20" s="67"/>
      <c r="D20" s="68"/>
      <c r="E20" s="68"/>
      <c r="G20" s="10"/>
    </row>
    <row r="21" spans="1:7">
      <c r="A21" s="65" t="s">
        <v>151</v>
      </c>
    </row>
    <row r="22" spans="1:7">
      <c r="A22" s="38" t="s">
        <v>114</v>
      </c>
      <c r="B22" s="39" t="s">
        <v>115</v>
      </c>
      <c r="C22" s="39"/>
      <c r="D22" s="39" t="s">
        <v>117</v>
      </c>
      <c r="E22" s="39" t="s">
        <v>118</v>
      </c>
    </row>
    <row r="23" spans="1:7">
      <c r="A23" s="2" t="s">
        <v>152</v>
      </c>
      <c r="B23" s="3" t="s">
        <v>153</v>
      </c>
      <c r="C23" s="43">
        <f>'GS10987 Ex Antes'!E90</f>
        <v>60000</v>
      </c>
      <c r="D23" s="3" t="s">
        <v>154</v>
      </c>
      <c r="E23" s="3" t="s">
        <v>125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D8FF0EBC1E34CAA966933F5D9F9ED" ma:contentTypeVersion="14" ma:contentTypeDescription="Create a new document." ma:contentTypeScope="" ma:versionID="f214c0ff994e1285d4912ba9996fd456">
  <xsd:schema xmlns:xsd="http://www.w3.org/2001/XMLSchema" xmlns:xs="http://www.w3.org/2001/XMLSchema" xmlns:p="http://schemas.microsoft.com/office/2006/metadata/properties" xmlns:ns1="http://schemas.microsoft.com/sharepoint/v3" xmlns:ns2="8bcd9205-aa71-43b1-82fe-dcc00a36dd04" xmlns:ns3="83a6049c-05c8-4e22-bd03-2c19a5f84a8b" targetNamespace="http://schemas.microsoft.com/office/2006/metadata/properties" ma:root="true" ma:fieldsID="68b46f69ddd47cedc62efeca1d1c1b69" ns1:_="" ns2:_="" ns3:_="">
    <xsd:import namespace="http://schemas.microsoft.com/sharepoint/v3"/>
    <xsd:import namespace="8bcd9205-aa71-43b1-82fe-dcc00a36dd04"/>
    <xsd:import namespace="83a6049c-05c8-4e22-bd03-2c19a5f84a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PublishingStartDate" minOccurs="0"/>
                <xsd:element ref="ns1:PublishingExpirationDat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d9205-aa71-43b1-82fe-dcc00a36d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6049c-05c8-4e22-bd03-2c19a5f84a8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17036DA-1541-4B5A-B11A-EB1477E4E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cd9205-aa71-43b1-82fe-dcc00a36dd04"/>
    <ds:schemaRef ds:uri="83a6049c-05c8-4e22-bd03-2c19a5f84a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5B0DB5-0937-4381-B8A8-899D8161CF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470A82-A0F6-405E-8E72-E04B78E8CB69}">
  <ds:schemaRefs>
    <ds:schemaRef ds:uri="http://schemas.microsoft.com/office/2006/documentManagement/types"/>
    <ds:schemaRef ds:uri="http://schemas.microsoft.com/office/infopath/2007/PartnerControls"/>
    <ds:schemaRef ds:uri="8bcd9205-aa71-43b1-82fe-dcc00a36dd04"/>
    <ds:schemaRef ds:uri="http://purl.org/dc/dcmitype/"/>
    <ds:schemaRef ds:uri="http://purl.org/dc/elements/1.1/"/>
    <ds:schemaRef ds:uri="http://schemas.openxmlformats.org/package/2006/metadata/core-properties"/>
    <ds:schemaRef ds:uri="83a6049c-05c8-4e22-bd03-2c19a5f84a8b"/>
    <ds:schemaRef ds:uri="http://schemas.microsoft.com/sharepoint/v3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GS10987 Ex Antes</vt:lpstr>
      <vt:lpstr>Useful Energy Output</vt:lpstr>
      <vt:lpstr>SDG Calculations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C02</dc:creator>
  <cp:keywords/>
  <dc:description/>
  <cp:lastModifiedBy>co2laptop4@outlook.com</cp:lastModifiedBy>
  <cp:revision/>
  <dcterms:created xsi:type="dcterms:W3CDTF">2020-05-07T08:04:18Z</dcterms:created>
  <dcterms:modified xsi:type="dcterms:W3CDTF">2021-09-14T06:33:42Z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0x010100467D8FF0EBC1E34CAA966933F5D9F9ED</vt:lpwstr>
  </property>
</Properties>
</file>