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co2balance.sharepoint.com/Shared Documents/Projects/GS7591 - IPSWAEC/1. Kenya_SS/GivePower (GS10987)/6_Verification/2_Performance Review/Round 2/"/>
    </mc:Choice>
  </mc:AlternateContent>
  <xr:revisionPtr revIDLastSave="7" documentId="8_{D254FCF8-8CA8-44D8-8912-EF924BC0AE43}" xr6:coauthVersionLast="47" xr6:coauthVersionMax="47" xr10:uidLastSave="{0B21177D-7D47-4549-A8C7-E1C1776EB739}"/>
  <bookViews>
    <workbookView xWindow="19090" yWindow="-110" windowWidth="19420" windowHeight="10300" firstSheet="2" activeTab="5" xr2:uid="{E8CEFE3C-FBE6-491A-82CB-E4DEA62E68E2}"/>
  </bookViews>
  <sheets>
    <sheet name="GS10987 Summary" sheetId="1" r:id="rId1"/>
    <sheet name="GS10987 PTDs" sheetId="2" r:id="rId2"/>
    <sheet name="WQT Fail Log" sheetId="19" r:id="rId3"/>
    <sheet name="GS10987 ER Calcs Wood" sheetId="3" r:id="rId4"/>
    <sheet name="GS10987 ER Calcs Charcoal" sheetId="8" r:id="rId5"/>
    <sheet name="SDG Calculations" sheetId="10" r:id="rId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28" i="3" l="1"/>
  <c r="E10" i="3"/>
  <c r="E20" i="2"/>
  <c r="E36" i="3" l="1"/>
  <c r="E31" i="3"/>
  <c r="J31" i="8"/>
  <c r="E31" i="8" s="1"/>
  <c r="E27" i="8"/>
  <c r="E27" i="3"/>
  <c r="O31" i="3"/>
  <c r="O31" i="8"/>
  <c r="J31" i="3"/>
  <c r="C16" i="10"/>
  <c r="C3" i="10"/>
  <c r="S6" i="2"/>
  <c r="L3" i="2" l="1"/>
  <c r="D5" i="19"/>
  <c r="B11" i="19"/>
  <c r="B10" i="19"/>
  <c r="B9" i="19"/>
  <c r="Q6" i="2"/>
  <c r="P6" i="2"/>
  <c r="L4" i="2"/>
  <c r="L5" i="2"/>
  <c r="O6" i="2" l="1"/>
  <c r="N6" i="2"/>
  <c r="N7" i="2" s="1"/>
  <c r="N8" i="2" s="1"/>
  <c r="Q3" i="2" s="1"/>
  <c r="S3" i="2" s="1"/>
  <c r="D4" i="19"/>
  <c r="D3" i="19"/>
  <c r="D2" i="19"/>
  <c r="J16" i="8"/>
  <c r="J16" i="3"/>
  <c r="J5" i="2"/>
  <c r="C15" i="2"/>
  <c r="J27" i="1"/>
  <c r="J26" i="1"/>
  <c r="J23" i="1"/>
  <c r="J22" i="1"/>
  <c r="J13" i="1"/>
  <c r="J12" i="1"/>
  <c r="J9" i="1"/>
  <c r="J8" i="1"/>
  <c r="E8" i="1"/>
  <c r="E12" i="1"/>
  <c r="E13" i="1"/>
  <c r="E22" i="1"/>
  <c r="E26" i="1"/>
  <c r="E27" i="1"/>
  <c r="Q4" i="2" l="1"/>
  <c r="S4" i="2" s="1"/>
  <c r="Q5" i="2"/>
  <c r="S5" i="2" s="1"/>
  <c r="J4" i="2"/>
  <c r="O16" i="8"/>
  <c r="O16" i="3"/>
  <c r="C10" i="10" l="1"/>
  <c r="C19" i="10"/>
  <c r="D21" i="2"/>
  <c r="E21" i="2"/>
  <c r="D22" i="2"/>
  <c r="E22" i="2"/>
  <c r="C31" i="2"/>
  <c r="O30" i="3"/>
  <c r="O30" i="8"/>
  <c r="J30" i="8"/>
  <c r="J30" i="3"/>
  <c r="E9" i="1" s="1"/>
  <c r="C18" i="10"/>
  <c r="C5" i="10"/>
  <c r="C11" i="10"/>
  <c r="O24" i="8"/>
  <c r="J24" i="8"/>
  <c r="O23" i="8"/>
  <c r="J22" i="8"/>
  <c r="O22" i="8" s="1"/>
  <c r="J35" i="8"/>
  <c r="O35" i="8"/>
  <c r="J29" i="8"/>
  <c r="O29" i="8" s="1"/>
  <c r="J21" i="8"/>
  <c r="O21" i="8" s="1"/>
  <c r="E15" i="8"/>
  <c r="J13" i="8"/>
  <c r="E13" i="8"/>
  <c r="O9" i="8"/>
  <c r="J9" i="8"/>
  <c r="O8" i="8"/>
  <c r="J8" i="8"/>
  <c r="O7" i="8"/>
  <c r="O15" i="8"/>
  <c r="J7" i="8"/>
  <c r="J15" i="8"/>
  <c r="O5" i="8"/>
  <c r="J5" i="8"/>
  <c r="O13" i="8"/>
  <c r="O35" i="3"/>
  <c r="J35" i="3"/>
  <c r="J21" i="3"/>
  <c r="O21" i="3" s="1"/>
  <c r="C14" i="2"/>
  <c r="O29" i="3"/>
  <c r="J29" i="3"/>
  <c r="E15" i="3"/>
  <c r="E13" i="3"/>
  <c r="O9" i="3"/>
  <c r="J9" i="3"/>
  <c r="O8" i="3"/>
  <c r="J8" i="3"/>
  <c r="O7" i="3"/>
  <c r="O15" i="3"/>
  <c r="J7" i="3"/>
  <c r="J15" i="3"/>
  <c r="O5" i="3"/>
  <c r="O13" i="3"/>
  <c r="J5" i="3"/>
  <c r="J13" i="3"/>
  <c r="C16" i="2"/>
  <c r="F21" i="2" l="1"/>
  <c r="G21" i="2" s="1"/>
  <c r="F22" i="2"/>
  <c r="H22" i="2" s="1"/>
  <c r="C17" i="2"/>
  <c r="D14" i="2" s="1"/>
  <c r="J3" i="2" l="1"/>
  <c r="I21" i="2"/>
  <c r="H21" i="2"/>
  <c r="G22" i="2"/>
  <c r="I22" i="2"/>
  <c r="C4" i="10"/>
  <c r="C17" i="10" l="1"/>
  <c r="F17" i="10" s="1"/>
  <c r="F20" i="2"/>
  <c r="F23" i="2" s="1"/>
  <c r="F4" i="10"/>
  <c r="C20" i="2"/>
  <c r="C23" i="2" s="1"/>
  <c r="G20" i="2" l="1"/>
  <c r="G23" i="2" s="1"/>
  <c r="O6" i="3" s="1"/>
  <c r="O14" i="3" s="1"/>
  <c r="O18" i="3" s="1"/>
  <c r="E21" i="1" s="1"/>
  <c r="I20" i="2"/>
  <c r="I23" i="2" s="1"/>
  <c r="H20" i="2"/>
  <c r="H23" i="2" s="1"/>
  <c r="O6" i="8" s="1"/>
  <c r="O14" i="8" s="1"/>
  <c r="O18" i="8" s="1"/>
  <c r="O28" i="8" s="1"/>
  <c r="J21" i="1" s="1"/>
  <c r="D20" i="2"/>
  <c r="D23" i="2" s="1"/>
  <c r="J6" i="3" s="1"/>
  <c r="E23" i="2"/>
  <c r="O10" i="8" l="1"/>
  <c r="O27" i="8" s="1"/>
  <c r="J20" i="1" s="1"/>
  <c r="C26" i="2"/>
  <c r="O10" i="3"/>
  <c r="O27" i="3" s="1"/>
  <c r="E20" i="1" s="1"/>
  <c r="E6" i="3"/>
  <c r="C25" i="2"/>
  <c r="J6" i="8"/>
  <c r="J14" i="3"/>
  <c r="J18" i="3" s="1"/>
  <c r="J28" i="3" s="1"/>
  <c r="E7" i="1" s="1"/>
  <c r="J10" i="3"/>
  <c r="J27" i="3" s="1"/>
  <c r="E6" i="1" s="1"/>
  <c r="E6" i="8"/>
  <c r="E10" i="8" s="1"/>
  <c r="J24" i="1" l="1"/>
  <c r="E24" i="1"/>
  <c r="E14" i="8"/>
  <c r="E18" i="8" s="1"/>
  <c r="E28" i="8" s="1"/>
  <c r="E36" i="8" s="1"/>
  <c r="E14" i="3"/>
  <c r="E18" i="3" s="1"/>
  <c r="E28" i="3" s="1"/>
  <c r="E10" i="1"/>
  <c r="J14" i="8"/>
  <c r="J18" i="8" s="1"/>
  <c r="J28" i="8" s="1"/>
  <c r="J7" i="1" s="1"/>
  <c r="J10" i="8"/>
  <c r="J27" i="8" s="1"/>
  <c r="O36" i="8" l="1"/>
  <c r="J28" i="1" s="1"/>
  <c r="O36" i="3"/>
  <c r="O38" i="3" s="1"/>
  <c r="E30" i="1" s="1"/>
  <c r="J36" i="3"/>
  <c r="J38" i="3" s="1"/>
  <c r="E16" i="1" s="1"/>
  <c r="J6" i="1"/>
  <c r="O38" i="8" l="1"/>
  <c r="J30" i="1" s="1"/>
  <c r="J35" i="1" s="1"/>
  <c r="E28" i="1"/>
  <c r="E14" i="1"/>
  <c r="J10" i="1"/>
  <c r="J36" i="8"/>
  <c r="E38" i="3"/>
  <c r="E35" i="1"/>
  <c r="E43" i="1" l="1"/>
  <c r="N7" i="1" s="1"/>
  <c r="O7" i="1" s="1"/>
  <c r="J38" i="8"/>
  <c r="J14" i="1"/>
  <c r="E34" i="1"/>
  <c r="E38" i="8" l="1"/>
  <c r="J16" i="1"/>
  <c r="J34" i="1" s="1"/>
  <c r="J36" i="1" s="1"/>
  <c r="J37" i="1" s="1"/>
  <c r="E36" i="1"/>
  <c r="E37" i="1" s="1"/>
  <c r="E42" i="1" l="1"/>
  <c r="N6" i="1" s="1"/>
  <c r="E44" i="1" l="1"/>
  <c r="C23" i="10" s="1"/>
  <c r="O6" i="1"/>
  <c r="O8" i="1" s="1"/>
  <c r="N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co2la</author>
  </authors>
  <commentList>
    <comment ref="J5" authorId="0" shapeId="0" xr:uid="{76991958-2AB7-4B6A-8F57-4746540DEA0A}">
      <text>
        <r>
          <rPr>
            <b/>
            <sz val="9"/>
            <color indexed="81"/>
            <rFont val="Tahoma"/>
            <family val="2"/>
          </rPr>
          <t>co2la:</t>
        </r>
        <r>
          <rPr>
            <sz val="9"/>
            <color indexed="81"/>
            <rFont val="Tahoma"/>
            <family val="2"/>
          </rPr>
          <t xml:space="preserve">
Technology was shut down on October 19th 2021</t>
        </r>
      </text>
    </comment>
    <comment ref="B31" authorId="0" shapeId="0" xr:uid="{49D63131-829E-4D8F-BAEB-D374F823B486}">
      <text>
        <r>
          <rPr>
            <b/>
            <sz val="9"/>
            <color indexed="81"/>
            <rFont val="Tahoma"/>
            <family val="2"/>
          </rPr>
          <t>co2la:</t>
        </r>
        <r>
          <rPr>
            <sz val="9"/>
            <color indexed="81"/>
            <rFont val="Tahoma"/>
            <family val="2"/>
          </rPr>
          <t xml:space="preserve">
As other uses are not significant they are not included. Wood and charcoal ratios are therefore taken as proportion of 24% + 72%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Thomas Devesa</author>
  </authors>
  <commentList>
    <comment ref="A5" authorId="0" shapeId="0" xr:uid="{8708A058-1D6D-40DD-B54B-DB4EF5659787}">
      <text>
        <r>
          <rPr>
            <b/>
            <sz val="9"/>
            <color indexed="81"/>
            <rFont val="Tahoma"/>
            <family val="2"/>
          </rPr>
          <t>Thomas Devesa:</t>
        </r>
        <r>
          <rPr>
            <sz val="9"/>
            <color indexed="81"/>
            <rFont val="Tahoma"/>
            <family val="2"/>
          </rPr>
          <t xml:space="preserve">
No WQT results available, therefore applied average failure rate to quarter as conservative measure</t>
        </r>
      </text>
    </comment>
  </commentList>
</comments>
</file>

<file path=xl/sharedStrings.xml><?xml version="1.0" encoding="utf-8"?>
<sst xmlns="http://schemas.openxmlformats.org/spreadsheetml/2006/main" count="753" uniqueCount="189">
  <si>
    <t>Wood Emission Reductions - 01/09/20 - 31/12/2021</t>
  </si>
  <si>
    <t>Charcoal Emission Reductions - 01/09/20 - 31/12/2021</t>
  </si>
  <si>
    <t>ERs_by Vintage</t>
  </si>
  <si>
    <t>2020 Emission Reductions - Wood</t>
  </si>
  <si>
    <t>2020 Emission Reductions - Charcoal</t>
  </si>
  <si>
    <t>Emission Reductions by Vintage-Capped</t>
  </si>
  <si>
    <t>Emissions Reductions</t>
  </si>
  <si>
    <t>Year</t>
  </si>
  <si>
    <t>MP1</t>
  </si>
  <si>
    <t>Capped Ers</t>
  </si>
  <si>
    <t>Baseline emissions per year</t>
  </si>
  <si>
    <t>BEb,y</t>
  </si>
  <si>
    <t>tCO2/y</t>
  </si>
  <si>
    <t>Project emissions per year</t>
  </si>
  <si>
    <t>PEp,y</t>
  </si>
  <si>
    <t>Usage rate</t>
  </si>
  <si>
    <t>Up,y</t>
  </si>
  <si>
    <t>fraction</t>
  </si>
  <si>
    <t>Total</t>
  </si>
  <si>
    <t>Leakage</t>
  </si>
  <si>
    <t>LEp,y</t>
  </si>
  <si>
    <t>Emission Reductions</t>
  </si>
  <si>
    <t>Ery</t>
  </si>
  <si>
    <t>Suppressed Demand Assessment</t>
  </si>
  <si>
    <t>Percentage of suppressed demand users</t>
  </si>
  <si>
    <r>
      <t xml:space="preserve">Percentage of </t>
    </r>
    <r>
      <rPr>
        <b/>
        <u/>
        <sz val="11"/>
        <color indexed="8"/>
        <rFont val="Calibri"/>
        <family val="2"/>
      </rPr>
      <t>non</t>
    </r>
    <r>
      <rPr>
        <sz val="11"/>
        <color theme="1"/>
        <rFont val="Calibri"/>
        <family val="2"/>
        <scheme val="minor"/>
      </rPr>
      <t xml:space="preserve">-suppressed demand users </t>
    </r>
  </si>
  <si>
    <t>Xboil</t>
  </si>
  <si>
    <t>Percentage</t>
  </si>
  <si>
    <t>ERy</t>
  </si>
  <si>
    <t>Capped ERs</t>
  </si>
  <si>
    <t xml:space="preserve">Capped Emission Reductions </t>
  </si>
  <si>
    <t>2021 Emission Reductions - Wood</t>
  </si>
  <si>
    <t>2021 Emission Reductions - Charcoal</t>
  </si>
  <si>
    <t>Wood Total Capped ERs for Monitoring Period 1</t>
  </si>
  <si>
    <t>Charcoal Total Capped ERs for Monitoring Period 1</t>
  </si>
  <si>
    <t>Total ERs for MP1</t>
  </si>
  <si>
    <t>CO2balance Share</t>
  </si>
  <si>
    <t>Total Capped ERs for Monitoring Period 1</t>
  </si>
  <si>
    <t>GS ID</t>
  </si>
  <si>
    <t>Plant ID</t>
  </si>
  <si>
    <t>Technology</t>
  </si>
  <si>
    <t>Mode of Use</t>
  </si>
  <si>
    <t>Treatment Capacity (L/day)</t>
  </si>
  <si>
    <t>Community</t>
  </si>
  <si>
    <t>Latitude</t>
  </si>
  <si>
    <t>Longitude</t>
  </si>
  <si>
    <t>Days offline (MP1)</t>
  </si>
  <si>
    <t>Days offline 2020</t>
  </si>
  <si>
    <t>Days offline 2021</t>
  </si>
  <si>
    <t>Date of Installation</t>
  </si>
  <si>
    <t>Production Log</t>
  </si>
  <si>
    <t>Sales Log</t>
  </si>
  <si>
    <t>Average Treatment Capacity (L/day)</t>
  </si>
  <si>
    <t>Average Treatment Capacity (adjusted for Var) (L/day)</t>
  </si>
  <si>
    <t>Source</t>
  </si>
  <si>
    <t>Capped People</t>
  </si>
  <si>
    <t>Project safe water consumed (per capita per day)</t>
  </si>
  <si>
    <t>GS10987</t>
  </si>
  <si>
    <t>MAXI 1</t>
  </si>
  <si>
    <t>MAXI</t>
  </si>
  <si>
    <t>Commercial and Domestic</t>
  </si>
  <si>
    <t>Likoni</t>
  </si>
  <si>
    <t>GS10987 Production vs Sales MP1 Excel</t>
  </si>
  <si>
    <t>Methodology Default</t>
  </si>
  <si>
    <t>MAXI 2</t>
  </si>
  <si>
    <t>Bamburi</t>
  </si>
  <si>
    <t>NA</t>
  </si>
  <si>
    <t>MOBI+ 1</t>
  </si>
  <si>
    <t>MOBI+</t>
  </si>
  <si>
    <t>Makindu</t>
  </si>
  <si>
    <t>Date</t>
  </si>
  <si>
    <t>Variance</t>
  </si>
  <si>
    <t>MP1 Start</t>
  </si>
  <si>
    <t>% Variance</t>
  </si>
  <si>
    <t>MP1 End</t>
  </si>
  <si>
    <t>2020 End</t>
  </si>
  <si>
    <t>MP1 Crediting Days</t>
  </si>
  <si>
    <t>MP1 Credit Cap</t>
  </si>
  <si>
    <t xml:space="preserve">Daily credit cap </t>
  </si>
  <si>
    <t>2020 crediting days</t>
  </si>
  <si>
    <t>2021 crediting days</t>
  </si>
  <si>
    <t>Total crediting days</t>
  </si>
  <si>
    <t>Total 2020 PTDs</t>
  </si>
  <si>
    <t>2020 PTDs Wood</t>
  </si>
  <si>
    <t>2020 PTDs Charcoal</t>
  </si>
  <si>
    <t>Total 2021 PTDs</t>
  </si>
  <si>
    <t>2021 PTDs Wood</t>
  </si>
  <si>
    <t>2021 PTDs Charcoal</t>
  </si>
  <si>
    <t>Total PTDs</t>
  </si>
  <si>
    <t>Np,y [Wood]</t>
  </si>
  <si>
    <t>Np,y [Charcoal]</t>
  </si>
  <si>
    <t>Baseline Primary Fuel Use</t>
  </si>
  <si>
    <t>Wood Fuel</t>
  </si>
  <si>
    <t>Charcoal</t>
  </si>
  <si>
    <t>Other (De Minimis)</t>
  </si>
  <si>
    <t>Date Fail</t>
  </si>
  <si>
    <t>Date Pass</t>
  </si>
  <si>
    <t>Days</t>
  </si>
  <si>
    <t>Failure Rate</t>
  </si>
  <si>
    <t>MP1 Average</t>
  </si>
  <si>
    <t>Total Emission Reductions</t>
  </si>
  <si>
    <t>2020 Emission Reductions</t>
  </si>
  <si>
    <t>2021 Emission Reductions</t>
  </si>
  <si>
    <t>Baseline Fuel Use (Bby)</t>
  </si>
  <si>
    <t>Portion using safe water</t>
  </si>
  <si>
    <t>Cj</t>
  </si>
  <si>
    <t>Person Days</t>
  </si>
  <si>
    <t>Njy</t>
  </si>
  <si>
    <t>Fuel to treat  1 litre of water using baseline tech</t>
  </si>
  <si>
    <t>Wb,y</t>
  </si>
  <si>
    <t>T/L</t>
  </si>
  <si>
    <t>Quantity safe water litres consumed in project scenario supplied by project technology</t>
  </si>
  <si>
    <t>Qb,y</t>
  </si>
  <si>
    <t>L/pd</t>
  </si>
  <si>
    <t>Qp,y</t>
  </si>
  <si>
    <t>Quantity of raw water boiled in addition to project technology water</t>
  </si>
  <si>
    <t>Qb, raw, y</t>
  </si>
  <si>
    <t>Qp, raw, y</t>
  </si>
  <si>
    <t>Quantity fuel consumed in baseline scenario</t>
  </si>
  <si>
    <t>Bb,y</t>
  </si>
  <si>
    <t>T</t>
  </si>
  <si>
    <t>Project Fuel Use (Pby)</t>
  </si>
  <si>
    <t>Portion of safe users</t>
  </si>
  <si>
    <t>Fossil fuel required to treat 1 litre for water in project scenario</t>
  </si>
  <si>
    <t xml:space="preserve">Wp,y </t>
  </si>
  <si>
    <t>Quantity of raw water boiled in addition to project tech water</t>
  </si>
  <si>
    <t>Quantity of safe water boiled</t>
  </si>
  <si>
    <t xml:space="preserve">Qp, cleanboil, y </t>
  </si>
  <si>
    <t>Quantity of fuel consumed in project scenario per HH</t>
  </si>
  <si>
    <t>Bp,y</t>
  </si>
  <si>
    <t>Constants</t>
  </si>
  <si>
    <t>NRB</t>
  </si>
  <si>
    <t>Fraction</t>
  </si>
  <si>
    <t>Emissions factor fuel (co2)</t>
  </si>
  <si>
    <t>EFb,fuel,co2</t>
  </si>
  <si>
    <t>tCO2/TJ</t>
  </si>
  <si>
    <t>Emissions factor fuel (non-co2)</t>
  </si>
  <si>
    <t>EFb, fuel, non-co2</t>
  </si>
  <si>
    <t>TCO2/TJ</t>
  </si>
  <si>
    <t>Net calorific value of fuel</t>
  </si>
  <si>
    <t>NCV,b,fuel</t>
  </si>
  <si>
    <t>TJ/T</t>
  </si>
  <si>
    <t>Emission Reductions Corrected for Suppressed Demand</t>
  </si>
  <si>
    <t>Capped Emission Reductions</t>
  </si>
  <si>
    <t>Capped Emission Reductions (daily cap)</t>
  </si>
  <si>
    <t>Ers  have been capped at a daily rate based on 60,000 ERs per year and ensuring that only 60,000 Ers have been claimed each 365 day period</t>
  </si>
  <si>
    <t>SDG 3: Good Health and Well-Being</t>
  </si>
  <si>
    <t>Parameter</t>
  </si>
  <si>
    <t>Description</t>
  </si>
  <si>
    <t>Value</t>
  </si>
  <si>
    <t>Unit</t>
  </si>
  <si>
    <t>Psafe</t>
  </si>
  <si>
    <t>Number of additional persons consuming safe water in the project activity compared to the baseline scenario</t>
  </si>
  <si>
    <t>people</t>
  </si>
  <si>
    <t>Calculation</t>
  </si>
  <si>
    <r>
      <t>P</t>
    </r>
    <r>
      <rPr>
        <vertAlign val="subscript"/>
        <sz val="11"/>
        <color theme="1"/>
        <rFont val="Avenir Book"/>
      </rPr>
      <t>y</t>
    </r>
  </si>
  <si>
    <t>Number of persons having access to safe water in the project activity</t>
  </si>
  <si>
    <t>Ex Ante Calculations Estimate</t>
  </si>
  <si>
    <t>Baseline Estimate</t>
  </si>
  <si>
    <r>
      <t>C</t>
    </r>
    <r>
      <rPr>
        <vertAlign val="subscript"/>
        <sz val="11"/>
        <color theme="1"/>
        <rFont val="Avenir Book"/>
      </rPr>
      <t>j</t>
    </r>
  </si>
  <si>
    <t>Portion of users of the project technology j who in the baseline were already consuming safe water without boiling it.</t>
  </si>
  <si>
    <t>%</t>
  </si>
  <si>
    <t>Baseline Survey Report cell D58</t>
  </si>
  <si>
    <r>
      <t>P</t>
    </r>
    <r>
      <rPr>
        <vertAlign val="subscript"/>
        <sz val="11"/>
        <color theme="1"/>
        <rFont val="Avenir Book"/>
      </rPr>
      <t>b, boil</t>
    </r>
  </si>
  <si>
    <r>
      <t>Percentage of</t>
    </r>
    <r>
      <rPr>
        <vertAlign val="subscript"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persons boiling water for purification in the baseline scenario</t>
    </r>
  </si>
  <si>
    <t>Baseline Survey Report cell D72</t>
  </si>
  <si>
    <t>SDG 5: Gender Equality</t>
  </si>
  <si>
    <t>TRy</t>
  </si>
  <si>
    <t xml:space="preserve">Total reduction time spent collecting water for project activity in year y </t>
  </si>
  <si>
    <t>hours</t>
  </si>
  <si>
    <t>Tb,y</t>
  </si>
  <si>
    <t xml:space="preserve">Baseline time spent collecting water per household per day </t>
  </si>
  <si>
    <t xml:space="preserve">Baseline Project Survey Q15-16 </t>
  </si>
  <si>
    <t>Tp,y</t>
  </si>
  <si>
    <t xml:space="preserve">Project time spent collecting water per household per day </t>
  </si>
  <si>
    <t>No Data</t>
  </si>
  <si>
    <t>Project Survey (estimate)</t>
  </si>
  <si>
    <t>SDG 6: Clean Water and Sanitation</t>
  </si>
  <si>
    <t>Paccess</t>
  </si>
  <si>
    <t>Number of additional persons having access to safe water in the project activity compared to the baseline scenario</t>
  </si>
  <si>
    <t>Py</t>
  </si>
  <si>
    <t>Expressed as a percentage, the portion of users of the project technology j who in the baseline were already consuming safe water without boiling it.</t>
  </si>
  <si>
    <t xml:space="preserve">Up,y </t>
  </si>
  <si>
    <r>
      <t>Usage rate in project scenario p during</t>
    </r>
    <r>
      <rPr>
        <vertAlign val="subscript"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year y</t>
    </r>
  </si>
  <si>
    <t>Estimation (Project Usage Survey)</t>
  </si>
  <si>
    <t>SDG 13: Climate Action</t>
  </si>
  <si>
    <t>Er,y</t>
  </si>
  <si>
    <t xml:space="preserve">CO2 emission reductions for the current monitoring period </t>
  </si>
  <si>
    <t>VER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</si>
</sst>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-* #,##0.00_-;\-* #,##0.00_-;_-* &quot;-&quot;??_-;_-@_-"/>
    <numFmt numFmtId="164" formatCode="_-* #,##0_-;\-* #,##0_-;_-* &quot;-&quot;??_-;_-@_-"/>
    <numFmt numFmtId="165" formatCode="_-* #,##0.0000_-;\-* #,##0.0000_-;_-* &quot;-&quot;??_-;_-@_-"/>
    <numFmt numFmtId="166" formatCode="0.0"/>
    <numFmt numFmtId="167" formatCode="0.0000"/>
    <numFmt numFmtId="168" formatCode="0.00000"/>
    <numFmt numFmtId="169" formatCode="0.0000000"/>
    <numFmt numFmtId="170" formatCode="_-* #,##0.0_-;\-* #,##0.0_-;_-* &quot;-&quot;?_-;_-@_-"/>
    <numFmt numFmtId="171" formatCode="_(* #,##0_);_(* \(#,##0\);_(* &quot;-&quot;??_);_(@_)"/>
    <numFmt numFmtId="172" formatCode="0.0%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1"/>
      <color indexed="8"/>
      <name val="Calibri"/>
      <family val="2"/>
    </font>
    <font>
      <b/>
      <sz val="12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vertAlign val="subscript"/>
      <sz val="11"/>
      <color theme="1"/>
      <name val="Avenir Book"/>
    </font>
    <font>
      <sz val="9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8" tint="0.79998168889431442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theme="0" tint="-0.499984740745262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78">
    <xf numFmtId="0" fontId="0" fillId="0" borderId="0" xfId="0"/>
    <xf numFmtId="0" fontId="0" fillId="2" borderId="0" xfId="0" applyFill="1"/>
    <xf numFmtId="0" fontId="0" fillId="2" borderId="0" xfId="0" applyFill="1" applyAlignment="1">
      <alignment wrapText="1"/>
    </xf>
    <xf numFmtId="0" fontId="0" fillId="0" borderId="11" xfId="0" applyBorder="1"/>
    <xf numFmtId="0" fontId="0" fillId="0" borderId="12" xfId="0" applyBorder="1"/>
    <xf numFmtId="3" fontId="0" fillId="3" borderId="13" xfId="0" applyNumberFormat="1" applyFill="1" applyBorder="1"/>
    <xf numFmtId="1" fontId="0" fillId="2" borderId="0" xfId="0" applyNumberFormat="1" applyFill="1"/>
    <xf numFmtId="4" fontId="0" fillId="3" borderId="13" xfId="0" applyNumberFormat="1" applyFill="1" applyBorder="1"/>
    <xf numFmtId="0" fontId="3" fillId="0" borderId="12" xfId="0" applyFont="1" applyBorder="1" applyAlignment="1">
      <alignment horizontal="center" wrapText="1"/>
    </xf>
    <xf numFmtId="1" fontId="3" fillId="0" borderId="12" xfId="0" applyNumberFormat="1" applyFont="1" applyBorder="1" applyAlignment="1">
      <alignment horizontal="center" wrapText="1"/>
    </xf>
    <xf numFmtId="0" fontId="0" fillId="0" borderId="7" xfId="0" applyBorder="1"/>
    <xf numFmtId="0" fontId="0" fillId="0" borderId="14" xfId="0" applyBorder="1"/>
    <xf numFmtId="10" fontId="0" fillId="3" borderId="13" xfId="0" applyNumberFormat="1" applyFill="1" applyBorder="1"/>
    <xf numFmtId="0" fontId="3" fillId="0" borderId="11" xfId="0" applyFont="1" applyBorder="1"/>
    <xf numFmtId="0" fontId="3" fillId="0" borderId="12" xfId="0" applyFont="1" applyBorder="1"/>
    <xf numFmtId="1" fontId="3" fillId="3" borderId="13" xfId="0" applyNumberFormat="1" applyFont="1" applyFill="1" applyBorder="1"/>
    <xf numFmtId="0" fontId="3" fillId="0" borderId="15" xfId="0" applyFont="1" applyBorder="1"/>
    <xf numFmtId="0" fontId="3" fillId="0" borderId="16" xfId="0" applyFont="1" applyBorder="1"/>
    <xf numFmtId="1" fontId="3" fillId="3" borderId="17" xfId="0" applyNumberFormat="1" applyFont="1" applyFill="1" applyBorder="1"/>
    <xf numFmtId="1" fontId="0" fillId="2" borderId="0" xfId="0" applyNumberFormat="1" applyFill="1" applyAlignment="1">
      <alignment wrapText="1"/>
    </xf>
    <xf numFmtId="164" fontId="3" fillId="3" borderId="9" xfId="1" applyNumberFormat="1" applyFont="1" applyFill="1" applyBorder="1"/>
    <xf numFmtId="164" fontId="3" fillId="3" borderId="9" xfId="1" applyNumberFormat="1" applyFont="1" applyFill="1" applyBorder="1" applyAlignment="1">
      <alignment wrapText="1"/>
    </xf>
    <xf numFmtId="0" fontId="0" fillId="8" borderId="25" xfId="0" applyFill="1" applyBorder="1" applyAlignment="1">
      <alignment wrapText="1"/>
    </xf>
    <xf numFmtId="164" fontId="3" fillId="3" borderId="26" xfId="1" applyNumberFormat="1" applyFont="1" applyFill="1" applyBorder="1" applyAlignment="1">
      <alignment wrapText="1"/>
    </xf>
    <xf numFmtId="0" fontId="2" fillId="9" borderId="27" xfId="0" applyFont="1" applyFill="1" applyBorder="1" applyAlignment="1">
      <alignment horizontal="center"/>
    </xf>
    <xf numFmtId="0" fontId="0" fillId="0" borderId="12" xfId="0" applyBorder="1" applyAlignment="1">
      <alignment wrapText="1"/>
    </xf>
    <xf numFmtId="0" fontId="3" fillId="0" borderId="0" xfId="0" applyFont="1"/>
    <xf numFmtId="14" fontId="0" fillId="2" borderId="30" xfId="0" applyNumberFormat="1" applyFill="1" applyBorder="1" applyAlignment="1">
      <alignment horizontal="left"/>
    </xf>
    <xf numFmtId="14" fontId="0" fillId="2" borderId="30" xfId="0" applyNumberFormat="1" applyFill="1" applyBorder="1"/>
    <xf numFmtId="165" fontId="0" fillId="0" borderId="0" xfId="0" applyNumberFormat="1"/>
    <xf numFmtId="14" fontId="0" fillId="2" borderId="30" xfId="0" applyNumberFormat="1" applyFill="1" applyBorder="1" applyAlignment="1">
      <alignment horizontal="right"/>
    </xf>
    <xf numFmtId="14" fontId="0" fillId="0" borderId="30" xfId="0" applyNumberFormat="1" applyBorder="1"/>
    <xf numFmtId="0" fontId="3" fillId="0" borderId="0" xfId="0" applyFont="1" applyAlignment="1">
      <alignment horizontal="center"/>
    </xf>
    <xf numFmtId="0" fontId="3" fillId="2" borderId="30" xfId="0" applyFont="1" applyFill="1" applyBorder="1" applyAlignment="1">
      <alignment horizontal="left" wrapText="1"/>
    </xf>
    <xf numFmtId="166" fontId="0" fillId="2" borderId="30" xfId="0" applyNumberFormat="1" applyFill="1" applyBorder="1"/>
    <xf numFmtId="0" fontId="3" fillId="2" borderId="30" xfId="0" applyFont="1" applyFill="1" applyBorder="1" applyAlignment="1">
      <alignment horizontal="left"/>
    </xf>
    <xf numFmtId="0" fontId="0" fillId="0" borderId="30" xfId="0" applyBorder="1"/>
    <xf numFmtId="0" fontId="0" fillId="2" borderId="30" xfId="0" applyFill="1" applyBorder="1"/>
    <xf numFmtId="0" fontId="3" fillId="2" borderId="30" xfId="0" applyFont="1" applyFill="1" applyBorder="1"/>
    <xf numFmtId="1" fontId="0" fillId="2" borderId="30" xfId="0" applyNumberFormat="1" applyFill="1" applyBorder="1"/>
    <xf numFmtId="167" fontId="0" fillId="3" borderId="12" xfId="0" applyNumberFormat="1" applyFill="1" applyBorder="1"/>
    <xf numFmtId="164" fontId="0" fillId="3" borderId="12" xfId="1" applyNumberFormat="1" applyFont="1" applyFill="1" applyBorder="1"/>
    <xf numFmtId="168" fontId="0" fillId="3" borderId="12" xfId="0" applyNumberFormat="1" applyFill="1" applyBorder="1"/>
    <xf numFmtId="166" fontId="0" fillId="3" borderId="12" xfId="0" applyNumberFormat="1" applyFill="1" applyBorder="1"/>
    <xf numFmtId="1" fontId="0" fillId="3" borderId="12" xfId="0" applyNumberFormat="1" applyFill="1" applyBorder="1"/>
    <xf numFmtId="2" fontId="0" fillId="3" borderId="12" xfId="0" applyNumberFormat="1" applyFill="1" applyBorder="1"/>
    <xf numFmtId="169" fontId="0" fillId="3" borderId="12" xfId="0" applyNumberFormat="1" applyFill="1" applyBorder="1"/>
    <xf numFmtId="0" fontId="0" fillId="3" borderId="12" xfId="0" applyFill="1" applyBorder="1"/>
    <xf numFmtId="3" fontId="0" fillId="3" borderId="12" xfId="0" applyNumberFormat="1" applyFill="1" applyBorder="1"/>
    <xf numFmtId="9" fontId="0" fillId="3" borderId="12" xfId="0" applyNumberFormat="1" applyFill="1" applyBorder="1"/>
    <xf numFmtId="3" fontId="0" fillId="2" borderId="0" xfId="0" applyNumberFormat="1" applyFill="1"/>
    <xf numFmtId="0" fontId="0" fillId="0" borderId="31" xfId="0" applyBorder="1"/>
    <xf numFmtId="10" fontId="0" fillId="3" borderId="12" xfId="0" applyNumberFormat="1" applyFill="1" applyBorder="1"/>
    <xf numFmtId="0" fontId="3" fillId="0" borderId="31" xfId="0" applyFont="1" applyBorder="1" applyAlignment="1">
      <alignment wrapText="1"/>
    </xf>
    <xf numFmtId="0" fontId="3" fillId="0" borderId="14" xfId="0" applyFont="1" applyBorder="1"/>
    <xf numFmtId="1" fontId="2" fillId="11" borderId="12" xfId="0" applyNumberFormat="1" applyFont="1" applyFill="1" applyBorder="1"/>
    <xf numFmtId="0" fontId="3" fillId="0" borderId="31" xfId="0" applyFont="1" applyBorder="1"/>
    <xf numFmtId="1" fontId="4" fillId="11" borderId="12" xfId="0" applyNumberFormat="1" applyFont="1" applyFill="1" applyBorder="1"/>
    <xf numFmtId="0" fontId="0" fillId="0" borderId="12" xfId="0" applyBorder="1" applyAlignment="1">
      <alignment vertical="top" wrapText="1"/>
    </xf>
    <xf numFmtId="1" fontId="0" fillId="0" borderId="0" xfId="0" applyNumberFormat="1"/>
    <xf numFmtId="9" fontId="0" fillId="10" borderId="12" xfId="2" applyFont="1" applyFill="1" applyBorder="1"/>
    <xf numFmtId="9" fontId="0" fillId="3" borderId="12" xfId="2" applyFont="1" applyFill="1" applyBorder="1"/>
    <xf numFmtId="0" fontId="9" fillId="0" borderId="0" xfId="0" applyFont="1"/>
    <xf numFmtId="0" fontId="2" fillId="9" borderId="12" xfId="0" applyFont="1" applyFill="1" applyBorder="1" applyAlignment="1">
      <alignment horizontal="center"/>
    </xf>
    <xf numFmtId="0" fontId="0" fillId="0" borderId="12" xfId="0" applyBorder="1" applyProtection="1">
      <protection locked="0"/>
    </xf>
    <xf numFmtId="14" fontId="0" fillId="0" borderId="12" xfId="0" applyNumberFormat="1" applyBorder="1" applyProtection="1">
      <protection locked="0"/>
    </xf>
    <xf numFmtId="0" fontId="9" fillId="0" borderId="12" xfId="0" applyFont="1" applyBorder="1" applyAlignment="1">
      <alignment horizontal="center"/>
    </xf>
    <xf numFmtId="0" fontId="0" fillId="12" borderId="12" xfId="0" applyFill="1" applyBorder="1"/>
    <xf numFmtId="0" fontId="2" fillId="6" borderId="28" xfId="0" applyFont="1" applyFill="1" applyBorder="1" applyAlignment="1">
      <alignment horizontal="center" wrapText="1"/>
    </xf>
    <xf numFmtId="0" fontId="0" fillId="12" borderId="12" xfId="0" applyFill="1" applyBorder="1" applyAlignment="1">
      <alignment wrapText="1"/>
    </xf>
    <xf numFmtId="1" fontId="0" fillId="0" borderId="12" xfId="0" applyNumberFormat="1" applyBorder="1" applyAlignment="1">
      <alignment horizontal="center" wrapText="1"/>
    </xf>
    <xf numFmtId="1" fontId="0" fillId="0" borderId="12" xfId="0" applyNumberFormat="1" applyBorder="1" applyAlignment="1">
      <alignment horizontal="center"/>
    </xf>
    <xf numFmtId="0" fontId="0" fillId="0" borderId="32" xfId="0" applyBorder="1" applyAlignment="1">
      <alignment wrapText="1"/>
    </xf>
    <xf numFmtId="0" fontId="0" fillId="12" borderId="29" xfId="0" applyFill="1" applyBorder="1" applyAlignment="1">
      <alignment wrapText="1"/>
    </xf>
    <xf numFmtId="164" fontId="3" fillId="0" borderId="12" xfId="1" applyNumberFormat="1" applyFont="1" applyBorder="1" applyAlignment="1">
      <alignment horizontal="right" wrapText="1"/>
    </xf>
    <xf numFmtId="164" fontId="0" fillId="0" borderId="12" xfId="1" applyNumberFormat="1" applyFont="1" applyBorder="1" applyAlignment="1">
      <alignment horizontal="right" wrapText="1"/>
    </xf>
    <xf numFmtId="164" fontId="0" fillId="0" borderId="0" xfId="0" applyNumberFormat="1"/>
    <xf numFmtId="10" fontId="0" fillId="0" borderId="12" xfId="0" applyNumberFormat="1" applyBorder="1" applyAlignment="1">
      <alignment horizontal="right" wrapText="1"/>
    </xf>
    <xf numFmtId="0" fontId="0" fillId="0" borderId="0" xfId="0" applyAlignment="1">
      <alignment wrapText="1"/>
    </xf>
    <xf numFmtId="9" fontId="0" fillId="0" borderId="0" xfId="2" applyFont="1" applyBorder="1" applyAlignment="1">
      <alignment wrapText="1"/>
    </xf>
    <xf numFmtId="0" fontId="12" fillId="0" borderId="0" xfId="0" applyFont="1" applyAlignment="1">
      <alignment vertical="top" wrapText="1"/>
    </xf>
    <xf numFmtId="2" fontId="3" fillId="0" borderId="0" xfId="0" applyNumberFormat="1" applyFont="1"/>
    <xf numFmtId="2" fontId="0" fillId="0" borderId="12" xfId="0" applyNumberFormat="1" applyBorder="1" applyAlignment="1">
      <alignment horizontal="right" wrapText="1"/>
    </xf>
    <xf numFmtId="2" fontId="0" fillId="0" borderId="12" xfId="0" applyNumberFormat="1" applyBorder="1"/>
    <xf numFmtId="2" fontId="0" fillId="0" borderId="0" xfId="0" applyNumberFormat="1"/>
    <xf numFmtId="9" fontId="0" fillId="0" borderId="12" xfId="2" applyFont="1" applyBorder="1" applyAlignment="1">
      <alignment horizontal="right" wrapText="1"/>
    </xf>
    <xf numFmtId="9" fontId="0" fillId="0" borderId="0" xfId="2" applyFont="1" applyBorder="1" applyAlignment="1">
      <alignment horizontal="right" wrapText="1"/>
    </xf>
    <xf numFmtId="164" fontId="3" fillId="0" borderId="12" xfId="1" applyNumberFormat="1" applyFont="1" applyBorder="1" applyAlignment="1">
      <alignment horizontal="left"/>
    </xf>
    <xf numFmtId="0" fontId="13" fillId="2" borderId="34" xfId="0" applyFont="1" applyFill="1" applyBorder="1" applyAlignment="1">
      <alignment wrapText="1"/>
    </xf>
    <xf numFmtId="0" fontId="0" fillId="2" borderId="19" xfId="0" applyFill="1" applyBorder="1" applyAlignment="1">
      <alignment wrapText="1"/>
    </xf>
    <xf numFmtId="164" fontId="13" fillId="2" borderId="33" xfId="0" applyNumberFormat="1" applyFont="1" applyFill="1" applyBorder="1" applyAlignment="1">
      <alignment wrapText="1"/>
    </xf>
    <xf numFmtId="170" fontId="0" fillId="2" borderId="0" xfId="0" applyNumberFormat="1" applyFill="1"/>
    <xf numFmtId="9" fontId="13" fillId="2" borderId="19" xfId="0" applyNumberFormat="1" applyFont="1" applyFill="1" applyBorder="1" applyAlignment="1">
      <alignment wrapText="1"/>
    </xf>
    <xf numFmtId="164" fontId="0" fillId="0" borderId="12" xfId="1" applyNumberFormat="1" applyFont="1" applyBorder="1" applyProtection="1">
      <protection locked="0"/>
    </xf>
    <xf numFmtId="0" fontId="9" fillId="0" borderId="0" xfId="0" applyFont="1" applyAlignment="1">
      <alignment horizontal="center"/>
    </xf>
    <xf numFmtId="0" fontId="3" fillId="2" borderId="14" xfId="0" applyFont="1" applyFill="1" applyBorder="1" applyAlignment="1">
      <alignment wrapText="1"/>
    </xf>
    <xf numFmtId="1" fontId="0" fillId="0" borderId="12" xfId="0" applyNumberFormat="1" applyBorder="1" applyProtection="1">
      <protection locked="0"/>
    </xf>
    <xf numFmtId="164" fontId="9" fillId="0" borderId="12" xfId="0" applyNumberFormat="1" applyFont="1" applyBorder="1" applyAlignment="1">
      <alignment horizontal="center"/>
    </xf>
    <xf numFmtId="164" fontId="3" fillId="2" borderId="35" xfId="1" applyNumberFormat="1" applyFont="1" applyFill="1" applyBorder="1"/>
    <xf numFmtId="43" fontId="0" fillId="2" borderId="0" xfId="0" applyNumberFormat="1" applyFill="1" applyAlignment="1">
      <alignment wrapText="1"/>
    </xf>
    <xf numFmtId="0" fontId="2" fillId="9" borderId="31" xfId="0" applyFont="1" applyFill="1" applyBorder="1" applyAlignment="1">
      <alignment horizontal="center"/>
    </xf>
    <xf numFmtId="0" fontId="0" fillId="0" borderId="31" xfId="0" applyBorder="1" applyProtection="1">
      <protection locked="0"/>
    </xf>
    <xf numFmtId="164" fontId="3" fillId="2" borderId="1" xfId="1" applyNumberFormat="1" applyFont="1" applyFill="1" applyBorder="1"/>
    <xf numFmtId="164" fontId="9" fillId="0" borderId="14" xfId="1" applyNumberFormat="1" applyFont="1" applyFill="1" applyBorder="1" applyAlignment="1">
      <alignment horizontal="center"/>
    </xf>
    <xf numFmtId="164" fontId="3" fillId="2" borderId="36" xfId="1" applyNumberFormat="1" applyFont="1" applyFill="1" applyBorder="1"/>
    <xf numFmtId="0" fontId="2" fillId="9" borderId="37" xfId="0" applyFont="1" applyFill="1" applyBorder="1" applyAlignment="1">
      <alignment horizontal="center"/>
    </xf>
    <xf numFmtId="164" fontId="9" fillId="0" borderId="13" xfId="1" applyNumberFormat="1" applyFont="1" applyFill="1" applyBorder="1" applyAlignment="1">
      <alignment horizontal="center"/>
    </xf>
    <xf numFmtId="164" fontId="3" fillId="2" borderId="30" xfId="1" applyNumberFormat="1" applyFont="1" applyFill="1" applyBorder="1"/>
    <xf numFmtId="0" fontId="2" fillId="9" borderId="5" xfId="0" applyFont="1" applyFill="1" applyBorder="1" applyAlignment="1">
      <alignment horizontal="center"/>
    </xf>
    <xf numFmtId="0" fontId="2" fillId="9" borderId="6" xfId="0" applyFont="1" applyFill="1" applyBorder="1" applyAlignment="1">
      <alignment horizontal="center"/>
    </xf>
    <xf numFmtId="0" fontId="2" fillId="9" borderId="38" xfId="0" applyFont="1" applyFill="1" applyBorder="1" applyAlignment="1">
      <alignment horizontal="center"/>
    </xf>
    <xf numFmtId="0" fontId="2" fillId="9" borderId="39" xfId="0" applyFont="1" applyFill="1" applyBorder="1" applyAlignment="1">
      <alignment horizontal="center"/>
    </xf>
    <xf numFmtId="164" fontId="9" fillId="0" borderId="40" xfId="1" applyNumberFormat="1" applyFont="1" applyFill="1" applyBorder="1" applyAlignment="1">
      <alignment horizontal="center"/>
    </xf>
    <xf numFmtId="164" fontId="9" fillId="0" borderId="41" xfId="1" applyNumberFormat="1" applyFont="1" applyFill="1" applyBorder="1" applyAlignment="1">
      <alignment horizontal="center"/>
    </xf>
    <xf numFmtId="9" fontId="0" fillId="0" borderId="12" xfId="0" applyNumberFormat="1" applyBorder="1"/>
    <xf numFmtId="0" fontId="13" fillId="0" borderId="12" xfId="0" applyFont="1" applyBorder="1"/>
    <xf numFmtId="9" fontId="13" fillId="0" borderId="12" xfId="0" applyNumberFormat="1" applyFont="1" applyBorder="1"/>
    <xf numFmtId="164" fontId="0" fillId="0" borderId="12" xfId="0" applyNumberFormat="1" applyBorder="1"/>
    <xf numFmtId="14" fontId="0" fillId="0" borderId="0" xfId="0" applyNumberFormat="1"/>
    <xf numFmtId="164" fontId="0" fillId="2" borderId="30" xfId="1" applyNumberFormat="1" applyFont="1" applyFill="1" applyBorder="1"/>
    <xf numFmtId="0" fontId="2" fillId="9" borderId="10" xfId="0" applyFont="1" applyFill="1" applyBorder="1" applyAlignment="1">
      <alignment horizontal="center"/>
    </xf>
    <xf numFmtId="0" fontId="3" fillId="2" borderId="1" xfId="0" applyFont="1" applyFill="1" applyBorder="1"/>
    <xf numFmtId="14" fontId="0" fillId="0" borderId="28" xfId="0" applyNumberFormat="1" applyBorder="1" applyProtection="1">
      <protection locked="0"/>
    </xf>
    <xf numFmtId="164" fontId="9" fillId="0" borderId="28" xfId="0" applyNumberFormat="1" applyFont="1" applyBorder="1" applyAlignment="1">
      <alignment horizontal="center"/>
    </xf>
    <xf numFmtId="0" fontId="0" fillId="0" borderId="2" xfId="0" applyBorder="1"/>
    <xf numFmtId="43" fontId="0" fillId="0" borderId="12" xfId="1" applyFont="1" applyBorder="1" applyProtection="1">
      <protection locked="0"/>
    </xf>
    <xf numFmtId="43" fontId="0" fillId="0" borderId="28" xfId="1" applyFont="1" applyFill="1" applyBorder="1" applyProtection="1">
      <protection locked="0"/>
    </xf>
    <xf numFmtId="43" fontId="0" fillId="0" borderId="1" xfId="0" applyNumberFormat="1" applyBorder="1"/>
    <xf numFmtId="43" fontId="0" fillId="0" borderId="12" xfId="1" applyFont="1" applyFill="1" applyBorder="1" applyProtection="1">
      <protection locked="0"/>
    </xf>
    <xf numFmtId="43" fontId="0" fillId="0" borderId="2" xfId="1" applyFont="1" applyBorder="1"/>
    <xf numFmtId="171" fontId="0" fillId="0" borderId="42" xfId="0" applyNumberFormat="1" applyBorder="1" applyAlignment="1">
      <alignment horizontal="center"/>
    </xf>
    <xf numFmtId="10" fontId="0" fillId="0" borderId="0" xfId="2" applyNumberFormat="1" applyFont="1" applyBorder="1" applyAlignment="1">
      <alignment horizontal="center"/>
    </xf>
    <xf numFmtId="164" fontId="9" fillId="0" borderId="12" xfId="1" applyNumberFormat="1" applyFont="1" applyFill="1" applyBorder="1" applyAlignment="1">
      <alignment horizontal="center"/>
    </xf>
    <xf numFmtId="164" fontId="0" fillId="0" borderId="3" xfId="1" applyNumberFormat="1" applyFont="1" applyBorder="1"/>
    <xf numFmtId="164" fontId="0" fillId="0" borderId="3" xfId="0" applyNumberFormat="1" applyBorder="1"/>
    <xf numFmtId="9" fontId="0" fillId="0" borderId="12" xfId="2" applyFont="1" applyBorder="1" applyProtection="1">
      <protection locked="0"/>
    </xf>
    <xf numFmtId="14" fontId="0" fillId="0" borderId="12" xfId="0" applyNumberFormat="1" applyBorder="1"/>
    <xf numFmtId="9" fontId="0" fillId="3" borderId="13" xfId="0" applyNumberFormat="1" applyFill="1" applyBorder="1"/>
    <xf numFmtId="172" fontId="0" fillId="0" borderId="12" xfId="2" applyNumberFormat="1" applyFont="1" applyBorder="1" applyAlignment="1">
      <alignment wrapText="1"/>
    </xf>
    <xf numFmtId="0" fontId="2" fillId="5" borderId="7" xfId="0" applyFont="1" applyFill="1" applyBorder="1" applyAlignment="1">
      <alignment horizontal="center"/>
    </xf>
    <xf numFmtId="0" fontId="2" fillId="5" borderId="8" xfId="0" applyFont="1" applyFill="1" applyBorder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 wrapText="1"/>
    </xf>
    <xf numFmtId="0" fontId="5" fillId="3" borderId="2" xfId="0" applyFont="1" applyFill="1" applyBorder="1" applyAlignment="1">
      <alignment horizontal="center" wrapText="1"/>
    </xf>
    <xf numFmtId="0" fontId="5" fillId="3" borderId="3" xfId="0" applyFont="1" applyFill="1" applyBorder="1" applyAlignment="1">
      <alignment horizontal="center" wrapText="1"/>
    </xf>
    <xf numFmtId="0" fontId="2" fillId="4" borderId="4" xfId="0" applyFont="1" applyFill="1" applyBorder="1" applyAlignment="1">
      <alignment horizontal="center" wrapText="1"/>
    </xf>
    <xf numFmtId="0" fontId="2" fillId="4" borderId="5" xfId="0" applyFont="1" applyFill="1" applyBorder="1" applyAlignment="1">
      <alignment horizontal="center" wrapText="1"/>
    </xf>
    <xf numFmtId="0" fontId="2" fillId="4" borderId="6" xfId="0" applyFont="1" applyFill="1" applyBorder="1" applyAlignment="1">
      <alignment horizontal="center" wrapText="1"/>
    </xf>
    <xf numFmtId="0" fontId="2" fillId="4" borderId="31" xfId="0" applyFont="1" applyFill="1" applyBorder="1" applyAlignment="1">
      <alignment horizontal="center" wrapText="1"/>
    </xf>
    <xf numFmtId="0" fontId="2" fillId="4" borderId="8" xfId="0" applyFont="1" applyFill="1" applyBorder="1" applyAlignment="1">
      <alignment horizontal="center" wrapText="1"/>
    </xf>
    <xf numFmtId="0" fontId="2" fillId="4" borderId="14" xfId="0" applyFont="1" applyFill="1" applyBorder="1" applyAlignment="1">
      <alignment horizontal="center" wrapText="1"/>
    </xf>
    <xf numFmtId="0" fontId="2" fillId="6" borderId="21" xfId="0" applyFont="1" applyFill="1" applyBorder="1" applyAlignment="1">
      <alignment horizontal="center"/>
    </xf>
    <xf numFmtId="0" fontId="2" fillId="6" borderId="22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0" fontId="3" fillId="0" borderId="7" xfId="0" applyFont="1" applyBorder="1" applyAlignment="1">
      <alignment horizontal="left" wrapText="1"/>
    </xf>
    <xf numFmtId="0" fontId="3" fillId="0" borderId="8" xfId="0" applyFont="1" applyBorder="1" applyAlignment="1">
      <alignment horizontal="left" wrapText="1"/>
    </xf>
    <xf numFmtId="0" fontId="3" fillId="0" borderId="21" xfId="0" applyFont="1" applyBorder="1" applyAlignment="1">
      <alignment horizontal="left" wrapText="1"/>
    </xf>
    <xf numFmtId="0" fontId="3" fillId="0" borderId="22" xfId="0" applyFont="1" applyBorder="1" applyAlignment="1">
      <alignment horizontal="left" wrapText="1"/>
    </xf>
    <xf numFmtId="0" fontId="3" fillId="8" borderId="23" xfId="0" applyFont="1" applyFill="1" applyBorder="1" applyAlignment="1">
      <alignment horizontal="left" wrapText="1"/>
    </xf>
    <xf numFmtId="0" fontId="3" fillId="8" borderId="24" xfId="0" applyFont="1" applyFill="1" applyBorder="1" applyAlignment="1">
      <alignment horizontal="left" wrapText="1"/>
    </xf>
    <xf numFmtId="0" fontId="2" fillId="5" borderId="11" xfId="0" applyFont="1" applyFill="1" applyBorder="1" applyAlignment="1">
      <alignment horizontal="center"/>
    </xf>
    <xf numFmtId="0" fontId="2" fillId="5" borderId="12" xfId="0" applyFont="1" applyFill="1" applyBorder="1" applyAlignment="1">
      <alignment horizontal="center"/>
    </xf>
    <xf numFmtId="0" fontId="2" fillId="5" borderId="13" xfId="0" applyFont="1" applyFill="1" applyBorder="1" applyAlignment="1">
      <alignment horizontal="center"/>
    </xf>
    <xf numFmtId="0" fontId="7" fillId="7" borderId="18" xfId="0" applyFont="1" applyFill="1" applyBorder="1" applyAlignment="1">
      <alignment horizontal="center" wrapText="1"/>
    </xf>
    <xf numFmtId="0" fontId="7" fillId="7" borderId="19" xfId="0" applyFont="1" applyFill="1" applyBorder="1" applyAlignment="1">
      <alignment horizontal="center" wrapText="1"/>
    </xf>
    <xf numFmtId="0" fontId="7" fillId="7" borderId="20" xfId="0" applyFont="1" applyFill="1" applyBorder="1" applyAlignment="1">
      <alignment horizontal="center" wrapText="1"/>
    </xf>
    <xf numFmtId="0" fontId="8" fillId="2" borderId="28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0" fillId="0" borderId="31" xfId="0" applyBorder="1" applyAlignment="1">
      <alignment horizontal="center"/>
    </xf>
    <xf numFmtId="0" fontId="0" fillId="0" borderId="14" xfId="0" applyBorder="1" applyAlignment="1">
      <alignment horizontal="center"/>
    </xf>
    <xf numFmtId="0" fontId="2" fillId="9" borderId="31" xfId="0" applyFont="1" applyFill="1" applyBorder="1" applyAlignment="1">
      <alignment horizontal="center"/>
    </xf>
    <xf numFmtId="0" fontId="2" fillId="9" borderId="14" xfId="0" applyFont="1" applyFill="1" applyBorder="1" applyAlignment="1">
      <alignment horizontal="center"/>
    </xf>
    <xf numFmtId="0" fontId="2" fillId="4" borderId="0" xfId="0" applyFont="1" applyFill="1" applyAlignment="1">
      <alignment horizontal="center" wrapText="1"/>
    </xf>
    <xf numFmtId="0" fontId="2" fillId="5" borderId="31" xfId="0" applyFont="1" applyFill="1" applyBorder="1" applyAlignment="1">
      <alignment horizontal="center"/>
    </xf>
    <xf numFmtId="0" fontId="2" fillId="5" borderId="14" xfId="0" applyFont="1" applyFill="1" applyBorder="1" applyAlignment="1">
      <alignment horizontal="center"/>
    </xf>
    <xf numFmtId="0" fontId="0" fillId="0" borderId="0" xfId="0" applyAlignment="1">
      <alignment horizontal="left" wrapText="1"/>
    </xf>
    <xf numFmtId="164" fontId="0" fillId="0" borderId="12" xfId="1" applyNumberFormat="1" applyFont="1" applyBorder="1" applyAlignment="1">
      <alignment horizontal="right" indent="2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8BF82C-5572-4320-A9C9-F282CCC09A67}">
  <sheetPr codeName="Sheet1"/>
  <dimension ref="B1:P44"/>
  <sheetViews>
    <sheetView zoomScaleNormal="100" workbookViewId="0">
      <selection activeCell="E21" sqref="E21"/>
    </sheetView>
  </sheetViews>
  <sheetFormatPr defaultColWidth="9.140625" defaultRowHeight="15"/>
  <cols>
    <col min="1" max="1" width="9.140625" style="1"/>
    <col min="2" max="2" width="47.5703125" style="1" customWidth="1"/>
    <col min="3" max="3" width="9" style="1" customWidth="1"/>
    <col min="4" max="4" width="11" style="1" bestFit="1" customWidth="1"/>
    <col min="5" max="5" width="11.42578125" style="1" customWidth="1"/>
    <col min="6" max="6" width="9.140625" style="1"/>
    <col min="7" max="7" width="47.5703125" style="1" customWidth="1"/>
    <col min="8" max="8" width="9" style="1" customWidth="1"/>
    <col min="9" max="9" width="11" style="1" bestFit="1" customWidth="1"/>
    <col min="10" max="10" width="11.42578125" style="1" customWidth="1"/>
    <col min="11" max="11" width="9.7109375" style="1" bestFit="1" customWidth="1"/>
    <col min="12" max="12" width="3.42578125" style="1" customWidth="1"/>
    <col min="13" max="13" width="9.5703125" style="1" customWidth="1"/>
    <col min="14" max="14" width="12.85546875" style="1" customWidth="1"/>
    <col min="15" max="16384" width="9.140625" style="1"/>
  </cols>
  <sheetData>
    <row r="1" spans="2:16" ht="15.75" thickBot="1"/>
    <row r="2" spans="2:16" ht="19.5" customHeight="1" thickBot="1">
      <c r="B2" s="142" t="s">
        <v>0</v>
      </c>
      <c r="C2" s="143"/>
      <c r="D2" s="143"/>
      <c r="E2" s="144"/>
      <c r="F2" s="2"/>
      <c r="G2" s="142" t="s">
        <v>1</v>
      </c>
      <c r="H2" s="143"/>
      <c r="I2" s="143"/>
      <c r="J2" s="144"/>
      <c r="K2" s="2"/>
      <c r="L2" s="2"/>
      <c r="M2" s="142" t="s">
        <v>2</v>
      </c>
      <c r="N2" s="143"/>
      <c r="O2" s="144"/>
    </row>
    <row r="3" spans="2:16" ht="15.75" thickBot="1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2:16" ht="15" customHeight="1">
      <c r="B4" s="145" t="s">
        <v>3</v>
      </c>
      <c r="C4" s="146"/>
      <c r="D4" s="146"/>
      <c r="E4" s="147"/>
      <c r="G4" s="145" t="s">
        <v>4</v>
      </c>
      <c r="H4" s="146"/>
      <c r="I4" s="146"/>
      <c r="J4" s="147"/>
      <c r="K4" s="2"/>
      <c r="L4" s="2"/>
      <c r="M4" s="148" t="s">
        <v>5</v>
      </c>
      <c r="N4" s="149"/>
      <c r="O4" s="150"/>
    </row>
    <row r="5" spans="2:16" ht="30">
      <c r="B5" s="139" t="s">
        <v>6</v>
      </c>
      <c r="C5" s="140"/>
      <c r="D5" s="140"/>
      <c r="E5" s="141"/>
      <c r="G5" s="139" t="s">
        <v>6</v>
      </c>
      <c r="H5" s="140"/>
      <c r="I5" s="140"/>
      <c r="J5" s="141"/>
      <c r="K5" s="2"/>
      <c r="L5" s="2"/>
      <c r="M5" s="68" t="s">
        <v>7</v>
      </c>
      <c r="N5" s="68" t="s">
        <v>8</v>
      </c>
      <c r="O5" s="68" t="s">
        <v>9</v>
      </c>
    </row>
    <row r="6" spans="2:16">
      <c r="B6" s="3" t="s">
        <v>10</v>
      </c>
      <c r="C6" s="4" t="s">
        <v>11</v>
      </c>
      <c r="D6" s="4" t="s">
        <v>12</v>
      </c>
      <c r="E6" s="5">
        <f>'GS10987 ER Calcs Wood'!$J$27</f>
        <v>831</v>
      </c>
      <c r="G6" s="3" t="s">
        <v>10</v>
      </c>
      <c r="H6" s="4" t="s">
        <v>11</v>
      </c>
      <c r="I6" s="4" t="s">
        <v>12</v>
      </c>
      <c r="J6" s="5">
        <f>'GS10987 ER Calcs Charcoal'!$J$27</f>
        <v>3540</v>
      </c>
      <c r="K6" s="2"/>
      <c r="L6" s="2"/>
      <c r="M6" s="8">
        <v>2020</v>
      </c>
      <c r="N6" s="70">
        <f>E42</f>
        <v>3085</v>
      </c>
      <c r="O6" s="71">
        <f>SUM(N6:N6)</f>
        <v>3085</v>
      </c>
    </row>
    <row r="7" spans="2:16">
      <c r="B7" s="3" t="s">
        <v>13</v>
      </c>
      <c r="C7" s="4" t="s">
        <v>14</v>
      </c>
      <c r="D7" s="4" t="s">
        <v>12</v>
      </c>
      <c r="E7" s="5">
        <f>'GS10987 ER Calcs Wood'!$J$28</f>
        <v>0</v>
      </c>
      <c r="G7" s="3" t="s">
        <v>13</v>
      </c>
      <c r="H7" s="4" t="s">
        <v>14</v>
      </c>
      <c r="I7" s="4" t="s">
        <v>12</v>
      </c>
      <c r="J7" s="5">
        <f>'GS10987 ER Calcs Charcoal'!$J$28</f>
        <v>0</v>
      </c>
      <c r="K7" s="2"/>
      <c r="L7" s="2"/>
      <c r="M7" s="8">
        <v>2021</v>
      </c>
      <c r="N7" s="70">
        <f>E43</f>
        <v>12450</v>
      </c>
      <c r="O7" s="71">
        <f>SUM(N7:N7)</f>
        <v>12450</v>
      </c>
      <c r="P7" s="6"/>
    </row>
    <row r="8" spans="2:16">
      <c r="B8" s="3" t="s">
        <v>15</v>
      </c>
      <c r="C8" s="4" t="s">
        <v>16</v>
      </c>
      <c r="D8" s="4" t="s">
        <v>17</v>
      </c>
      <c r="E8" s="7">
        <f>'GS10987 ER Calcs Wood'!$J$29</f>
        <v>0.9</v>
      </c>
      <c r="G8" s="3" t="s">
        <v>15</v>
      </c>
      <c r="H8" s="4" t="s">
        <v>16</v>
      </c>
      <c r="I8" s="4" t="s">
        <v>17</v>
      </c>
      <c r="J8" s="7">
        <f>'GS10987 ER Calcs Charcoal'!$J$29</f>
        <v>0.9</v>
      </c>
      <c r="K8" s="2"/>
      <c r="L8" s="2"/>
      <c r="M8" s="8" t="s">
        <v>18</v>
      </c>
      <c r="N8" s="9">
        <f>SUM(N6:N7)</f>
        <v>15535</v>
      </c>
      <c r="O8" s="9">
        <f>SUM(O6:O7)</f>
        <v>15535</v>
      </c>
    </row>
    <row r="9" spans="2:16">
      <c r="B9" s="3" t="s">
        <v>19</v>
      </c>
      <c r="C9" s="4" t="s">
        <v>20</v>
      </c>
      <c r="D9" s="4" t="s">
        <v>12</v>
      </c>
      <c r="E9" s="137">
        <f>'GS10987 ER Calcs Wood'!$J$30</f>
        <v>0.05</v>
      </c>
      <c r="G9" s="3" t="s">
        <v>19</v>
      </c>
      <c r="H9" s="4" t="s">
        <v>20</v>
      </c>
      <c r="I9" s="4" t="s">
        <v>12</v>
      </c>
      <c r="J9" s="137">
        <f>'GS10987 ER Calcs Charcoal'!$J$30</f>
        <v>0.05</v>
      </c>
      <c r="K9" s="2"/>
      <c r="L9" s="2"/>
    </row>
    <row r="10" spans="2:16">
      <c r="B10" s="3" t="s">
        <v>21</v>
      </c>
      <c r="C10" s="4" t="s">
        <v>22</v>
      </c>
      <c r="D10" s="4" t="s">
        <v>12</v>
      </c>
      <c r="E10" s="5">
        <f>'GS10987 ER Calcs Wood'!$J$31</f>
        <v>710</v>
      </c>
      <c r="G10" s="3" t="s">
        <v>21</v>
      </c>
      <c r="H10" s="4" t="s">
        <v>22</v>
      </c>
      <c r="I10" s="4" t="s">
        <v>12</v>
      </c>
      <c r="J10" s="5">
        <f>'GS10987 ER Calcs Charcoal'!$J$31</f>
        <v>3026</v>
      </c>
      <c r="K10" s="2"/>
      <c r="L10" s="2"/>
    </row>
    <row r="11" spans="2:16">
      <c r="B11" s="139" t="s">
        <v>23</v>
      </c>
      <c r="C11" s="140"/>
      <c r="D11" s="140"/>
      <c r="E11" s="141"/>
      <c r="G11" s="139" t="s">
        <v>23</v>
      </c>
      <c r="H11" s="140"/>
      <c r="I11" s="140"/>
      <c r="J11" s="141"/>
      <c r="K11" s="2"/>
      <c r="L11" s="2"/>
    </row>
    <row r="12" spans="2:16">
      <c r="B12" s="10" t="s">
        <v>24</v>
      </c>
      <c r="C12" s="4"/>
      <c r="D12" s="11"/>
      <c r="E12" s="12">
        <f>'GS10987 ER Calcs Wood'!$J$34</f>
        <v>0.93700000000000006</v>
      </c>
      <c r="G12" s="10" t="s">
        <v>24</v>
      </c>
      <c r="H12" s="4"/>
      <c r="I12" s="11"/>
      <c r="J12" s="12">
        <f>'GS10987 ER Calcs Charcoal'!$J$34</f>
        <v>0.93700000000000006</v>
      </c>
      <c r="K12" s="2"/>
      <c r="L12" s="2"/>
      <c r="M12" s="2"/>
      <c r="N12" s="2"/>
    </row>
    <row r="13" spans="2:16">
      <c r="B13" s="10" t="s">
        <v>25</v>
      </c>
      <c r="C13" s="4" t="s">
        <v>26</v>
      </c>
      <c r="D13" s="11" t="s">
        <v>27</v>
      </c>
      <c r="E13" s="12">
        <f>'GS10987 ER Calcs Wood'!$J$35</f>
        <v>0.17399999999999999</v>
      </c>
      <c r="G13" s="10" t="s">
        <v>25</v>
      </c>
      <c r="H13" s="4" t="s">
        <v>26</v>
      </c>
      <c r="I13" s="11" t="s">
        <v>27</v>
      </c>
      <c r="J13" s="12">
        <f>'GS10987 ER Calcs Charcoal'!$J$35</f>
        <v>0.17399999999999999</v>
      </c>
      <c r="K13" s="2"/>
      <c r="L13" s="2"/>
      <c r="M13" s="2"/>
      <c r="N13" s="2"/>
    </row>
    <row r="14" spans="2:16">
      <c r="B14" s="13" t="s">
        <v>21</v>
      </c>
      <c r="C14" s="14" t="s">
        <v>28</v>
      </c>
      <c r="D14" s="14" t="s">
        <v>12</v>
      </c>
      <c r="E14" s="15">
        <f>'GS10987 ER Calcs Wood'!$J$36</f>
        <v>586</v>
      </c>
      <c r="G14" s="13" t="s">
        <v>21</v>
      </c>
      <c r="H14" s="14" t="s">
        <v>28</v>
      </c>
      <c r="I14" s="14" t="s">
        <v>12</v>
      </c>
      <c r="J14" s="15">
        <f>'GS10987 ER Calcs Charcoal'!$J$36</f>
        <v>2499</v>
      </c>
      <c r="K14" s="2"/>
      <c r="L14" s="2"/>
      <c r="M14" s="2"/>
      <c r="N14" s="2"/>
    </row>
    <row r="15" spans="2:16">
      <c r="B15" s="160" t="s">
        <v>29</v>
      </c>
      <c r="C15" s="161"/>
      <c r="D15" s="161"/>
      <c r="E15" s="162"/>
      <c r="G15" s="160" t="s">
        <v>29</v>
      </c>
      <c r="H15" s="161"/>
      <c r="I15" s="161"/>
      <c r="J15" s="162"/>
      <c r="K15" s="2"/>
      <c r="L15" s="2"/>
      <c r="M15" s="2"/>
      <c r="N15" s="2"/>
    </row>
    <row r="16" spans="2:16" ht="15.75" thickBot="1">
      <c r="B16" s="16" t="s">
        <v>30</v>
      </c>
      <c r="C16" s="17" t="s">
        <v>28</v>
      </c>
      <c r="D16" s="17" t="s">
        <v>12</v>
      </c>
      <c r="E16" s="18">
        <f>'GS10987 ER Calcs Wood'!$J$38</f>
        <v>586</v>
      </c>
      <c r="G16" s="16" t="s">
        <v>30</v>
      </c>
      <c r="H16" s="17" t="s">
        <v>28</v>
      </c>
      <c r="I16" s="17" t="s">
        <v>12</v>
      </c>
      <c r="J16" s="18">
        <f>'GS10987 ER Calcs Charcoal'!$J$38</f>
        <v>2499</v>
      </c>
      <c r="K16" s="2"/>
      <c r="L16" s="2"/>
      <c r="M16" s="2"/>
      <c r="N16" s="2"/>
    </row>
    <row r="17" spans="2:14" ht="15.75" thickBot="1">
      <c r="B17" s="2"/>
      <c r="C17" s="2"/>
      <c r="D17" s="2"/>
      <c r="E17" s="2"/>
      <c r="G17" s="2"/>
      <c r="H17" s="2"/>
      <c r="I17" s="2"/>
      <c r="J17" s="2"/>
      <c r="K17" s="2"/>
      <c r="L17" s="2"/>
      <c r="M17" s="2"/>
      <c r="N17" s="2"/>
    </row>
    <row r="18" spans="2:14">
      <c r="B18" s="145" t="s">
        <v>31</v>
      </c>
      <c r="C18" s="146"/>
      <c r="D18" s="146"/>
      <c r="E18" s="147"/>
      <c r="F18" s="2"/>
      <c r="G18" s="145" t="s">
        <v>32</v>
      </c>
      <c r="H18" s="146"/>
      <c r="I18" s="146"/>
      <c r="J18" s="147"/>
      <c r="K18" s="2"/>
      <c r="L18" s="2"/>
      <c r="M18" s="2"/>
      <c r="N18" s="2"/>
    </row>
    <row r="19" spans="2:14">
      <c r="B19" s="139" t="s">
        <v>6</v>
      </c>
      <c r="C19" s="140"/>
      <c r="D19" s="140"/>
      <c r="E19" s="141"/>
      <c r="F19" s="2"/>
      <c r="G19" s="139" t="s">
        <v>6</v>
      </c>
      <c r="H19" s="140"/>
      <c r="I19" s="140"/>
      <c r="J19" s="141"/>
      <c r="K19" s="2"/>
      <c r="L19" s="2"/>
      <c r="M19" s="2"/>
      <c r="N19" s="2"/>
    </row>
    <row r="20" spans="2:14">
      <c r="B20" s="3" t="s">
        <v>10</v>
      </c>
      <c r="C20" s="4" t="s">
        <v>11</v>
      </c>
      <c r="D20" s="4" t="s">
        <v>12</v>
      </c>
      <c r="E20" s="5">
        <f>'GS10987 ER Calcs Wood'!$O$27</f>
        <v>3355</v>
      </c>
      <c r="F20" s="2"/>
      <c r="G20" s="3" t="s">
        <v>10</v>
      </c>
      <c r="H20" s="4" t="s">
        <v>11</v>
      </c>
      <c r="I20" s="4" t="s">
        <v>12</v>
      </c>
      <c r="J20" s="5">
        <f>'GS10987 ER Calcs Charcoal'!$O$27</f>
        <v>14277</v>
      </c>
      <c r="K20" s="2"/>
      <c r="L20" s="2"/>
      <c r="M20" s="2"/>
      <c r="N20" s="2"/>
    </row>
    <row r="21" spans="2:14">
      <c r="B21" s="3" t="s">
        <v>13</v>
      </c>
      <c r="C21" s="4" t="s">
        <v>14</v>
      </c>
      <c r="D21" s="4" t="s">
        <v>12</v>
      </c>
      <c r="E21" s="5">
        <f>'GS10987 ER Calcs Wood'!$O$28</f>
        <v>0</v>
      </c>
      <c r="F21" s="2"/>
      <c r="G21" s="3" t="s">
        <v>13</v>
      </c>
      <c r="H21" s="4" t="s">
        <v>14</v>
      </c>
      <c r="I21" s="4" t="s">
        <v>12</v>
      </c>
      <c r="J21" s="5">
        <f>'GS10987 ER Calcs Charcoal'!$O$28</f>
        <v>0</v>
      </c>
      <c r="K21" s="2"/>
      <c r="L21" s="2"/>
      <c r="M21" s="2"/>
      <c r="N21" s="2"/>
    </row>
    <row r="22" spans="2:14">
      <c r="B22" s="3" t="s">
        <v>15</v>
      </c>
      <c r="C22" s="4" t="s">
        <v>16</v>
      </c>
      <c r="D22" s="4" t="s">
        <v>17</v>
      </c>
      <c r="E22" s="7">
        <f>'GS10987 ER Calcs Wood'!$O$29</f>
        <v>0.9</v>
      </c>
      <c r="F22" s="2"/>
      <c r="G22" s="3" t="s">
        <v>15</v>
      </c>
      <c r="H22" s="4" t="s">
        <v>16</v>
      </c>
      <c r="I22" s="4" t="s">
        <v>17</v>
      </c>
      <c r="J22" s="7">
        <f>'GS10987 ER Calcs Charcoal'!$O$29</f>
        <v>0.9</v>
      </c>
      <c r="K22" s="2"/>
      <c r="L22" s="2"/>
      <c r="M22" s="2"/>
      <c r="N22" s="2"/>
    </row>
    <row r="23" spans="2:14">
      <c r="B23" s="3" t="s">
        <v>19</v>
      </c>
      <c r="C23" s="4" t="s">
        <v>20</v>
      </c>
      <c r="D23" s="4" t="s">
        <v>12</v>
      </c>
      <c r="E23" s="137">
        <v>0.05</v>
      </c>
      <c r="F23" s="2"/>
      <c r="G23" s="3" t="s">
        <v>19</v>
      </c>
      <c r="H23" s="4" t="s">
        <v>20</v>
      </c>
      <c r="I23" s="4" t="s">
        <v>12</v>
      </c>
      <c r="J23" s="137">
        <f>'GS10987 ER Calcs Charcoal'!$O$30</f>
        <v>0.05</v>
      </c>
      <c r="K23" s="2"/>
      <c r="L23" s="2"/>
      <c r="M23" s="2"/>
      <c r="N23" s="2"/>
    </row>
    <row r="24" spans="2:14">
      <c r="B24" s="3" t="s">
        <v>21</v>
      </c>
      <c r="C24" s="4" t="s">
        <v>22</v>
      </c>
      <c r="D24" s="4" t="s">
        <v>12</v>
      </c>
      <c r="E24" s="5">
        <f>'GS10987 ER Calcs Wood'!$O$31</f>
        <v>2868</v>
      </c>
      <c r="F24" s="2"/>
      <c r="G24" s="3" t="s">
        <v>21</v>
      </c>
      <c r="H24" s="4" t="s">
        <v>22</v>
      </c>
      <c r="I24" s="4" t="s">
        <v>12</v>
      </c>
      <c r="J24" s="5">
        <f>'GS10987 ER Calcs Charcoal'!$O$31</f>
        <v>12206</v>
      </c>
      <c r="K24" s="2"/>
      <c r="L24" s="2"/>
      <c r="M24" s="2"/>
      <c r="N24" s="2"/>
    </row>
    <row r="25" spans="2:14">
      <c r="B25" s="139" t="s">
        <v>23</v>
      </c>
      <c r="C25" s="140"/>
      <c r="D25" s="140"/>
      <c r="E25" s="141"/>
      <c r="F25" s="2"/>
      <c r="G25" s="139" t="s">
        <v>23</v>
      </c>
      <c r="H25" s="140"/>
      <c r="I25" s="140"/>
      <c r="J25" s="141"/>
      <c r="K25" s="2"/>
      <c r="L25" s="2"/>
      <c r="M25" s="2"/>
      <c r="N25" s="2"/>
    </row>
    <row r="26" spans="2:14">
      <c r="B26" s="10" t="s">
        <v>24</v>
      </c>
      <c r="C26" s="4"/>
      <c r="D26" s="11"/>
      <c r="E26" s="12">
        <f>'GS10987 ER Calcs Wood'!$O$34</f>
        <v>0.93700000000000006</v>
      </c>
      <c r="F26" s="2"/>
      <c r="G26" s="10" t="s">
        <v>24</v>
      </c>
      <c r="H26" s="4"/>
      <c r="I26" s="11"/>
      <c r="J26" s="12">
        <f>'GS10987 ER Calcs Charcoal'!$O$34</f>
        <v>0.93700000000000006</v>
      </c>
      <c r="K26" s="2"/>
      <c r="L26" s="2"/>
      <c r="M26" s="2"/>
      <c r="N26" s="2"/>
    </row>
    <row r="27" spans="2:14">
      <c r="B27" s="10" t="s">
        <v>25</v>
      </c>
      <c r="C27" s="4" t="s">
        <v>26</v>
      </c>
      <c r="D27" s="11" t="s">
        <v>27</v>
      </c>
      <c r="E27" s="12">
        <f>'GS10987 ER Calcs Wood'!$O$35</f>
        <v>0.17399999999999999</v>
      </c>
      <c r="F27" s="2"/>
      <c r="G27" s="10" t="s">
        <v>25</v>
      </c>
      <c r="H27" s="4" t="s">
        <v>26</v>
      </c>
      <c r="I27" s="11" t="s">
        <v>27</v>
      </c>
      <c r="J27" s="12">
        <f>'GS10987 ER Calcs Charcoal'!$O$35</f>
        <v>0.17399999999999999</v>
      </c>
      <c r="K27" s="2"/>
      <c r="L27" s="2"/>
      <c r="M27" s="2"/>
      <c r="N27" s="2"/>
    </row>
    <row r="28" spans="2:14" ht="15.75" thickBot="1">
      <c r="B28" s="16" t="s">
        <v>21</v>
      </c>
      <c r="C28" s="17" t="s">
        <v>22</v>
      </c>
      <c r="D28" s="17" t="s">
        <v>12</v>
      </c>
      <c r="E28" s="18">
        <f>'GS10987 ER Calcs Wood'!$O$36</f>
        <v>2368</v>
      </c>
      <c r="F28" s="2"/>
      <c r="G28" s="16" t="s">
        <v>21</v>
      </c>
      <c r="H28" s="17" t="s">
        <v>22</v>
      </c>
      <c r="I28" s="17" t="s">
        <v>12</v>
      </c>
      <c r="J28" s="18">
        <f>'GS10987 ER Calcs Charcoal'!$O$36</f>
        <v>10082</v>
      </c>
      <c r="K28" s="2"/>
      <c r="L28" s="2"/>
      <c r="M28" s="2"/>
      <c r="N28" s="2"/>
    </row>
    <row r="29" spans="2:14">
      <c r="B29" s="160" t="s">
        <v>29</v>
      </c>
      <c r="C29" s="161"/>
      <c r="D29" s="161"/>
      <c r="E29" s="162"/>
      <c r="F29" s="2"/>
      <c r="G29" s="160" t="s">
        <v>29</v>
      </c>
      <c r="H29" s="161"/>
      <c r="I29" s="161"/>
      <c r="J29" s="162"/>
      <c r="K29" s="2"/>
      <c r="L29" s="2"/>
      <c r="M29" s="2"/>
      <c r="N29" s="2"/>
    </row>
    <row r="30" spans="2:14" ht="15.75" thickBot="1">
      <c r="B30" s="16" t="s">
        <v>30</v>
      </c>
      <c r="C30" s="17" t="s">
        <v>28</v>
      </c>
      <c r="D30" s="17" t="s">
        <v>12</v>
      </c>
      <c r="E30" s="18">
        <f>'GS10987 ER Calcs Wood'!$O$38</f>
        <v>2368</v>
      </c>
      <c r="F30" s="2"/>
      <c r="G30" s="16" t="s">
        <v>30</v>
      </c>
      <c r="H30" s="17" t="s">
        <v>28</v>
      </c>
      <c r="I30" s="17" t="s">
        <v>12</v>
      </c>
      <c r="J30" s="18">
        <f>'GS10987 ER Calcs Charcoal'!$O$38</f>
        <v>10082</v>
      </c>
      <c r="K30" s="2"/>
      <c r="L30" s="2"/>
      <c r="M30" s="2"/>
      <c r="N30" s="2"/>
    </row>
    <row r="31" spans="2:14" ht="15.75" thickBot="1"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19"/>
      <c r="N31" s="2"/>
    </row>
    <row r="32" spans="2:14" ht="15.75">
      <c r="B32" s="163" t="s">
        <v>33</v>
      </c>
      <c r="C32" s="164"/>
      <c r="D32" s="164"/>
      <c r="E32" s="165"/>
      <c r="F32" s="2"/>
      <c r="G32" s="163" t="s">
        <v>34</v>
      </c>
      <c r="H32" s="164"/>
      <c r="I32" s="164"/>
      <c r="J32" s="165"/>
      <c r="K32" s="2"/>
      <c r="L32" s="2"/>
      <c r="M32" s="2"/>
      <c r="N32" s="2"/>
    </row>
    <row r="33" spans="2:14">
      <c r="B33" s="151" t="s">
        <v>6</v>
      </c>
      <c r="C33" s="152"/>
      <c r="D33" s="152"/>
      <c r="E33" s="153"/>
      <c r="F33" s="2"/>
      <c r="G33" s="151" t="s">
        <v>6</v>
      </c>
      <c r="H33" s="152"/>
      <c r="I33" s="152"/>
      <c r="J33" s="153"/>
      <c r="K33" s="2"/>
      <c r="L33" s="2"/>
      <c r="M33" s="2"/>
      <c r="N33" s="2"/>
    </row>
    <row r="34" spans="2:14">
      <c r="B34" s="154">
        <v>2020</v>
      </c>
      <c r="C34" s="155"/>
      <c r="D34" s="95"/>
      <c r="E34" s="20">
        <f>E16</f>
        <v>586</v>
      </c>
      <c r="F34" s="2"/>
      <c r="G34" s="154">
        <v>2020</v>
      </c>
      <c r="H34" s="155"/>
      <c r="I34" s="95"/>
      <c r="J34" s="20">
        <f>J16</f>
        <v>2499</v>
      </c>
      <c r="K34" s="2"/>
      <c r="L34" s="2"/>
      <c r="M34" s="2"/>
      <c r="N34" s="2"/>
    </row>
    <row r="35" spans="2:14">
      <c r="B35" s="156">
        <v>2021</v>
      </c>
      <c r="C35" s="157"/>
      <c r="D35" s="95"/>
      <c r="E35" s="21">
        <f>E30</f>
        <v>2368</v>
      </c>
      <c r="F35" s="2"/>
      <c r="G35" s="156">
        <v>2021</v>
      </c>
      <c r="H35" s="157"/>
      <c r="I35" s="95"/>
      <c r="J35" s="21">
        <f>J30</f>
        <v>10082</v>
      </c>
      <c r="K35" s="2"/>
      <c r="L35" s="2"/>
      <c r="M35" s="2"/>
      <c r="N35" s="2"/>
    </row>
    <row r="36" spans="2:14" ht="15.75" thickBot="1">
      <c r="B36" s="158" t="s">
        <v>35</v>
      </c>
      <c r="C36" s="159"/>
      <c r="D36" s="22"/>
      <c r="E36" s="23">
        <f>SUM(E34:E35)</f>
        <v>2954</v>
      </c>
      <c r="F36" s="99"/>
      <c r="G36" s="158" t="s">
        <v>35</v>
      </c>
      <c r="H36" s="159"/>
      <c r="I36" s="22"/>
      <c r="J36" s="23">
        <f>SUM(J34:J35)</f>
        <v>12581</v>
      </c>
      <c r="K36" s="99"/>
      <c r="L36" s="2"/>
      <c r="M36" s="2"/>
      <c r="N36" s="2"/>
    </row>
    <row r="37" spans="2:14" hidden="1">
      <c r="B37" s="88" t="s">
        <v>36</v>
      </c>
      <c r="C37" s="89"/>
      <c r="D37" s="92">
        <v>0.4</v>
      </c>
      <c r="E37" s="90">
        <f>E36*40%</f>
        <v>1181.6000000000001</v>
      </c>
      <c r="F37" s="2"/>
      <c r="G37" s="88" t="s">
        <v>36</v>
      </c>
      <c r="H37" s="89"/>
      <c r="I37" s="92">
        <v>0.4</v>
      </c>
      <c r="J37" s="90">
        <f>J36*40%</f>
        <v>5032.4000000000005</v>
      </c>
      <c r="K37" s="2"/>
      <c r="L37" s="2"/>
    </row>
    <row r="38" spans="2:14">
      <c r="E38" s="91"/>
      <c r="J38" s="91"/>
    </row>
    <row r="39" spans="2:14" ht="15.75" thickBot="1"/>
    <row r="40" spans="2:14" ht="15.75">
      <c r="B40" s="163" t="s">
        <v>37</v>
      </c>
      <c r="C40" s="164"/>
      <c r="D40" s="164"/>
      <c r="E40" s="165"/>
    </row>
    <row r="41" spans="2:14">
      <c r="B41" s="151" t="s">
        <v>6</v>
      </c>
      <c r="C41" s="152"/>
      <c r="D41" s="152"/>
      <c r="E41" s="153"/>
    </row>
    <row r="42" spans="2:14">
      <c r="B42" s="154">
        <v>2020</v>
      </c>
      <c r="C42" s="155"/>
      <c r="D42" s="95"/>
      <c r="E42" s="20">
        <f>E34+J34</f>
        <v>3085</v>
      </c>
    </row>
    <row r="43" spans="2:14">
      <c r="B43" s="156">
        <v>2021</v>
      </c>
      <c r="C43" s="157"/>
      <c r="D43" s="95"/>
      <c r="E43" s="20">
        <f>E35+J35</f>
        <v>12450</v>
      </c>
    </row>
    <row r="44" spans="2:14" ht="15.75" thickBot="1">
      <c r="B44" s="158" t="s">
        <v>35</v>
      </c>
      <c r="C44" s="159"/>
      <c r="D44" s="22"/>
      <c r="E44" s="23">
        <f>SUM(E42:E43)</f>
        <v>15535</v>
      </c>
    </row>
  </sheetData>
  <mergeCells count="35">
    <mergeCell ref="B40:E40"/>
    <mergeCell ref="B41:E41"/>
    <mergeCell ref="B42:C42"/>
    <mergeCell ref="B43:C43"/>
    <mergeCell ref="B44:C44"/>
    <mergeCell ref="G32:J32"/>
    <mergeCell ref="G33:J33"/>
    <mergeCell ref="G34:H34"/>
    <mergeCell ref="G35:H35"/>
    <mergeCell ref="G36:H36"/>
    <mergeCell ref="G15:J15"/>
    <mergeCell ref="G18:J18"/>
    <mergeCell ref="G19:J19"/>
    <mergeCell ref="G25:J25"/>
    <mergeCell ref="G29:J29"/>
    <mergeCell ref="B33:E33"/>
    <mergeCell ref="B34:C34"/>
    <mergeCell ref="B35:C35"/>
    <mergeCell ref="B36:C36"/>
    <mergeCell ref="B15:E15"/>
    <mergeCell ref="B18:E18"/>
    <mergeCell ref="B19:E19"/>
    <mergeCell ref="B25:E25"/>
    <mergeCell ref="B29:E29"/>
    <mergeCell ref="B32:E32"/>
    <mergeCell ref="B11:E11"/>
    <mergeCell ref="B2:E2"/>
    <mergeCell ref="M2:O2"/>
    <mergeCell ref="B4:E4"/>
    <mergeCell ref="M4:O4"/>
    <mergeCell ref="B5:E5"/>
    <mergeCell ref="G2:J2"/>
    <mergeCell ref="G4:J4"/>
    <mergeCell ref="G5:J5"/>
    <mergeCell ref="G11:J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2FD5E0-BEEF-47DF-9481-6C1D2F15B6F4}">
  <sheetPr codeName="Sheet5"/>
  <dimension ref="B1:W31"/>
  <sheetViews>
    <sheetView topLeftCell="A9" zoomScale="80" zoomScaleNormal="80" workbookViewId="0">
      <selection activeCell="L5" sqref="L5"/>
    </sheetView>
  </sheetViews>
  <sheetFormatPr defaultColWidth="8.5703125" defaultRowHeight="15"/>
  <cols>
    <col min="1" max="1" width="8.5703125" customWidth="1"/>
    <col min="2" max="2" width="23.28515625" bestFit="1" customWidth="1"/>
    <col min="3" max="3" width="19.5703125" bestFit="1" customWidth="1"/>
    <col min="4" max="4" width="20.140625" bestFit="1" customWidth="1"/>
    <col min="5" max="5" width="24.85546875" bestFit="1" customWidth="1"/>
    <col min="6" max="6" width="31.5703125" bestFit="1" customWidth="1"/>
    <col min="7" max="7" width="19.7109375" bestFit="1" customWidth="1"/>
    <col min="8" max="8" width="23.7109375" bestFit="1" customWidth="1"/>
    <col min="9" max="9" width="15.140625" bestFit="1" customWidth="1"/>
    <col min="10" max="10" width="21.140625" bestFit="1" customWidth="1"/>
    <col min="11" max="11" width="20.7109375" bestFit="1" customWidth="1"/>
    <col min="12" max="12" width="20.140625" bestFit="1" customWidth="1"/>
    <col min="13" max="13" width="22.42578125" bestFit="1" customWidth="1"/>
    <col min="14" max="14" width="18.42578125" bestFit="1" customWidth="1"/>
    <col min="15" max="15" width="17.7109375" bestFit="1" customWidth="1"/>
    <col min="16" max="16" width="41.5703125" bestFit="1" customWidth="1"/>
    <col min="17" max="17" width="61.5703125" bestFit="1" customWidth="1"/>
    <col min="18" max="18" width="38.140625" bestFit="1" customWidth="1"/>
    <col min="19" max="19" width="18.42578125" bestFit="1" customWidth="1"/>
    <col min="20" max="20" width="56.140625" bestFit="1" customWidth="1"/>
    <col min="21" max="21" width="20" bestFit="1" customWidth="1"/>
    <col min="22" max="22" width="14.7109375" bestFit="1" customWidth="1"/>
  </cols>
  <sheetData>
    <row r="1" spans="2:23" ht="15.75" thickBot="1"/>
    <row r="2" spans="2:23">
      <c r="B2" s="24" t="s">
        <v>38</v>
      </c>
      <c r="C2" s="63" t="s">
        <v>39</v>
      </c>
      <c r="D2" s="63" t="s">
        <v>40</v>
      </c>
      <c r="E2" s="63" t="s">
        <v>41</v>
      </c>
      <c r="F2" s="63" t="s">
        <v>42</v>
      </c>
      <c r="G2" s="63" t="s">
        <v>43</v>
      </c>
      <c r="H2" s="120" t="s">
        <v>44</v>
      </c>
      <c r="I2" s="120" t="s">
        <v>45</v>
      </c>
      <c r="J2" s="63" t="s">
        <v>46</v>
      </c>
      <c r="K2" s="63" t="s">
        <v>47</v>
      </c>
      <c r="L2" s="63" t="s">
        <v>48</v>
      </c>
      <c r="M2" s="63" t="s">
        <v>49</v>
      </c>
      <c r="N2" s="63" t="s">
        <v>50</v>
      </c>
      <c r="O2" s="63" t="s">
        <v>51</v>
      </c>
      <c r="P2" s="63" t="s">
        <v>52</v>
      </c>
      <c r="Q2" s="63" t="s">
        <v>53</v>
      </c>
      <c r="R2" s="63" t="s">
        <v>54</v>
      </c>
      <c r="S2" s="63" t="s">
        <v>55</v>
      </c>
      <c r="T2" s="63" t="s">
        <v>56</v>
      </c>
      <c r="U2" s="63" t="s">
        <v>54</v>
      </c>
    </row>
    <row r="3" spans="2:23">
      <c r="B3" s="166" t="s">
        <v>57</v>
      </c>
      <c r="C3" s="64" t="s">
        <v>58</v>
      </c>
      <c r="D3" s="64" t="s">
        <v>59</v>
      </c>
      <c r="E3" s="64" t="s">
        <v>60</v>
      </c>
      <c r="F3" s="93">
        <v>75000</v>
      </c>
      <c r="G3" s="64" t="s">
        <v>61</v>
      </c>
      <c r="H3" s="4">
        <v>-4.0836030000000001</v>
      </c>
      <c r="I3" s="4">
        <v>39.664079999999998</v>
      </c>
      <c r="J3" s="96">
        <f>K3+L3</f>
        <v>34</v>
      </c>
      <c r="K3" s="96">
        <v>1</v>
      </c>
      <c r="L3" s="96">
        <f>9+'WQT Fail Log'!D2+'WQT Fail Log'!D5</f>
        <v>33</v>
      </c>
      <c r="M3" s="65">
        <v>44074</v>
      </c>
      <c r="N3" s="125">
        <v>21936711.899999999</v>
      </c>
      <c r="O3" s="125">
        <v>20467865</v>
      </c>
      <c r="P3" s="97">
        <v>42999.72</v>
      </c>
      <c r="Q3" s="97">
        <f>P3*(1+$N$8)</f>
        <v>42824.511527624367</v>
      </c>
      <c r="R3" s="65" t="s">
        <v>62</v>
      </c>
      <c r="S3" s="132">
        <f>ROUNDDOWN(Q3/$T$3,0)</f>
        <v>10706</v>
      </c>
      <c r="T3" s="66">
        <v>4</v>
      </c>
      <c r="U3" s="66" t="s">
        <v>63</v>
      </c>
      <c r="W3" s="62"/>
    </row>
    <row r="4" spans="2:23">
      <c r="B4" s="167"/>
      <c r="C4" s="64" t="s">
        <v>64</v>
      </c>
      <c r="D4" s="64" t="s">
        <v>59</v>
      </c>
      <c r="E4" s="64" t="s">
        <v>60</v>
      </c>
      <c r="F4" s="93">
        <v>75000</v>
      </c>
      <c r="G4" s="64" t="s">
        <v>65</v>
      </c>
      <c r="H4" s="4">
        <v>-3.9954026336999999</v>
      </c>
      <c r="I4" s="4">
        <v>39.708616520500001</v>
      </c>
      <c r="J4" s="96">
        <f>L4</f>
        <v>36</v>
      </c>
      <c r="K4" s="96" t="s">
        <v>66</v>
      </c>
      <c r="L4" s="96">
        <f>3+(SUM('WQT Fail Log'!D3:D4))</f>
        <v>36</v>
      </c>
      <c r="M4" s="65">
        <v>44375</v>
      </c>
      <c r="N4" s="125">
        <v>6002537.1900000004</v>
      </c>
      <c r="O4" s="128">
        <v>7540816</v>
      </c>
      <c r="P4" s="97">
        <v>41433.050000000003</v>
      </c>
      <c r="Q4" s="97">
        <f t="shared" ref="Q4:Q5" si="0">P4*(1+$N$8)</f>
        <v>41264.22514727158</v>
      </c>
      <c r="R4" s="65" t="s">
        <v>62</v>
      </c>
      <c r="S4" s="132">
        <f>ROUNDDOWN(Q4/$T$3,0)</f>
        <v>10316</v>
      </c>
      <c r="T4" s="94"/>
      <c r="U4" s="94"/>
      <c r="W4" s="62"/>
    </row>
    <row r="5" spans="2:23" ht="15.75" thickBot="1">
      <c r="B5" s="168"/>
      <c r="C5" s="64" t="s">
        <v>67</v>
      </c>
      <c r="D5" s="64" t="s">
        <v>68</v>
      </c>
      <c r="E5" s="64" t="s">
        <v>60</v>
      </c>
      <c r="F5" s="93">
        <v>15000</v>
      </c>
      <c r="G5" s="64" t="s">
        <v>69</v>
      </c>
      <c r="H5" s="4">
        <v>-2.27047</v>
      </c>
      <c r="I5" s="4">
        <v>37.820810000000002</v>
      </c>
      <c r="J5" s="64">
        <f>L5</f>
        <v>73</v>
      </c>
      <c r="K5" s="64" t="s">
        <v>66</v>
      </c>
      <c r="L5" s="64">
        <f>73</f>
        <v>73</v>
      </c>
      <c r="M5" s="65">
        <v>44397</v>
      </c>
      <c r="N5" s="126">
        <v>113219.14</v>
      </c>
      <c r="O5" s="126">
        <v>158091</v>
      </c>
      <c r="P5" s="123">
        <v>1756.57</v>
      </c>
      <c r="Q5" s="97">
        <f t="shared" si="0"/>
        <v>1749.4126058048546</v>
      </c>
      <c r="R5" s="122" t="s">
        <v>62</v>
      </c>
      <c r="S5" s="132">
        <f>ROUNDDOWN(Q5/$T$3,0)</f>
        <v>437</v>
      </c>
      <c r="T5" s="94"/>
      <c r="U5" s="94"/>
      <c r="W5" s="62"/>
    </row>
    <row r="6" spans="2:23" ht="15.75" thickBot="1">
      <c r="M6" s="121" t="s">
        <v>18</v>
      </c>
      <c r="N6" s="127">
        <f>SUM(N3:N5)</f>
        <v>28052468.23</v>
      </c>
      <c r="O6" s="129">
        <f>SUM(O3:O5)</f>
        <v>28166772</v>
      </c>
      <c r="P6" s="134">
        <f>SUM(P3:P5)</f>
        <v>86189.340000000011</v>
      </c>
      <c r="Q6" s="134">
        <f>SUM(Q3:Q5)</f>
        <v>85838.149280700804</v>
      </c>
      <c r="R6" s="124"/>
      <c r="S6" s="133">
        <f>SUM(S3:S5)</f>
        <v>21459</v>
      </c>
    </row>
    <row r="7" spans="2:23" ht="15.75" thickBot="1">
      <c r="C7" s="26" t="s">
        <v>70</v>
      </c>
      <c r="D7" s="26"/>
      <c r="E7" s="26"/>
      <c r="F7" s="26"/>
      <c r="G7" s="26"/>
      <c r="H7" s="26"/>
      <c r="I7" s="26"/>
      <c r="M7" t="s">
        <v>71</v>
      </c>
      <c r="N7" s="130">
        <f>N6-O6</f>
        <v>-114303.76999999955</v>
      </c>
    </row>
    <row r="8" spans="2:23" ht="15.75" thickBot="1">
      <c r="B8" s="27" t="s">
        <v>72</v>
      </c>
      <c r="C8" s="31">
        <v>44075</v>
      </c>
      <c r="M8" t="s">
        <v>73</v>
      </c>
      <c r="N8" s="131">
        <f>N7/N6</f>
        <v>-4.0746421691963738E-3</v>
      </c>
      <c r="V8" s="29"/>
    </row>
    <row r="9" spans="2:23" ht="15.75" thickBot="1">
      <c r="B9" s="27" t="s">
        <v>74</v>
      </c>
      <c r="C9" s="30">
        <v>44561</v>
      </c>
    </row>
    <row r="10" spans="2:23" ht="15.75" thickBot="1">
      <c r="B10" s="28" t="s">
        <v>75</v>
      </c>
      <c r="C10" s="31">
        <v>44196</v>
      </c>
    </row>
    <row r="13" spans="2:23" ht="15.75" thickBot="1">
      <c r="B13" s="32" t="s">
        <v>76</v>
      </c>
      <c r="D13" s="26" t="s">
        <v>77</v>
      </c>
    </row>
    <row r="14" spans="2:23" ht="15.75" thickBot="1">
      <c r="B14" s="33" t="s">
        <v>78</v>
      </c>
      <c r="C14" s="34">
        <f>60000/365</f>
        <v>164.38356164383561</v>
      </c>
      <c r="D14" s="119">
        <f>C14*C17</f>
        <v>79890.410958904104</v>
      </c>
    </row>
    <row r="15" spans="2:23" ht="15.75" thickBot="1">
      <c r="B15" s="35" t="s">
        <v>79</v>
      </c>
      <c r="C15" s="36">
        <f>C10-C8</f>
        <v>121</v>
      </c>
      <c r="L15" s="84"/>
      <c r="M15" s="118"/>
    </row>
    <row r="16" spans="2:23" ht="15.75" thickBot="1">
      <c r="B16" s="35" t="s">
        <v>80</v>
      </c>
      <c r="C16" s="37">
        <f>C9-C10</f>
        <v>365</v>
      </c>
    </row>
    <row r="17" spans="2:9" ht="15.75" thickBot="1">
      <c r="B17" s="38" t="s">
        <v>81</v>
      </c>
      <c r="C17" s="39">
        <f>C15+C16</f>
        <v>486</v>
      </c>
    </row>
    <row r="18" spans="2:9" ht="15.75" thickBot="1"/>
    <row r="19" spans="2:9">
      <c r="B19" s="100" t="s">
        <v>39</v>
      </c>
      <c r="C19" s="111" t="s">
        <v>82</v>
      </c>
      <c r="D19" s="110" t="s">
        <v>83</v>
      </c>
      <c r="E19" s="105" t="s">
        <v>84</v>
      </c>
      <c r="F19" s="111" t="s">
        <v>85</v>
      </c>
      <c r="G19" s="108" t="s">
        <v>86</v>
      </c>
      <c r="H19" s="109" t="s">
        <v>87</v>
      </c>
      <c r="I19" s="111" t="s">
        <v>88</v>
      </c>
    </row>
    <row r="20" spans="2:9">
      <c r="B20" s="101" t="s">
        <v>58</v>
      </c>
      <c r="C20" s="112">
        <f>S3*($C$15-K3)</f>
        <v>1284720</v>
      </c>
      <c r="D20" s="103">
        <f>$C20*($C$29/($C$29+$C$30))</f>
        <v>321180</v>
      </c>
      <c r="E20" s="106">
        <f>$C20*($C$30/($C$29+$C$30))</f>
        <v>963540</v>
      </c>
      <c r="F20" s="112">
        <f>S3*(C16-L3)</f>
        <v>3554392</v>
      </c>
      <c r="G20" s="103">
        <f>$F20*($C$29/($C$29+$C$30))</f>
        <v>888598</v>
      </c>
      <c r="H20" s="106">
        <f>$F20*($C$30/($C$29+$C$30))</f>
        <v>2665794</v>
      </c>
      <c r="I20" s="112">
        <f>C20+F20</f>
        <v>4839112</v>
      </c>
    </row>
    <row r="21" spans="2:9">
      <c r="B21" s="101" t="s">
        <v>64</v>
      </c>
      <c r="C21" s="112">
        <v>0</v>
      </c>
      <c r="D21" s="103">
        <f t="shared" ref="D21:D22" si="1">$C21*($C$29/($C$29+$C$30))</f>
        <v>0</v>
      </c>
      <c r="E21" s="106">
        <f t="shared" ref="E21:E22" si="2">$C21*($C$30/($C$29+$C$30))</f>
        <v>0</v>
      </c>
      <c r="F21" s="112">
        <f>S4*($C$9-M4-L4)</f>
        <v>1547400</v>
      </c>
      <c r="G21" s="103">
        <f t="shared" ref="G21:G22" si="3">$F21*($C$29/($C$29+$C$30))</f>
        <v>386850</v>
      </c>
      <c r="H21" s="106">
        <f t="shared" ref="H21:H22" si="4">$F21*($C$30/($C$29+$C$30))</f>
        <v>1160550</v>
      </c>
      <c r="I21" s="112">
        <f t="shared" ref="I21:I22" si="5">C21+F21</f>
        <v>1547400</v>
      </c>
    </row>
    <row r="22" spans="2:9" ht="15.75" thickBot="1">
      <c r="B22" s="101" t="s">
        <v>67</v>
      </c>
      <c r="C22" s="113">
        <v>0</v>
      </c>
      <c r="D22" s="103">
        <f t="shared" si="1"/>
        <v>0</v>
      </c>
      <c r="E22" s="106">
        <f t="shared" si="2"/>
        <v>0</v>
      </c>
      <c r="F22" s="113">
        <f>S5*($C$9-M5-L5)</f>
        <v>39767</v>
      </c>
      <c r="G22" s="103">
        <f t="shared" si="3"/>
        <v>9941.75</v>
      </c>
      <c r="H22" s="106">
        <f t="shared" si="4"/>
        <v>29825.25</v>
      </c>
      <c r="I22" s="112">
        <f t="shared" si="5"/>
        <v>39767</v>
      </c>
    </row>
    <row r="23" spans="2:9" ht="15.75" thickBot="1">
      <c r="B23" s="102" t="s">
        <v>18</v>
      </c>
      <c r="C23" s="107">
        <f>SUM(C20:C22)</f>
        <v>1284720</v>
      </c>
      <c r="D23" s="104">
        <f t="shared" ref="D23:E23" si="6">SUM(D20:D22)</f>
        <v>321180</v>
      </c>
      <c r="E23" s="107">
        <f t="shared" si="6"/>
        <v>963540</v>
      </c>
      <c r="F23" s="107">
        <f>SUM(F20:F22)</f>
        <v>5141559</v>
      </c>
      <c r="G23" s="104">
        <f t="shared" ref="G23:H23" si="7">SUM(G20:G22)</f>
        <v>1285389.75</v>
      </c>
      <c r="H23" s="98">
        <f t="shared" si="7"/>
        <v>3856169.25</v>
      </c>
      <c r="I23" s="107">
        <f>SUM(I20:I22)</f>
        <v>6426279</v>
      </c>
    </row>
    <row r="25" spans="2:9">
      <c r="B25" s="64" t="s">
        <v>89</v>
      </c>
      <c r="C25" s="117">
        <f>D23+G23</f>
        <v>1606569.75</v>
      </c>
    </row>
    <row r="26" spans="2:9">
      <c r="B26" s="64" t="s">
        <v>90</v>
      </c>
      <c r="C26" s="117">
        <f>E23+H23</f>
        <v>4819709.25</v>
      </c>
    </row>
    <row r="28" spans="2:9">
      <c r="B28" s="169" t="s">
        <v>91</v>
      </c>
      <c r="C28" s="170"/>
      <c r="F28" s="118"/>
    </row>
    <row r="29" spans="2:9">
      <c r="B29" s="4" t="s">
        <v>92</v>
      </c>
      <c r="C29" s="114">
        <v>0.24</v>
      </c>
    </row>
    <row r="30" spans="2:9">
      <c r="B30" s="4" t="s">
        <v>93</v>
      </c>
      <c r="C30" s="114">
        <v>0.72</v>
      </c>
    </row>
    <row r="31" spans="2:9">
      <c r="B31" s="115" t="s">
        <v>94</v>
      </c>
      <c r="C31" s="116">
        <f>100%-(C30+C29)</f>
        <v>4.0000000000000036E-2</v>
      </c>
    </row>
  </sheetData>
  <mergeCells count="2">
    <mergeCell ref="B3:B5"/>
    <mergeCell ref="B28:C28"/>
  </mergeCells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9615C2-EE62-4A02-A4E7-97230CB43680}">
  <sheetPr codeName="Sheet6"/>
  <dimension ref="A1:D11"/>
  <sheetViews>
    <sheetView workbookViewId="0">
      <selection activeCell="G3" sqref="G3"/>
    </sheetView>
  </sheetViews>
  <sheetFormatPr defaultRowHeight="15"/>
  <cols>
    <col min="1" max="1" width="12" bestFit="1" customWidth="1"/>
    <col min="2" max="3" width="11" bestFit="1" customWidth="1"/>
    <col min="4" max="4" width="4.85546875" bestFit="1" customWidth="1"/>
  </cols>
  <sheetData>
    <row r="1" spans="1:4">
      <c r="A1" s="63" t="s">
        <v>39</v>
      </c>
      <c r="B1" s="63" t="s">
        <v>95</v>
      </c>
      <c r="C1" s="63" t="s">
        <v>96</v>
      </c>
      <c r="D1" s="63" t="s">
        <v>97</v>
      </c>
    </row>
    <row r="2" spans="1:4">
      <c r="A2" s="64" t="s">
        <v>58</v>
      </c>
      <c r="B2" s="65">
        <v>44488</v>
      </c>
      <c r="C2" s="65">
        <v>44501</v>
      </c>
      <c r="D2" s="64">
        <f>C2-B2+1</f>
        <v>14</v>
      </c>
    </row>
    <row r="3" spans="1:4">
      <c r="A3" s="64" t="s">
        <v>64</v>
      </c>
      <c r="B3" s="65">
        <v>44370</v>
      </c>
      <c r="C3" s="65">
        <v>44372</v>
      </c>
      <c r="D3" s="64">
        <f>C3-B3+1</f>
        <v>3</v>
      </c>
    </row>
    <row r="4" spans="1:4">
      <c r="A4" s="64" t="s">
        <v>64</v>
      </c>
      <c r="B4" s="65">
        <v>44490</v>
      </c>
      <c r="C4" s="65">
        <v>44519</v>
      </c>
      <c r="D4" s="64">
        <f>C4-B4+1</f>
        <v>30</v>
      </c>
    </row>
    <row r="5" spans="1:4">
      <c r="A5" s="64" t="s">
        <v>58</v>
      </c>
      <c r="B5" s="136">
        <v>44197</v>
      </c>
      <c r="C5" s="136">
        <v>44286</v>
      </c>
      <c r="D5" s="4">
        <f>ROUNDUP(((C5-B5)+1)*B11,0)</f>
        <v>10</v>
      </c>
    </row>
    <row r="8" spans="1:4">
      <c r="A8" s="171" t="s">
        <v>98</v>
      </c>
      <c r="B8" s="172"/>
    </row>
    <row r="9" spans="1:4">
      <c r="A9" s="64" t="s">
        <v>58</v>
      </c>
      <c r="B9" s="135">
        <f>D2/'GS10987 PTDs'!C17</f>
        <v>2.8806584362139918E-2</v>
      </c>
    </row>
    <row r="10" spans="1:4">
      <c r="A10" s="64" t="s">
        <v>64</v>
      </c>
      <c r="B10" s="135">
        <f>(D4+D3)/('GS10987 PTDs'!C9-'GS10987 PTDs'!M4)</f>
        <v>0.17741935483870969</v>
      </c>
    </row>
    <row r="11" spans="1:4">
      <c r="A11" s="64" t="s">
        <v>99</v>
      </c>
      <c r="B11" s="135">
        <f>AVERAGE(B9,B10)</f>
        <v>0.10311296960042481</v>
      </c>
    </row>
  </sheetData>
  <mergeCells count="1">
    <mergeCell ref="A8:B8"/>
  </mergeCells>
  <pageMargins left="0.7" right="0.7" top="0.75" bottom="0.75" header="0.3" footer="0.3"/>
  <pageSetup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D1B746-8A1E-4F6C-9846-81487FC76C84}">
  <sheetPr codeName="Sheet7"/>
  <dimension ref="B2:O44"/>
  <sheetViews>
    <sheetView topLeftCell="B1" zoomScale="85" zoomScaleNormal="85" zoomScaleSheetLayoutView="50" workbookViewId="0">
      <selection activeCell="O28" sqref="O28"/>
    </sheetView>
  </sheetViews>
  <sheetFormatPr defaultRowHeight="15"/>
  <cols>
    <col min="2" max="2" width="72.140625" style="1" customWidth="1"/>
    <col min="3" max="3" width="19.140625" style="1" bestFit="1" customWidth="1"/>
    <col min="4" max="4" width="12.5703125" style="1" bestFit="1" customWidth="1"/>
    <col min="5" max="5" width="12.85546875" style="1" bestFit="1" customWidth="1"/>
    <col min="6" max="6" width="8.7109375" style="1"/>
    <col min="7" max="7" width="74.5703125" style="1" customWidth="1"/>
    <col min="8" max="8" width="19.140625" style="1" bestFit="1" customWidth="1"/>
    <col min="9" max="9" width="12.5703125" style="1" bestFit="1" customWidth="1"/>
    <col min="10" max="10" width="13.140625" style="1" bestFit="1" customWidth="1"/>
    <col min="11" max="11" width="8.7109375" style="1"/>
    <col min="12" max="12" width="66.42578125" style="1" bestFit="1" customWidth="1"/>
    <col min="13" max="13" width="19.140625" style="1" bestFit="1" customWidth="1"/>
    <col min="14" max="14" width="12.5703125" style="1" bestFit="1" customWidth="1"/>
    <col min="15" max="15" width="12.85546875" style="1" bestFit="1" customWidth="1"/>
  </cols>
  <sheetData>
    <row r="2" spans="2:15">
      <c r="B2" s="173" t="s">
        <v>100</v>
      </c>
      <c r="C2" s="173"/>
      <c r="D2" s="173"/>
      <c r="E2" s="173"/>
      <c r="G2" s="173" t="s">
        <v>101</v>
      </c>
      <c r="H2" s="173"/>
      <c r="I2" s="173"/>
      <c r="J2" s="173"/>
      <c r="L2" s="173" t="s">
        <v>102</v>
      </c>
      <c r="M2" s="173"/>
      <c r="N2" s="173"/>
      <c r="O2" s="173"/>
    </row>
    <row r="4" spans="2:15">
      <c r="B4" s="161" t="s">
        <v>103</v>
      </c>
      <c r="C4" s="161"/>
      <c r="D4" s="161"/>
      <c r="E4" s="161"/>
      <c r="G4" s="161" t="s">
        <v>103</v>
      </c>
      <c r="H4" s="161"/>
      <c r="I4" s="161"/>
      <c r="J4" s="161"/>
      <c r="L4" s="174" t="s">
        <v>103</v>
      </c>
      <c r="M4" s="140"/>
      <c r="N4" s="140"/>
      <c r="O4" s="175"/>
    </row>
    <row r="5" spans="2:15">
      <c r="B5" s="4" t="s">
        <v>104</v>
      </c>
      <c r="C5" s="4" t="s">
        <v>105</v>
      </c>
      <c r="D5" s="4" t="s">
        <v>17</v>
      </c>
      <c r="E5" s="60">
        <v>7.0000000000000007E-2</v>
      </c>
      <c r="G5" s="4" t="s">
        <v>104</v>
      </c>
      <c r="H5" s="4" t="s">
        <v>105</v>
      </c>
      <c r="I5" s="4" t="s">
        <v>17</v>
      </c>
      <c r="J5" s="61">
        <f>E5</f>
        <v>7.0000000000000007E-2</v>
      </c>
      <c r="L5" s="4" t="s">
        <v>104</v>
      </c>
      <c r="M5" s="4" t="s">
        <v>105</v>
      </c>
      <c r="N5" s="4" t="s">
        <v>17</v>
      </c>
      <c r="O5" s="61">
        <f>E5</f>
        <v>7.0000000000000007E-2</v>
      </c>
    </row>
    <row r="6" spans="2:15">
      <c r="B6" s="4" t="s">
        <v>106</v>
      </c>
      <c r="C6" s="4" t="s">
        <v>107</v>
      </c>
      <c r="D6" s="4"/>
      <c r="E6" s="41">
        <f>'GS10987 PTDs'!D23+'GS10987 PTDs'!G23</f>
        <v>1606569.75</v>
      </c>
      <c r="G6" s="4" t="s">
        <v>106</v>
      </c>
      <c r="H6" s="4" t="s">
        <v>107</v>
      </c>
      <c r="I6" s="4"/>
      <c r="J6" s="41">
        <f>'GS10987 PTDs'!D23</f>
        <v>321180</v>
      </c>
      <c r="L6" s="4" t="s">
        <v>106</v>
      </c>
      <c r="M6" s="4" t="s">
        <v>107</v>
      </c>
      <c r="N6" s="4"/>
      <c r="O6" s="41">
        <f>'GS10987 PTDs'!G23</f>
        <v>1285389.75</v>
      </c>
    </row>
    <row r="7" spans="2:15">
      <c r="B7" s="4" t="s">
        <v>108</v>
      </c>
      <c r="C7" s="4" t="s">
        <v>109</v>
      </c>
      <c r="D7" s="4" t="s">
        <v>110</v>
      </c>
      <c r="E7" s="42">
        <v>4.0000000000000002E-4</v>
      </c>
      <c r="G7" s="4" t="s">
        <v>108</v>
      </c>
      <c r="H7" s="4" t="s">
        <v>109</v>
      </c>
      <c r="I7" s="4" t="s">
        <v>110</v>
      </c>
      <c r="J7" s="42">
        <f>E7</f>
        <v>4.0000000000000002E-4</v>
      </c>
      <c r="L7" s="4" t="s">
        <v>108</v>
      </c>
      <c r="M7" s="4" t="s">
        <v>109</v>
      </c>
      <c r="N7" s="4" t="s">
        <v>110</v>
      </c>
      <c r="O7" s="42">
        <f>E7</f>
        <v>4.0000000000000002E-4</v>
      </c>
    </row>
    <row r="8" spans="2:15" ht="30">
      <c r="B8" s="25" t="s">
        <v>111</v>
      </c>
      <c r="C8" s="4" t="s">
        <v>112</v>
      </c>
      <c r="D8" s="4" t="s">
        <v>113</v>
      </c>
      <c r="E8" s="43">
        <v>4</v>
      </c>
      <c r="G8" s="25" t="s">
        <v>111</v>
      </c>
      <c r="H8" s="4" t="s">
        <v>114</v>
      </c>
      <c r="I8" s="4" t="s">
        <v>113</v>
      </c>
      <c r="J8" s="43">
        <f>E8</f>
        <v>4</v>
      </c>
      <c r="L8" s="25" t="s">
        <v>111</v>
      </c>
      <c r="M8" s="4" t="s">
        <v>114</v>
      </c>
      <c r="N8" s="4" t="s">
        <v>113</v>
      </c>
      <c r="O8" s="43">
        <f>E8</f>
        <v>4</v>
      </c>
    </row>
    <row r="9" spans="2:15">
      <c r="B9" s="25" t="s">
        <v>115</v>
      </c>
      <c r="C9" s="4" t="s">
        <v>116</v>
      </c>
      <c r="D9" s="4" t="s">
        <v>113</v>
      </c>
      <c r="E9" s="44">
        <v>0</v>
      </c>
      <c r="G9" s="25" t="s">
        <v>115</v>
      </c>
      <c r="H9" s="4" t="s">
        <v>117</v>
      </c>
      <c r="I9" s="4" t="s">
        <v>113</v>
      </c>
      <c r="J9" s="45">
        <f>E9</f>
        <v>0</v>
      </c>
      <c r="L9" s="25" t="s">
        <v>115</v>
      </c>
      <c r="M9" s="4" t="s">
        <v>117</v>
      </c>
      <c r="N9" s="4" t="s">
        <v>113</v>
      </c>
      <c r="O9" s="44">
        <f>J9</f>
        <v>0</v>
      </c>
    </row>
    <row r="10" spans="2:15">
      <c r="B10" s="4" t="s">
        <v>118</v>
      </c>
      <c r="C10" s="4" t="s">
        <v>119</v>
      </c>
      <c r="D10" s="4" t="s">
        <v>120</v>
      </c>
      <c r="E10" s="44">
        <f>J10+O10</f>
        <v>2389</v>
      </c>
      <c r="G10" s="4" t="s">
        <v>118</v>
      </c>
      <c r="H10" s="4" t="s">
        <v>119</v>
      </c>
      <c r="I10" s="4" t="s">
        <v>120</v>
      </c>
      <c r="J10" s="44">
        <f>ROUNDDOWN((1-J5)*J6*J7*(J8+J9),0)</f>
        <v>477</v>
      </c>
      <c r="L10" s="4" t="s">
        <v>118</v>
      </c>
      <c r="M10" s="4" t="s">
        <v>119</v>
      </c>
      <c r="N10" s="4" t="s">
        <v>120</v>
      </c>
      <c r="O10" s="44">
        <f>ROUNDDOWN((1-O5)*O6*O7*(O8+O9),0)</f>
        <v>1912</v>
      </c>
    </row>
    <row r="12" spans="2:15">
      <c r="B12" s="161" t="s">
        <v>121</v>
      </c>
      <c r="C12" s="161"/>
      <c r="D12" s="161"/>
      <c r="E12" s="161"/>
      <c r="G12" s="161" t="s">
        <v>121</v>
      </c>
      <c r="H12" s="161"/>
      <c r="I12" s="161"/>
      <c r="J12" s="161"/>
      <c r="L12" s="174" t="s">
        <v>121</v>
      </c>
      <c r="M12" s="140"/>
      <c r="N12" s="140"/>
      <c r="O12" s="175"/>
    </row>
    <row r="13" spans="2:15">
      <c r="B13" s="4" t="s">
        <v>122</v>
      </c>
      <c r="C13" s="4" t="s">
        <v>105</v>
      </c>
      <c r="D13" s="4" t="s">
        <v>17</v>
      </c>
      <c r="E13" s="61">
        <f>E5</f>
        <v>7.0000000000000007E-2</v>
      </c>
      <c r="G13" s="4" t="s">
        <v>122</v>
      </c>
      <c r="H13" s="4" t="s">
        <v>105</v>
      </c>
      <c r="I13" s="4" t="s">
        <v>17</v>
      </c>
      <c r="J13" s="40">
        <f>J5</f>
        <v>7.0000000000000007E-2</v>
      </c>
      <c r="L13" s="4" t="s">
        <v>122</v>
      </c>
      <c r="M13" s="4" t="s">
        <v>105</v>
      </c>
      <c r="N13" s="4" t="s">
        <v>17</v>
      </c>
      <c r="O13" s="40">
        <f>O5</f>
        <v>7.0000000000000007E-2</v>
      </c>
    </row>
    <row r="14" spans="2:15">
      <c r="B14" s="4" t="s">
        <v>106</v>
      </c>
      <c r="C14" s="4" t="s">
        <v>107</v>
      </c>
      <c r="D14" s="4"/>
      <c r="E14" s="41">
        <f>E6</f>
        <v>1606569.75</v>
      </c>
      <c r="G14" s="4" t="s">
        <v>106</v>
      </c>
      <c r="H14" s="4" t="s">
        <v>107</v>
      </c>
      <c r="I14" s="4"/>
      <c r="J14" s="41">
        <f>J6</f>
        <v>321180</v>
      </c>
      <c r="L14" s="4" t="s">
        <v>106</v>
      </c>
      <c r="M14" s="4" t="s">
        <v>107</v>
      </c>
      <c r="N14" s="4"/>
      <c r="O14" s="41">
        <f>O6</f>
        <v>1285389.75</v>
      </c>
    </row>
    <row r="15" spans="2:15">
      <c r="B15" s="4" t="s">
        <v>123</v>
      </c>
      <c r="C15" s="4" t="s">
        <v>124</v>
      </c>
      <c r="D15" s="4" t="s">
        <v>110</v>
      </c>
      <c r="E15" s="46">
        <f>E7</f>
        <v>4.0000000000000002E-4</v>
      </c>
      <c r="G15" s="4" t="s">
        <v>123</v>
      </c>
      <c r="H15" s="4" t="s">
        <v>124</v>
      </c>
      <c r="I15" s="4" t="s">
        <v>110</v>
      </c>
      <c r="J15" s="46">
        <f>J7</f>
        <v>4.0000000000000002E-4</v>
      </c>
      <c r="L15" s="4" t="s">
        <v>123</v>
      </c>
      <c r="M15" s="4" t="s">
        <v>124</v>
      </c>
      <c r="N15" s="4" t="s">
        <v>110</v>
      </c>
      <c r="O15" s="46">
        <f>O7</f>
        <v>4.0000000000000002E-4</v>
      </c>
    </row>
    <row r="16" spans="2:15">
      <c r="B16" s="4" t="s">
        <v>125</v>
      </c>
      <c r="C16" s="4" t="s">
        <v>117</v>
      </c>
      <c r="D16" s="4" t="s">
        <v>113</v>
      </c>
      <c r="E16" s="47">
        <v>0</v>
      </c>
      <c r="G16" s="4" t="s">
        <v>125</v>
      </c>
      <c r="H16" s="4" t="s">
        <v>117</v>
      </c>
      <c r="I16" s="4" t="s">
        <v>113</v>
      </c>
      <c r="J16" s="47">
        <f>E16</f>
        <v>0</v>
      </c>
      <c r="L16" s="4" t="s">
        <v>125</v>
      </c>
      <c r="M16" s="4" t="s">
        <v>117</v>
      </c>
      <c r="N16" s="4" t="s">
        <v>113</v>
      </c>
      <c r="O16" s="47">
        <f>J16</f>
        <v>0</v>
      </c>
    </row>
    <row r="17" spans="2:15">
      <c r="B17" s="4" t="s">
        <v>126</v>
      </c>
      <c r="C17" s="4" t="s">
        <v>127</v>
      </c>
      <c r="D17" s="4" t="s">
        <v>113</v>
      </c>
      <c r="E17" s="47">
        <v>0</v>
      </c>
      <c r="G17" s="4" t="s">
        <v>126</v>
      </c>
      <c r="H17" s="4" t="s">
        <v>127</v>
      </c>
      <c r="I17" s="4" t="s">
        <v>113</v>
      </c>
      <c r="J17" s="47">
        <v>0</v>
      </c>
      <c r="L17" s="4" t="s">
        <v>126</v>
      </c>
      <c r="M17" s="4" t="s">
        <v>127</v>
      </c>
      <c r="N17" s="4" t="s">
        <v>113</v>
      </c>
      <c r="O17" s="47">
        <v>0</v>
      </c>
    </row>
    <row r="18" spans="2:15">
      <c r="B18" s="4" t="s">
        <v>128</v>
      </c>
      <c r="C18" s="4" t="s">
        <v>129</v>
      </c>
      <c r="D18" s="4" t="s">
        <v>120</v>
      </c>
      <c r="E18" s="44">
        <f>ROUNDDOWN((1-E13)*E14*E15*(E16+E17),0)</f>
        <v>0</v>
      </c>
      <c r="G18" s="4" t="s">
        <v>128</v>
      </c>
      <c r="H18" s="4" t="s">
        <v>129</v>
      </c>
      <c r="I18" s="4" t="s">
        <v>120</v>
      </c>
      <c r="J18" s="44">
        <f>ROUNDDOWN((1-J13)*J14*J15*(J16+J17),0)</f>
        <v>0</v>
      </c>
      <c r="L18" s="4" t="s">
        <v>128</v>
      </c>
      <c r="M18" s="4" t="s">
        <v>129</v>
      </c>
      <c r="N18" s="4" t="s">
        <v>120</v>
      </c>
      <c r="O18" s="44">
        <f>ROUNDDOWN((1-O13)*O14*O15*(O16+O17),0)</f>
        <v>0</v>
      </c>
    </row>
    <row r="20" spans="2:15">
      <c r="B20" s="174" t="s">
        <v>130</v>
      </c>
      <c r="C20" s="140"/>
      <c r="D20" s="140"/>
      <c r="E20" s="175"/>
      <c r="G20" s="174" t="s">
        <v>130</v>
      </c>
      <c r="H20" s="140"/>
      <c r="I20" s="140"/>
      <c r="J20" s="175"/>
      <c r="L20" s="174" t="s">
        <v>130</v>
      </c>
      <c r="M20" s="140"/>
      <c r="N20" s="140"/>
      <c r="O20" s="175"/>
    </row>
    <row r="21" spans="2:15">
      <c r="B21" s="25" t="s">
        <v>131</v>
      </c>
      <c r="C21" s="4" t="s">
        <v>131</v>
      </c>
      <c r="D21" s="4" t="s">
        <v>132</v>
      </c>
      <c r="E21" s="45">
        <v>0.92</v>
      </c>
      <c r="G21" s="25" t="s">
        <v>131</v>
      </c>
      <c r="H21" s="4" t="s">
        <v>131</v>
      </c>
      <c r="I21" s="4" t="s">
        <v>132</v>
      </c>
      <c r="J21" s="45">
        <f>E21</f>
        <v>0.92</v>
      </c>
      <c r="L21" s="25" t="s">
        <v>131</v>
      </c>
      <c r="M21" s="4" t="s">
        <v>131</v>
      </c>
      <c r="N21" s="4" t="s">
        <v>132</v>
      </c>
      <c r="O21" s="45">
        <f>J21</f>
        <v>0.92</v>
      </c>
    </row>
    <row r="22" spans="2:15">
      <c r="B22" s="4" t="s">
        <v>133</v>
      </c>
      <c r="C22" s="4" t="s">
        <v>134</v>
      </c>
      <c r="D22" s="4" t="s">
        <v>135</v>
      </c>
      <c r="E22" s="47">
        <v>112</v>
      </c>
      <c r="G22" s="4" t="s">
        <v>133</v>
      </c>
      <c r="H22" s="4" t="s">
        <v>134</v>
      </c>
      <c r="I22" s="4" t="s">
        <v>135</v>
      </c>
      <c r="J22" s="47">
        <v>112</v>
      </c>
      <c r="L22" s="4" t="s">
        <v>133</v>
      </c>
      <c r="M22" s="4" t="s">
        <v>134</v>
      </c>
      <c r="N22" s="4" t="s">
        <v>135</v>
      </c>
      <c r="O22" s="47">
        <v>112</v>
      </c>
    </row>
    <row r="23" spans="2:15">
      <c r="B23" s="4" t="s">
        <v>136</v>
      </c>
      <c r="C23" s="4" t="s">
        <v>137</v>
      </c>
      <c r="D23" s="4" t="s">
        <v>138</v>
      </c>
      <c r="E23" s="47">
        <v>9.4600000000000009</v>
      </c>
      <c r="G23" s="4" t="s">
        <v>136</v>
      </c>
      <c r="H23" s="4" t="s">
        <v>137</v>
      </c>
      <c r="I23" s="4" t="s">
        <v>138</v>
      </c>
      <c r="J23" s="47">
        <v>8.6920000000000002</v>
      </c>
      <c r="L23" s="4" t="s">
        <v>136</v>
      </c>
      <c r="M23" s="4" t="s">
        <v>137</v>
      </c>
      <c r="N23" s="4" t="s">
        <v>138</v>
      </c>
      <c r="O23" s="47">
        <v>9.4600000000000009</v>
      </c>
    </row>
    <row r="24" spans="2:15">
      <c r="B24" s="4" t="s">
        <v>139</v>
      </c>
      <c r="C24" s="4" t="s">
        <v>140</v>
      </c>
      <c r="D24" s="4" t="s">
        <v>141</v>
      </c>
      <c r="E24" s="47">
        <v>1.5599999999999999E-2</v>
      </c>
      <c r="G24" s="4" t="s">
        <v>139</v>
      </c>
      <c r="H24" s="4" t="s">
        <v>140</v>
      </c>
      <c r="I24" s="4" t="s">
        <v>141</v>
      </c>
      <c r="J24" s="47">
        <v>1.5599999999999999E-2</v>
      </c>
      <c r="L24" s="4" t="s">
        <v>139</v>
      </c>
      <c r="M24" s="4" t="s">
        <v>140</v>
      </c>
      <c r="N24" s="4" t="s">
        <v>141</v>
      </c>
      <c r="O24" s="47">
        <v>1.5599999999999999E-2</v>
      </c>
    </row>
    <row r="26" spans="2:15">
      <c r="B26" s="174" t="s">
        <v>6</v>
      </c>
      <c r="C26" s="140"/>
      <c r="D26" s="140"/>
      <c r="E26" s="175"/>
      <c r="G26" s="174" t="s">
        <v>6</v>
      </c>
      <c r="H26" s="140"/>
      <c r="I26" s="140"/>
      <c r="J26" s="175"/>
      <c r="L26" s="174" t="s">
        <v>6</v>
      </c>
      <c r="M26" s="140"/>
      <c r="N26" s="140"/>
      <c r="O26" s="175"/>
    </row>
    <row r="27" spans="2:15">
      <c r="B27" s="4" t="s">
        <v>10</v>
      </c>
      <c r="C27" s="4" t="s">
        <v>11</v>
      </c>
      <c r="D27" s="4" t="s">
        <v>12</v>
      </c>
      <c r="E27" s="48">
        <f>ROUNDDOWN(J27+O27,0)</f>
        <v>4186</v>
      </c>
      <c r="G27" s="4" t="s">
        <v>10</v>
      </c>
      <c r="H27" s="4" t="s">
        <v>11</v>
      </c>
      <c r="I27" s="4" t="s">
        <v>12</v>
      </c>
      <c r="J27" s="48">
        <f>ROUNDDOWN(J10*((J22*J21)+J23)*J24,0)</f>
        <v>831</v>
      </c>
      <c r="L27" s="4" t="s">
        <v>10</v>
      </c>
      <c r="M27" s="4" t="s">
        <v>11</v>
      </c>
      <c r="N27" s="4" t="s">
        <v>12</v>
      </c>
      <c r="O27" s="48">
        <f>ROUNDDOWN(O10*((O22*O21)+O23)*O24,0)</f>
        <v>3355</v>
      </c>
    </row>
    <row r="28" spans="2:15">
      <c r="B28" s="4" t="s">
        <v>13</v>
      </c>
      <c r="C28" s="4" t="s">
        <v>14</v>
      </c>
      <c r="D28" s="4" t="s">
        <v>12</v>
      </c>
      <c r="E28" s="48">
        <f>E18*((E22*E21)+E23)*E24</f>
        <v>0</v>
      </c>
      <c r="G28" s="4" t="s">
        <v>13</v>
      </c>
      <c r="H28" s="4" t="s">
        <v>14</v>
      </c>
      <c r="I28" s="4" t="s">
        <v>12</v>
      </c>
      <c r="J28" s="48">
        <f>J18*((J22*J21)+J23)*J24</f>
        <v>0</v>
      </c>
      <c r="L28" s="4" t="s">
        <v>13</v>
      </c>
      <c r="M28" s="4" t="s">
        <v>14</v>
      </c>
      <c r="N28" s="4" t="s">
        <v>12</v>
      </c>
      <c r="O28" s="48">
        <f>O18*((O22*O21)+O23)*O24</f>
        <v>0</v>
      </c>
    </row>
    <row r="29" spans="2:15">
      <c r="B29" s="4" t="s">
        <v>15</v>
      </c>
      <c r="C29" s="4" t="s">
        <v>16</v>
      </c>
      <c r="D29" s="4" t="s">
        <v>17</v>
      </c>
      <c r="E29" s="49">
        <v>0.9</v>
      </c>
      <c r="G29" s="4" t="s">
        <v>15</v>
      </c>
      <c r="H29" s="4" t="s">
        <v>16</v>
      </c>
      <c r="I29" s="4" t="s">
        <v>17</v>
      </c>
      <c r="J29" s="49">
        <f>E29</f>
        <v>0.9</v>
      </c>
      <c r="L29" s="4" t="s">
        <v>15</v>
      </c>
      <c r="M29" s="4" t="s">
        <v>16</v>
      </c>
      <c r="N29" s="4" t="s">
        <v>17</v>
      </c>
      <c r="O29" s="49">
        <f>J29</f>
        <v>0.9</v>
      </c>
    </row>
    <row r="30" spans="2:15">
      <c r="B30" s="4" t="s">
        <v>19</v>
      </c>
      <c r="C30" s="4" t="s">
        <v>20</v>
      </c>
      <c r="D30" s="4" t="s">
        <v>12</v>
      </c>
      <c r="E30" s="49">
        <v>0.05</v>
      </c>
      <c r="G30" s="4" t="s">
        <v>19</v>
      </c>
      <c r="H30" s="4" t="s">
        <v>20</v>
      </c>
      <c r="I30" s="4" t="s">
        <v>12</v>
      </c>
      <c r="J30" s="49">
        <f>E30</f>
        <v>0.05</v>
      </c>
      <c r="L30" s="4" t="s">
        <v>19</v>
      </c>
      <c r="M30" s="4" t="s">
        <v>20</v>
      </c>
      <c r="N30" s="4" t="s">
        <v>12</v>
      </c>
      <c r="O30" s="49">
        <f>J30</f>
        <v>0.05</v>
      </c>
    </row>
    <row r="31" spans="2:15">
      <c r="B31" s="4" t="s">
        <v>100</v>
      </c>
      <c r="C31" s="4" t="s">
        <v>22</v>
      </c>
      <c r="D31" s="4" t="s">
        <v>12</v>
      </c>
      <c r="E31" s="44">
        <f>ROUNDDOWN(J31+O31,0)</f>
        <v>3578</v>
      </c>
      <c r="G31" s="4" t="s">
        <v>100</v>
      </c>
      <c r="H31" s="4" t="s">
        <v>22</v>
      </c>
      <c r="I31" s="4" t="s">
        <v>12</v>
      </c>
      <c r="J31" s="44">
        <f>ROUNDDOWN(((J27-J28)*J29)*(1-J30),0)</f>
        <v>710</v>
      </c>
      <c r="L31" s="4" t="s">
        <v>100</v>
      </c>
      <c r="M31" s="4" t="s">
        <v>22</v>
      </c>
      <c r="N31" s="4" t="s">
        <v>12</v>
      </c>
      <c r="O31" s="44">
        <f>ROUNDDOWN(((O27-O28)*O29)*(1-O30),0)</f>
        <v>2868</v>
      </c>
    </row>
    <row r="32" spans="2:15">
      <c r="D32" s="50"/>
      <c r="I32" s="50"/>
      <c r="N32" s="50"/>
    </row>
    <row r="33" spans="2:15">
      <c r="B33" s="174" t="s">
        <v>23</v>
      </c>
      <c r="C33" s="140"/>
      <c r="D33" s="140"/>
      <c r="E33" s="175"/>
      <c r="G33" s="174" t="s">
        <v>23</v>
      </c>
      <c r="H33" s="140"/>
      <c r="I33" s="140"/>
      <c r="J33" s="175"/>
      <c r="L33" s="174" t="s">
        <v>23</v>
      </c>
      <c r="M33" s="140"/>
      <c r="N33" s="140"/>
      <c r="O33" s="175"/>
    </row>
    <row r="34" spans="2:15">
      <c r="B34" s="51" t="s">
        <v>24</v>
      </c>
      <c r="C34" s="4"/>
      <c r="D34" s="11"/>
      <c r="E34" s="52">
        <v>0.93700000000000006</v>
      </c>
      <c r="G34" s="51" t="s">
        <v>24</v>
      </c>
      <c r="H34" s="4"/>
      <c r="I34" s="11"/>
      <c r="J34" s="52">
        <v>0.93700000000000006</v>
      </c>
      <c r="L34" s="51" t="s">
        <v>24</v>
      </c>
      <c r="M34" s="4"/>
      <c r="N34" s="11"/>
      <c r="O34" s="52">
        <v>0.93700000000000006</v>
      </c>
    </row>
    <row r="35" spans="2:15">
      <c r="B35" s="51" t="s">
        <v>25</v>
      </c>
      <c r="C35" s="4" t="s">
        <v>26</v>
      </c>
      <c r="D35" s="11" t="s">
        <v>27</v>
      </c>
      <c r="E35" s="52">
        <v>0.17399999999999999</v>
      </c>
      <c r="G35" s="51" t="s">
        <v>25</v>
      </c>
      <c r="H35" s="4" t="s">
        <v>26</v>
      </c>
      <c r="I35" s="11" t="s">
        <v>27</v>
      </c>
      <c r="J35" s="52">
        <f>E35</f>
        <v>0.17399999999999999</v>
      </c>
      <c r="L35" s="51" t="s">
        <v>25</v>
      </c>
      <c r="M35" s="4" t="s">
        <v>26</v>
      </c>
      <c r="N35" s="11" t="s">
        <v>27</v>
      </c>
      <c r="O35" s="52">
        <f>J35</f>
        <v>0.17399999999999999</v>
      </c>
    </row>
    <row r="36" spans="2:15">
      <c r="B36" s="53" t="s">
        <v>142</v>
      </c>
      <c r="C36" s="14" t="s">
        <v>22</v>
      </c>
      <c r="D36" s="54" t="s">
        <v>12</v>
      </c>
      <c r="E36" s="55">
        <f>J36+O36</f>
        <v>2954</v>
      </c>
      <c r="G36" s="56" t="s">
        <v>142</v>
      </c>
      <c r="H36" s="14" t="s">
        <v>22</v>
      </c>
      <c r="I36" s="54" t="s">
        <v>12</v>
      </c>
      <c r="J36" s="55">
        <f>ROUNDDOWN(J31*(1-J35),0)</f>
        <v>586</v>
      </c>
      <c r="L36" s="56" t="s">
        <v>142</v>
      </c>
      <c r="M36" s="14" t="s">
        <v>22</v>
      </c>
      <c r="N36" s="54" t="s">
        <v>12</v>
      </c>
      <c r="O36" s="55">
        <f>ROUNDDOWN(O31*(1-O35),0)</f>
        <v>2368</v>
      </c>
    </row>
    <row r="38" spans="2:15">
      <c r="B38" s="56" t="s">
        <v>143</v>
      </c>
      <c r="C38" s="14"/>
      <c r="D38" s="54" t="s">
        <v>12</v>
      </c>
      <c r="E38" s="55">
        <f>J38+O38</f>
        <v>2954</v>
      </c>
      <c r="G38" s="51" t="s">
        <v>144</v>
      </c>
      <c r="H38" s="4"/>
      <c r="I38" s="11" t="s">
        <v>12</v>
      </c>
      <c r="J38" s="57">
        <f>IF(J36&gt;'GS10987 PTDs'!C15*'GS10987 PTDs'!C14,'GS10987 PTDs'!C15*'GS10987 PTDs'!C14,J36)</f>
        <v>586</v>
      </c>
      <c r="L38" s="56" t="s">
        <v>143</v>
      </c>
      <c r="M38" s="14"/>
      <c r="N38" s="54" t="s">
        <v>12</v>
      </c>
      <c r="O38" s="57">
        <f>IF(O36&gt;'GS10987 PTDs'!C16*'GS10987 PTDs'!C14,'GS10987 PTDs'!C16*'GS10987 PTDs'!C14,O36)</f>
        <v>2368</v>
      </c>
    </row>
    <row r="39" spans="2:15" ht="30" customHeight="1">
      <c r="B39" s="176" t="s">
        <v>145</v>
      </c>
      <c r="C39" s="176"/>
      <c r="D39" s="176"/>
      <c r="E39" s="176"/>
      <c r="L39" s="176" t="s">
        <v>145</v>
      </c>
      <c r="M39" s="176"/>
      <c r="N39" s="176"/>
      <c r="O39" s="176"/>
    </row>
    <row r="40" spans="2:15" ht="30" customHeight="1">
      <c r="G40" s="176" t="s">
        <v>145</v>
      </c>
      <c r="H40" s="176"/>
      <c r="I40" s="176"/>
      <c r="J40" s="176"/>
    </row>
    <row r="41" spans="2:15">
      <c r="G41" s="6"/>
    </row>
    <row r="42" spans="2:15">
      <c r="G42" s="6"/>
    </row>
    <row r="43" spans="2:15">
      <c r="G43" s="6"/>
    </row>
    <row r="44" spans="2:15">
      <c r="E44" s="6"/>
    </row>
  </sheetData>
  <mergeCells count="21">
    <mergeCell ref="B39:E39"/>
    <mergeCell ref="L39:O39"/>
    <mergeCell ref="G40:J40"/>
    <mergeCell ref="B26:E26"/>
    <mergeCell ref="G26:J26"/>
    <mergeCell ref="L26:O26"/>
    <mergeCell ref="B33:E33"/>
    <mergeCell ref="G33:J33"/>
    <mergeCell ref="L33:O33"/>
    <mergeCell ref="B12:E12"/>
    <mergeCell ref="G12:J12"/>
    <mergeCell ref="L12:O12"/>
    <mergeCell ref="B20:E20"/>
    <mergeCell ref="G20:J20"/>
    <mergeCell ref="L20:O20"/>
    <mergeCell ref="B2:E2"/>
    <mergeCell ref="G2:J2"/>
    <mergeCell ref="L2:O2"/>
    <mergeCell ref="B4:E4"/>
    <mergeCell ref="G4:J4"/>
    <mergeCell ref="L4:O4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373FDE-17F7-4C50-AA75-76073398B079}">
  <sheetPr codeName="Sheet8"/>
  <dimension ref="B2:O44"/>
  <sheetViews>
    <sheetView topLeftCell="E1" zoomScaleNormal="100" workbookViewId="0">
      <selection activeCell="P27" sqref="P27"/>
    </sheetView>
  </sheetViews>
  <sheetFormatPr defaultRowHeight="15"/>
  <cols>
    <col min="2" max="2" width="72.140625" style="1" customWidth="1"/>
    <col min="3" max="3" width="19.140625" style="1" bestFit="1" customWidth="1"/>
    <col min="4" max="4" width="12.5703125" style="1" bestFit="1" customWidth="1"/>
    <col min="5" max="5" width="12.85546875" style="1" bestFit="1" customWidth="1"/>
    <col min="6" max="6" width="8.7109375" style="1"/>
    <col min="7" max="7" width="74.5703125" style="1" customWidth="1"/>
    <col min="8" max="8" width="19.140625" style="1" bestFit="1" customWidth="1"/>
    <col min="9" max="9" width="12.5703125" style="1" bestFit="1" customWidth="1"/>
    <col min="10" max="10" width="13.140625" style="1" bestFit="1" customWidth="1"/>
    <col min="11" max="11" width="8.7109375" style="1"/>
    <col min="12" max="12" width="66.42578125" style="1" bestFit="1" customWidth="1"/>
    <col min="13" max="13" width="19.140625" style="1" bestFit="1" customWidth="1"/>
    <col min="14" max="14" width="12.5703125" style="1" bestFit="1" customWidth="1"/>
    <col min="15" max="15" width="12.85546875" style="1" bestFit="1" customWidth="1"/>
  </cols>
  <sheetData>
    <row r="2" spans="2:15">
      <c r="B2" s="173" t="s">
        <v>100</v>
      </c>
      <c r="C2" s="173"/>
      <c r="D2" s="173"/>
      <c r="E2" s="173"/>
      <c r="G2" s="173" t="s">
        <v>101</v>
      </c>
      <c r="H2" s="173"/>
      <c r="I2" s="173"/>
      <c r="J2" s="173"/>
      <c r="L2" s="173" t="s">
        <v>102</v>
      </c>
      <c r="M2" s="173"/>
      <c r="N2" s="173"/>
      <c r="O2" s="173"/>
    </row>
    <row r="4" spans="2:15">
      <c r="B4" s="161" t="s">
        <v>103</v>
      </c>
      <c r="C4" s="161"/>
      <c r="D4" s="161"/>
      <c r="E4" s="161"/>
      <c r="G4" s="161" t="s">
        <v>103</v>
      </c>
      <c r="H4" s="161"/>
      <c r="I4" s="161"/>
      <c r="J4" s="161"/>
      <c r="L4" s="174" t="s">
        <v>103</v>
      </c>
      <c r="M4" s="140"/>
      <c r="N4" s="140"/>
      <c r="O4" s="175"/>
    </row>
    <row r="5" spans="2:15">
      <c r="B5" s="4" t="s">
        <v>104</v>
      </c>
      <c r="C5" s="4" t="s">
        <v>105</v>
      </c>
      <c r="D5" s="4" t="s">
        <v>17</v>
      </c>
      <c r="E5" s="60">
        <v>7.0000000000000007E-2</v>
      </c>
      <c r="G5" s="4" t="s">
        <v>104</v>
      </c>
      <c r="H5" s="4" t="s">
        <v>105</v>
      </c>
      <c r="I5" s="4" t="s">
        <v>17</v>
      </c>
      <c r="J5" s="61">
        <f>E5</f>
        <v>7.0000000000000007E-2</v>
      </c>
      <c r="L5" s="4" t="s">
        <v>104</v>
      </c>
      <c r="M5" s="4" t="s">
        <v>105</v>
      </c>
      <c r="N5" s="4" t="s">
        <v>17</v>
      </c>
      <c r="O5" s="61">
        <f>E5</f>
        <v>7.0000000000000007E-2</v>
      </c>
    </row>
    <row r="6" spans="2:15">
      <c r="B6" s="4" t="s">
        <v>106</v>
      </c>
      <c r="C6" s="4" t="s">
        <v>107</v>
      </c>
      <c r="D6" s="4"/>
      <c r="E6" s="41">
        <f>'GS10987 PTDs'!E23+'GS10987 PTDs'!H23</f>
        <v>4819709.25</v>
      </c>
      <c r="G6" s="4" t="s">
        <v>106</v>
      </c>
      <c r="H6" s="4" t="s">
        <v>107</v>
      </c>
      <c r="I6" s="4"/>
      <c r="J6" s="41">
        <f>'GS10987 PTDs'!E23</f>
        <v>963540</v>
      </c>
      <c r="L6" s="4" t="s">
        <v>106</v>
      </c>
      <c r="M6" s="4" t="s">
        <v>107</v>
      </c>
      <c r="N6" s="4"/>
      <c r="O6" s="41">
        <f>'GS10987 PTDs'!H23</f>
        <v>3856169.25</v>
      </c>
    </row>
    <row r="7" spans="2:15">
      <c r="B7" s="4" t="s">
        <v>108</v>
      </c>
      <c r="C7" s="4" t="s">
        <v>109</v>
      </c>
      <c r="D7" s="4" t="s">
        <v>110</v>
      </c>
      <c r="E7" s="42">
        <v>1E-4</v>
      </c>
      <c r="G7" s="4" t="s">
        <v>108</v>
      </c>
      <c r="H7" s="4" t="s">
        <v>109</v>
      </c>
      <c r="I7" s="4" t="s">
        <v>110</v>
      </c>
      <c r="J7" s="42">
        <f>E7</f>
        <v>1E-4</v>
      </c>
      <c r="L7" s="4" t="s">
        <v>108</v>
      </c>
      <c r="M7" s="4" t="s">
        <v>109</v>
      </c>
      <c r="N7" s="4" t="s">
        <v>110</v>
      </c>
      <c r="O7" s="42">
        <f>E7</f>
        <v>1E-4</v>
      </c>
    </row>
    <row r="8" spans="2:15" ht="30">
      <c r="B8" s="25" t="s">
        <v>111</v>
      </c>
      <c r="C8" s="4" t="s">
        <v>112</v>
      </c>
      <c r="D8" s="4" t="s">
        <v>113</v>
      </c>
      <c r="E8" s="43">
        <v>4</v>
      </c>
      <c r="G8" s="25" t="s">
        <v>111</v>
      </c>
      <c r="H8" s="4" t="s">
        <v>114</v>
      </c>
      <c r="I8" s="4" t="s">
        <v>113</v>
      </c>
      <c r="J8" s="43">
        <f>E8</f>
        <v>4</v>
      </c>
      <c r="L8" s="25" t="s">
        <v>111</v>
      </c>
      <c r="M8" s="4" t="s">
        <v>114</v>
      </c>
      <c r="N8" s="4" t="s">
        <v>113</v>
      </c>
      <c r="O8" s="43">
        <f>E8</f>
        <v>4</v>
      </c>
    </row>
    <row r="9" spans="2:15">
      <c r="B9" s="25" t="s">
        <v>115</v>
      </c>
      <c r="C9" s="4" t="s">
        <v>116</v>
      </c>
      <c r="D9" s="4" t="s">
        <v>113</v>
      </c>
      <c r="E9" s="44">
        <v>0</v>
      </c>
      <c r="G9" s="25" t="s">
        <v>115</v>
      </c>
      <c r="H9" s="4" t="s">
        <v>117</v>
      </c>
      <c r="I9" s="4" t="s">
        <v>113</v>
      </c>
      <c r="J9" s="45">
        <f>E9</f>
        <v>0</v>
      </c>
      <c r="L9" s="25" t="s">
        <v>115</v>
      </c>
      <c r="M9" s="4" t="s">
        <v>117</v>
      </c>
      <c r="N9" s="4" t="s">
        <v>113</v>
      </c>
      <c r="O9" s="44">
        <f>J9</f>
        <v>0</v>
      </c>
    </row>
    <row r="10" spans="2:15">
      <c r="B10" s="4" t="s">
        <v>118</v>
      </c>
      <c r="C10" s="4" t="s">
        <v>119</v>
      </c>
      <c r="D10" s="4" t="s">
        <v>120</v>
      </c>
      <c r="E10" s="44">
        <f>ROUNDDOWN((1-E5)*E6*E7*(E8+E9),0)</f>
        <v>1792</v>
      </c>
      <c r="G10" s="4" t="s">
        <v>118</v>
      </c>
      <c r="H10" s="4" t="s">
        <v>119</v>
      </c>
      <c r="I10" s="4" t="s">
        <v>120</v>
      </c>
      <c r="J10" s="44">
        <f>ROUNDDOWN((1-J5)*J6*J7*(J8+J9),0)</f>
        <v>358</v>
      </c>
      <c r="L10" s="4" t="s">
        <v>118</v>
      </c>
      <c r="M10" s="4" t="s">
        <v>119</v>
      </c>
      <c r="N10" s="4" t="s">
        <v>120</v>
      </c>
      <c r="O10" s="44">
        <f>ROUNDDOWN((1-O5)*O6*O7*(O8+O9),0)</f>
        <v>1434</v>
      </c>
    </row>
    <row r="12" spans="2:15">
      <c r="B12" s="161" t="s">
        <v>121</v>
      </c>
      <c r="C12" s="161"/>
      <c r="D12" s="161"/>
      <c r="E12" s="161"/>
      <c r="G12" s="161" t="s">
        <v>121</v>
      </c>
      <c r="H12" s="161"/>
      <c r="I12" s="161"/>
      <c r="J12" s="161"/>
      <c r="L12" s="174" t="s">
        <v>121</v>
      </c>
      <c r="M12" s="140"/>
      <c r="N12" s="140"/>
      <c r="O12" s="175"/>
    </row>
    <row r="13" spans="2:15">
      <c r="B13" s="4" t="s">
        <v>122</v>
      </c>
      <c r="C13" s="4" t="s">
        <v>105</v>
      </c>
      <c r="D13" s="4" t="s">
        <v>17</v>
      </c>
      <c r="E13" s="61">
        <f>E5</f>
        <v>7.0000000000000007E-2</v>
      </c>
      <c r="G13" s="4" t="s">
        <v>122</v>
      </c>
      <c r="H13" s="4" t="s">
        <v>105</v>
      </c>
      <c r="I13" s="4" t="s">
        <v>17</v>
      </c>
      <c r="J13" s="40">
        <f>J5</f>
        <v>7.0000000000000007E-2</v>
      </c>
      <c r="L13" s="4" t="s">
        <v>122</v>
      </c>
      <c r="M13" s="4" t="s">
        <v>105</v>
      </c>
      <c r="N13" s="4" t="s">
        <v>17</v>
      </c>
      <c r="O13" s="40">
        <f>O5</f>
        <v>7.0000000000000007E-2</v>
      </c>
    </row>
    <row r="14" spans="2:15">
      <c r="B14" s="4" t="s">
        <v>106</v>
      </c>
      <c r="C14" s="4" t="s">
        <v>107</v>
      </c>
      <c r="D14" s="4"/>
      <c r="E14" s="41">
        <f>E6</f>
        <v>4819709.25</v>
      </c>
      <c r="G14" s="4" t="s">
        <v>106</v>
      </c>
      <c r="H14" s="4" t="s">
        <v>107</v>
      </c>
      <c r="I14" s="4"/>
      <c r="J14" s="41">
        <f>J6</f>
        <v>963540</v>
      </c>
      <c r="L14" s="4" t="s">
        <v>106</v>
      </c>
      <c r="M14" s="4" t="s">
        <v>107</v>
      </c>
      <c r="N14" s="4"/>
      <c r="O14" s="41">
        <f>O6</f>
        <v>3856169.25</v>
      </c>
    </row>
    <row r="15" spans="2:15">
      <c r="B15" s="4" t="s">
        <v>123</v>
      </c>
      <c r="C15" s="4" t="s">
        <v>124</v>
      </c>
      <c r="D15" s="4" t="s">
        <v>110</v>
      </c>
      <c r="E15" s="46">
        <f>E7</f>
        <v>1E-4</v>
      </c>
      <c r="G15" s="4" t="s">
        <v>123</v>
      </c>
      <c r="H15" s="4" t="s">
        <v>124</v>
      </c>
      <c r="I15" s="4" t="s">
        <v>110</v>
      </c>
      <c r="J15" s="46">
        <f>J7</f>
        <v>1E-4</v>
      </c>
      <c r="L15" s="4" t="s">
        <v>123</v>
      </c>
      <c r="M15" s="4" t="s">
        <v>124</v>
      </c>
      <c r="N15" s="4" t="s">
        <v>110</v>
      </c>
      <c r="O15" s="46">
        <f>O7</f>
        <v>1E-4</v>
      </c>
    </row>
    <row r="16" spans="2:15">
      <c r="B16" s="4" t="s">
        <v>125</v>
      </c>
      <c r="C16" s="4" t="s">
        <v>117</v>
      </c>
      <c r="D16" s="4" t="s">
        <v>113</v>
      </c>
      <c r="E16" s="47">
        <v>0</v>
      </c>
      <c r="G16" s="4" t="s">
        <v>125</v>
      </c>
      <c r="H16" s="4" t="s">
        <v>117</v>
      </c>
      <c r="I16" s="4" t="s">
        <v>113</v>
      </c>
      <c r="J16" s="47">
        <f>E16</f>
        <v>0</v>
      </c>
      <c r="L16" s="4" t="s">
        <v>125</v>
      </c>
      <c r="M16" s="4" t="s">
        <v>117</v>
      </c>
      <c r="N16" s="4" t="s">
        <v>113</v>
      </c>
      <c r="O16" s="47">
        <f>J16</f>
        <v>0</v>
      </c>
    </row>
    <row r="17" spans="2:15">
      <c r="B17" s="4" t="s">
        <v>126</v>
      </c>
      <c r="C17" s="4" t="s">
        <v>127</v>
      </c>
      <c r="D17" s="4" t="s">
        <v>113</v>
      </c>
      <c r="E17" s="47">
        <v>0</v>
      </c>
      <c r="G17" s="4" t="s">
        <v>126</v>
      </c>
      <c r="H17" s="4" t="s">
        <v>127</v>
      </c>
      <c r="I17" s="4" t="s">
        <v>113</v>
      </c>
      <c r="J17" s="47">
        <v>0</v>
      </c>
      <c r="L17" s="4" t="s">
        <v>126</v>
      </c>
      <c r="M17" s="4" t="s">
        <v>127</v>
      </c>
      <c r="N17" s="4" t="s">
        <v>113</v>
      </c>
      <c r="O17" s="47">
        <v>0</v>
      </c>
    </row>
    <row r="18" spans="2:15">
      <c r="B18" s="4" t="s">
        <v>128</v>
      </c>
      <c r="C18" s="4" t="s">
        <v>129</v>
      </c>
      <c r="D18" s="4" t="s">
        <v>120</v>
      </c>
      <c r="E18" s="44">
        <f>ROUNDDOWN((1-E13)*E14*E15*(E16+E17),0)</f>
        <v>0</v>
      </c>
      <c r="G18" s="4" t="s">
        <v>128</v>
      </c>
      <c r="H18" s="4" t="s">
        <v>129</v>
      </c>
      <c r="I18" s="4" t="s">
        <v>120</v>
      </c>
      <c r="J18" s="44">
        <f>ROUNDDOWN((1-J13)*J14*J15*(J16+J17),0)</f>
        <v>0</v>
      </c>
      <c r="L18" s="4" t="s">
        <v>128</v>
      </c>
      <c r="M18" s="4" t="s">
        <v>129</v>
      </c>
      <c r="N18" s="4" t="s">
        <v>120</v>
      </c>
      <c r="O18" s="44">
        <f>ROUNDDOWN((1-O13)*O14*O15*(O16+O17),0)</f>
        <v>0</v>
      </c>
    </row>
    <row r="20" spans="2:15">
      <c r="B20" s="174" t="s">
        <v>130</v>
      </c>
      <c r="C20" s="140"/>
      <c r="D20" s="140"/>
      <c r="E20" s="175"/>
      <c r="G20" s="174" t="s">
        <v>130</v>
      </c>
      <c r="H20" s="140"/>
      <c r="I20" s="140"/>
      <c r="J20" s="175"/>
      <c r="L20" s="174" t="s">
        <v>130</v>
      </c>
      <c r="M20" s="140"/>
      <c r="N20" s="140"/>
      <c r="O20" s="175"/>
    </row>
    <row r="21" spans="2:15">
      <c r="B21" s="25" t="s">
        <v>131</v>
      </c>
      <c r="C21" s="4" t="s">
        <v>131</v>
      </c>
      <c r="D21" s="4" t="s">
        <v>132</v>
      </c>
      <c r="E21" s="45">
        <v>0.92</v>
      </c>
      <c r="G21" s="25" t="s">
        <v>131</v>
      </c>
      <c r="H21" s="4" t="s">
        <v>131</v>
      </c>
      <c r="I21" s="4" t="s">
        <v>132</v>
      </c>
      <c r="J21" s="45">
        <f>E21</f>
        <v>0.92</v>
      </c>
      <c r="L21" s="25" t="s">
        <v>131</v>
      </c>
      <c r="M21" s="4" t="s">
        <v>131</v>
      </c>
      <c r="N21" s="4" t="s">
        <v>132</v>
      </c>
      <c r="O21" s="45">
        <f>J21</f>
        <v>0.92</v>
      </c>
    </row>
    <row r="22" spans="2:15">
      <c r="B22" s="4" t="s">
        <v>133</v>
      </c>
      <c r="C22" s="4" t="s">
        <v>134</v>
      </c>
      <c r="D22" s="4" t="s">
        <v>135</v>
      </c>
      <c r="E22" s="47">
        <v>336</v>
      </c>
      <c r="G22" s="4" t="s">
        <v>133</v>
      </c>
      <c r="H22" s="4" t="s">
        <v>134</v>
      </c>
      <c r="I22" s="4" t="s">
        <v>135</v>
      </c>
      <c r="J22" s="47">
        <f>E22</f>
        <v>336</v>
      </c>
      <c r="L22" s="4" t="s">
        <v>133</v>
      </c>
      <c r="M22" s="4" t="s">
        <v>134</v>
      </c>
      <c r="N22" s="4" t="s">
        <v>135</v>
      </c>
      <c r="O22" s="47">
        <f>J22</f>
        <v>336</v>
      </c>
    </row>
    <row r="23" spans="2:15">
      <c r="B23" s="4" t="s">
        <v>136</v>
      </c>
      <c r="C23" s="4" t="s">
        <v>137</v>
      </c>
      <c r="D23" s="4" t="s">
        <v>138</v>
      </c>
      <c r="E23" s="47">
        <v>28.38</v>
      </c>
      <c r="G23" s="4" t="s">
        <v>136</v>
      </c>
      <c r="H23" s="4" t="s">
        <v>137</v>
      </c>
      <c r="I23" s="4" t="s">
        <v>138</v>
      </c>
      <c r="J23" s="47">
        <v>26.076000000000001</v>
      </c>
      <c r="L23" s="4" t="s">
        <v>136</v>
      </c>
      <c r="M23" s="4" t="s">
        <v>137</v>
      </c>
      <c r="N23" s="4" t="s">
        <v>138</v>
      </c>
      <c r="O23" s="47">
        <f>E23</f>
        <v>28.38</v>
      </c>
    </row>
    <row r="24" spans="2:15">
      <c r="B24" s="4" t="s">
        <v>139</v>
      </c>
      <c r="C24" s="4" t="s">
        <v>140</v>
      </c>
      <c r="D24" s="4" t="s">
        <v>141</v>
      </c>
      <c r="E24" s="47">
        <v>2.9499999999999998E-2</v>
      </c>
      <c r="G24" s="4" t="s">
        <v>139</v>
      </c>
      <c r="H24" s="4" t="s">
        <v>140</v>
      </c>
      <c r="I24" s="4" t="s">
        <v>141</v>
      </c>
      <c r="J24" s="47">
        <f>E24</f>
        <v>2.9499999999999998E-2</v>
      </c>
      <c r="L24" s="4" t="s">
        <v>139</v>
      </c>
      <c r="M24" s="4" t="s">
        <v>140</v>
      </c>
      <c r="N24" s="4" t="s">
        <v>141</v>
      </c>
      <c r="O24" s="47">
        <f>J24</f>
        <v>2.9499999999999998E-2</v>
      </c>
    </row>
    <row r="26" spans="2:15">
      <c r="B26" s="174" t="s">
        <v>6</v>
      </c>
      <c r="C26" s="140"/>
      <c r="D26" s="140"/>
      <c r="E26" s="175"/>
      <c r="G26" s="174" t="s">
        <v>6</v>
      </c>
      <c r="H26" s="140"/>
      <c r="I26" s="140"/>
      <c r="J26" s="175"/>
      <c r="L26" s="174" t="s">
        <v>6</v>
      </c>
      <c r="M26" s="140"/>
      <c r="N26" s="140"/>
      <c r="O26" s="175"/>
    </row>
    <row r="27" spans="2:15">
      <c r="B27" s="4" t="s">
        <v>10</v>
      </c>
      <c r="C27" s="4" t="s">
        <v>11</v>
      </c>
      <c r="D27" s="4" t="s">
        <v>12</v>
      </c>
      <c r="E27" s="48">
        <f>ROUNDDOWN(J27+O27,0)</f>
        <v>17817</v>
      </c>
      <c r="G27" s="4" t="s">
        <v>10</v>
      </c>
      <c r="H27" s="4" t="s">
        <v>11</v>
      </c>
      <c r="I27" s="4" t="s">
        <v>12</v>
      </c>
      <c r="J27" s="48">
        <f>ROUNDDOWN(J10*((J22*J21)+J23)*J24,0)</f>
        <v>3540</v>
      </c>
      <c r="L27" s="4" t="s">
        <v>10</v>
      </c>
      <c r="M27" s="4" t="s">
        <v>11</v>
      </c>
      <c r="N27" s="4" t="s">
        <v>12</v>
      </c>
      <c r="O27" s="48">
        <f>ROUNDDOWN(O10*((O22*O21)+O23)*O24,0)</f>
        <v>14277</v>
      </c>
    </row>
    <row r="28" spans="2:15">
      <c r="B28" s="4" t="s">
        <v>13</v>
      </c>
      <c r="C28" s="4" t="s">
        <v>14</v>
      </c>
      <c r="D28" s="4" t="s">
        <v>12</v>
      </c>
      <c r="E28" s="48">
        <f>E18*((E22*E21)+E23)*E24</f>
        <v>0</v>
      </c>
      <c r="G28" s="4" t="s">
        <v>13</v>
      </c>
      <c r="H28" s="4" t="s">
        <v>14</v>
      </c>
      <c r="I28" s="4" t="s">
        <v>12</v>
      </c>
      <c r="J28" s="48">
        <f>J18*((J22*J21)+J23)*J24</f>
        <v>0</v>
      </c>
      <c r="L28" s="4" t="s">
        <v>13</v>
      </c>
      <c r="M28" s="4" t="s">
        <v>14</v>
      </c>
      <c r="N28" s="4" t="s">
        <v>12</v>
      </c>
      <c r="O28" s="48">
        <f>O18*((O22*O21)+O23)*O24</f>
        <v>0</v>
      </c>
    </row>
    <row r="29" spans="2:15">
      <c r="B29" s="4" t="s">
        <v>15</v>
      </c>
      <c r="C29" s="4" t="s">
        <v>16</v>
      </c>
      <c r="D29" s="4" t="s">
        <v>17</v>
      </c>
      <c r="E29" s="49">
        <v>0.9</v>
      </c>
      <c r="G29" s="4" t="s">
        <v>15</v>
      </c>
      <c r="H29" s="4" t="s">
        <v>16</v>
      </c>
      <c r="I29" s="4" t="s">
        <v>17</v>
      </c>
      <c r="J29" s="49">
        <f>E29</f>
        <v>0.9</v>
      </c>
      <c r="L29" s="4" t="s">
        <v>15</v>
      </c>
      <c r="M29" s="4" t="s">
        <v>16</v>
      </c>
      <c r="N29" s="4" t="s">
        <v>17</v>
      </c>
      <c r="O29" s="49">
        <f>J29</f>
        <v>0.9</v>
      </c>
    </row>
    <row r="30" spans="2:15">
      <c r="B30" s="4" t="s">
        <v>19</v>
      </c>
      <c r="C30" s="4" t="s">
        <v>20</v>
      </c>
      <c r="D30" s="4" t="s">
        <v>12</v>
      </c>
      <c r="E30" s="49">
        <v>0.05</v>
      </c>
      <c r="G30" s="4" t="s">
        <v>19</v>
      </c>
      <c r="H30" s="4" t="s">
        <v>20</v>
      </c>
      <c r="I30" s="4" t="s">
        <v>12</v>
      </c>
      <c r="J30" s="49">
        <f>E30</f>
        <v>0.05</v>
      </c>
      <c r="L30" s="4" t="s">
        <v>19</v>
      </c>
      <c r="M30" s="4" t="s">
        <v>20</v>
      </c>
      <c r="N30" s="4" t="s">
        <v>12</v>
      </c>
      <c r="O30" s="49">
        <f>J30</f>
        <v>0.05</v>
      </c>
    </row>
    <row r="31" spans="2:15">
      <c r="B31" s="4" t="s">
        <v>100</v>
      </c>
      <c r="C31" s="4" t="s">
        <v>22</v>
      </c>
      <c r="D31" s="4" t="s">
        <v>12</v>
      </c>
      <c r="E31" s="44">
        <f>J31+O31</f>
        <v>15232</v>
      </c>
      <c r="G31" s="4" t="s">
        <v>100</v>
      </c>
      <c r="H31" s="4" t="s">
        <v>22</v>
      </c>
      <c r="I31" s="4" t="s">
        <v>12</v>
      </c>
      <c r="J31" s="44">
        <f>ROUNDDOWN(((J27-J28)*J29)*(1-J30),0)</f>
        <v>3026</v>
      </c>
      <c r="L31" s="4" t="s">
        <v>100</v>
      </c>
      <c r="M31" s="4" t="s">
        <v>22</v>
      </c>
      <c r="N31" s="4" t="s">
        <v>12</v>
      </c>
      <c r="O31" s="44">
        <f>ROUNDDOWN(((O27-O28)*O29)*(1-O30),0)</f>
        <v>12206</v>
      </c>
    </row>
    <row r="32" spans="2:15">
      <c r="D32" s="50"/>
      <c r="I32" s="50"/>
      <c r="N32" s="50"/>
    </row>
    <row r="33" spans="2:15">
      <c r="B33" s="174" t="s">
        <v>23</v>
      </c>
      <c r="C33" s="140"/>
      <c r="D33" s="140"/>
      <c r="E33" s="175"/>
      <c r="G33" s="174" t="s">
        <v>23</v>
      </c>
      <c r="H33" s="140"/>
      <c r="I33" s="140"/>
      <c r="J33" s="175"/>
      <c r="L33" s="174" t="s">
        <v>23</v>
      </c>
      <c r="M33" s="140"/>
      <c r="N33" s="140"/>
      <c r="O33" s="175"/>
    </row>
    <row r="34" spans="2:15">
      <c r="B34" s="51" t="s">
        <v>24</v>
      </c>
      <c r="C34" s="4"/>
      <c r="D34" s="11"/>
      <c r="E34" s="52">
        <v>0.93700000000000006</v>
      </c>
      <c r="G34" s="51" t="s">
        <v>24</v>
      </c>
      <c r="H34" s="4"/>
      <c r="I34" s="11"/>
      <c r="J34" s="52">
        <v>0.93700000000000006</v>
      </c>
      <c r="L34" s="51" t="s">
        <v>24</v>
      </c>
      <c r="M34" s="4"/>
      <c r="N34" s="11"/>
      <c r="O34" s="52">
        <v>0.93700000000000006</v>
      </c>
    </row>
    <row r="35" spans="2:15">
      <c r="B35" s="51" t="s">
        <v>25</v>
      </c>
      <c r="C35" s="4" t="s">
        <v>26</v>
      </c>
      <c r="D35" s="11" t="s">
        <v>27</v>
      </c>
      <c r="E35" s="52">
        <v>0.17399999999999999</v>
      </c>
      <c r="G35" s="51" t="s">
        <v>25</v>
      </c>
      <c r="H35" s="4" t="s">
        <v>26</v>
      </c>
      <c r="I35" s="11" t="s">
        <v>27</v>
      </c>
      <c r="J35" s="52">
        <f>E35</f>
        <v>0.17399999999999999</v>
      </c>
      <c r="L35" s="51" t="s">
        <v>25</v>
      </c>
      <c r="M35" s="4" t="s">
        <v>26</v>
      </c>
      <c r="N35" s="11" t="s">
        <v>27</v>
      </c>
      <c r="O35" s="52">
        <f>J35</f>
        <v>0.17399999999999999</v>
      </c>
    </row>
    <row r="36" spans="2:15">
      <c r="B36" s="53" t="s">
        <v>142</v>
      </c>
      <c r="C36" s="14" t="s">
        <v>22</v>
      </c>
      <c r="D36" s="54" t="s">
        <v>12</v>
      </c>
      <c r="E36" s="55">
        <f>ROUNDDOWN(E31*(1-E35),0)</f>
        <v>12581</v>
      </c>
      <c r="G36" s="56" t="s">
        <v>142</v>
      </c>
      <c r="H36" s="14" t="s">
        <v>22</v>
      </c>
      <c r="I36" s="54" t="s">
        <v>12</v>
      </c>
      <c r="J36" s="55">
        <f>ROUNDDOWN(J31*(1-J35),0)</f>
        <v>2499</v>
      </c>
      <c r="L36" s="56" t="s">
        <v>142</v>
      </c>
      <c r="M36" s="14" t="s">
        <v>22</v>
      </c>
      <c r="N36" s="54" t="s">
        <v>12</v>
      </c>
      <c r="O36" s="55">
        <f>ROUNDDOWN(O31*(1-O35),0)</f>
        <v>10082</v>
      </c>
    </row>
    <row r="38" spans="2:15">
      <c r="B38" s="56" t="s">
        <v>143</v>
      </c>
      <c r="C38" s="14"/>
      <c r="D38" s="54" t="s">
        <v>12</v>
      </c>
      <c r="E38" s="55">
        <f>J38+O38</f>
        <v>12581</v>
      </c>
      <c r="G38" s="51" t="s">
        <v>144</v>
      </c>
      <c r="H38" s="4"/>
      <c r="I38" s="11" t="s">
        <v>12</v>
      </c>
      <c r="J38" s="57">
        <f>IF(J36&gt;'GS10987 PTDs'!C15*'GS10987 PTDs'!C14,'GS10987 PTDs'!C15*'GS10987 PTDs'!C14,J36)</f>
        <v>2499</v>
      </c>
      <c r="L38" s="56" t="s">
        <v>143</v>
      </c>
      <c r="M38" s="14"/>
      <c r="N38" s="54" t="s">
        <v>12</v>
      </c>
      <c r="O38" s="57">
        <f>IF(O36&gt;'GS10987 PTDs'!C16*'GS10987 PTDs'!C14,'GS10987 PTDs'!C16*'GS10987 PTDs'!C14,O36)</f>
        <v>10082</v>
      </c>
    </row>
    <row r="39" spans="2:15" ht="30" customHeight="1">
      <c r="B39" s="176" t="s">
        <v>145</v>
      </c>
      <c r="C39" s="176"/>
      <c r="D39" s="176"/>
      <c r="E39" s="176"/>
      <c r="L39" s="176" t="s">
        <v>145</v>
      </c>
      <c r="M39" s="176"/>
      <c r="N39" s="176"/>
      <c r="O39" s="176"/>
    </row>
    <row r="40" spans="2:15" ht="30" customHeight="1">
      <c r="G40" s="176" t="s">
        <v>145</v>
      </c>
      <c r="H40" s="176"/>
      <c r="I40" s="176"/>
      <c r="J40" s="176"/>
    </row>
    <row r="41" spans="2:15">
      <c r="G41" s="6"/>
    </row>
    <row r="42" spans="2:15">
      <c r="G42" s="6"/>
    </row>
    <row r="43" spans="2:15">
      <c r="G43" s="6"/>
    </row>
    <row r="44" spans="2:15">
      <c r="E44" s="6"/>
    </row>
  </sheetData>
  <mergeCells count="21">
    <mergeCell ref="B2:E2"/>
    <mergeCell ref="G2:J2"/>
    <mergeCell ref="L2:O2"/>
    <mergeCell ref="B4:E4"/>
    <mergeCell ref="G4:J4"/>
    <mergeCell ref="L4:O4"/>
    <mergeCell ref="B12:E12"/>
    <mergeCell ref="G12:J12"/>
    <mergeCell ref="L12:O12"/>
    <mergeCell ref="B20:E20"/>
    <mergeCell ref="G20:J20"/>
    <mergeCell ref="L20:O20"/>
    <mergeCell ref="B39:E39"/>
    <mergeCell ref="L39:O39"/>
    <mergeCell ref="G40:J40"/>
    <mergeCell ref="B26:E26"/>
    <mergeCell ref="G26:J26"/>
    <mergeCell ref="L26:O26"/>
    <mergeCell ref="B33:E33"/>
    <mergeCell ref="G33:J33"/>
    <mergeCell ref="L33:O3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895AFD-79AF-4E99-9101-0FC65BAAD1C0}">
  <sheetPr codeName="Sheet9"/>
  <dimension ref="A1:G23"/>
  <sheetViews>
    <sheetView tabSelected="1" topLeftCell="A20" zoomScale="80" zoomScaleNormal="80" workbookViewId="0">
      <selection activeCell="E19" sqref="E19"/>
    </sheetView>
  </sheetViews>
  <sheetFormatPr defaultRowHeight="15"/>
  <cols>
    <col min="1" max="1" width="23" bestFit="1" customWidth="1"/>
    <col min="2" max="2" width="69" customWidth="1"/>
    <col min="3" max="3" width="20.5703125" customWidth="1"/>
    <col min="4" max="4" width="10.140625" customWidth="1"/>
    <col min="5" max="5" width="33.85546875" bestFit="1" customWidth="1"/>
    <col min="7" max="7" width="13.42578125" bestFit="1" customWidth="1"/>
    <col min="9" max="10" width="3.85546875" customWidth="1"/>
    <col min="14" max="14" width="24.85546875" customWidth="1"/>
    <col min="15" max="15" width="39.28515625" customWidth="1"/>
    <col min="16" max="16" width="30.5703125" customWidth="1"/>
    <col min="17" max="17" width="10.42578125" customWidth="1"/>
    <col min="18" max="18" width="20" customWidth="1"/>
  </cols>
  <sheetData>
    <row r="1" spans="1:7" ht="30">
      <c r="A1" s="72" t="s">
        <v>146</v>
      </c>
    </row>
    <row r="2" spans="1:7">
      <c r="A2" s="73" t="s">
        <v>147</v>
      </c>
      <c r="B2" s="67" t="s">
        <v>148</v>
      </c>
      <c r="C2" s="69" t="s">
        <v>149</v>
      </c>
      <c r="D2" s="67" t="s">
        <v>150</v>
      </c>
      <c r="E2" s="67" t="s">
        <v>54</v>
      </c>
    </row>
    <row r="3" spans="1:7" ht="30">
      <c r="A3" s="25" t="s">
        <v>151</v>
      </c>
      <c r="B3" s="25" t="s">
        <v>152</v>
      </c>
      <c r="C3" s="74">
        <f>C4*(1-C5)*(1-C6)</f>
        <v>15047.47998</v>
      </c>
      <c r="D3" s="4" t="s">
        <v>153</v>
      </c>
      <c r="E3" s="4" t="s">
        <v>154</v>
      </c>
    </row>
    <row r="4" spans="1:7" ht="18.75">
      <c r="A4" s="25" t="s">
        <v>155</v>
      </c>
      <c r="B4" s="25" t="s">
        <v>156</v>
      </c>
      <c r="C4" s="75">
        <f>'GS10987 PTDs'!S6</f>
        <v>21459</v>
      </c>
      <c r="D4" s="4" t="s">
        <v>153</v>
      </c>
      <c r="E4" s="4" t="s">
        <v>157</v>
      </c>
      <c r="F4" s="76">
        <f>C4-C3</f>
        <v>6411.5200199999999</v>
      </c>
      <c r="G4" t="s">
        <v>158</v>
      </c>
    </row>
    <row r="5" spans="1:7" ht="31.5">
      <c r="A5" s="25" t="s">
        <v>159</v>
      </c>
      <c r="B5" s="25" t="s">
        <v>160</v>
      </c>
      <c r="C5" s="77">
        <f>'GS10987 ER Calcs Wood'!E5</f>
        <v>7.0000000000000007E-2</v>
      </c>
      <c r="D5" s="4" t="s">
        <v>161</v>
      </c>
      <c r="E5" s="4" t="s">
        <v>162</v>
      </c>
    </row>
    <row r="6" spans="1:7" ht="31.5" customHeight="1">
      <c r="A6" s="25" t="s">
        <v>163</v>
      </c>
      <c r="B6" s="25" t="s">
        <v>164</v>
      </c>
      <c r="C6" s="138">
        <v>0.246</v>
      </c>
      <c r="D6" s="4" t="s">
        <v>161</v>
      </c>
      <c r="E6" s="4" t="s">
        <v>165</v>
      </c>
    </row>
    <row r="7" spans="1:7">
      <c r="A7" s="78"/>
      <c r="B7" s="78"/>
      <c r="C7" s="79"/>
    </row>
    <row r="8" spans="1:7">
      <c r="A8" s="78" t="s">
        <v>166</v>
      </c>
      <c r="B8" s="80"/>
    </row>
    <row r="9" spans="1:7" ht="17.25" customHeight="1">
      <c r="A9" s="69" t="s">
        <v>147</v>
      </c>
      <c r="B9" s="67" t="s">
        <v>148</v>
      </c>
      <c r="C9" s="69" t="s">
        <v>149</v>
      </c>
      <c r="D9" s="67" t="s">
        <v>150</v>
      </c>
      <c r="E9" s="67" t="s">
        <v>54</v>
      </c>
    </row>
    <row r="10" spans="1:7">
      <c r="A10" s="25" t="s">
        <v>167</v>
      </c>
      <c r="B10" s="25" t="s">
        <v>168</v>
      </c>
      <c r="C10" s="81" t="str">
        <f>IFERROR(C11-C12, "No Data")</f>
        <v>No Data</v>
      </c>
      <c r="D10" s="4" t="s">
        <v>169</v>
      </c>
      <c r="E10" s="4" t="s">
        <v>154</v>
      </c>
    </row>
    <row r="11" spans="1:7">
      <c r="A11" s="25" t="s">
        <v>170</v>
      </c>
      <c r="B11" s="25" t="s">
        <v>171</v>
      </c>
      <c r="C11" s="82">
        <f>2.4</f>
        <v>2.4</v>
      </c>
      <c r="D11" s="4" t="s">
        <v>169</v>
      </c>
      <c r="E11" s="4" t="s">
        <v>172</v>
      </c>
    </row>
    <row r="12" spans="1:7">
      <c r="A12" s="25" t="s">
        <v>173</v>
      </c>
      <c r="B12" s="25" t="s">
        <v>174</v>
      </c>
      <c r="C12" s="83" t="s">
        <v>175</v>
      </c>
      <c r="D12" s="4" t="s">
        <v>169</v>
      </c>
      <c r="E12" s="4" t="s">
        <v>176</v>
      </c>
    </row>
    <row r="13" spans="1:7">
      <c r="A13" s="78"/>
      <c r="B13" s="78"/>
      <c r="C13" s="84"/>
    </row>
    <row r="14" spans="1:7" ht="30">
      <c r="A14" s="78" t="s">
        <v>177</v>
      </c>
    </row>
    <row r="15" spans="1:7">
      <c r="A15" s="69" t="s">
        <v>147</v>
      </c>
      <c r="B15" s="67" t="s">
        <v>148</v>
      </c>
      <c r="C15" s="69" t="s">
        <v>149</v>
      </c>
      <c r="D15" s="67" t="s">
        <v>150</v>
      </c>
      <c r="E15" s="67" t="s">
        <v>54</v>
      </c>
    </row>
    <row r="16" spans="1:7" ht="30">
      <c r="A16" s="25" t="s">
        <v>178</v>
      </c>
      <c r="B16" s="25" t="s">
        <v>179</v>
      </c>
      <c r="C16" s="74">
        <f>C17*(1-C18)*C19</f>
        <v>17961.183000000001</v>
      </c>
      <c r="D16" s="4" t="s">
        <v>153</v>
      </c>
      <c r="E16" s="4" t="s">
        <v>154</v>
      </c>
    </row>
    <row r="17" spans="1:7">
      <c r="A17" s="25" t="s">
        <v>180</v>
      </c>
      <c r="B17" s="25" t="s">
        <v>156</v>
      </c>
      <c r="C17" s="177">
        <f>C4</f>
        <v>21459</v>
      </c>
      <c r="D17" s="4" t="s">
        <v>153</v>
      </c>
      <c r="E17" s="4" t="s">
        <v>157</v>
      </c>
      <c r="F17" s="76">
        <f>C17-C16</f>
        <v>3497.8169999999991</v>
      </c>
      <c r="G17" t="s">
        <v>158</v>
      </c>
    </row>
    <row r="18" spans="1:7" ht="30">
      <c r="A18" s="25" t="s">
        <v>105</v>
      </c>
      <c r="B18" s="58" t="s">
        <v>181</v>
      </c>
      <c r="C18" s="77">
        <f>C5</f>
        <v>7.0000000000000007E-2</v>
      </c>
      <c r="D18" s="4" t="s">
        <v>161</v>
      </c>
      <c r="E18" s="4" t="s">
        <v>162</v>
      </c>
    </row>
    <row r="19" spans="1:7" ht="18">
      <c r="A19" s="25" t="s">
        <v>182</v>
      </c>
      <c r="B19" s="25" t="s">
        <v>183</v>
      </c>
      <c r="C19" s="85">
        <f>'GS10987 ER Calcs Wood'!E29</f>
        <v>0.9</v>
      </c>
      <c r="D19" s="4" t="s">
        <v>161</v>
      </c>
      <c r="E19" s="4" t="s">
        <v>184</v>
      </c>
      <c r="G19" s="59"/>
    </row>
    <row r="20" spans="1:7">
      <c r="A20" s="78"/>
      <c r="B20" s="78"/>
      <c r="C20" s="86"/>
      <c r="G20" s="59"/>
    </row>
    <row r="21" spans="1:7">
      <c r="A21" s="78" t="s">
        <v>185</v>
      </c>
    </row>
    <row r="22" spans="1:7">
      <c r="A22" s="69" t="s">
        <v>147</v>
      </c>
      <c r="B22" s="67" t="s">
        <v>148</v>
      </c>
      <c r="C22" s="67"/>
      <c r="D22" s="67" t="s">
        <v>150</v>
      </c>
      <c r="E22" s="67" t="s">
        <v>54</v>
      </c>
    </row>
    <row r="23" spans="1:7">
      <c r="A23" s="25" t="s">
        <v>186</v>
      </c>
      <c r="B23" s="4" t="s">
        <v>187</v>
      </c>
      <c r="C23" s="87">
        <f>'GS10987 Summary'!E44</f>
        <v>15535</v>
      </c>
      <c r="D23" s="4" t="s">
        <v>188</v>
      </c>
      <c r="E23" s="4" t="s">
        <v>157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7D8FF0EBC1E34CAA966933F5D9F9ED" ma:contentTypeVersion="17" ma:contentTypeDescription="Create a new document." ma:contentTypeScope="" ma:versionID="439770bec7794d21e15900065ecc15c8">
  <xsd:schema xmlns:xsd="http://www.w3.org/2001/XMLSchema" xmlns:xs="http://www.w3.org/2001/XMLSchema" xmlns:p="http://schemas.microsoft.com/office/2006/metadata/properties" xmlns:ns1="http://schemas.microsoft.com/sharepoint/v3" xmlns:ns2="8bcd9205-aa71-43b1-82fe-dcc00a36dd04" xmlns:ns3="83a6049c-05c8-4e22-bd03-2c19a5f84a8b" targetNamespace="http://schemas.microsoft.com/office/2006/metadata/properties" ma:root="true" ma:fieldsID="1bbc5ad7ea28e613aaec200fd9de14a7" ns1:_="" ns2:_="" ns3:_="">
    <xsd:import namespace="http://schemas.microsoft.com/sharepoint/v3"/>
    <xsd:import namespace="8bcd9205-aa71-43b1-82fe-dcc00a36dd04"/>
    <xsd:import namespace="83a6049c-05c8-4e22-bd03-2c19a5f84a8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1:PublishingStartDate" minOccurs="0"/>
                <xsd:element ref="ns1:PublishingExpirationDat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EventHashCode" minOccurs="0"/>
                <xsd:element ref="ns2:MediaServiceGenerationTim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12" nillable="true" ma:displayName="Scheduling Start Date" ma:description="Scheduling Start Date is a site column created by the Publishing feature. It is used to specify the date and time on which this page will first appear to site visitors." ma:internalName="PublishingStartDate">
      <xsd:simpleType>
        <xsd:restriction base="dms:Unknown"/>
      </xsd:simpleType>
    </xsd:element>
    <xsd:element name="PublishingExpirationDate" ma:index="13" nillable="true" ma:displayName="Scheduling End Date" ma:description="Scheduling End Date is a site column created by the Publishing feature. It is used to specify the date and time on which this page will no longer appear to site visitors.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cd9205-aa71-43b1-82fe-dcc00a36dd0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4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e905b797-93a9-4c36-9d72-1ad65c8e50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a6049c-05c8-4e22-bd03-2c19a5f84a8b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e97f6c16-a42c-4dfe-b35d-62a0e7d34d20}" ma:internalName="TaxCatchAll" ma:showField="CatchAllData" ma:web="83a6049c-05c8-4e22-bd03-2c19a5f84a8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lcf76f155ced4ddcb4097134ff3c332f xmlns="8bcd9205-aa71-43b1-82fe-dcc00a36dd04">
      <Terms xmlns="http://schemas.microsoft.com/office/infopath/2007/PartnerControls"/>
    </lcf76f155ced4ddcb4097134ff3c332f>
    <TaxCatchAll xmlns="83a6049c-05c8-4e22-bd03-2c19a5f84a8b" xsi:nil="true"/>
  </documentManagement>
</p:properties>
</file>

<file path=customXml/itemProps1.xml><?xml version="1.0" encoding="utf-8"?>
<ds:datastoreItem xmlns:ds="http://schemas.openxmlformats.org/officeDocument/2006/customXml" ds:itemID="{7CEAB20F-49D9-48FF-818E-E4CFCCC0F8C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8bcd9205-aa71-43b1-82fe-dcc00a36dd04"/>
    <ds:schemaRef ds:uri="83a6049c-05c8-4e22-bd03-2c19a5f84a8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8B1CCF8-4346-40B8-970B-08386F2D068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DE4F6AA-5AEB-4829-A11B-00D41FA3CF75}">
  <ds:schemaRefs>
    <ds:schemaRef ds:uri="http://schemas.microsoft.com/office/infopath/2007/PartnerControls"/>
    <ds:schemaRef ds:uri="http://schemas.openxmlformats.org/package/2006/metadata/core-properties"/>
    <ds:schemaRef ds:uri="http://purl.org/dc/dcmitype/"/>
    <ds:schemaRef ds:uri="http://purl.org/dc/terms/"/>
    <ds:schemaRef ds:uri="8bcd9205-aa71-43b1-82fe-dcc00a36dd04"/>
    <ds:schemaRef ds:uri="http://schemas.microsoft.com/office/2006/documentManagement/types"/>
    <ds:schemaRef ds:uri="http://schemas.microsoft.com/office/2006/metadata/properties"/>
    <ds:schemaRef ds:uri="http://purl.org/dc/elements/1.1/"/>
    <ds:schemaRef ds:uri="83a6049c-05c8-4e22-bd03-2c19a5f84a8b"/>
    <ds:schemaRef ds:uri="http://schemas.microsoft.com/sharepoint/v3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GS10987 Summary</vt:lpstr>
      <vt:lpstr>GS10987 PTDs</vt:lpstr>
      <vt:lpstr>WQT Fail Log</vt:lpstr>
      <vt:lpstr>GS10987 ER Calcs Wood</vt:lpstr>
      <vt:lpstr>GS10987 ER Calcs Charcoal</vt:lpstr>
      <vt:lpstr>SDG Calculations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co2la</dc:creator>
  <cp:keywords/>
  <dc:description/>
  <cp:lastModifiedBy>Stephen Morris</cp:lastModifiedBy>
  <cp:revision/>
  <dcterms:created xsi:type="dcterms:W3CDTF">2021-06-09T13:43:43Z</dcterms:created>
  <dcterms:modified xsi:type="dcterms:W3CDTF">2022-08-03T08:55:59Z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0x010100467D8FF0EBC1E34CAA966933F5D9F9ED</vt:lpwstr>
  </property>
  <property fmtid="{D5CDD505-2E9C-101B-9397-08002B2CF9AE}" pid="3" name="MediaServiceImageTags">
    <vt:lpwstr/>
  </property>
</Properties>
</file>