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pivotTables/pivotTable1.xml" ContentType="application/vnd.openxmlformats-officedocument.spreadsheetml.pivotTab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/>
  <mc:AlternateContent xmlns:mc="http://schemas.openxmlformats.org/markup-compatibility/2006">
    <mc:Choice Requires="x15">
      <x15ac:absPath xmlns:x15ac="http://schemas.microsoft.com/office/spreadsheetml/2010/11/ac" url="https://aginthamoussu.sharepoint.com/sites/Uganda-Kijani/Shared Documents/General/VVB - Auditoria/Verra Internal Review - 4th round - april2025/"/>
    </mc:Choice>
  </mc:AlternateContent>
  <xr:revisionPtr revIDLastSave="57" documentId="13_ncr:1_{01936EDA-629B-C74F-B860-EF977CEA3223}" xr6:coauthVersionLast="47" xr6:coauthVersionMax="47" xr10:uidLastSave="{A184EEC9-0570-488A-94C1-D974A0555D69}"/>
  <bookViews>
    <workbookView xWindow="20370" yWindow="-120" windowWidth="29040" windowHeight="15720" tabRatio="759" firstSheet="3" activeTab="3" xr2:uid="{A706F557-C320-D744-B25F-29017726EEB8}"/>
  </bookViews>
  <sheets>
    <sheet name="Summary" sheetId="10" r:id="rId1"/>
    <sheet name="SOC" sheetId="11" r:id="rId2"/>
    <sheet name="Growth Rates" sheetId="3" r:id="rId3"/>
    <sheet name="Total CO2" sheetId="12" r:id="rId4"/>
    <sheet name="Planted Trees" sheetId="14" r:id="rId5"/>
    <sheet name="Ex-Ante - AirImpact - Charcoal" sheetId="7" r:id="rId6"/>
    <sheet name="AirImpact - Melia volkensii" sheetId="5" r:id="rId7"/>
    <sheet name="AirImpact - Acacia polyacantha" sheetId="8" r:id="rId8"/>
    <sheet name="AirImpact - Gmelina" sheetId="2" state="hidden" r:id="rId9"/>
    <sheet name="Growth-rates" sheetId="13" state="hidden" r:id="rId10"/>
    <sheet name="AirImpact - Maesopsis eminii" sheetId="6" r:id="rId11"/>
    <sheet name="Curve Comparison" sheetId="4" r:id="rId12"/>
    <sheet name="SOC Stock" sheetId="15" r:id="rId13"/>
    <sheet name="Ex Post" sheetId="16" state="hidden" r:id="rId14"/>
  </sheets>
  <definedNames>
    <definedName name="_xlnm._FilterDatabase" localSheetId="12" hidden="1">'SOC Stock'!$A$1:$N$1</definedName>
    <definedName name="SOCinitial">SOC!$G$6</definedName>
    <definedName name="SOCloss">SOC!$G$7</definedName>
    <definedName name="SOCref">SOC!$G$2</definedName>
  </definedNames>
  <calcPr calcId="191028"/>
  <pivotCaches>
    <pivotCache cacheId="9425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7" i="12" l="1"/>
  <c r="I75" i="4"/>
  <c r="H75" i="4"/>
  <c r="G75" i="4"/>
  <c r="F75" i="4"/>
  <c r="F78" i="4"/>
  <c r="G78" i="4"/>
  <c r="F79" i="4"/>
  <c r="G79" i="4"/>
  <c r="F80" i="4"/>
  <c r="G80" i="4"/>
  <c r="F81" i="4"/>
  <c r="G81" i="4"/>
  <c r="G43" i="4"/>
  <c r="G42" i="4"/>
  <c r="G40" i="4"/>
  <c r="G39" i="4"/>
  <c r="F42" i="4"/>
  <c r="F43" i="4"/>
  <c r="F40" i="4"/>
  <c r="F39" i="4"/>
  <c r="G38" i="4"/>
  <c r="F38" i="4"/>
  <c r="AM73" i="16"/>
  <c r="AL73" i="16"/>
  <c r="AK73" i="16"/>
  <c r="AM72" i="16"/>
  <c r="AL72" i="16"/>
  <c r="AK72" i="16"/>
  <c r="AM71" i="16"/>
  <c r="AL71" i="16"/>
  <c r="AK71" i="16"/>
  <c r="AM70" i="16"/>
  <c r="AL70" i="16"/>
  <c r="AK70" i="16"/>
  <c r="AM69" i="16"/>
  <c r="AL69" i="16"/>
  <c r="AK69" i="16"/>
  <c r="AL68" i="16"/>
  <c r="AK68" i="16"/>
  <c r="AJ68" i="16"/>
  <c r="AL67" i="16"/>
  <c r="AK67" i="16"/>
  <c r="AJ67" i="16"/>
  <c r="AL66" i="16"/>
  <c r="AK66" i="16"/>
  <c r="AJ66" i="16"/>
  <c r="AL65" i="16"/>
  <c r="AK65" i="16"/>
  <c r="AJ65" i="16"/>
  <c r="AL64" i="16"/>
  <c r="AK64" i="16"/>
  <c r="AJ64" i="16"/>
  <c r="AM63" i="16"/>
  <c r="AK63" i="16"/>
  <c r="AJ63" i="16"/>
  <c r="AM62" i="16"/>
  <c r="AK62" i="16"/>
  <c r="AJ62" i="16"/>
  <c r="AM61" i="16"/>
  <c r="AK61" i="16"/>
  <c r="AJ61" i="16"/>
  <c r="AM60" i="16"/>
  <c r="AK60" i="16"/>
  <c r="AJ60" i="16"/>
  <c r="AM59" i="16"/>
  <c r="AK59" i="16"/>
  <c r="AJ59" i="16"/>
  <c r="AM58" i="16"/>
  <c r="AL58" i="16"/>
  <c r="AJ58" i="16"/>
  <c r="AM57" i="16"/>
  <c r="AL57" i="16"/>
  <c r="AJ57" i="16"/>
  <c r="AM56" i="16"/>
  <c r="AL56" i="16"/>
  <c r="AJ56" i="16"/>
  <c r="AM55" i="16"/>
  <c r="AL55" i="16"/>
  <c r="AJ55" i="16"/>
  <c r="AM54" i="16"/>
  <c r="AL54" i="16"/>
  <c r="AJ54" i="16"/>
  <c r="AM53" i="16"/>
  <c r="AL53" i="16"/>
  <c r="AJ53" i="16"/>
  <c r="AM52" i="16"/>
  <c r="AL52" i="16"/>
  <c r="AJ52" i="16"/>
  <c r="AM51" i="16"/>
  <c r="AL51" i="16"/>
  <c r="AJ51" i="16"/>
  <c r="AM50" i="16"/>
  <c r="AL50" i="16"/>
  <c r="AJ50" i="16"/>
  <c r="AM49" i="16"/>
  <c r="AL49" i="16"/>
  <c r="AJ49" i="16"/>
  <c r="AM48" i="16"/>
  <c r="AL48" i="16"/>
  <c r="AK48" i="16"/>
  <c r="AM47" i="16"/>
  <c r="AL47" i="16"/>
  <c r="AK47" i="16"/>
  <c r="AM46" i="16"/>
  <c r="AL46" i="16"/>
  <c r="AK46" i="16"/>
  <c r="AM45" i="16"/>
  <c r="AL45" i="16"/>
  <c r="AK45" i="16"/>
  <c r="AM44" i="16"/>
  <c r="AL44" i="16"/>
  <c r="AK44" i="16"/>
  <c r="AL43" i="16"/>
  <c r="AK43" i="16"/>
  <c r="AJ43" i="16"/>
  <c r="AL42" i="16"/>
  <c r="AK42" i="16"/>
  <c r="AJ42" i="16"/>
  <c r="AL41" i="16"/>
  <c r="AK41" i="16"/>
  <c r="AJ41" i="16"/>
  <c r="AL40" i="16"/>
  <c r="AK40" i="16"/>
  <c r="AJ40" i="16"/>
  <c r="AL39" i="16"/>
  <c r="AK39" i="16"/>
  <c r="AJ39" i="16"/>
  <c r="AM38" i="16"/>
  <c r="AL38" i="16"/>
  <c r="AK38" i="16"/>
  <c r="AM37" i="16"/>
  <c r="AL37" i="16"/>
  <c r="AK37" i="16"/>
  <c r="AM36" i="16"/>
  <c r="AL36" i="16"/>
  <c r="AK36" i="16"/>
  <c r="AM35" i="16"/>
  <c r="AL35" i="16"/>
  <c r="AK35" i="16"/>
  <c r="AM34" i="16"/>
  <c r="AL34" i="16"/>
  <c r="AK34" i="16"/>
  <c r="AM33" i="16"/>
  <c r="AL33" i="16"/>
  <c r="AK33" i="16"/>
  <c r="AM32" i="16"/>
  <c r="AL32" i="16"/>
  <c r="AK32" i="16"/>
  <c r="AM31" i="16"/>
  <c r="AL31" i="16"/>
  <c r="AK31" i="16"/>
  <c r="AM30" i="16"/>
  <c r="AL30" i="16"/>
  <c r="AK30" i="16"/>
  <c r="AM29" i="16"/>
  <c r="AL29" i="16"/>
  <c r="AK29" i="16"/>
  <c r="AM28" i="16"/>
  <c r="AL28" i="16"/>
  <c r="AK28" i="16"/>
  <c r="AM27" i="16"/>
  <c r="AL27" i="16"/>
  <c r="AK27" i="16"/>
  <c r="AM26" i="16"/>
  <c r="AL26" i="16"/>
  <c r="AK26" i="16"/>
  <c r="AM25" i="16"/>
  <c r="AL25" i="16"/>
  <c r="AK25" i="16"/>
  <c r="AM24" i="16"/>
  <c r="AL24" i="16"/>
  <c r="AK24" i="16"/>
  <c r="AM23" i="16"/>
  <c r="AL23" i="16"/>
  <c r="AK23" i="16"/>
  <c r="AM22" i="16"/>
  <c r="AL22" i="16"/>
  <c r="AK22" i="16"/>
  <c r="AM21" i="16"/>
  <c r="AL21" i="16"/>
  <c r="AK21" i="16"/>
  <c r="AM20" i="16"/>
  <c r="AL20" i="16"/>
  <c r="AK20" i="16"/>
  <c r="AM19" i="16"/>
  <c r="AL19" i="16"/>
  <c r="AK19" i="16"/>
  <c r="AM18" i="16"/>
  <c r="AK18" i="16"/>
  <c r="AJ18" i="16"/>
  <c r="AM17" i="16"/>
  <c r="AK17" i="16"/>
  <c r="AJ17" i="16"/>
  <c r="AM16" i="16"/>
  <c r="AK16" i="16"/>
  <c r="AJ16" i="16"/>
  <c r="AM15" i="16"/>
  <c r="AK15" i="16"/>
  <c r="AJ15" i="16"/>
  <c r="AM14" i="16"/>
  <c r="AK14" i="16"/>
  <c r="AJ14" i="16"/>
  <c r="AM13" i="16"/>
  <c r="AL13" i="16"/>
  <c r="AJ13" i="16"/>
  <c r="AM12" i="16"/>
  <c r="AL12" i="16"/>
  <c r="AJ12" i="16"/>
  <c r="AM11" i="16"/>
  <c r="AL11" i="16"/>
  <c r="AJ11" i="16"/>
  <c r="AM10" i="16"/>
  <c r="AL10" i="16"/>
  <c r="AJ10" i="16"/>
  <c r="AM9" i="16"/>
  <c r="AL9" i="16"/>
  <c r="AJ9" i="16"/>
  <c r="AM8" i="16"/>
  <c r="AL8" i="16"/>
  <c r="AK8" i="16"/>
  <c r="AM7" i="16"/>
  <c r="AL7" i="16"/>
  <c r="AK7" i="16"/>
  <c r="AM6" i="16"/>
  <c r="AL6" i="16"/>
  <c r="AK6" i="16"/>
  <c r="AM5" i="16"/>
  <c r="AL5" i="16"/>
  <c r="AK5" i="16"/>
  <c r="AK4" i="16"/>
  <c r="AL4" i="16"/>
  <c r="AM4" i="16"/>
  <c r="AM75" i="16"/>
  <c r="AL75" i="16"/>
  <c r="AK75" i="16"/>
  <c r="AJ75" i="16"/>
  <c r="AX75" i="16"/>
  <c r="BB75" i="16"/>
  <c r="BA75" i="16"/>
  <c r="AZ75" i="16"/>
  <c r="AY75" i="16"/>
  <c r="BB63" i="16"/>
  <c r="BB62" i="16"/>
  <c r="BB61" i="16"/>
  <c r="BB60" i="16"/>
  <c r="BB59" i="16"/>
  <c r="BB58" i="16"/>
  <c r="BB57" i="16"/>
  <c r="BB56" i="16"/>
  <c r="BB55" i="16"/>
  <c r="BB54" i="16"/>
  <c r="BB53" i="16"/>
  <c r="BB52" i="16"/>
  <c r="BB51" i="16"/>
  <c r="BB50" i="16"/>
  <c r="BB49" i="16"/>
  <c r="BB48" i="16"/>
  <c r="AZ48" i="16"/>
  <c r="BB47" i="16"/>
  <c r="AZ47" i="16"/>
  <c r="BB46" i="16"/>
  <c r="AZ46" i="16"/>
  <c r="BB45" i="16"/>
  <c r="AZ45" i="16"/>
  <c r="BB44" i="16"/>
  <c r="AZ44" i="16"/>
  <c r="AZ43" i="16"/>
  <c r="AZ42" i="16"/>
  <c r="AZ41" i="16"/>
  <c r="AZ40" i="16"/>
  <c r="AZ39" i="16"/>
  <c r="BB38" i="16"/>
  <c r="AZ38" i="16"/>
  <c r="BB37" i="16"/>
  <c r="AZ37" i="16"/>
  <c r="BB36" i="16"/>
  <c r="AZ36" i="16"/>
  <c r="BB35" i="16"/>
  <c r="AZ35" i="16"/>
  <c r="BB34" i="16"/>
  <c r="AZ34" i="16"/>
  <c r="BB33" i="16"/>
  <c r="AZ33" i="16"/>
  <c r="BB32" i="16"/>
  <c r="AZ32" i="16"/>
  <c r="BB31" i="16"/>
  <c r="AZ31" i="16"/>
  <c r="BB30" i="16"/>
  <c r="AZ30" i="16"/>
  <c r="BB29" i="16"/>
  <c r="AZ29" i="16"/>
  <c r="BB28" i="16"/>
  <c r="AZ28" i="16"/>
  <c r="BB27" i="16"/>
  <c r="AZ27" i="16"/>
  <c r="BB26" i="16"/>
  <c r="AZ26" i="16"/>
  <c r="BB25" i="16"/>
  <c r="AZ25" i="16"/>
  <c r="BB24" i="16"/>
  <c r="AZ24" i="16"/>
  <c r="BB23" i="16"/>
  <c r="AZ23" i="16"/>
  <c r="BB22" i="16"/>
  <c r="AZ22" i="16"/>
  <c r="BB21" i="16"/>
  <c r="AZ21" i="16"/>
  <c r="BB20" i="16"/>
  <c r="AZ20" i="16"/>
  <c r="BB19" i="16"/>
  <c r="AZ19" i="16"/>
  <c r="BB18" i="16"/>
  <c r="AZ18" i="16"/>
  <c r="BB17" i="16"/>
  <c r="AZ17" i="16"/>
  <c r="BB16" i="16"/>
  <c r="AZ16" i="16"/>
  <c r="BB15" i="16"/>
  <c r="AZ15" i="16"/>
  <c r="BB14" i="16"/>
  <c r="AZ14" i="16"/>
  <c r="BB13" i="16"/>
  <c r="BA13" i="16"/>
  <c r="BB12" i="16"/>
  <c r="BA12" i="16"/>
  <c r="BB11" i="16"/>
  <c r="BA11" i="16"/>
  <c r="BB10" i="16"/>
  <c r="BA10" i="16"/>
  <c r="BB9" i="16"/>
  <c r="BA9" i="16"/>
  <c r="BB8" i="16"/>
  <c r="BA8" i="16"/>
  <c r="AZ8" i="16"/>
  <c r="BB7" i="16"/>
  <c r="BA7" i="16"/>
  <c r="AZ7" i="16"/>
  <c r="BB6" i="16"/>
  <c r="BA6" i="16"/>
  <c r="AZ6" i="16"/>
  <c r="BB5" i="16"/>
  <c r="BA5" i="16"/>
  <c r="AZ5" i="16"/>
  <c r="BB4" i="16"/>
  <c r="BA4" i="16"/>
  <c r="AZ4" i="16"/>
  <c r="AV75" i="16"/>
  <c r="AU75" i="16"/>
  <c r="AT75" i="16"/>
  <c r="AS75" i="16"/>
  <c r="AQ75" i="16"/>
  <c r="AD75" i="16"/>
  <c r="AD74" i="16"/>
  <c r="AO73" i="16"/>
  <c r="AP73" i="16" s="1"/>
  <c r="AS73" i="16" s="1"/>
  <c r="AB73" i="16"/>
  <c r="AC73" i="16" s="1"/>
  <c r="AE73" i="16" s="1"/>
  <c r="V73" i="16"/>
  <c r="T73" i="16"/>
  <c r="K73" i="16"/>
  <c r="M73" i="16" s="1"/>
  <c r="I73" i="16"/>
  <c r="E73" i="16"/>
  <c r="D73" i="16"/>
  <c r="AO72" i="16"/>
  <c r="AP72" i="16" s="1"/>
  <c r="AS72" i="16" s="1"/>
  <c r="AB72" i="16"/>
  <c r="AC72" i="16" s="1"/>
  <c r="AE72" i="16" s="1"/>
  <c r="V72" i="16"/>
  <c r="T72" i="16"/>
  <c r="K72" i="16"/>
  <c r="M72" i="16" s="1"/>
  <c r="I72" i="16"/>
  <c r="E72" i="16"/>
  <c r="D72" i="16"/>
  <c r="AO71" i="16"/>
  <c r="AP71" i="16" s="1"/>
  <c r="AS71" i="16" s="1"/>
  <c r="AB71" i="16"/>
  <c r="AC71" i="16" s="1"/>
  <c r="AE71" i="16" s="1"/>
  <c r="V71" i="16"/>
  <c r="T71" i="16"/>
  <c r="K71" i="16"/>
  <c r="M71" i="16" s="1"/>
  <c r="I71" i="16"/>
  <c r="E71" i="16"/>
  <c r="D71" i="16"/>
  <c r="AO70" i="16"/>
  <c r="AP70" i="16" s="1"/>
  <c r="AS70" i="16" s="1"/>
  <c r="AB70" i="16"/>
  <c r="AC70" i="16" s="1"/>
  <c r="AE70" i="16" s="1"/>
  <c r="V70" i="16"/>
  <c r="T70" i="16"/>
  <c r="K70" i="16"/>
  <c r="M70" i="16" s="1"/>
  <c r="I70" i="16"/>
  <c r="E70" i="16"/>
  <c r="L70" i="16" s="1"/>
  <c r="D70" i="16"/>
  <c r="AO69" i="16"/>
  <c r="AP69" i="16" s="1"/>
  <c r="AS69" i="16" s="1"/>
  <c r="AB69" i="16"/>
  <c r="AC69" i="16" s="1"/>
  <c r="AE69" i="16" s="1"/>
  <c r="V69" i="16"/>
  <c r="T69" i="16"/>
  <c r="K69" i="16"/>
  <c r="M69" i="16" s="1"/>
  <c r="I69" i="16"/>
  <c r="E69" i="16"/>
  <c r="D69" i="16"/>
  <c r="AO68" i="16"/>
  <c r="AP68" i="16" s="1"/>
  <c r="AV68" i="16" s="1"/>
  <c r="AB68" i="16"/>
  <c r="AC68" i="16" s="1"/>
  <c r="AH68" i="16" s="1"/>
  <c r="V68" i="16"/>
  <c r="T68" i="16"/>
  <c r="K68" i="16"/>
  <c r="M68" i="16" s="1"/>
  <c r="I68" i="16"/>
  <c r="E68" i="16"/>
  <c r="D68" i="16"/>
  <c r="AO67" i="16"/>
  <c r="AP67" i="16" s="1"/>
  <c r="AV67" i="16" s="1"/>
  <c r="AB67" i="16"/>
  <c r="AC67" i="16" s="1"/>
  <c r="AH67" i="16" s="1"/>
  <c r="V67" i="16"/>
  <c r="T67" i="16"/>
  <c r="K67" i="16"/>
  <c r="M67" i="16" s="1"/>
  <c r="I67" i="16"/>
  <c r="E67" i="16"/>
  <c r="D67" i="16"/>
  <c r="AO66" i="16"/>
  <c r="AP66" i="16" s="1"/>
  <c r="AV66" i="16" s="1"/>
  <c r="AB66" i="16"/>
  <c r="AC66" i="16" s="1"/>
  <c r="AH66" i="16" s="1"/>
  <c r="V66" i="16"/>
  <c r="T66" i="16"/>
  <c r="K66" i="16"/>
  <c r="M66" i="16" s="1"/>
  <c r="I66" i="16"/>
  <c r="E66" i="16"/>
  <c r="D66" i="16"/>
  <c r="AO65" i="16"/>
  <c r="AP65" i="16" s="1"/>
  <c r="AV65" i="16" s="1"/>
  <c r="AB65" i="16"/>
  <c r="AC65" i="16" s="1"/>
  <c r="AH65" i="16" s="1"/>
  <c r="V65" i="16"/>
  <c r="T65" i="16"/>
  <c r="K65" i="16"/>
  <c r="M65" i="16" s="1"/>
  <c r="I65" i="16"/>
  <c r="E65" i="16"/>
  <c r="L65" i="16" s="1"/>
  <c r="D65" i="16"/>
  <c r="AT64" i="16"/>
  <c r="AO64" i="16"/>
  <c r="AP64" i="16" s="1"/>
  <c r="AV64" i="16" s="1"/>
  <c r="AB64" i="16"/>
  <c r="AC64" i="16" s="1"/>
  <c r="AH64" i="16" s="1"/>
  <c r="V64" i="16"/>
  <c r="T64" i="16"/>
  <c r="K64" i="16"/>
  <c r="M64" i="16" s="1"/>
  <c r="I64" i="16"/>
  <c r="E64" i="16"/>
  <c r="D64" i="16"/>
  <c r="AV63" i="16"/>
  <c r="AT63" i="16"/>
  <c r="AO63" i="16"/>
  <c r="AP63" i="16" s="1"/>
  <c r="AU63" i="16" s="1"/>
  <c r="AB63" i="16"/>
  <c r="AC63" i="16" s="1"/>
  <c r="AG63" i="16" s="1"/>
  <c r="V63" i="16"/>
  <c r="T63" i="16"/>
  <c r="K63" i="16"/>
  <c r="M63" i="16" s="1"/>
  <c r="I63" i="16"/>
  <c r="E63" i="16"/>
  <c r="D63" i="16"/>
  <c r="AV62" i="16"/>
  <c r="AT62" i="16"/>
  <c r="AO62" i="16"/>
  <c r="AP62" i="16" s="1"/>
  <c r="AU62" i="16" s="1"/>
  <c r="AB62" i="16"/>
  <c r="AC62" i="16" s="1"/>
  <c r="AG62" i="16" s="1"/>
  <c r="V62" i="16"/>
  <c r="T62" i="16"/>
  <c r="K62" i="16"/>
  <c r="M62" i="16" s="1"/>
  <c r="I62" i="16"/>
  <c r="E62" i="16"/>
  <c r="D62" i="16"/>
  <c r="AV61" i="16"/>
  <c r="AT61" i="16"/>
  <c r="AO61" i="16"/>
  <c r="AP61" i="16" s="1"/>
  <c r="AU61" i="16" s="1"/>
  <c r="AB61" i="16"/>
  <c r="AC61" i="16" s="1"/>
  <c r="AG61" i="16" s="1"/>
  <c r="V61" i="16"/>
  <c r="T61" i="16"/>
  <c r="K61" i="16"/>
  <c r="M61" i="16" s="1"/>
  <c r="I61" i="16"/>
  <c r="E61" i="16"/>
  <c r="D61" i="16"/>
  <c r="AV60" i="16"/>
  <c r="AT60" i="16"/>
  <c r="AO60" i="16"/>
  <c r="AP60" i="16" s="1"/>
  <c r="AU60" i="16" s="1"/>
  <c r="AB60" i="16"/>
  <c r="AC60" i="16" s="1"/>
  <c r="AG60" i="16" s="1"/>
  <c r="V60" i="16"/>
  <c r="T60" i="16"/>
  <c r="K60" i="16"/>
  <c r="M60" i="16" s="1"/>
  <c r="I60" i="16"/>
  <c r="E60" i="16"/>
  <c r="D60" i="16"/>
  <c r="AV59" i="16"/>
  <c r="AT59" i="16"/>
  <c r="AO59" i="16"/>
  <c r="AP59" i="16" s="1"/>
  <c r="AU59" i="16" s="1"/>
  <c r="AB59" i="16"/>
  <c r="AC59" i="16" s="1"/>
  <c r="AG59" i="16" s="1"/>
  <c r="V59" i="16"/>
  <c r="T59" i="16"/>
  <c r="K59" i="16"/>
  <c r="M59" i="16" s="1"/>
  <c r="I59" i="16"/>
  <c r="E59" i="16"/>
  <c r="D59" i="16"/>
  <c r="AV58" i="16"/>
  <c r="AU58" i="16"/>
  <c r="AO58" i="16"/>
  <c r="AP58" i="16" s="1"/>
  <c r="AT58" i="16" s="1"/>
  <c r="AB58" i="16"/>
  <c r="AC58" i="16" s="1"/>
  <c r="AF58" i="16" s="1"/>
  <c r="V58" i="16"/>
  <c r="T58" i="16"/>
  <c r="K58" i="16"/>
  <c r="M58" i="16" s="1"/>
  <c r="I58" i="16"/>
  <c r="E58" i="16"/>
  <c r="D58" i="16"/>
  <c r="AV57" i="16"/>
  <c r="AU57" i="16"/>
  <c r="AO57" i="16"/>
  <c r="AP57" i="16" s="1"/>
  <c r="AB57" i="16"/>
  <c r="AC57" i="16" s="1"/>
  <c r="AF57" i="16" s="1"/>
  <c r="V57" i="16"/>
  <c r="T57" i="16"/>
  <c r="K57" i="16"/>
  <c r="M57" i="16" s="1"/>
  <c r="I57" i="16"/>
  <c r="E57" i="16"/>
  <c r="D57" i="16"/>
  <c r="AV56" i="16"/>
  <c r="AU56" i="16"/>
  <c r="AO56" i="16"/>
  <c r="AP56" i="16" s="1"/>
  <c r="AB56" i="16"/>
  <c r="AC56" i="16" s="1"/>
  <c r="AF56" i="16" s="1"/>
  <c r="V56" i="16"/>
  <c r="T56" i="16"/>
  <c r="K56" i="16"/>
  <c r="M56" i="16" s="1"/>
  <c r="I56" i="16"/>
  <c r="E56" i="16"/>
  <c r="D56" i="16"/>
  <c r="AV55" i="16"/>
  <c r="AU55" i="16"/>
  <c r="AO55" i="16"/>
  <c r="AP55" i="16" s="1"/>
  <c r="AT55" i="16" s="1"/>
  <c r="AB55" i="16"/>
  <c r="AC55" i="16" s="1"/>
  <c r="AF55" i="16" s="1"/>
  <c r="V55" i="16"/>
  <c r="T55" i="16"/>
  <c r="K55" i="16"/>
  <c r="M55" i="16" s="1"/>
  <c r="I55" i="16"/>
  <c r="E55" i="16"/>
  <c r="D55" i="16"/>
  <c r="AV54" i="16"/>
  <c r="AU54" i="16"/>
  <c r="AO54" i="16"/>
  <c r="AP54" i="16" s="1"/>
  <c r="AT54" i="16" s="1"/>
  <c r="AB54" i="16"/>
  <c r="AC54" i="16" s="1"/>
  <c r="AF54" i="16" s="1"/>
  <c r="V54" i="16"/>
  <c r="T54" i="16"/>
  <c r="K54" i="16"/>
  <c r="M54" i="16" s="1"/>
  <c r="I54" i="16"/>
  <c r="E54" i="16"/>
  <c r="D54" i="16"/>
  <c r="AV53" i="16"/>
  <c r="AU53" i="16"/>
  <c r="AO53" i="16"/>
  <c r="AP53" i="16" s="1"/>
  <c r="AT53" i="16" s="1"/>
  <c r="AB53" i="16"/>
  <c r="AC53" i="16" s="1"/>
  <c r="AF53" i="16" s="1"/>
  <c r="V53" i="16"/>
  <c r="T53" i="16"/>
  <c r="K53" i="16"/>
  <c r="M53" i="16" s="1"/>
  <c r="I53" i="16"/>
  <c r="E53" i="16"/>
  <c r="D53" i="16"/>
  <c r="AV52" i="16"/>
  <c r="AU52" i="16"/>
  <c r="AO52" i="16"/>
  <c r="AP52" i="16" s="1"/>
  <c r="AT52" i="16" s="1"/>
  <c r="AB52" i="16"/>
  <c r="AC52" i="16" s="1"/>
  <c r="AF52" i="16" s="1"/>
  <c r="V52" i="16"/>
  <c r="T52" i="16"/>
  <c r="K52" i="16"/>
  <c r="M52" i="16" s="1"/>
  <c r="I52" i="16"/>
  <c r="E52" i="16"/>
  <c r="D52" i="16"/>
  <c r="AV51" i="16"/>
  <c r="AU51" i="16"/>
  <c r="AO51" i="16"/>
  <c r="AP51" i="16" s="1"/>
  <c r="AT51" i="16" s="1"/>
  <c r="AB51" i="16"/>
  <c r="AC51" i="16" s="1"/>
  <c r="AF51" i="16" s="1"/>
  <c r="V51" i="16"/>
  <c r="T51" i="16"/>
  <c r="K51" i="16"/>
  <c r="M51" i="16" s="1"/>
  <c r="I51" i="16"/>
  <c r="E51" i="16"/>
  <c r="D51" i="16"/>
  <c r="AV50" i="16"/>
  <c r="AU50" i="16"/>
  <c r="AO50" i="16"/>
  <c r="AP50" i="16" s="1"/>
  <c r="AT50" i="16" s="1"/>
  <c r="AB50" i="16"/>
  <c r="AC50" i="16" s="1"/>
  <c r="AF50" i="16" s="1"/>
  <c r="V50" i="16"/>
  <c r="T50" i="16"/>
  <c r="K50" i="16"/>
  <c r="M50" i="16" s="1"/>
  <c r="I50" i="16"/>
  <c r="E50" i="16"/>
  <c r="D50" i="16"/>
  <c r="AV49" i="16"/>
  <c r="AU49" i="16"/>
  <c r="AO49" i="16"/>
  <c r="AP49" i="16" s="1"/>
  <c r="AT49" i="16" s="1"/>
  <c r="AB49" i="16"/>
  <c r="AC49" i="16" s="1"/>
  <c r="AF49" i="16" s="1"/>
  <c r="V49" i="16"/>
  <c r="T49" i="16"/>
  <c r="K49" i="16"/>
  <c r="M49" i="16" s="1"/>
  <c r="I49" i="16"/>
  <c r="E49" i="16"/>
  <c r="D49" i="16"/>
  <c r="AV48" i="16"/>
  <c r="AU48" i="16"/>
  <c r="AT48" i="16"/>
  <c r="AO48" i="16"/>
  <c r="AP48" i="16" s="1"/>
  <c r="AS48" i="16" s="1"/>
  <c r="AB48" i="16"/>
  <c r="AC48" i="16" s="1"/>
  <c r="AE48" i="16" s="1"/>
  <c r="V48" i="16"/>
  <c r="T48" i="16"/>
  <c r="K48" i="16"/>
  <c r="M48" i="16" s="1"/>
  <c r="I48" i="16"/>
  <c r="E48" i="16"/>
  <c r="D48" i="16"/>
  <c r="AV47" i="16"/>
  <c r="AU47" i="16"/>
  <c r="AT47" i="16"/>
  <c r="AO47" i="16"/>
  <c r="AP47" i="16" s="1"/>
  <c r="AS47" i="16" s="1"/>
  <c r="AB47" i="16"/>
  <c r="AC47" i="16" s="1"/>
  <c r="AE47" i="16" s="1"/>
  <c r="V47" i="16"/>
  <c r="T47" i="16"/>
  <c r="K47" i="16"/>
  <c r="M47" i="16" s="1"/>
  <c r="I47" i="16"/>
  <c r="E47" i="16"/>
  <c r="D47" i="16"/>
  <c r="AV46" i="16"/>
  <c r="AU46" i="16"/>
  <c r="AT46" i="16"/>
  <c r="AO46" i="16"/>
  <c r="AP46" i="16" s="1"/>
  <c r="AB46" i="16"/>
  <c r="AC46" i="16" s="1"/>
  <c r="AE46" i="16" s="1"/>
  <c r="V46" i="16"/>
  <c r="T46" i="16"/>
  <c r="K46" i="16"/>
  <c r="M46" i="16" s="1"/>
  <c r="I46" i="16"/>
  <c r="E46" i="16"/>
  <c r="D46" i="16"/>
  <c r="AV45" i="16"/>
  <c r="AU45" i="16"/>
  <c r="AT45" i="16"/>
  <c r="AO45" i="16"/>
  <c r="AP45" i="16" s="1"/>
  <c r="AB45" i="16"/>
  <c r="AC45" i="16" s="1"/>
  <c r="AE45" i="16" s="1"/>
  <c r="V45" i="16"/>
  <c r="T45" i="16"/>
  <c r="K45" i="16"/>
  <c r="M45" i="16" s="1"/>
  <c r="I45" i="16"/>
  <c r="E45" i="16"/>
  <c r="L45" i="16" s="1"/>
  <c r="D45" i="16"/>
  <c r="AV44" i="16"/>
  <c r="AU44" i="16"/>
  <c r="AT44" i="16"/>
  <c r="AO44" i="16"/>
  <c r="AP44" i="16" s="1"/>
  <c r="AB44" i="16"/>
  <c r="AC44" i="16" s="1"/>
  <c r="AE44" i="16" s="1"/>
  <c r="V44" i="16"/>
  <c r="T44" i="16"/>
  <c r="K44" i="16"/>
  <c r="M44" i="16" s="1"/>
  <c r="I44" i="16"/>
  <c r="E44" i="16"/>
  <c r="L44" i="16" s="1"/>
  <c r="N44" i="16" s="1"/>
  <c r="D44" i="16"/>
  <c r="AU43" i="16"/>
  <c r="AT43" i="16"/>
  <c r="AO43" i="16"/>
  <c r="AP43" i="16" s="1"/>
  <c r="AV43" i="16" s="1"/>
  <c r="AB43" i="16"/>
  <c r="AC43" i="16" s="1"/>
  <c r="AH43" i="16" s="1"/>
  <c r="V43" i="16"/>
  <c r="T43" i="16"/>
  <c r="K43" i="16"/>
  <c r="M43" i="16" s="1"/>
  <c r="I43" i="16"/>
  <c r="E43" i="16"/>
  <c r="L43" i="16" s="1"/>
  <c r="D43" i="16"/>
  <c r="AU42" i="16"/>
  <c r="AT42" i="16"/>
  <c r="AO42" i="16"/>
  <c r="AP42" i="16" s="1"/>
  <c r="AV42" i="16" s="1"/>
  <c r="AB42" i="16"/>
  <c r="AC42" i="16" s="1"/>
  <c r="AH42" i="16" s="1"/>
  <c r="V42" i="16"/>
  <c r="T42" i="16"/>
  <c r="K42" i="16"/>
  <c r="M42" i="16" s="1"/>
  <c r="I42" i="16"/>
  <c r="E42" i="16"/>
  <c r="L42" i="16" s="1"/>
  <c r="D42" i="16"/>
  <c r="AU41" i="16"/>
  <c r="AT41" i="16"/>
  <c r="AO41" i="16"/>
  <c r="AP41" i="16" s="1"/>
  <c r="AV41" i="16" s="1"/>
  <c r="AB41" i="16"/>
  <c r="AC41" i="16" s="1"/>
  <c r="AH41" i="16" s="1"/>
  <c r="V41" i="16"/>
  <c r="T41" i="16"/>
  <c r="K41" i="16"/>
  <c r="M41" i="16" s="1"/>
  <c r="I41" i="16"/>
  <c r="E41" i="16"/>
  <c r="D41" i="16"/>
  <c r="AU40" i="16"/>
  <c r="AT40" i="16"/>
  <c r="AO40" i="16"/>
  <c r="AP40" i="16" s="1"/>
  <c r="AV40" i="16" s="1"/>
  <c r="AB40" i="16"/>
  <c r="AC40" i="16" s="1"/>
  <c r="AH40" i="16" s="1"/>
  <c r="V40" i="16"/>
  <c r="T40" i="16"/>
  <c r="K40" i="16"/>
  <c r="M40" i="16" s="1"/>
  <c r="I40" i="16"/>
  <c r="E40" i="16"/>
  <c r="L40" i="16" s="1"/>
  <c r="D40" i="16"/>
  <c r="AU39" i="16"/>
  <c r="AT39" i="16"/>
  <c r="AO39" i="16"/>
  <c r="AP39" i="16" s="1"/>
  <c r="AV39" i="16" s="1"/>
  <c r="AB39" i="16"/>
  <c r="AC39" i="16" s="1"/>
  <c r="AH39" i="16" s="1"/>
  <c r="V39" i="16"/>
  <c r="T39" i="16"/>
  <c r="K39" i="16"/>
  <c r="M39" i="16" s="1"/>
  <c r="I39" i="16"/>
  <c r="E39" i="16"/>
  <c r="D39" i="16"/>
  <c r="AV38" i="16"/>
  <c r="AU38" i="16"/>
  <c r="AT38" i="16"/>
  <c r="AO38" i="16"/>
  <c r="AP38" i="16" s="1"/>
  <c r="AB38" i="16"/>
  <c r="AC38" i="16" s="1"/>
  <c r="AE38" i="16" s="1"/>
  <c r="V38" i="16"/>
  <c r="T38" i="16"/>
  <c r="K38" i="16"/>
  <c r="M38" i="16" s="1"/>
  <c r="I38" i="16"/>
  <c r="E38" i="16"/>
  <c r="D38" i="16"/>
  <c r="AV37" i="16"/>
  <c r="AU37" i="16"/>
  <c r="AT37" i="16"/>
  <c r="AO37" i="16"/>
  <c r="AP37" i="16" s="1"/>
  <c r="AS37" i="16" s="1"/>
  <c r="AB37" i="16"/>
  <c r="AC37" i="16" s="1"/>
  <c r="AE37" i="16" s="1"/>
  <c r="V37" i="16"/>
  <c r="T37" i="16"/>
  <c r="K37" i="16"/>
  <c r="M37" i="16" s="1"/>
  <c r="I37" i="16"/>
  <c r="E37" i="16"/>
  <c r="D37" i="16"/>
  <c r="AV36" i="16"/>
  <c r="AU36" i="16"/>
  <c r="AT36" i="16"/>
  <c r="AO36" i="16"/>
  <c r="AP36" i="16" s="1"/>
  <c r="AS36" i="16" s="1"/>
  <c r="AB36" i="16"/>
  <c r="AC36" i="16" s="1"/>
  <c r="AE36" i="16" s="1"/>
  <c r="V36" i="16"/>
  <c r="T36" i="16"/>
  <c r="K36" i="16"/>
  <c r="M36" i="16" s="1"/>
  <c r="I36" i="16"/>
  <c r="E36" i="16"/>
  <c r="D36" i="16"/>
  <c r="AV35" i="16"/>
  <c r="AU35" i="16"/>
  <c r="AT35" i="16"/>
  <c r="AO35" i="16"/>
  <c r="AP35" i="16" s="1"/>
  <c r="AS35" i="16" s="1"/>
  <c r="AB35" i="16"/>
  <c r="AC35" i="16" s="1"/>
  <c r="AE35" i="16" s="1"/>
  <c r="V35" i="16"/>
  <c r="T35" i="16"/>
  <c r="K35" i="16"/>
  <c r="M35" i="16" s="1"/>
  <c r="I35" i="16"/>
  <c r="E35" i="16"/>
  <c r="L35" i="16" s="1"/>
  <c r="D35" i="16"/>
  <c r="AV34" i="16"/>
  <c r="AU34" i="16"/>
  <c r="AT34" i="16"/>
  <c r="AO34" i="16"/>
  <c r="AP34" i="16" s="1"/>
  <c r="AS34" i="16" s="1"/>
  <c r="AB34" i="16"/>
  <c r="AC34" i="16" s="1"/>
  <c r="AE34" i="16" s="1"/>
  <c r="V34" i="16"/>
  <c r="T34" i="16"/>
  <c r="K34" i="16"/>
  <c r="M34" i="16" s="1"/>
  <c r="I34" i="16"/>
  <c r="E34" i="16"/>
  <c r="D34" i="16"/>
  <c r="AV33" i="16"/>
  <c r="AU33" i="16"/>
  <c r="AT33" i="16"/>
  <c r="AO33" i="16"/>
  <c r="AP33" i="16" s="1"/>
  <c r="AS33" i="16" s="1"/>
  <c r="AB33" i="16"/>
  <c r="AC33" i="16" s="1"/>
  <c r="AE33" i="16" s="1"/>
  <c r="V33" i="16"/>
  <c r="T33" i="16"/>
  <c r="K33" i="16"/>
  <c r="M33" i="16" s="1"/>
  <c r="I33" i="16"/>
  <c r="E33" i="16"/>
  <c r="D33" i="16"/>
  <c r="AV32" i="16"/>
  <c r="AU32" i="16"/>
  <c r="AT32" i="16"/>
  <c r="AO32" i="16"/>
  <c r="AP32" i="16" s="1"/>
  <c r="AS32" i="16" s="1"/>
  <c r="AB32" i="16"/>
  <c r="AC32" i="16" s="1"/>
  <c r="AE32" i="16" s="1"/>
  <c r="V32" i="16"/>
  <c r="T32" i="16"/>
  <c r="K32" i="16"/>
  <c r="M32" i="16" s="1"/>
  <c r="I32" i="16"/>
  <c r="E32" i="16"/>
  <c r="D32" i="16"/>
  <c r="AV31" i="16"/>
  <c r="AU31" i="16"/>
  <c r="AT31" i="16"/>
  <c r="AO31" i="16"/>
  <c r="AP31" i="16" s="1"/>
  <c r="AS31" i="16" s="1"/>
  <c r="AB31" i="16"/>
  <c r="AC31" i="16" s="1"/>
  <c r="AE31" i="16" s="1"/>
  <c r="V31" i="16"/>
  <c r="T31" i="16"/>
  <c r="K31" i="16"/>
  <c r="M31" i="16" s="1"/>
  <c r="I31" i="16"/>
  <c r="E31" i="16"/>
  <c r="D31" i="16"/>
  <c r="AV30" i="16"/>
  <c r="AU30" i="16"/>
  <c r="AT30" i="16"/>
  <c r="AO30" i="16"/>
  <c r="AP30" i="16" s="1"/>
  <c r="AB30" i="16"/>
  <c r="AC30" i="16" s="1"/>
  <c r="AE30" i="16" s="1"/>
  <c r="V30" i="16"/>
  <c r="T30" i="16"/>
  <c r="K30" i="16"/>
  <c r="M30" i="16" s="1"/>
  <c r="I30" i="16"/>
  <c r="E30" i="16"/>
  <c r="D30" i="16"/>
  <c r="AV29" i="16"/>
  <c r="AU29" i="16"/>
  <c r="AT29" i="16"/>
  <c r="AO29" i="16"/>
  <c r="AP29" i="16" s="1"/>
  <c r="AB29" i="16"/>
  <c r="AC29" i="16" s="1"/>
  <c r="AE29" i="16" s="1"/>
  <c r="V29" i="16"/>
  <c r="T29" i="16"/>
  <c r="K29" i="16"/>
  <c r="M29" i="16" s="1"/>
  <c r="I29" i="16"/>
  <c r="E29" i="16"/>
  <c r="D29" i="16"/>
  <c r="AV28" i="16"/>
  <c r="AU28" i="16"/>
  <c r="AT28" i="16"/>
  <c r="AO28" i="16"/>
  <c r="AP28" i="16" s="1"/>
  <c r="AB28" i="16"/>
  <c r="AC28" i="16" s="1"/>
  <c r="AE28" i="16" s="1"/>
  <c r="V28" i="16"/>
  <c r="T28" i="16"/>
  <c r="K28" i="16"/>
  <c r="M28" i="16" s="1"/>
  <c r="I28" i="16"/>
  <c r="E28" i="16"/>
  <c r="D28" i="16"/>
  <c r="AV27" i="16"/>
  <c r="AU27" i="16"/>
  <c r="AT27" i="16"/>
  <c r="AO27" i="16"/>
  <c r="AP27" i="16" s="1"/>
  <c r="AS27" i="16" s="1"/>
  <c r="AB27" i="16"/>
  <c r="AC27" i="16" s="1"/>
  <c r="AE27" i="16" s="1"/>
  <c r="V27" i="16"/>
  <c r="T27" i="16"/>
  <c r="K27" i="16"/>
  <c r="M27" i="16" s="1"/>
  <c r="I27" i="16"/>
  <c r="E27" i="16"/>
  <c r="D27" i="16"/>
  <c r="AV26" i="16"/>
  <c r="AU26" i="16"/>
  <c r="AT26" i="16"/>
  <c r="AO26" i="16"/>
  <c r="AP26" i="16" s="1"/>
  <c r="AS26" i="16" s="1"/>
  <c r="AB26" i="16"/>
  <c r="AC26" i="16" s="1"/>
  <c r="AE26" i="16" s="1"/>
  <c r="V26" i="16"/>
  <c r="T26" i="16"/>
  <c r="K26" i="16"/>
  <c r="M26" i="16" s="1"/>
  <c r="I26" i="16"/>
  <c r="E26" i="16"/>
  <c r="D26" i="16"/>
  <c r="AV25" i="16"/>
  <c r="AU25" i="16"/>
  <c r="AT25" i="16"/>
  <c r="AO25" i="16"/>
  <c r="AP25" i="16" s="1"/>
  <c r="AS25" i="16" s="1"/>
  <c r="AB25" i="16"/>
  <c r="AC25" i="16" s="1"/>
  <c r="AE25" i="16" s="1"/>
  <c r="V25" i="16"/>
  <c r="T25" i="16"/>
  <c r="K25" i="16"/>
  <c r="M25" i="16" s="1"/>
  <c r="I25" i="16"/>
  <c r="E25" i="16"/>
  <c r="D25" i="16"/>
  <c r="AV24" i="16"/>
  <c r="AU24" i="16"/>
  <c r="AT24" i="16"/>
  <c r="AO24" i="16"/>
  <c r="AP24" i="16" s="1"/>
  <c r="AS24" i="16" s="1"/>
  <c r="AB24" i="16"/>
  <c r="AC24" i="16" s="1"/>
  <c r="AE24" i="16" s="1"/>
  <c r="V24" i="16"/>
  <c r="T24" i="16"/>
  <c r="K24" i="16"/>
  <c r="M24" i="16" s="1"/>
  <c r="I24" i="16"/>
  <c r="E24" i="16"/>
  <c r="D24" i="16"/>
  <c r="AV23" i="16"/>
  <c r="AU23" i="16"/>
  <c r="AT23" i="16"/>
  <c r="AO23" i="16"/>
  <c r="AP23" i="16" s="1"/>
  <c r="AS23" i="16" s="1"/>
  <c r="AB23" i="16"/>
  <c r="AC23" i="16" s="1"/>
  <c r="AE23" i="16" s="1"/>
  <c r="V23" i="16"/>
  <c r="T23" i="16"/>
  <c r="K23" i="16"/>
  <c r="M23" i="16" s="1"/>
  <c r="I23" i="16"/>
  <c r="E23" i="16"/>
  <c r="D23" i="16"/>
  <c r="AV22" i="16"/>
  <c r="AU22" i="16"/>
  <c r="AT22" i="16"/>
  <c r="AO22" i="16"/>
  <c r="AP22" i="16" s="1"/>
  <c r="AS22" i="16" s="1"/>
  <c r="AB22" i="16"/>
  <c r="AC22" i="16" s="1"/>
  <c r="AE22" i="16" s="1"/>
  <c r="V22" i="16"/>
  <c r="T22" i="16"/>
  <c r="K22" i="16"/>
  <c r="M22" i="16" s="1"/>
  <c r="I22" i="16"/>
  <c r="E22" i="16"/>
  <c r="D22" i="16"/>
  <c r="AV21" i="16"/>
  <c r="AU21" i="16"/>
  <c r="AT21" i="16"/>
  <c r="AO21" i="16"/>
  <c r="AP21" i="16" s="1"/>
  <c r="AS21" i="16" s="1"/>
  <c r="AB21" i="16"/>
  <c r="AC21" i="16" s="1"/>
  <c r="AE21" i="16" s="1"/>
  <c r="V21" i="16"/>
  <c r="T21" i="16"/>
  <c r="K21" i="16"/>
  <c r="M21" i="16" s="1"/>
  <c r="I21" i="16"/>
  <c r="E21" i="16"/>
  <c r="D21" i="16"/>
  <c r="AV20" i="16"/>
  <c r="AU20" i="16"/>
  <c r="AT20" i="16"/>
  <c r="AO20" i="16"/>
  <c r="AP20" i="16" s="1"/>
  <c r="AS20" i="16" s="1"/>
  <c r="AB20" i="16"/>
  <c r="AC20" i="16" s="1"/>
  <c r="AE20" i="16" s="1"/>
  <c r="V20" i="16"/>
  <c r="T20" i="16"/>
  <c r="K20" i="16"/>
  <c r="M20" i="16" s="1"/>
  <c r="I20" i="16"/>
  <c r="E20" i="16"/>
  <c r="D20" i="16"/>
  <c r="AV19" i="16"/>
  <c r="AU19" i="16"/>
  <c r="AT19" i="16"/>
  <c r="AO19" i="16"/>
  <c r="AP19" i="16" s="1"/>
  <c r="AS19" i="16" s="1"/>
  <c r="AB19" i="16"/>
  <c r="AC19" i="16" s="1"/>
  <c r="AE19" i="16" s="1"/>
  <c r="V19" i="16"/>
  <c r="T19" i="16"/>
  <c r="K19" i="16"/>
  <c r="M19" i="16" s="1"/>
  <c r="I19" i="16"/>
  <c r="E19" i="16"/>
  <c r="D19" i="16"/>
  <c r="AV18" i="16"/>
  <c r="AT18" i="16"/>
  <c r="AO18" i="16"/>
  <c r="AP18" i="16" s="1"/>
  <c r="AU18" i="16" s="1"/>
  <c r="AB18" i="16"/>
  <c r="AC18" i="16" s="1"/>
  <c r="AG18" i="16" s="1"/>
  <c r="V18" i="16"/>
  <c r="T18" i="16"/>
  <c r="K18" i="16"/>
  <c r="M18" i="16" s="1"/>
  <c r="I18" i="16"/>
  <c r="E18" i="16"/>
  <c r="D18" i="16"/>
  <c r="AV17" i="16"/>
  <c r="AT17" i="16"/>
  <c r="AO17" i="16"/>
  <c r="AP17" i="16" s="1"/>
  <c r="AU17" i="16" s="1"/>
  <c r="AB17" i="16"/>
  <c r="AC17" i="16" s="1"/>
  <c r="AG17" i="16" s="1"/>
  <c r="V17" i="16"/>
  <c r="T17" i="16"/>
  <c r="K17" i="16"/>
  <c r="M17" i="16" s="1"/>
  <c r="I17" i="16"/>
  <c r="E17" i="16"/>
  <c r="D17" i="16"/>
  <c r="AV16" i="16"/>
  <c r="AT16" i="16"/>
  <c r="AO16" i="16"/>
  <c r="AP16" i="16" s="1"/>
  <c r="AU16" i="16" s="1"/>
  <c r="AB16" i="16"/>
  <c r="AC16" i="16" s="1"/>
  <c r="AG16" i="16" s="1"/>
  <c r="V16" i="16"/>
  <c r="T16" i="16"/>
  <c r="K16" i="16"/>
  <c r="M16" i="16" s="1"/>
  <c r="I16" i="16"/>
  <c r="E16" i="16"/>
  <c r="D16" i="16"/>
  <c r="AV15" i="16"/>
  <c r="AT15" i="16"/>
  <c r="AO15" i="16"/>
  <c r="AP15" i="16" s="1"/>
  <c r="AU15" i="16" s="1"/>
  <c r="AB15" i="16"/>
  <c r="AC15" i="16" s="1"/>
  <c r="AG15" i="16" s="1"/>
  <c r="V15" i="16"/>
  <c r="T15" i="16"/>
  <c r="K15" i="16"/>
  <c r="M15" i="16" s="1"/>
  <c r="I15" i="16"/>
  <c r="E15" i="16"/>
  <c r="D15" i="16"/>
  <c r="AV14" i="16"/>
  <c r="AT14" i="16"/>
  <c r="AO14" i="16"/>
  <c r="AP14" i="16" s="1"/>
  <c r="AU14" i="16" s="1"/>
  <c r="AB14" i="16"/>
  <c r="AC14" i="16" s="1"/>
  <c r="AG14" i="16" s="1"/>
  <c r="V14" i="16"/>
  <c r="T14" i="16"/>
  <c r="K14" i="16"/>
  <c r="M14" i="16" s="1"/>
  <c r="I14" i="16"/>
  <c r="E14" i="16"/>
  <c r="D14" i="16"/>
  <c r="AV13" i="16"/>
  <c r="AU13" i="16"/>
  <c r="AO13" i="16"/>
  <c r="AP13" i="16" s="1"/>
  <c r="AB13" i="16"/>
  <c r="AC13" i="16" s="1"/>
  <c r="AF13" i="16" s="1"/>
  <c r="V13" i="16"/>
  <c r="T13" i="16"/>
  <c r="K13" i="16"/>
  <c r="M13" i="16" s="1"/>
  <c r="I13" i="16"/>
  <c r="E13" i="16"/>
  <c r="D13" i="16"/>
  <c r="AV12" i="16"/>
  <c r="AU12" i="16"/>
  <c r="AO12" i="16"/>
  <c r="AP12" i="16" s="1"/>
  <c r="AT12" i="16" s="1"/>
  <c r="AB12" i="16"/>
  <c r="AC12" i="16" s="1"/>
  <c r="AF12" i="16" s="1"/>
  <c r="V12" i="16"/>
  <c r="T12" i="16"/>
  <c r="K12" i="16"/>
  <c r="M12" i="16" s="1"/>
  <c r="I12" i="16"/>
  <c r="E12" i="16"/>
  <c r="D12" i="16"/>
  <c r="AV11" i="16"/>
  <c r="AU11" i="16"/>
  <c r="AO11" i="16"/>
  <c r="AP11" i="16" s="1"/>
  <c r="AB11" i="16"/>
  <c r="AC11" i="16" s="1"/>
  <c r="AF11" i="16" s="1"/>
  <c r="V11" i="16"/>
  <c r="T11" i="16"/>
  <c r="K11" i="16"/>
  <c r="M11" i="16" s="1"/>
  <c r="I11" i="16"/>
  <c r="E11" i="16"/>
  <c r="D11" i="16"/>
  <c r="AV10" i="16"/>
  <c r="AU10" i="16"/>
  <c r="AO10" i="16"/>
  <c r="AP10" i="16" s="1"/>
  <c r="AT10" i="16" s="1"/>
  <c r="AB10" i="16"/>
  <c r="AC10" i="16" s="1"/>
  <c r="AF10" i="16" s="1"/>
  <c r="V10" i="16"/>
  <c r="T10" i="16"/>
  <c r="K10" i="16"/>
  <c r="M10" i="16" s="1"/>
  <c r="I10" i="16"/>
  <c r="E10" i="16"/>
  <c r="D10" i="16"/>
  <c r="AV9" i="16"/>
  <c r="AU9" i="16"/>
  <c r="AO9" i="16"/>
  <c r="AP9" i="16" s="1"/>
  <c r="AT9" i="16" s="1"/>
  <c r="AB9" i="16"/>
  <c r="AC9" i="16" s="1"/>
  <c r="AF9" i="16" s="1"/>
  <c r="V9" i="16"/>
  <c r="T9" i="16"/>
  <c r="K9" i="16"/>
  <c r="M9" i="16" s="1"/>
  <c r="I9" i="16"/>
  <c r="E9" i="16"/>
  <c r="D9" i="16"/>
  <c r="AV8" i="16"/>
  <c r="AU8" i="16"/>
  <c r="AT8" i="16"/>
  <c r="AO8" i="16"/>
  <c r="AP8" i="16" s="1"/>
  <c r="AS8" i="16" s="1"/>
  <c r="AB8" i="16"/>
  <c r="AC8" i="16" s="1"/>
  <c r="AE8" i="16" s="1"/>
  <c r="V8" i="16"/>
  <c r="T8" i="16"/>
  <c r="K8" i="16"/>
  <c r="M8" i="16" s="1"/>
  <c r="I8" i="16"/>
  <c r="E8" i="16"/>
  <c r="D8" i="16"/>
  <c r="AV7" i="16"/>
  <c r="AU7" i="16"/>
  <c r="AT7" i="16"/>
  <c r="AO7" i="16"/>
  <c r="AP7" i="16" s="1"/>
  <c r="AS7" i="16" s="1"/>
  <c r="AB7" i="16"/>
  <c r="AC7" i="16" s="1"/>
  <c r="AE7" i="16" s="1"/>
  <c r="V7" i="16"/>
  <c r="T7" i="16"/>
  <c r="K7" i="16"/>
  <c r="M7" i="16" s="1"/>
  <c r="I7" i="16"/>
  <c r="E7" i="16"/>
  <c r="D7" i="16"/>
  <c r="AV6" i="16"/>
  <c r="AU6" i="16"/>
  <c r="AT6" i="16"/>
  <c r="AO6" i="16"/>
  <c r="AP6" i="16" s="1"/>
  <c r="AS6" i="16" s="1"/>
  <c r="AB6" i="16"/>
  <c r="AC6" i="16" s="1"/>
  <c r="AE6" i="16" s="1"/>
  <c r="V6" i="16"/>
  <c r="T6" i="16"/>
  <c r="K6" i="16"/>
  <c r="M6" i="16" s="1"/>
  <c r="I6" i="16"/>
  <c r="E6" i="16"/>
  <c r="L6" i="16" s="1"/>
  <c r="D6" i="16"/>
  <c r="AV5" i="16"/>
  <c r="AU5" i="16"/>
  <c r="AT5" i="16"/>
  <c r="AO5" i="16"/>
  <c r="AP5" i="16" s="1"/>
  <c r="AS5" i="16" s="1"/>
  <c r="AB5" i="16"/>
  <c r="AC5" i="16" s="1"/>
  <c r="AE5" i="16" s="1"/>
  <c r="V5" i="16"/>
  <c r="T5" i="16"/>
  <c r="K5" i="16"/>
  <c r="M5" i="16" s="1"/>
  <c r="I5" i="16"/>
  <c r="E5" i="16"/>
  <c r="D5" i="16"/>
  <c r="AV4" i="16"/>
  <c r="AU4" i="16"/>
  <c r="AT4" i="16"/>
  <c r="AO4" i="16"/>
  <c r="AP4" i="16" s="1"/>
  <c r="AS4" i="16" s="1"/>
  <c r="AB4" i="16"/>
  <c r="AC4" i="16" s="1"/>
  <c r="AE4" i="16" s="1"/>
  <c r="V4" i="16"/>
  <c r="T4" i="16"/>
  <c r="K4" i="16"/>
  <c r="M4" i="16" s="1"/>
  <c r="I4" i="16"/>
  <c r="E4" i="16"/>
  <c r="D4" i="16"/>
  <c r="G30" i="4"/>
  <c r="F30" i="4"/>
  <c r="W36" i="16" l="1"/>
  <c r="L8" i="16"/>
  <c r="N8" i="16" s="1"/>
  <c r="AD8" i="16" s="1"/>
  <c r="AJ8" i="16" s="1"/>
  <c r="L28" i="16"/>
  <c r="N28" i="16" s="1"/>
  <c r="AD28" i="16" s="1"/>
  <c r="AJ28" i="16" s="1"/>
  <c r="L38" i="16"/>
  <c r="N38" i="16" s="1"/>
  <c r="AD38" i="16" s="1"/>
  <c r="AJ38" i="16" s="1"/>
  <c r="L7" i="16"/>
  <c r="L68" i="16"/>
  <c r="N68" i="16" s="1"/>
  <c r="L73" i="16"/>
  <c r="L12" i="16"/>
  <c r="N12" i="16" s="1"/>
  <c r="O12" i="16" s="1"/>
  <c r="L14" i="16"/>
  <c r="N14" i="16" s="1"/>
  <c r="O14" i="16" s="1"/>
  <c r="L15" i="16"/>
  <c r="W18" i="16"/>
  <c r="X18" i="16" s="1"/>
  <c r="Y18" i="16" s="1"/>
  <c r="L19" i="16"/>
  <c r="N19" i="16" s="1"/>
  <c r="AD19" i="16" s="1"/>
  <c r="AJ19" i="16" s="1"/>
  <c r="W41" i="16"/>
  <c r="X41" i="16" s="1"/>
  <c r="W20" i="16"/>
  <c r="X20" i="16" s="1"/>
  <c r="L31" i="16"/>
  <c r="L46" i="16"/>
  <c r="N46" i="16" s="1"/>
  <c r="AD46" i="16" s="1"/>
  <c r="AJ46" i="16" s="1"/>
  <c r="L71" i="16"/>
  <c r="W23" i="16"/>
  <c r="X23" i="16" s="1"/>
  <c r="Y23" i="16" s="1"/>
  <c r="L33" i="16"/>
  <c r="N33" i="16" s="1"/>
  <c r="AD33" i="16" s="1"/>
  <c r="AJ33" i="16" s="1"/>
  <c r="L48" i="16"/>
  <c r="N48" i="16" s="1"/>
  <c r="O48" i="16" s="1"/>
  <c r="W46" i="16"/>
  <c r="X46" i="16" s="1"/>
  <c r="Y46" i="16" s="1"/>
  <c r="L49" i="16"/>
  <c r="N49" i="16" s="1"/>
  <c r="O49" i="16" s="1"/>
  <c r="L50" i="16"/>
  <c r="N50" i="16" s="1"/>
  <c r="L51" i="16"/>
  <c r="N51" i="16" s="1"/>
  <c r="W52" i="16"/>
  <c r="L53" i="16"/>
  <c r="L55" i="16"/>
  <c r="L57" i="16"/>
  <c r="N57" i="16" s="1"/>
  <c r="AD57" i="16" s="1"/>
  <c r="AK57" i="16" s="1"/>
  <c r="L58" i="16"/>
  <c r="N58" i="16" s="1"/>
  <c r="O58" i="16" s="1"/>
  <c r="L59" i="16"/>
  <c r="N59" i="16" s="1"/>
  <c r="AD59" i="16" s="1"/>
  <c r="AL59" i="16" s="1"/>
  <c r="L60" i="16"/>
  <c r="N60" i="16" s="1"/>
  <c r="O60" i="16" s="1"/>
  <c r="AS28" i="16"/>
  <c r="L62" i="16"/>
  <c r="AS29" i="16"/>
  <c r="AS38" i="16"/>
  <c r="AT11" i="16"/>
  <c r="L17" i="16"/>
  <c r="N17" i="16" s="1"/>
  <c r="W60" i="16"/>
  <c r="X60" i="16" s="1"/>
  <c r="Y60" i="16" s="1"/>
  <c r="W70" i="16"/>
  <c r="X70" i="16" s="1"/>
  <c r="Y70" i="16" s="1"/>
  <c r="Z70" i="16" s="1"/>
  <c r="AT13" i="16"/>
  <c r="L27" i="16"/>
  <c r="AU74" i="16"/>
  <c r="G34" i="4" s="1"/>
  <c r="W21" i="16"/>
  <c r="L30" i="16"/>
  <c r="N30" i="16" s="1"/>
  <c r="AD30" i="16" s="1"/>
  <c r="AJ30" i="16" s="1"/>
  <c r="W11" i="16"/>
  <c r="X11" i="16" s="1"/>
  <c r="Y11" i="16" s="1"/>
  <c r="AG74" i="16"/>
  <c r="F34" i="4" s="1"/>
  <c r="L4" i="16"/>
  <c r="N4" i="16" s="1"/>
  <c r="W47" i="16"/>
  <c r="X47" i="16" s="1"/>
  <c r="L72" i="16"/>
  <c r="N72" i="16" s="1"/>
  <c r="O72" i="16" s="1"/>
  <c r="AH74" i="16"/>
  <c r="AT56" i="16"/>
  <c r="AT57" i="16"/>
  <c r="AV74" i="16"/>
  <c r="G31" i="4" s="1"/>
  <c r="AE74" i="16"/>
  <c r="F32" i="4" s="1"/>
  <c r="AF74" i="16"/>
  <c r="F35" i="4" s="1"/>
  <c r="N6" i="16"/>
  <c r="AD6" i="16" s="1"/>
  <c r="AJ6" i="16" s="1"/>
  <c r="W53" i="16"/>
  <c r="X53" i="16" s="1"/>
  <c r="Y53" i="16" s="1"/>
  <c r="AS45" i="16"/>
  <c r="N53" i="16"/>
  <c r="AD53" i="16" s="1"/>
  <c r="AK53" i="16" s="1"/>
  <c r="AS44" i="16"/>
  <c r="L9" i="16"/>
  <c r="N9" i="16" s="1"/>
  <c r="L11" i="16"/>
  <c r="L25" i="16"/>
  <c r="N25" i="16" s="1"/>
  <c r="AD25" i="16" s="1"/>
  <c r="AJ25" i="16" s="1"/>
  <c r="W61" i="16"/>
  <c r="X61" i="16" s="1"/>
  <c r="Y61" i="16" s="1"/>
  <c r="W63" i="16"/>
  <c r="X63" i="16" s="1"/>
  <c r="AS46" i="16"/>
  <c r="W35" i="16"/>
  <c r="X35" i="16" s="1"/>
  <c r="Y35" i="16" s="1"/>
  <c r="N15" i="16"/>
  <c r="AD15" i="16" s="1"/>
  <c r="AL15" i="16" s="1"/>
  <c r="W26" i="16"/>
  <c r="X26" i="16" s="1"/>
  <c r="Y26" i="16" s="1"/>
  <c r="AQ26" i="16" s="1"/>
  <c r="AX26" i="16" s="1"/>
  <c r="W64" i="16"/>
  <c r="AS30" i="16"/>
  <c r="L16" i="16"/>
  <c r="N16" i="16" s="1"/>
  <c r="W30" i="16"/>
  <c r="X30" i="16" s="1"/>
  <c r="Y30" i="16" s="1"/>
  <c r="W59" i="16"/>
  <c r="X59" i="16" s="1"/>
  <c r="Y59" i="16" s="1"/>
  <c r="AD44" i="16"/>
  <c r="AJ44" i="16" s="1"/>
  <c r="O44" i="16"/>
  <c r="N27" i="16"/>
  <c r="AD27" i="16" s="1"/>
  <c r="AJ27" i="16" s="1"/>
  <c r="N40" i="16"/>
  <c r="O40" i="16" s="1"/>
  <c r="L61" i="16"/>
  <c r="N61" i="16" s="1"/>
  <c r="V74" i="16"/>
  <c r="N43" i="16"/>
  <c r="AD43" i="16" s="1"/>
  <c r="AM43" i="16" s="1"/>
  <c r="W44" i="16"/>
  <c r="X44" i="16" s="1"/>
  <c r="Y44" i="16" s="1"/>
  <c r="W50" i="16"/>
  <c r="X50" i="16" s="1"/>
  <c r="Y50" i="16" s="1"/>
  <c r="W56" i="16"/>
  <c r="X56" i="16" s="1"/>
  <c r="Y56" i="16" s="1"/>
  <c r="AQ56" i="16" s="1"/>
  <c r="AX56" i="16" s="1"/>
  <c r="L41" i="16"/>
  <c r="N41" i="16" s="1"/>
  <c r="W55" i="16"/>
  <c r="X55" i="16" s="1"/>
  <c r="Y55" i="16" s="1"/>
  <c r="W4" i="16"/>
  <c r="X4" i="16" s="1"/>
  <c r="Y4" i="16" s="1"/>
  <c r="W5" i="16"/>
  <c r="X5" i="16" s="1"/>
  <c r="W6" i="16"/>
  <c r="X6" i="16" s="1"/>
  <c r="Y6" i="16" s="1"/>
  <c r="W9" i="16"/>
  <c r="W16" i="16"/>
  <c r="W32" i="16"/>
  <c r="X32" i="16" s="1"/>
  <c r="Y32" i="16" s="1"/>
  <c r="Z32" i="16" s="1"/>
  <c r="L63" i="16"/>
  <c r="N63" i="16" s="1"/>
  <c r="O63" i="16" s="1"/>
  <c r="W65" i="16"/>
  <c r="X65" i="16" s="1"/>
  <c r="Y65" i="16" s="1"/>
  <c r="W72" i="16"/>
  <c r="X72" i="16" s="1"/>
  <c r="N11" i="16"/>
  <c r="AD11" i="16" s="1"/>
  <c r="AK11" i="16" s="1"/>
  <c r="L21" i="16"/>
  <c r="N21" i="16" s="1"/>
  <c r="AD21" i="16" s="1"/>
  <c r="AJ21" i="16" s="1"/>
  <c r="W24" i="16"/>
  <c r="X24" i="16" s="1"/>
  <c r="Y24" i="16" s="1"/>
  <c r="L26" i="16"/>
  <c r="L47" i="16"/>
  <c r="N47" i="16" s="1"/>
  <c r="AD47" i="16" s="1"/>
  <c r="AJ47" i="16" s="1"/>
  <c r="L52" i="16"/>
  <c r="N52" i="16" s="1"/>
  <c r="O52" i="16" s="1"/>
  <c r="L5" i="16"/>
  <c r="N5" i="16" s="1"/>
  <c r="N7" i="16"/>
  <c r="AD7" i="16" s="1"/>
  <c r="AJ7" i="16" s="1"/>
  <c r="W17" i="16"/>
  <c r="L18" i="16"/>
  <c r="N18" i="16" s="1"/>
  <c r="L23" i="16"/>
  <c r="N23" i="16" s="1"/>
  <c r="W28" i="16"/>
  <c r="X28" i="16" s="1"/>
  <c r="Y28" i="16" s="1"/>
  <c r="W33" i="16"/>
  <c r="X33" i="16" s="1"/>
  <c r="Y33" i="16" s="1"/>
  <c r="W37" i="16"/>
  <c r="X37" i="16" s="1"/>
  <c r="W45" i="16"/>
  <c r="W48" i="16"/>
  <c r="X48" i="16" s="1"/>
  <c r="Y48" i="16" s="1"/>
  <c r="W67" i="16"/>
  <c r="X67" i="16" s="1"/>
  <c r="N42" i="16"/>
  <c r="O42" i="16" s="1"/>
  <c r="N55" i="16"/>
  <c r="AD55" i="16" s="1"/>
  <c r="AK55" i="16" s="1"/>
  <c r="N73" i="16"/>
  <c r="AD73" i="16" s="1"/>
  <c r="AJ73" i="16" s="1"/>
  <c r="W8" i="16"/>
  <c r="X8" i="16" s="1"/>
  <c r="Y8" i="16" s="1"/>
  <c r="W10" i="16"/>
  <c r="X10" i="16" s="1"/>
  <c r="Y10" i="16" s="1"/>
  <c r="L37" i="16"/>
  <c r="N37" i="16" s="1"/>
  <c r="O37" i="16" s="1"/>
  <c r="W38" i="16"/>
  <c r="X38" i="16" s="1"/>
  <c r="Y38" i="16" s="1"/>
  <c r="W40" i="16"/>
  <c r="X40" i="16" s="1"/>
  <c r="Y40" i="16" s="1"/>
  <c r="L56" i="16"/>
  <c r="N56" i="16" s="1"/>
  <c r="O56" i="16" s="1"/>
  <c r="L67" i="16"/>
  <c r="N67" i="16" s="1"/>
  <c r="O67" i="16" s="1"/>
  <c r="W68" i="16"/>
  <c r="X68" i="16" s="1"/>
  <c r="Y68" i="16" s="1"/>
  <c r="O68" i="16"/>
  <c r="AD68" i="16"/>
  <c r="AM68" i="16" s="1"/>
  <c r="O57" i="16"/>
  <c r="AD37" i="16"/>
  <c r="AJ37" i="16" s="1"/>
  <c r="X36" i="16"/>
  <c r="Y36" i="16" s="1"/>
  <c r="N26" i="16"/>
  <c r="W7" i="16"/>
  <c r="Y20" i="16"/>
  <c r="L29" i="16"/>
  <c r="N29" i="16" s="1"/>
  <c r="W29" i="16"/>
  <c r="N62" i="16"/>
  <c r="L64" i="16"/>
  <c r="N64" i="16" s="1"/>
  <c r="L66" i="16"/>
  <c r="N66" i="16" s="1"/>
  <c r="W58" i="16"/>
  <c r="W14" i="16"/>
  <c r="N45" i="16"/>
  <c r="AD51" i="16"/>
  <c r="AK51" i="16" s="1"/>
  <c r="O51" i="16"/>
  <c r="X52" i="16"/>
  <c r="Y52" i="16" s="1"/>
  <c r="N31" i="16"/>
  <c r="N35" i="16"/>
  <c r="W43" i="16"/>
  <c r="L10" i="16"/>
  <c r="N10" i="16" s="1"/>
  <c r="L13" i="16"/>
  <c r="N13" i="16" s="1"/>
  <c r="O28" i="16"/>
  <c r="L36" i="16"/>
  <c r="N36" i="16" s="1"/>
  <c r="L69" i="16"/>
  <c r="N69" i="16" s="1"/>
  <c r="W69" i="16"/>
  <c r="L20" i="16"/>
  <c r="N20" i="16" s="1"/>
  <c r="L54" i="16"/>
  <c r="N54" i="16" s="1"/>
  <c r="W54" i="16"/>
  <c r="N65" i="16"/>
  <c r="L32" i="16"/>
  <c r="N32" i="16" s="1"/>
  <c r="W66" i="16"/>
  <c r="W19" i="16"/>
  <c r="W49" i="16"/>
  <c r="W51" i="16"/>
  <c r="N71" i="16"/>
  <c r="O8" i="16"/>
  <c r="W15" i="16"/>
  <c r="W31" i="16"/>
  <c r="L34" i="16"/>
  <c r="N34" i="16" s="1"/>
  <c r="W34" i="16"/>
  <c r="K74" i="16"/>
  <c r="W25" i="16"/>
  <c r="W12" i="16"/>
  <c r="W13" i="16"/>
  <c r="W22" i="16"/>
  <c r="L22" i="16"/>
  <c r="N22" i="16" s="1"/>
  <c r="W62" i="16"/>
  <c r="L39" i="16"/>
  <c r="N39" i="16" s="1"/>
  <c r="N70" i="16"/>
  <c r="W71" i="16"/>
  <c r="W73" i="16"/>
  <c r="W39" i="16"/>
  <c r="X21" i="16"/>
  <c r="Y21" i="16" s="1"/>
  <c r="W42" i="16"/>
  <c r="W57" i="16"/>
  <c r="L24" i="16"/>
  <c r="N24" i="16" s="1"/>
  <c r="W27" i="16"/>
  <c r="Y47" i="16" l="1"/>
  <c r="O38" i="16"/>
  <c r="O19" i="16"/>
  <c r="Y41" i="16"/>
  <c r="Z41" i="16" s="1"/>
  <c r="AD17" i="16"/>
  <c r="AL17" i="16" s="1"/>
  <c r="O17" i="16"/>
  <c r="AD14" i="16"/>
  <c r="AL14" i="16" s="1"/>
  <c r="AD49" i="16"/>
  <c r="AK49" i="16" s="1"/>
  <c r="Y63" i="16"/>
  <c r="Z63" i="16" s="1"/>
  <c r="O6" i="16"/>
  <c r="Y37" i="16"/>
  <c r="Z37" i="16" s="1"/>
  <c r="AQ70" i="16"/>
  <c r="AX70" i="16" s="1"/>
  <c r="AD60" i="16"/>
  <c r="AL60" i="16" s="1"/>
  <c r="O11" i="16"/>
  <c r="Y5" i="16"/>
  <c r="Z5" i="16" s="1"/>
  <c r="AZ56" i="16"/>
  <c r="AY26" i="16"/>
  <c r="O25" i="16"/>
  <c r="AT74" i="16"/>
  <c r="G35" i="4" s="1"/>
  <c r="AD48" i="16"/>
  <c r="AJ48" i="16" s="1"/>
  <c r="AS74" i="16"/>
  <c r="G32" i="4" s="1"/>
  <c r="AD58" i="16"/>
  <c r="AK58" i="16" s="1"/>
  <c r="AD72" i="16"/>
  <c r="AJ72" i="16" s="1"/>
  <c r="AD63" i="16"/>
  <c r="AL63" i="16" s="1"/>
  <c r="O55" i="16"/>
  <c r="O53" i="16"/>
  <c r="Z26" i="16"/>
  <c r="O46" i="16"/>
  <c r="O33" i="16"/>
  <c r="AD40" i="16"/>
  <c r="AM40" i="16" s="1"/>
  <c r="O47" i="16"/>
  <c r="X64" i="16"/>
  <c r="Y64" i="16" s="1"/>
  <c r="O59" i="16"/>
  <c r="O15" i="16"/>
  <c r="F31" i="4"/>
  <c r="Y72" i="16"/>
  <c r="O21" i="16"/>
  <c r="O43" i="16"/>
  <c r="AD61" i="16"/>
  <c r="AL61" i="16" s="1"/>
  <c r="O61" i="16"/>
  <c r="AD12" i="16"/>
  <c r="AK12" i="16" s="1"/>
  <c r="AD52" i="16"/>
  <c r="AK52" i="16" s="1"/>
  <c r="O30" i="16"/>
  <c r="X17" i="16"/>
  <c r="Y17" i="16" s="1"/>
  <c r="W74" i="16"/>
  <c r="AD67" i="16"/>
  <c r="AM67" i="16" s="1"/>
  <c r="O73" i="16"/>
  <c r="Z56" i="16"/>
  <c r="AD42" i="16"/>
  <c r="AM42" i="16" s="1"/>
  <c r="AD56" i="16"/>
  <c r="AK56" i="16" s="1"/>
  <c r="AQ32" i="16"/>
  <c r="AX32" i="16" s="1"/>
  <c r="X9" i="16"/>
  <c r="Y9" i="16" s="1"/>
  <c r="Y67" i="16"/>
  <c r="AQ67" i="16" s="1"/>
  <c r="AX67" i="16" s="1"/>
  <c r="O27" i="16"/>
  <c r="O7" i="16"/>
  <c r="X45" i="16"/>
  <c r="Y45" i="16" s="1"/>
  <c r="X16" i="16"/>
  <c r="Y16" i="16" s="1"/>
  <c r="Z8" i="16"/>
  <c r="AQ8" i="16"/>
  <c r="AX8" i="16" s="1"/>
  <c r="AQ68" i="16"/>
  <c r="AX68" i="16" s="1"/>
  <c r="Z68" i="16"/>
  <c r="AQ24" i="16"/>
  <c r="AX24" i="16" s="1"/>
  <c r="Z24" i="16"/>
  <c r="AQ33" i="16"/>
  <c r="AX33" i="16" s="1"/>
  <c r="Z33" i="16"/>
  <c r="Z23" i="16"/>
  <c r="AQ23" i="16"/>
  <c r="AX23" i="16" s="1"/>
  <c r="AQ36" i="16"/>
  <c r="AX36" i="16" s="1"/>
  <c r="Z36" i="16"/>
  <c r="AQ53" i="16"/>
  <c r="AX53" i="16" s="1"/>
  <c r="Z53" i="16"/>
  <c r="Z60" i="16"/>
  <c r="AQ60" i="16"/>
  <c r="AX60" i="16" s="1"/>
  <c r="AQ59" i="16"/>
  <c r="AX59" i="16" s="1"/>
  <c r="Z59" i="16"/>
  <c r="Z28" i="16"/>
  <c r="AQ28" i="16"/>
  <c r="AX28" i="16" s="1"/>
  <c r="Z55" i="16"/>
  <c r="AQ55" i="16"/>
  <c r="AX55" i="16" s="1"/>
  <c r="AQ48" i="16"/>
  <c r="AX48" i="16" s="1"/>
  <c r="Z48" i="16"/>
  <c r="AQ44" i="16"/>
  <c r="AX44" i="16" s="1"/>
  <c r="Z44" i="16"/>
  <c r="Z50" i="16"/>
  <c r="AQ50" i="16"/>
  <c r="AX50" i="16" s="1"/>
  <c r="Z40" i="16"/>
  <c r="AQ40" i="16"/>
  <c r="AX40" i="16" s="1"/>
  <c r="AQ38" i="16"/>
  <c r="AX38" i="16" s="1"/>
  <c r="Z38" i="16"/>
  <c r="AQ21" i="16"/>
  <c r="AX21" i="16" s="1"/>
  <c r="Z21" i="16"/>
  <c r="AQ18" i="16"/>
  <c r="AX18" i="16" s="1"/>
  <c r="Z18" i="16"/>
  <c r="Z11" i="16"/>
  <c r="AQ11" i="16"/>
  <c r="AX11" i="16" s="1"/>
  <c r="AQ65" i="16"/>
  <c r="AX65" i="16" s="1"/>
  <c r="Z65" i="16"/>
  <c r="Z35" i="16"/>
  <c r="AQ35" i="16"/>
  <c r="AX35" i="16" s="1"/>
  <c r="X22" i="16"/>
  <c r="Y22" i="16" s="1"/>
  <c r="O34" i="16"/>
  <c r="AD34" i="16"/>
  <c r="AJ34" i="16" s="1"/>
  <c r="X19" i="16"/>
  <c r="Y19" i="16" s="1"/>
  <c r="O69" i="16"/>
  <c r="AD69" i="16"/>
  <c r="AJ69" i="16" s="1"/>
  <c r="AD10" i="16"/>
  <c r="AK10" i="16" s="1"/>
  <c r="O10" i="16"/>
  <c r="O64" i="16"/>
  <c r="AD64" i="16"/>
  <c r="AM64" i="16" s="1"/>
  <c r="AQ6" i="16"/>
  <c r="AX6" i="16" s="1"/>
  <c r="Z6" i="16"/>
  <c r="O36" i="16"/>
  <c r="AD36" i="16"/>
  <c r="AJ36" i="16" s="1"/>
  <c r="Z30" i="16"/>
  <c r="AQ30" i="16"/>
  <c r="AX30" i="16" s="1"/>
  <c r="X27" i="16"/>
  <c r="Y27" i="16" s="1"/>
  <c r="AD62" i="16"/>
  <c r="AL62" i="16" s="1"/>
  <c r="O62" i="16"/>
  <c r="O26" i="16"/>
  <c r="AD26" i="16"/>
  <c r="AJ26" i="16" s="1"/>
  <c r="X13" i="16"/>
  <c r="Y13" i="16" s="1"/>
  <c r="AD16" i="16"/>
  <c r="AL16" i="16" s="1"/>
  <c r="O16" i="16"/>
  <c r="O65" i="16"/>
  <c r="AD65" i="16"/>
  <c r="AM65" i="16" s="1"/>
  <c r="AQ52" i="16"/>
  <c r="AX52" i="16" s="1"/>
  <c r="Z52" i="16"/>
  <c r="X71" i="16"/>
  <c r="Y71" i="16" s="1"/>
  <c r="AQ46" i="16"/>
  <c r="AX46" i="16" s="1"/>
  <c r="Z46" i="16"/>
  <c r="O70" i="16"/>
  <c r="AD70" i="16"/>
  <c r="AJ70" i="16" s="1"/>
  <c r="O29" i="16"/>
  <c r="AD29" i="16"/>
  <c r="AJ29" i="16" s="1"/>
  <c r="AQ72" i="16"/>
  <c r="AX72" i="16" s="1"/>
  <c r="Z72" i="16"/>
  <c r="AD39" i="16"/>
  <c r="AM39" i="16" s="1"/>
  <c r="O39" i="16"/>
  <c r="X54" i="16"/>
  <c r="Y54" i="16" s="1"/>
  <c r="O23" i="16"/>
  <c r="AD23" i="16"/>
  <c r="AJ23" i="16" s="1"/>
  <c r="Z20" i="16"/>
  <c r="AQ20" i="16"/>
  <c r="AX20" i="16" s="1"/>
  <c r="O4" i="16"/>
  <c r="AD4" i="16"/>
  <c r="AJ4" i="16" s="1"/>
  <c r="O5" i="16"/>
  <c r="AD5" i="16"/>
  <c r="AJ5" i="16" s="1"/>
  <c r="O45" i="16"/>
  <c r="AD45" i="16"/>
  <c r="AJ45" i="16" s="1"/>
  <c r="Z10" i="16"/>
  <c r="AQ10" i="16"/>
  <c r="AX10" i="16" s="1"/>
  <c r="X31" i="16"/>
  <c r="Y31" i="16"/>
  <c r="X51" i="16"/>
  <c r="Y51" i="16" s="1"/>
  <c r="X73" i="16"/>
  <c r="Y73" i="16" s="1"/>
  <c r="O18" i="16"/>
  <c r="AD18" i="16"/>
  <c r="AL18" i="16" s="1"/>
  <c r="X12" i="16"/>
  <c r="Y12" i="16" s="1"/>
  <c r="AQ61" i="16"/>
  <c r="AX61" i="16" s="1"/>
  <c r="Z61" i="16"/>
  <c r="O35" i="16"/>
  <c r="AD35" i="16"/>
  <c r="AJ35" i="16" s="1"/>
  <c r="X29" i="16"/>
  <c r="Y29" i="16" s="1"/>
  <c r="O24" i="16"/>
  <c r="AD24" i="16"/>
  <c r="AJ24" i="16" s="1"/>
  <c r="AD31" i="16"/>
  <c r="AJ31" i="16" s="1"/>
  <c r="O31" i="16"/>
  <c r="O50" i="16"/>
  <c r="AD50" i="16"/>
  <c r="AK50" i="16" s="1"/>
  <c r="AD13" i="16"/>
  <c r="AK13" i="16" s="1"/>
  <c r="O13" i="16"/>
  <c r="L74" i="16"/>
  <c r="X57" i="16"/>
  <c r="Y57" i="16" s="1"/>
  <c r="X62" i="16"/>
  <c r="Y62" i="16" s="1"/>
  <c r="O71" i="16"/>
  <c r="AD71" i="16"/>
  <c r="AJ71" i="16" s="1"/>
  <c r="Z47" i="16"/>
  <c r="AQ47" i="16"/>
  <c r="AX47" i="16" s="1"/>
  <c r="AD20" i="16"/>
  <c r="AJ20" i="16" s="1"/>
  <c r="O20" i="16"/>
  <c r="O9" i="16"/>
  <c r="AD9" i="16"/>
  <c r="AK9" i="16" s="1"/>
  <c r="AQ4" i="16"/>
  <c r="Z4" i="16"/>
  <c r="X39" i="16"/>
  <c r="Y39" i="16" s="1"/>
  <c r="X66" i="16"/>
  <c r="Y66" i="16" s="1"/>
  <c r="X43" i="16"/>
  <c r="Y43" i="16" s="1"/>
  <c r="AQ37" i="16"/>
  <c r="AX37" i="16" s="1"/>
  <c r="X49" i="16"/>
  <c r="Y49" i="16" s="1"/>
  <c r="X14" i="16"/>
  <c r="Y14" i="16" s="1"/>
  <c r="X15" i="16"/>
  <c r="Y15" i="16" s="1"/>
  <c r="X25" i="16"/>
  <c r="Y25" i="16" s="1"/>
  <c r="O54" i="16"/>
  <c r="AD54" i="16"/>
  <c r="AK54" i="16" s="1"/>
  <c r="X58" i="16"/>
  <c r="Y58" i="16" s="1"/>
  <c r="O41" i="16"/>
  <c r="AD41" i="16"/>
  <c r="AM41" i="16" s="1"/>
  <c r="X42" i="16"/>
  <c r="Y42" i="16" s="1"/>
  <c r="AD22" i="16"/>
  <c r="AJ22" i="16" s="1"/>
  <c r="O22" i="16"/>
  <c r="X34" i="16"/>
  <c r="Y34" i="16" s="1"/>
  <c r="O32" i="16"/>
  <c r="AD32" i="16"/>
  <c r="AJ32" i="16" s="1"/>
  <c r="X69" i="16"/>
  <c r="Y69" i="16" s="1"/>
  <c r="AD66" i="16"/>
  <c r="AM66" i="16" s="1"/>
  <c r="O66" i="16"/>
  <c r="X7" i="16"/>
  <c r="Y7" i="16" s="1"/>
  <c r="AQ5" i="16" l="1"/>
  <c r="AX5" i="16" s="1"/>
  <c r="AJ74" i="16"/>
  <c r="AQ63" i="16"/>
  <c r="AX63" i="16" s="1"/>
  <c r="AQ41" i="16"/>
  <c r="AX41" i="16" s="1"/>
  <c r="BB41" i="16" s="1"/>
  <c r="AY5" i="16"/>
  <c r="BB68" i="16"/>
  <c r="AZ55" i="16"/>
  <c r="AY37" i="16"/>
  <c r="AY47" i="16"/>
  <c r="AY46" i="16"/>
  <c r="AY32" i="16"/>
  <c r="AY21" i="16"/>
  <c r="AY8" i="16"/>
  <c r="AZ52" i="16"/>
  <c r="AY36" i="16"/>
  <c r="AY72" i="16"/>
  <c r="AY28" i="16"/>
  <c r="AX4" i="16"/>
  <c r="AY4" i="16" s="1"/>
  <c r="AZ53" i="16"/>
  <c r="AY35" i="16"/>
  <c r="AY70" i="16"/>
  <c r="BA63" i="16"/>
  <c r="AZ50" i="16"/>
  <c r="BA60" i="16"/>
  <c r="BB67" i="16"/>
  <c r="AY48" i="16"/>
  <c r="AY38" i="16"/>
  <c r="AY30" i="16"/>
  <c r="BB40" i="16"/>
  <c r="AY23" i="16"/>
  <c r="AY20" i="16"/>
  <c r="BB65" i="16"/>
  <c r="AZ11" i="16"/>
  <c r="AZ10" i="16"/>
  <c r="BA59" i="16"/>
  <c r="AY33" i="16"/>
  <c r="BA61" i="16"/>
  <c r="AY6" i="16"/>
  <c r="BA18" i="16"/>
  <c r="AY44" i="16"/>
  <c r="AY24" i="16"/>
  <c r="Z64" i="16"/>
  <c r="AQ64" i="16"/>
  <c r="AX64" i="16" s="1"/>
  <c r="Z16" i="16"/>
  <c r="AQ16" i="16"/>
  <c r="AX16" i="16" s="1"/>
  <c r="AQ45" i="16"/>
  <c r="AX45" i="16" s="1"/>
  <c r="Z45" i="16"/>
  <c r="Z17" i="16"/>
  <c r="AQ17" i="16"/>
  <c r="AX17" i="16" s="1"/>
  <c r="AQ9" i="16"/>
  <c r="AX9" i="16" s="1"/>
  <c r="Z9" i="16"/>
  <c r="Z67" i="16"/>
  <c r="AQ66" i="16"/>
  <c r="AX66" i="16" s="1"/>
  <c r="Z66" i="16"/>
  <c r="AQ39" i="16"/>
  <c r="AX39" i="16" s="1"/>
  <c r="Z39" i="16"/>
  <c r="AQ19" i="16"/>
  <c r="AX19" i="16" s="1"/>
  <c r="Z19" i="16"/>
  <c r="Z14" i="16"/>
  <c r="AQ14" i="16"/>
  <c r="AX14" i="16" s="1"/>
  <c r="AQ27" i="16"/>
  <c r="AX27" i="16" s="1"/>
  <c r="Z27" i="16"/>
  <c r="AQ22" i="16"/>
  <c r="AX22" i="16" s="1"/>
  <c r="Z22" i="16"/>
  <c r="AQ7" i="16"/>
  <c r="AX7" i="16" s="1"/>
  <c r="Z7" i="16"/>
  <c r="Y74" i="16"/>
  <c r="AQ74" i="16" s="1"/>
  <c r="AX74" i="16" s="1"/>
  <c r="AQ71" i="16"/>
  <c r="AX71" i="16" s="1"/>
  <c r="Z71" i="16"/>
  <c r="Z34" i="16"/>
  <c r="AQ34" i="16"/>
  <c r="AX34" i="16" s="1"/>
  <c r="Z13" i="16"/>
  <c r="AQ13" i="16"/>
  <c r="AX13" i="16" s="1"/>
  <c r="AQ12" i="16"/>
  <c r="AX12" i="16" s="1"/>
  <c r="Z12" i="16"/>
  <c r="Z42" i="16"/>
  <c r="AQ42" i="16"/>
  <c r="AX42" i="16" s="1"/>
  <c r="AQ69" i="16"/>
  <c r="AX69" i="16" s="1"/>
  <c r="Z69" i="16"/>
  <c r="AQ57" i="16"/>
  <c r="AX57" i="16" s="1"/>
  <c r="Z57" i="16"/>
  <c r="AQ49" i="16"/>
  <c r="AX49" i="16" s="1"/>
  <c r="Z49" i="16"/>
  <c r="AQ51" i="16"/>
  <c r="AX51" i="16" s="1"/>
  <c r="Z51" i="16"/>
  <c r="Z29" i="16"/>
  <c r="AQ29" i="16"/>
  <c r="AX29" i="16" s="1"/>
  <c r="AQ58" i="16"/>
  <c r="AX58" i="16" s="1"/>
  <c r="Z58" i="16"/>
  <c r="AQ15" i="16"/>
  <c r="AX15" i="16" s="1"/>
  <c r="Z15" i="16"/>
  <c r="AQ31" i="16"/>
  <c r="AX31" i="16" s="1"/>
  <c r="Z31" i="16"/>
  <c r="Z62" i="16"/>
  <c r="AQ62" i="16"/>
  <c r="AX62" i="16" s="1"/>
  <c r="Z25" i="16"/>
  <c r="AQ25" i="16"/>
  <c r="AX25" i="16" s="1"/>
  <c r="AQ54" i="16"/>
  <c r="AX54" i="16" s="1"/>
  <c r="Z54" i="16"/>
  <c r="AQ43" i="16"/>
  <c r="AX43" i="16" s="1"/>
  <c r="Z43" i="16"/>
  <c r="AQ73" i="16"/>
  <c r="AX73" i="16" s="1"/>
  <c r="Z73" i="16"/>
  <c r="AZ51" i="16" l="1"/>
  <c r="BA62" i="16"/>
  <c r="AY7" i="16"/>
  <c r="BB39" i="16"/>
  <c r="BA16" i="16"/>
  <c r="BB66" i="16"/>
  <c r="AZ49" i="16"/>
  <c r="AY27" i="16"/>
  <c r="BA15" i="16"/>
  <c r="AY69" i="16"/>
  <c r="AY22" i="16"/>
  <c r="AY31" i="16"/>
  <c r="AZ57" i="16"/>
  <c r="AZ9" i="16"/>
  <c r="BA17" i="16"/>
  <c r="BB42" i="16"/>
  <c r="AZ12" i="16"/>
  <c r="AZ13" i="16"/>
  <c r="BB64" i="16"/>
  <c r="AY73" i="16"/>
  <c r="AY34" i="16"/>
  <c r="BB43" i="16"/>
  <c r="BA14" i="16"/>
  <c r="AZ54" i="16"/>
  <c r="AZ58" i="16"/>
  <c r="AY71" i="16"/>
  <c r="AY25" i="16"/>
  <c r="AY29" i="16"/>
  <c r="AY19" i="16"/>
  <c r="AY45" i="16"/>
  <c r="Z74" i="16"/>
  <c r="AY74" i="16" l="1"/>
  <c r="AZ74" i="16"/>
  <c r="AM74" i="16"/>
  <c r="AK74" i="16"/>
  <c r="BB74" i="16"/>
  <c r="BA74" i="16"/>
  <c r="AL74" i="16"/>
  <c r="Q14" i="4" l="1"/>
  <c r="Q21" i="4" s="1"/>
  <c r="R14" i="4"/>
  <c r="S14" i="4"/>
  <c r="S21" i="4" s="1"/>
  <c r="T14" i="4"/>
  <c r="T21" i="4" s="1"/>
  <c r="G14" i="4"/>
  <c r="H14" i="4"/>
  <c r="H21" i="4" s="1"/>
  <c r="I14" i="4"/>
  <c r="J14" i="4"/>
  <c r="K14" i="4"/>
  <c r="L14" i="4"/>
  <c r="M14" i="4"/>
  <c r="N14" i="4"/>
  <c r="O14" i="4"/>
  <c r="O21" i="4" s="1"/>
  <c r="P14" i="4"/>
  <c r="F14" i="4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C3" i="4"/>
  <c r="C4" i="4" s="1"/>
  <c r="N21" i="4" l="1"/>
  <c r="L21" i="4"/>
  <c r="K21" i="4"/>
  <c r="P21" i="4"/>
  <c r="M21" i="4"/>
  <c r="J21" i="4"/>
  <c r="R21" i="4"/>
  <c r="I21" i="4"/>
  <c r="F21" i="4"/>
  <c r="G21" i="4"/>
  <c r="C5" i="4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15" i="5"/>
  <c r="L15" i="5" s="1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C6" i="4" l="1"/>
  <c r="C7" i="4" l="1"/>
  <c r="K20" i="6"/>
  <c r="L20" i="6" s="1"/>
  <c r="K21" i="6"/>
  <c r="L21" i="6" s="1"/>
  <c r="K22" i="6"/>
  <c r="L22" i="6" s="1"/>
  <c r="K24" i="6"/>
  <c r="L24" i="6" s="1"/>
  <c r="K25" i="6"/>
  <c r="L25" i="6" s="1"/>
  <c r="K26" i="6"/>
  <c r="L26" i="6" s="1"/>
  <c r="K28" i="6"/>
  <c r="L28" i="6" s="1"/>
  <c r="K29" i="6"/>
  <c r="L29" i="6" s="1"/>
  <c r="K30" i="6"/>
  <c r="L30" i="6" s="1"/>
  <c r="K32" i="6"/>
  <c r="L32" i="6" s="1"/>
  <c r="K33" i="6"/>
  <c r="L33" i="6" s="1"/>
  <c r="K34" i="6"/>
  <c r="L34" i="6" s="1"/>
  <c r="K36" i="6"/>
  <c r="L36" i="6" s="1"/>
  <c r="K37" i="6"/>
  <c r="L37" i="6" s="1"/>
  <c r="K38" i="6"/>
  <c r="L38" i="6" s="1"/>
  <c r="K40" i="6"/>
  <c r="L40" i="6" s="1"/>
  <c r="K41" i="6"/>
  <c r="L41" i="6" s="1"/>
  <c r="K42" i="6"/>
  <c r="L42" i="6" s="1"/>
  <c r="K44" i="6"/>
  <c r="L44" i="6" s="1"/>
  <c r="K45" i="6"/>
  <c r="L45" i="6" s="1"/>
  <c r="K46" i="6"/>
  <c r="L46" i="6" s="1"/>
  <c r="K48" i="6"/>
  <c r="L48" i="6" s="1"/>
  <c r="K49" i="6"/>
  <c r="L49" i="6" s="1"/>
  <c r="K50" i="6"/>
  <c r="L50" i="6" s="1"/>
  <c r="K52" i="6"/>
  <c r="L52" i="6" s="1"/>
  <c r="K53" i="6"/>
  <c r="L53" i="6" s="1"/>
  <c r="K54" i="6"/>
  <c r="L54" i="6" s="1"/>
  <c r="K19" i="6"/>
  <c r="L19" i="6" s="1"/>
  <c r="K23" i="6"/>
  <c r="L23" i="6" s="1"/>
  <c r="K27" i="6"/>
  <c r="L27" i="6" s="1"/>
  <c r="K31" i="6"/>
  <c r="L31" i="6" s="1"/>
  <c r="K35" i="6"/>
  <c r="L35" i="6" s="1"/>
  <c r="K39" i="6"/>
  <c r="L39" i="6" s="1"/>
  <c r="K43" i="6"/>
  <c r="L43" i="6" s="1"/>
  <c r="K47" i="6"/>
  <c r="L47" i="6" s="1"/>
  <c r="K51" i="6"/>
  <c r="L51" i="6" s="1"/>
  <c r="M15" i="5"/>
  <c r="C8" i="4" l="1"/>
  <c r="L52" i="5"/>
  <c r="M52" i="5" s="1"/>
  <c r="L36" i="5"/>
  <c r="M36" i="5" s="1"/>
  <c r="L20" i="5"/>
  <c r="M20" i="5" s="1"/>
  <c r="L29" i="5"/>
  <c r="M29" i="5" s="1"/>
  <c r="L46" i="5"/>
  <c r="M46" i="5" s="1"/>
  <c r="L30" i="5"/>
  <c r="M30" i="5" s="1"/>
  <c r="L19" i="5"/>
  <c r="M19" i="5" s="1"/>
  <c r="L41" i="5"/>
  <c r="M41" i="5" s="1"/>
  <c r="L25" i="5"/>
  <c r="M25" i="5" s="1"/>
  <c r="L47" i="5"/>
  <c r="M47" i="5" s="1"/>
  <c r="L31" i="5"/>
  <c r="M31" i="5" s="1"/>
  <c r="L40" i="5"/>
  <c r="M40" i="5" s="1"/>
  <c r="L24" i="5"/>
  <c r="M24" i="5" s="1"/>
  <c r="L50" i="5"/>
  <c r="M50" i="5" s="1"/>
  <c r="L44" i="5"/>
  <c r="M44" i="5" s="1"/>
  <c r="L39" i="5"/>
  <c r="M39" i="5" s="1"/>
  <c r="L34" i="5"/>
  <c r="M34" i="5" s="1"/>
  <c r="L28" i="5"/>
  <c r="M28" i="5" s="1"/>
  <c r="L23" i="5"/>
  <c r="M23" i="5" s="1"/>
  <c r="L18" i="5"/>
  <c r="M18" i="5" s="1"/>
  <c r="L53" i="5"/>
  <c r="M53" i="5" s="1"/>
  <c r="L37" i="5"/>
  <c r="M37" i="5" s="1"/>
  <c r="L21" i="5"/>
  <c r="M21" i="5" s="1"/>
  <c r="L42" i="5"/>
  <c r="M42" i="5" s="1"/>
  <c r="L26" i="5"/>
  <c r="M26" i="5" s="1"/>
  <c r="L45" i="5"/>
  <c r="M45" i="5" s="1"/>
  <c r="L51" i="5"/>
  <c r="M51" i="5" s="1"/>
  <c r="L35" i="5"/>
  <c r="M35" i="5" s="1"/>
  <c r="L54" i="5"/>
  <c r="M54" i="5" s="1"/>
  <c r="L48" i="5"/>
  <c r="M48" i="5" s="1"/>
  <c r="L43" i="5"/>
  <c r="M43" i="5" s="1"/>
  <c r="L38" i="5"/>
  <c r="M38" i="5" s="1"/>
  <c r="L32" i="5"/>
  <c r="M32" i="5" s="1"/>
  <c r="L27" i="5"/>
  <c r="M27" i="5" s="1"/>
  <c r="L22" i="5"/>
  <c r="M22" i="5" s="1"/>
  <c r="L16" i="5"/>
  <c r="M16" i="5" s="1"/>
  <c r="L49" i="5"/>
  <c r="M49" i="5" s="1"/>
  <c r="L33" i="5"/>
  <c r="M33" i="5" s="1"/>
  <c r="L17" i="5"/>
  <c r="M17" i="5" s="1"/>
  <c r="C9" i="4" l="1"/>
  <c r="D8" i="4" s="1"/>
  <c r="D9" i="4" l="1"/>
  <c r="D3" i="4"/>
  <c r="D4" i="4"/>
  <c r="D5" i="4"/>
  <c r="D6" i="4"/>
  <c r="D7" i="4"/>
  <c r="F13" i="6" l="1"/>
  <c r="K13" i="6" s="1"/>
  <c r="L13" i="6" s="1"/>
  <c r="F11" i="6"/>
  <c r="K11" i="6" s="1"/>
  <c r="L11" i="6" s="1"/>
  <c r="F9" i="8"/>
  <c r="K9" i="8" s="1"/>
  <c r="S13" i="7"/>
  <c r="X13" i="7" s="1"/>
  <c r="S23" i="7"/>
  <c r="X23" i="7" s="1"/>
  <c r="S33" i="7"/>
  <c r="X33" i="7" s="1"/>
  <c r="S43" i="7"/>
  <c r="X43" i="7" s="1"/>
  <c r="S53" i="7"/>
  <c r="X53" i="7" s="1"/>
  <c r="F10" i="7"/>
  <c r="K10" i="7" s="1"/>
  <c r="F20" i="7"/>
  <c r="K20" i="7" s="1"/>
  <c r="F30" i="7"/>
  <c r="K30" i="7" s="1"/>
  <c r="F40" i="7"/>
  <c r="K40" i="7" s="1"/>
  <c r="F50" i="7"/>
  <c r="K50" i="7" s="1"/>
  <c r="F7" i="5"/>
  <c r="K7" i="5" s="1"/>
  <c r="L7" i="5" s="1"/>
  <c r="M7" i="5" s="1"/>
  <c r="F24" i="7"/>
  <c r="K24" i="7" s="1"/>
  <c r="F11" i="5"/>
  <c r="K11" i="5" s="1"/>
  <c r="L11" i="5" s="1"/>
  <c r="M11" i="5" s="1"/>
  <c r="F4" i="5"/>
  <c r="S28" i="7"/>
  <c r="X28" i="7" s="1"/>
  <c r="S8" i="7"/>
  <c r="X8" i="7" s="1"/>
  <c r="F35" i="7"/>
  <c r="K35" i="7" s="1"/>
  <c r="F55" i="7"/>
  <c r="K55" i="7" s="1"/>
  <c r="F7" i="6"/>
  <c r="K7" i="6" s="1"/>
  <c r="S29" i="7"/>
  <c r="X29" i="7" s="1"/>
  <c r="F16" i="7"/>
  <c r="K16" i="7" s="1"/>
  <c r="F46" i="7"/>
  <c r="K46" i="7" s="1"/>
  <c r="S10" i="7"/>
  <c r="X10" i="7" s="1"/>
  <c r="S40" i="7"/>
  <c r="X40" i="7" s="1"/>
  <c r="F5" i="7"/>
  <c r="K5" i="7" s="1"/>
  <c r="F37" i="7"/>
  <c r="K37" i="7" s="1"/>
  <c r="F7" i="7"/>
  <c r="K7" i="7" s="1"/>
  <c r="F9" i="6"/>
  <c r="K9" i="6" s="1"/>
  <c r="S21" i="7"/>
  <c r="X21" i="7" s="1"/>
  <c r="S31" i="7"/>
  <c r="X31" i="7" s="1"/>
  <c r="S41" i="7"/>
  <c r="X41" i="7" s="1"/>
  <c r="S51" i="7"/>
  <c r="X51" i="7" s="1"/>
  <c r="F8" i="7"/>
  <c r="K8" i="7" s="1"/>
  <c r="F28" i="7"/>
  <c r="K28" i="7" s="1"/>
  <c r="F38" i="7"/>
  <c r="K38" i="7" s="1"/>
  <c r="S12" i="7"/>
  <c r="X12" i="7" s="1"/>
  <c r="F49" i="7"/>
  <c r="K49" i="7" s="1"/>
  <c r="F14" i="6"/>
  <c r="K14" i="6" s="1"/>
  <c r="L14" i="6" s="1"/>
  <c r="F12" i="6"/>
  <c r="K12" i="6" s="1"/>
  <c r="L12" i="6" s="1"/>
  <c r="F10" i="8"/>
  <c r="K10" i="8" s="1"/>
  <c r="S14" i="7"/>
  <c r="X14" i="7" s="1"/>
  <c r="S24" i="7"/>
  <c r="X24" i="7" s="1"/>
  <c r="S34" i="7"/>
  <c r="X34" i="7" s="1"/>
  <c r="S44" i="7"/>
  <c r="X44" i="7" s="1"/>
  <c r="S54" i="7"/>
  <c r="X54" i="7" s="1"/>
  <c r="F11" i="7"/>
  <c r="K11" i="7" s="1"/>
  <c r="F21" i="7"/>
  <c r="F31" i="7"/>
  <c r="K31" i="7" s="1"/>
  <c r="F41" i="7"/>
  <c r="K41" i="7" s="1"/>
  <c r="F51" i="7"/>
  <c r="K51" i="7" s="1"/>
  <c r="F8" i="5"/>
  <c r="K8" i="5" s="1"/>
  <c r="L8" i="5" s="1"/>
  <c r="M8" i="5" s="1"/>
  <c r="F16" i="6"/>
  <c r="K16" i="6" s="1"/>
  <c r="L16" i="6" s="1"/>
  <c r="F12" i="8"/>
  <c r="K12" i="8" s="1"/>
  <c r="S36" i="7"/>
  <c r="X36" i="7" s="1"/>
  <c r="S6" i="7"/>
  <c r="X6" i="7" s="1"/>
  <c r="F23" i="7"/>
  <c r="K23" i="7" s="1"/>
  <c r="F43" i="7"/>
  <c r="K43" i="7" s="1"/>
  <c r="F4" i="8"/>
  <c r="F4" i="6"/>
  <c r="S17" i="7"/>
  <c r="X17" i="7" s="1"/>
  <c r="S37" i="7"/>
  <c r="X37" i="7" s="1"/>
  <c r="S47" i="7"/>
  <c r="X47" i="7" s="1"/>
  <c r="F14" i="7"/>
  <c r="K14" i="7" s="1"/>
  <c r="F44" i="7"/>
  <c r="K44" i="7" s="1"/>
  <c r="F18" i="6"/>
  <c r="K18" i="6" s="1"/>
  <c r="L18" i="6" s="1"/>
  <c r="S18" i="7"/>
  <c r="X18" i="7" s="1"/>
  <c r="S48" i="7"/>
  <c r="X48" i="7" s="1"/>
  <c r="F25" i="7"/>
  <c r="K25" i="7" s="1"/>
  <c r="F12" i="5"/>
  <c r="K12" i="5" s="1"/>
  <c r="F5" i="8"/>
  <c r="K5" i="8" s="1"/>
  <c r="S19" i="7"/>
  <c r="X19" i="7" s="1"/>
  <c r="S49" i="7"/>
  <c r="X49" i="7" s="1"/>
  <c r="F26" i="7"/>
  <c r="K26" i="7" s="1"/>
  <c r="F13" i="5"/>
  <c r="K13" i="5" s="1"/>
  <c r="F6" i="8"/>
  <c r="K6" i="8" s="1"/>
  <c r="S20" i="7"/>
  <c r="X20" i="7" s="1"/>
  <c r="S50" i="7"/>
  <c r="X50" i="7" s="1"/>
  <c r="F27" i="7"/>
  <c r="K27" i="7" s="1"/>
  <c r="F14" i="5"/>
  <c r="K14" i="5" s="1"/>
  <c r="S11" i="7"/>
  <c r="X11" i="7" s="1"/>
  <c r="F48" i="7"/>
  <c r="K48" i="7" s="1"/>
  <c r="F8" i="8"/>
  <c r="K8" i="8" s="1"/>
  <c r="S42" i="7"/>
  <c r="X42" i="7" s="1"/>
  <c r="F9" i="7"/>
  <c r="K9" i="7" s="1"/>
  <c r="F39" i="7"/>
  <c r="K39" i="7" s="1"/>
  <c r="F15" i="6"/>
  <c r="K15" i="6" s="1"/>
  <c r="L15" i="6" s="1"/>
  <c r="F5" i="6"/>
  <c r="K5" i="6" s="1"/>
  <c r="F11" i="8"/>
  <c r="K11" i="8" s="1"/>
  <c r="S15" i="7"/>
  <c r="X15" i="7" s="1"/>
  <c r="S25" i="7"/>
  <c r="X25" i="7" s="1"/>
  <c r="S35" i="7"/>
  <c r="X35" i="7" s="1"/>
  <c r="S45" i="7"/>
  <c r="X45" i="7" s="1"/>
  <c r="S55" i="7"/>
  <c r="X55" i="7" s="1"/>
  <c r="F12" i="7"/>
  <c r="K12" i="7" s="1"/>
  <c r="F22" i="7"/>
  <c r="K22" i="7" s="1"/>
  <c r="F32" i="7"/>
  <c r="K32" i="7" s="1"/>
  <c r="F42" i="7"/>
  <c r="K42" i="7" s="1"/>
  <c r="F52" i="7"/>
  <c r="K52" i="7" s="1"/>
  <c r="F9" i="5"/>
  <c r="K9" i="5" s="1"/>
  <c r="L9" i="5" s="1"/>
  <c r="M9" i="5" s="1"/>
  <c r="F6" i="6"/>
  <c r="K6" i="6" s="1"/>
  <c r="S16" i="7"/>
  <c r="X16" i="7" s="1"/>
  <c r="S26" i="7"/>
  <c r="X26" i="7" s="1"/>
  <c r="S46" i="7"/>
  <c r="X46" i="7" s="1"/>
  <c r="F13" i="7"/>
  <c r="K13" i="7" s="1"/>
  <c r="F33" i="7"/>
  <c r="K33" i="7" s="1"/>
  <c r="F53" i="7"/>
  <c r="K53" i="7" s="1"/>
  <c r="F10" i="5"/>
  <c r="K10" i="5" s="1"/>
  <c r="L10" i="5" s="1"/>
  <c r="M10" i="5" s="1"/>
  <c r="F17" i="6"/>
  <c r="K17" i="6" s="1"/>
  <c r="L17" i="6" s="1"/>
  <c r="F13" i="8"/>
  <c r="K13" i="8" s="1"/>
  <c r="S27" i="7"/>
  <c r="X27" i="7" s="1"/>
  <c r="S7" i="7"/>
  <c r="X7" i="7" s="1"/>
  <c r="F34" i="7"/>
  <c r="K34" i="7" s="1"/>
  <c r="F54" i="7"/>
  <c r="K54" i="7" s="1"/>
  <c r="F14" i="8"/>
  <c r="K14" i="8" s="1"/>
  <c r="S38" i="7"/>
  <c r="X38" i="7" s="1"/>
  <c r="F15" i="7"/>
  <c r="K15" i="7" s="1"/>
  <c r="F45" i="7"/>
  <c r="K45" i="7" s="1"/>
  <c r="S9" i="7"/>
  <c r="X9" i="7" s="1"/>
  <c r="S39" i="7"/>
  <c r="X39" i="7" s="1"/>
  <c r="S5" i="7"/>
  <c r="X5" i="7" s="1"/>
  <c r="Y5" i="7" s="1"/>
  <c r="Z5" i="7" s="1"/>
  <c r="F36" i="7"/>
  <c r="K36" i="7" s="1"/>
  <c r="F6" i="7"/>
  <c r="K6" i="7" s="1"/>
  <c r="F8" i="6"/>
  <c r="K8" i="6" s="1"/>
  <c r="S30" i="7"/>
  <c r="X30" i="7" s="1"/>
  <c r="F17" i="7"/>
  <c r="K17" i="7" s="1"/>
  <c r="F47" i="7"/>
  <c r="K47" i="7" s="1"/>
  <c r="F7" i="8"/>
  <c r="K7" i="8" s="1"/>
  <c r="F18" i="7"/>
  <c r="K18" i="7" s="1"/>
  <c r="F5" i="5"/>
  <c r="K5" i="5" s="1"/>
  <c r="L5" i="5" s="1"/>
  <c r="M5" i="5" s="1"/>
  <c r="F10" i="6"/>
  <c r="K10" i="6" s="1"/>
  <c r="S22" i="7"/>
  <c r="X22" i="7" s="1"/>
  <c r="S32" i="7"/>
  <c r="X32" i="7" s="1"/>
  <c r="S52" i="7"/>
  <c r="X52" i="7" s="1"/>
  <c r="F19" i="7"/>
  <c r="K19" i="7" s="1"/>
  <c r="F29" i="7"/>
  <c r="K29" i="7" s="1"/>
  <c r="F6" i="5"/>
  <c r="K6" i="5" s="1"/>
  <c r="L6" i="5" s="1"/>
  <c r="M6" i="5" s="1"/>
  <c r="W6" i="7"/>
  <c r="J5" i="8"/>
  <c r="L5" i="7" l="1"/>
  <c r="K21" i="7"/>
  <c r="M11" i="6"/>
  <c r="K4" i="6"/>
  <c r="L4" i="6" s="1"/>
  <c r="M4" i="6" s="1"/>
  <c r="F17" i="4" a="1"/>
  <c r="F17" i="4" s="1"/>
  <c r="K4" i="8"/>
  <c r="L4" i="8" s="1"/>
  <c r="M4" i="8" s="1"/>
  <c r="F18" i="4" a="1"/>
  <c r="F18" i="4" s="1"/>
  <c r="F19" i="4" a="1"/>
  <c r="F19" i="4" s="1"/>
  <c r="K4" i="5"/>
  <c r="L4" i="5" s="1"/>
  <c r="M4" i="5" s="1"/>
  <c r="F16" i="4" a="1"/>
  <c r="F16" i="4" s="1"/>
  <c r="L42" i="7"/>
  <c r="M42" i="7" s="1"/>
  <c r="L5" i="6"/>
  <c r="M5" i="6" s="1"/>
  <c r="L43" i="7"/>
  <c r="M43" i="7" s="1"/>
  <c r="L21" i="7"/>
  <c r="M21" i="7" s="1"/>
  <c r="L49" i="7"/>
  <c r="M49" i="7" s="1"/>
  <c r="L7" i="7"/>
  <c r="M7" i="7" s="1"/>
  <c r="L35" i="7"/>
  <c r="M35" i="7" s="1"/>
  <c r="L20" i="7"/>
  <c r="M20" i="7" s="1"/>
  <c r="L53" i="7"/>
  <c r="M53" i="7" s="1"/>
  <c r="L23" i="7"/>
  <c r="M23" i="7" s="1"/>
  <c r="L37" i="7"/>
  <c r="M37" i="7" s="1"/>
  <c r="L33" i="7"/>
  <c r="M33" i="7" s="1"/>
  <c r="L38" i="7"/>
  <c r="M38" i="7" s="1"/>
  <c r="L15" i="7"/>
  <c r="M15" i="7" s="1"/>
  <c r="L10" i="7"/>
  <c r="M10" i="7" s="1"/>
  <c r="L13" i="7"/>
  <c r="M13" i="7" s="1"/>
  <c r="L9" i="7"/>
  <c r="M9" i="7" s="1"/>
  <c r="L44" i="7"/>
  <c r="M44" i="7" s="1"/>
  <c r="L28" i="7"/>
  <c r="M28" i="7" s="1"/>
  <c r="L26" i="7"/>
  <c r="M26" i="7" s="1"/>
  <c r="L8" i="7"/>
  <c r="M8" i="7" s="1"/>
  <c r="L45" i="7"/>
  <c r="M45" i="7" s="1"/>
  <c r="L11" i="7"/>
  <c r="M11" i="7" s="1"/>
  <c r="L17" i="7"/>
  <c r="M17" i="7" s="1"/>
  <c r="L54" i="7"/>
  <c r="M54" i="7" s="1"/>
  <c r="L14" i="7"/>
  <c r="M14" i="7" s="1"/>
  <c r="L6" i="7"/>
  <c r="M6" i="7" s="1"/>
  <c r="L46" i="7"/>
  <c r="M46" i="7" s="1"/>
  <c r="L6" i="6"/>
  <c r="M6" i="6" s="1"/>
  <c r="L51" i="7"/>
  <c r="M51" i="7" s="1"/>
  <c r="L50" i="7"/>
  <c r="M50" i="7" s="1"/>
  <c r="L47" i="7"/>
  <c r="M47" i="7" s="1"/>
  <c r="L32" i="7"/>
  <c r="M32" i="7" s="1"/>
  <c r="L29" i="7"/>
  <c r="M29" i="7" s="1"/>
  <c r="L22" i="7"/>
  <c r="M22" i="7" s="1"/>
  <c r="L39" i="7"/>
  <c r="M39" i="7" s="1"/>
  <c r="L19" i="7"/>
  <c r="M19" i="7" s="1"/>
  <c r="L12" i="7"/>
  <c r="M12" i="7" s="1"/>
  <c r="L13" i="5"/>
  <c r="M13" i="5" s="1"/>
  <c r="L8" i="6"/>
  <c r="M8" i="6" s="1"/>
  <c r="L34" i="7"/>
  <c r="M34" i="7" s="1"/>
  <c r="L24" i="7"/>
  <c r="M24" i="7" s="1"/>
  <c r="L36" i="7"/>
  <c r="M36" i="7" s="1"/>
  <c r="L48" i="7"/>
  <c r="M48" i="7" s="1"/>
  <c r="L16" i="7"/>
  <c r="M16" i="7" s="1"/>
  <c r="L10" i="6"/>
  <c r="M10" i="6" s="1"/>
  <c r="L14" i="5"/>
  <c r="M14" i="5" s="1"/>
  <c r="L12" i="5"/>
  <c r="M12" i="5" s="1"/>
  <c r="L41" i="7"/>
  <c r="M41" i="7" s="1"/>
  <c r="L7" i="6"/>
  <c r="M7" i="6" s="1"/>
  <c r="L40" i="7"/>
  <c r="M40" i="7" s="1"/>
  <c r="L18" i="7"/>
  <c r="M18" i="7" s="1"/>
  <c r="L52" i="7"/>
  <c r="M52" i="7" s="1"/>
  <c r="L27" i="7"/>
  <c r="M27" i="7" s="1"/>
  <c r="L25" i="7"/>
  <c r="M25" i="7" s="1"/>
  <c r="L31" i="7"/>
  <c r="M31" i="7" s="1"/>
  <c r="L9" i="6"/>
  <c r="M9" i="6" s="1"/>
  <c r="L55" i="7"/>
  <c r="M55" i="7" s="1"/>
  <c r="L30" i="7"/>
  <c r="M30" i="7" s="1"/>
  <c r="L5" i="8"/>
  <c r="M5" i="8" s="1"/>
  <c r="Y6" i="7"/>
  <c r="Z6" i="7" s="1"/>
  <c r="M12" i="6"/>
  <c r="J6" i="8"/>
  <c r="W7" i="7"/>
  <c r="C62" i="10"/>
  <c r="E18" i="10"/>
  <c r="F18" i="10"/>
  <c r="G18" i="10"/>
  <c r="H18" i="10"/>
  <c r="I18" i="10"/>
  <c r="J18" i="10"/>
  <c r="K18" i="10"/>
  <c r="L18" i="10"/>
  <c r="D18" i="10"/>
  <c r="D28" i="10" a="1"/>
  <c r="D28" i="10" s="1"/>
  <c r="M5" i="7" l="1"/>
  <c r="AB5" i="7" s="1"/>
  <c r="F23" i="4" a="1"/>
  <c r="F23" i="4" s="1"/>
  <c r="AB6" i="7"/>
  <c r="F85" i="4" a="1"/>
  <c r="F85" i="4" s="1"/>
  <c r="L6" i="8"/>
  <c r="M6" i="8" s="1"/>
  <c r="M13" i="6"/>
  <c r="J7" i="8"/>
  <c r="W8" i="7"/>
  <c r="BA13" i="13"/>
  <c r="AZ13" i="13"/>
  <c r="AY13" i="13"/>
  <c r="AX13" i="13"/>
  <c r="AW13" i="13"/>
  <c r="AV13" i="13"/>
  <c r="AU13" i="13"/>
  <c r="AT13" i="13"/>
  <c r="BA19" i="13"/>
  <c r="AZ19" i="13"/>
  <c r="AY19" i="13"/>
  <c r="AX19" i="13"/>
  <c r="AW19" i="13"/>
  <c r="AV19" i="13"/>
  <c r="AU19" i="13"/>
  <c r="AT19" i="13"/>
  <c r="BA26" i="13"/>
  <c r="AZ26" i="13"/>
  <c r="AY26" i="13"/>
  <c r="AX26" i="13"/>
  <c r="AW26" i="13"/>
  <c r="AV26" i="13"/>
  <c r="AU26" i="13"/>
  <c r="AT26" i="13"/>
  <c r="BA32" i="13"/>
  <c r="AZ32" i="13"/>
  <c r="AY32" i="13"/>
  <c r="AX32" i="13"/>
  <c r="AW32" i="13"/>
  <c r="AV32" i="13"/>
  <c r="AU32" i="13"/>
  <c r="AT32" i="13"/>
  <c r="N842" i="15"/>
  <c r="N841" i="15"/>
  <c r="N840" i="15"/>
  <c r="N839" i="15"/>
  <c r="N838" i="15"/>
  <c r="N837" i="15"/>
  <c r="N836" i="15"/>
  <c r="N835" i="15"/>
  <c r="N834" i="15"/>
  <c r="N833" i="15"/>
  <c r="N832" i="15"/>
  <c r="N831" i="15"/>
  <c r="N830" i="15"/>
  <c r="N829" i="15"/>
  <c r="N828" i="15"/>
  <c r="N827" i="15"/>
  <c r="N826" i="15"/>
  <c r="N825" i="15"/>
  <c r="N824" i="15"/>
  <c r="N823" i="15"/>
  <c r="N822" i="15"/>
  <c r="N821" i="15"/>
  <c r="N820" i="15"/>
  <c r="N819" i="15"/>
  <c r="N818" i="15"/>
  <c r="N817" i="15"/>
  <c r="N816" i="15"/>
  <c r="N815" i="15"/>
  <c r="N814" i="15"/>
  <c r="N813" i="15"/>
  <c r="N812" i="15"/>
  <c r="N811" i="15"/>
  <c r="N810" i="15"/>
  <c r="N809" i="15"/>
  <c r="N808" i="15"/>
  <c r="N807" i="15"/>
  <c r="N806" i="15"/>
  <c r="N805" i="15"/>
  <c r="N804" i="15"/>
  <c r="N803" i="15"/>
  <c r="N802" i="15"/>
  <c r="N801" i="15"/>
  <c r="N800" i="15"/>
  <c r="N799" i="15"/>
  <c r="N798" i="15"/>
  <c r="N797" i="15"/>
  <c r="N796" i="15"/>
  <c r="N795" i="15"/>
  <c r="N794" i="15"/>
  <c r="N793" i="15"/>
  <c r="N792" i="15"/>
  <c r="N791" i="15"/>
  <c r="N790" i="15"/>
  <c r="N789" i="15"/>
  <c r="N788" i="15"/>
  <c r="N787" i="15"/>
  <c r="N786" i="15"/>
  <c r="N785" i="15"/>
  <c r="N784" i="15"/>
  <c r="N783" i="15"/>
  <c r="N782" i="15"/>
  <c r="N781" i="15"/>
  <c r="N780" i="15"/>
  <c r="N779" i="15"/>
  <c r="N778" i="15"/>
  <c r="N777" i="15"/>
  <c r="N776" i="15"/>
  <c r="N775" i="15"/>
  <c r="N774" i="15"/>
  <c r="N773" i="15"/>
  <c r="N772" i="15"/>
  <c r="N771" i="15"/>
  <c r="N770" i="15"/>
  <c r="N769" i="15"/>
  <c r="N768" i="15"/>
  <c r="N767" i="15"/>
  <c r="N766" i="15"/>
  <c r="N765" i="15"/>
  <c r="N764" i="15"/>
  <c r="N763" i="15"/>
  <c r="N762" i="15"/>
  <c r="N761" i="15"/>
  <c r="N760" i="15"/>
  <c r="N759" i="15"/>
  <c r="N758" i="15"/>
  <c r="N757" i="15"/>
  <c r="N756" i="15"/>
  <c r="N755" i="15"/>
  <c r="N754" i="15"/>
  <c r="N753" i="15"/>
  <c r="N752" i="15"/>
  <c r="N751" i="15"/>
  <c r="N750" i="15"/>
  <c r="N749" i="15"/>
  <c r="N748" i="15"/>
  <c r="N747" i="15"/>
  <c r="N746" i="15"/>
  <c r="N745" i="15"/>
  <c r="N744" i="15"/>
  <c r="N743" i="15"/>
  <c r="N742" i="15"/>
  <c r="N741" i="15"/>
  <c r="N740" i="15"/>
  <c r="N739" i="15"/>
  <c r="N738" i="15"/>
  <c r="N737" i="15"/>
  <c r="N736" i="15"/>
  <c r="N735" i="15"/>
  <c r="N734" i="15"/>
  <c r="N733" i="15"/>
  <c r="N732" i="15"/>
  <c r="N731" i="15"/>
  <c r="N730" i="15"/>
  <c r="N729" i="15"/>
  <c r="N728" i="15"/>
  <c r="N727" i="15"/>
  <c r="N726" i="15"/>
  <c r="N725" i="15"/>
  <c r="N724" i="15"/>
  <c r="N723" i="15"/>
  <c r="N722" i="15"/>
  <c r="N721" i="15"/>
  <c r="N720" i="15"/>
  <c r="N719" i="15"/>
  <c r="N718" i="15"/>
  <c r="N717" i="15"/>
  <c r="N716" i="15"/>
  <c r="N715" i="15"/>
  <c r="N714" i="15"/>
  <c r="N713" i="15"/>
  <c r="N712" i="15"/>
  <c r="N711" i="15"/>
  <c r="N710" i="15"/>
  <c r="N709" i="15"/>
  <c r="N708" i="15"/>
  <c r="N707" i="15"/>
  <c r="N706" i="15"/>
  <c r="N705" i="15"/>
  <c r="N704" i="15"/>
  <c r="N703" i="15"/>
  <c r="N702" i="15"/>
  <c r="N701" i="15"/>
  <c r="N700" i="15"/>
  <c r="N699" i="15"/>
  <c r="N698" i="15"/>
  <c r="N697" i="15"/>
  <c r="N696" i="15"/>
  <c r="N695" i="15"/>
  <c r="N694" i="15"/>
  <c r="N693" i="15"/>
  <c r="N692" i="15"/>
  <c r="N691" i="15"/>
  <c r="N690" i="15"/>
  <c r="N689" i="15"/>
  <c r="N688" i="15"/>
  <c r="N687" i="15"/>
  <c r="N686" i="15"/>
  <c r="N685" i="15"/>
  <c r="N684" i="15"/>
  <c r="N683" i="15"/>
  <c r="N682" i="15"/>
  <c r="N681" i="15"/>
  <c r="N680" i="15"/>
  <c r="N679" i="15"/>
  <c r="N678" i="15"/>
  <c r="N677" i="15"/>
  <c r="N676" i="15"/>
  <c r="N675" i="15"/>
  <c r="N674" i="15"/>
  <c r="N673" i="15"/>
  <c r="N672" i="15"/>
  <c r="N671" i="15"/>
  <c r="N670" i="15"/>
  <c r="N669" i="15"/>
  <c r="N668" i="15"/>
  <c r="N667" i="15"/>
  <c r="N666" i="15"/>
  <c r="N665" i="15"/>
  <c r="N664" i="15"/>
  <c r="N663" i="15"/>
  <c r="N662" i="15"/>
  <c r="N661" i="15"/>
  <c r="N660" i="15"/>
  <c r="N659" i="15"/>
  <c r="N658" i="15"/>
  <c r="N657" i="15"/>
  <c r="N656" i="15"/>
  <c r="N655" i="15"/>
  <c r="N654" i="15"/>
  <c r="N653" i="15"/>
  <c r="N652" i="15"/>
  <c r="N651" i="15"/>
  <c r="N650" i="15"/>
  <c r="N649" i="15"/>
  <c r="N648" i="15"/>
  <c r="N647" i="15"/>
  <c r="N646" i="15"/>
  <c r="N645" i="15"/>
  <c r="N644" i="15"/>
  <c r="N643" i="15"/>
  <c r="N642" i="15"/>
  <c r="N641" i="15"/>
  <c r="N640" i="15"/>
  <c r="N639" i="15"/>
  <c r="N638" i="15"/>
  <c r="N637" i="15"/>
  <c r="N636" i="15"/>
  <c r="N635" i="15"/>
  <c r="N634" i="15"/>
  <c r="N633" i="15"/>
  <c r="N632" i="15"/>
  <c r="N631" i="15"/>
  <c r="N630" i="15"/>
  <c r="N629" i="15"/>
  <c r="N628" i="15"/>
  <c r="N627" i="15"/>
  <c r="N626" i="15"/>
  <c r="N625" i="15"/>
  <c r="N624" i="15"/>
  <c r="N623" i="15"/>
  <c r="N622" i="15"/>
  <c r="N621" i="15"/>
  <c r="N620" i="15"/>
  <c r="N619" i="15"/>
  <c r="N618" i="15"/>
  <c r="N617" i="15"/>
  <c r="N616" i="15"/>
  <c r="N615" i="15"/>
  <c r="N614" i="15"/>
  <c r="N613" i="15"/>
  <c r="N612" i="15"/>
  <c r="N611" i="15"/>
  <c r="N610" i="15"/>
  <c r="N609" i="15"/>
  <c r="N608" i="15"/>
  <c r="N607" i="15"/>
  <c r="N606" i="15"/>
  <c r="N605" i="15"/>
  <c r="N604" i="15"/>
  <c r="N603" i="15"/>
  <c r="N602" i="15"/>
  <c r="N601" i="15"/>
  <c r="N600" i="15"/>
  <c r="N599" i="15"/>
  <c r="N598" i="15"/>
  <c r="N597" i="15"/>
  <c r="N596" i="15"/>
  <c r="N595" i="15"/>
  <c r="N594" i="15"/>
  <c r="N593" i="15"/>
  <c r="N592" i="15"/>
  <c r="N591" i="15"/>
  <c r="N590" i="15"/>
  <c r="N589" i="15"/>
  <c r="N588" i="15"/>
  <c r="N587" i="15"/>
  <c r="N586" i="15"/>
  <c r="N585" i="15"/>
  <c r="N584" i="15"/>
  <c r="N583" i="15"/>
  <c r="N582" i="15"/>
  <c r="N581" i="15"/>
  <c r="N580" i="15"/>
  <c r="N579" i="15"/>
  <c r="N578" i="15"/>
  <c r="N577" i="15"/>
  <c r="N576" i="15"/>
  <c r="N575" i="15"/>
  <c r="N574" i="15"/>
  <c r="N573" i="15"/>
  <c r="N572" i="15"/>
  <c r="N571" i="15"/>
  <c r="N570" i="15"/>
  <c r="N569" i="15"/>
  <c r="N568" i="15"/>
  <c r="N567" i="15"/>
  <c r="N566" i="15"/>
  <c r="N565" i="15"/>
  <c r="N564" i="15"/>
  <c r="N563" i="15"/>
  <c r="N562" i="15"/>
  <c r="N561" i="15"/>
  <c r="N560" i="15"/>
  <c r="N559" i="15"/>
  <c r="N558" i="15"/>
  <c r="N557" i="15"/>
  <c r="N556" i="15"/>
  <c r="N555" i="15"/>
  <c r="N554" i="15"/>
  <c r="N553" i="15"/>
  <c r="N552" i="15"/>
  <c r="N551" i="15"/>
  <c r="N550" i="15"/>
  <c r="N549" i="15"/>
  <c r="N548" i="15"/>
  <c r="N547" i="15"/>
  <c r="N546" i="15"/>
  <c r="N545" i="15"/>
  <c r="N544" i="15"/>
  <c r="N543" i="15"/>
  <c r="N542" i="15"/>
  <c r="N541" i="15"/>
  <c r="N540" i="15"/>
  <c r="N539" i="15"/>
  <c r="N538" i="15"/>
  <c r="N537" i="15"/>
  <c r="N536" i="15"/>
  <c r="N535" i="15"/>
  <c r="N534" i="15"/>
  <c r="N533" i="15"/>
  <c r="N532" i="15"/>
  <c r="N531" i="15"/>
  <c r="N530" i="15"/>
  <c r="N529" i="15"/>
  <c r="N528" i="15"/>
  <c r="N527" i="15"/>
  <c r="N526" i="15"/>
  <c r="N525" i="15"/>
  <c r="N524" i="15"/>
  <c r="N523" i="15"/>
  <c r="N522" i="15"/>
  <c r="N521" i="15"/>
  <c r="N520" i="15"/>
  <c r="N519" i="15"/>
  <c r="N518" i="15"/>
  <c r="N517" i="15"/>
  <c r="N516" i="15"/>
  <c r="N515" i="15"/>
  <c r="N514" i="15"/>
  <c r="N513" i="15"/>
  <c r="N512" i="15"/>
  <c r="N511" i="15"/>
  <c r="N510" i="15"/>
  <c r="N509" i="15"/>
  <c r="N508" i="15"/>
  <c r="N507" i="15"/>
  <c r="N506" i="15"/>
  <c r="N505" i="15"/>
  <c r="N504" i="15"/>
  <c r="N503" i="15"/>
  <c r="N502" i="15"/>
  <c r="N501" i="15"/>
  <c r="N500" i="15"/>
  <c r="N499" i="15"/>
  <c r="N498" i="15"/>
  <c r="N497" i="15"/>
  <c r="N496" i="15"/>
  <c r="N495" i="15"/>
  <c r="N494" i="15"/>
  <c r="N493" i="15"/>
  <c r="N492" i="15"/>
  <c r="N491" i="15"/>
  <c r="N490" i="15"/>
  <c r="N489" i="15"/>
  <c r="N488" i="15"/>
  <c r="N487" i="15"/>
  <c r="N486" i="15"/>
  <c r="N485" i="15"/>
  <c r="N484" i="15"/>
  <c r="N483" i="15"/>
  <c r="N482" i="15"/>
  <c r="N481" i="15"/>
  <c r="N480" i="15"/>
  <c r="N479" i="15"/>
  <c r="N478" i="15"/>
  <c r="N477" i="15"/>
  <c r="N476" i="15"/>
  <c r="N475" i="15"/>
  <c r="N474" i="15"/>
  <c r="N473" i="15"/>
  <c r="N472" i="15"/>
  <c r="N471" i="15"/>
  <c r="N470" i="15"/>
  <c r="N469" i="15"/>
  <c r="N468" i="15"/>
  <c r="N467" i="15"/>
  <c r="N466" i="15"/>
  <c r="N465" i="15"/>
  <c r="N464" i="15"/>
  <c r="N463" i="15"/>
  <c r="N462" i="15"/>
  <c r="N461" i="15"/>
  <c r="N460" i="15"/>
  <c r="N459" i="15"/>
  <c r="N458" i="15"/>
  <c r="N457" i="15"/>
  <c r="N456" i="15"/>
  <c r="N455" i="15"/>
  <c r="N454" i="15"/>
  <c r="N453" i="15"/>
  <c r="N452" i="15"/>
  <c r="N451" i="15"/>
  <c r="N450" i="15"/>
  <c r="N449" i="15"/>
  <c r="N448" i="15"/>
  <c r="N447" i="15"/>
  <c r="N446" i="15"/>
  <c r="N445" i="15"/>
  <c r="N444" i="15"/>
  <c r="N443" i="15"/>
  <c r="N442" i="15"/>
  <c r="N441" i="15"/>
  <c r="N440" i="15"/>
  <c r="N439" i="15"/>
  <c r="N438" i="15"/>
  <c r="N437" i="15"/>
  <c r="N436" i="15"/>
  <c r="N435" i="15"/>
  <c r="N434" i="15"/>
  <c r="N433" i="15"/>
  <c r="N432" i="15"/>
  <c r="N431" i="15"/>
  <c r="N430" i="15"/>
  <c r="N429" i="15"/>
  <c r="N428" i="15"/>
  <c r="N427" i="15"/>
  <c r="N426" i="15"/>
  <c r="N425" i="15"/>
  <c r="N424" i="15"/>
  <c r="N423" i="15"/>
  <c r="N422" i="15"/>
  <c r="N421" i="15"/>
  <c r="N420" i="15"/>
  <c r="N419" i="15"/>
  <c r="N418" i="15"/>
  <c r="N417" i="15"/>
  <c r="N416" i="15"/>
  <c r="N415" i="15"/>
  <c r="N414" i="15"/>
  <c r="N413" i="15"/>
  <c r="N412" i="15"/>
  <c r="N411" i="15"/>
  <c r="N410" i="15"/>
  <c r="N409" i="15"/>
  <c r="N408" i="15"/>
  <c r="N407" i="15"/>
  <c r="N406" i="15"/>
  <c r="N405" i="15"/>
  <c r="N404" i="15"/>
  <c r="N403" i="15"/>
  <c r="N402" i="15"/>
  <c r="N401" i="15"/>
  <c r="N400" i="15"/>
  <c r="N399" i="15"/>
  <c r="N398" i="15"/>
  <c r="N397" i="15"/>
  <c r="N396" i="15"/>
  <c r="N395" i="15"/>
  <c r="N394" i="15"/>
  <c r="N393" i="15"/>
  <c r="N392" i="15"/>
  <c r="N391" i="15"/>
  <c r="N390" i="15"/>
  <c r="N389" i="15"/>
  <c r="N388" i="15"/>
  <c r="N387" i="15"/>
  <c r="N386" i="15"/>
  <c r="N385" i="15"/>
  <c r="N384" i="15"/>
  <c r="N383" i="15"/>
  <c r="N382" i="15"/>
  <c r="N381" i="15"/>
  <c r="N380" i="15"/>
  <c r="N379" i="15"/>
  <c r="N378" i="15"/>
  <c r="N377" i="15"/>
  <c r="N376" i="15"/>
  <c r="N375" i="15"/>
  <c r="N374" i="15"/>
  <c r="N373" i="15"/>
  <c r="N372" i="15"/>
  <c r="N371" i="15"/>
  <c r="N370" i="15"/>
  <c r="N369" i="15"/>
  <c r="N368" i="15"/>
  <c r="N367" i="15"/>
  <c r="N366" i="15"/>
  <c r="N365" i="15"/>
  <c r="N364" i="15"/>
  <c r="N363" i="15"/>
  <c r="N362" i="15"/>
  <c r="N361" i="15"/>
  <c r="N360" i="15"/>
  <c r="N359" i="15"/>
  <c r="N358" i="15"/>
  <c r="N357" i="15"/>
  <c r="N356" i="15"/>
  <c r="N355" i="15"/>
  <c r="N354" i="15"/>
  <c r="N353" i="15"/>
  <c r="N352" i="15"/>
  <c r="N351" i="15"/>
  <c r="N350" i="15"/>
  <c r="N349" i="15"/>
  <c r="N348" i="15"/>
  <c r="N347" i="15"/>
  <c r="N346" i="15"/>
  <c r="N345" i="15"/>
  <c r="N344" i="15"/>
  <c r="N343" i="15"/>
  <c r="N342" i="15"/>
  <c r="N341" i="15"/>
  <c r="N340" i="15"/>
  <c r="N339" i="15"/>
  <c r="N338" i="15"/>
  <c r="N337" i="15"/>
  <c r="N336" i="15"/>
  <c r="N335" i="15"/>
  <c r="N334" i="15"/>
  <c r="N333" i="15"/>
  <c r="N332" i="15"/>
  <c r="N331" i="15"/>
  <c r="N330" i="15"/>
  <c r="N329" i="15"/>
  <c r="N328" i="15"/>
  <c r="N327" i="15"/>
  <c r="N326" i="15"/>
  <c r="N325" i="15"/>
  <c r="N324" i="15"/>
  <c r="N323" i="15"/>
  <c r="N322" i="15"/>
  <c r="N321" i="15"/>
  <c r="N320" i="15"/>
  <c r="N319" i="15"/>
  <c r="N318" i="15"/>
  <c r="N317" i="15"/>
  <c r="N316" i="15"/>
  <c r="N315" i="15"/>
  <c r="N314" i="15"/>
  <c r="N313" i="15"/>
  <c r="N312" i="15"/>
  <c r="N311" i="15"/>
  <c r="N310" i="15"/>
  <c r="N309" i="15"/>
  <c r="N308" i="15"/>
  <c r="N307" i="15"/>
  <c r="N306" i="15"/>
  <c r="N305" i="15"/>
  <c r="N304" i="15"/>
  <c r="N303" i="15"/>
  <c r="N302" i="15"/>
  <c r="N301" i="15"/>
  <c r="N300" i="15"/>
  <c r="N299" i="15"/>
  <c r="N298" i="15"/>
  <c r="N297" i="15"/>
  <c r="N296" i="15"/>
  <c r="N295" i="15"/>
  <c r="N294" i="15"/>
  <c r="N293" i="15"/>
  <c r="N292" i="15"/>
  <c r="N291" i="15"/>
  <c r="N290" i="15"/>
  <c r="N289" i="15"/>
  <c r="N288" i="15"/>
  <c r="N287" i="15"/>
  <c r="N286" i="15"/>
  <c r="N285" i="15"/>
  <c r="N284" i="15"/>
  <c r="N283" i="15"/>
  <c r="N282" i="15"/>
  <c r="N281" i="15"/>
  <c r="N280" i="15"/>
  <c r="N279" i="15"/>
  <c r="N278" i="15"/>
  <c r="N277" i="15"/>
  <c r="N276" i="15"/>
  <c r="N275" i="15"/>
  <c r="N274" i="15"/>
  <c r="N273" i="15"/>
  <c r="N272" i="15"/>
  <c r="N271" i="15"/>
  <c r="N270" i="15"/>
  <c r="N269" i="15"/>
  <c r="N268" i="15"/>
  <c r="N267" i="15"/>
  <c r="N266" i="15"/>
  <c r="N265" i="15"/>
  <c r="N264" i="15"/>
  <c r="N263" i="15"/>
  <c r="N262" i="15"/>
  <c r="N261" i="15"/>
  <c r="N260" i="15"/>
  <c r="N259" i="15"/>
  <c r="N258" i="15"/>
  <c r="N257" i="15"/>
  <c r="N256" i="15"/>
  <c r="N255" i="15"/>
  <c r="N254" i="15"/>
  <c r="N253" i="15"/>
  <c r="N252" i="15"/>
  <c r="N251" i="15"/>
  <c r="N250" i="15"/>
  <c r="N249" i="15"/>
  <c r="N248" i="15"/>
  <c r="N247" i="15"/>
  <c r="N246" i="15"/>
  <c r="N245" i="15"/>
  <c r="N244" i="15"/>
  <c r="N243" i="15"/>
  <c r="N242" i="15"/>
  <c r="N241" i="15"/>
  <c r="N240" i="15"/>
  <c r="N239" i="15"/>
  <c r="N238" i="15"/>
  <c r="N237" i="15"/>
  <c r="N236" i="15"/>
  <c r="N235" i="15"/>
  <c r="N234" i="15"/>
  <c r="N233" i="15"/>
  <c r="N232" i="15"/>
  <c r="N231" i="15"/>
  <c r="N230" i="15"/>
  <c r="N229" i="15"/>
  <c r="N228" i="15"/>
  <c r="N227" i="15"/>
  <c r="N226" i="15"/>
  <c r="N225" i="15"/>
  <c r="N224" i="15"/>
  <c r="N223" i="15"/>
  <c r="N222" i="15"/>
  <c r="N221" i="15"/>
  <c r="N220" i="15"/>
  <c r="N219" i="15"/>
  <c r="N218" i="15"/>
  <c r="N217" i="15"/>
  <c r="N216" i="15"/>
  <c r="N215" i="15"/>
  <c r="N214" i="15"/>
  <c r="N213" i="15"/>
  <c r="N212" i="15"/>
  <c r="N211" i="15"/>
  <c r="N210" i="15"/>
  <c r="N209" i="15"/>
  <c r="N208" i="15"/>
  <c r="N207" i="15"/>
  <c r="N206" i="15"/>
  <c r="N205" i="15"/>
  <c r="N204" i="15"/>
  <c r="N203" i="15"/>
  <c r="N202" i="15"/>
  <c r="N201" i="15"/>
  <c r="N200" i="15"/>
  <c r="N199" i="15"/>
  <c r="N198" i="15"/>
  <c r="N197" i="15"/>
  <c r="N196" i="15"/>
  <c r="N195" i="15"/>
  <c r="N194" i="15"/>
  <c r="N193" i="15"/>
  <c r="N192" i="15"/>
  <c r="N191" i="15"/>
  <c r="N190" i="15"/>
  <c r="N189" i="15"/>
  <c r="N188" i="15"/>
  <c r="N187" i="15"/>
  <c r="N186" i="15"/>
  <c r="N185" i="15"/>
  <c r="N184" i="15"/>
  <c r="N183" i="15"/>
  <c r="N182" i="15"/>
  <c r="N181" i="15"/>
  <c r="N180" i="15"/>
  <c r="N179" i="15"/>
  <c r="N178" i="15"/>
  <c r="N177" i="15"/>
  <c r="N176" i="15"/>
  <c r="N175" i="15"/>
  <c r="N174" i="15"/>
  <c r="N173" i="15"/>
  <c r="N172" i="15"/>
  <c r="N171" i="15"/>
  <c r="N170" i="15"/>
  <c r="N169" i="15"/>
  <c r="N168" i="15"/>
  <c r="N167" i="15"/>
  <c r="N166" i="15"/>
  <c r="N165" i="15"/>
  <c r="N164" i="15"/>
  <c r="N163" i="15"/>
  <c r="N162" i="15"/>
  <c r="N161" i="15"/>
  <c r="N160" i="15"/>
  <c r="N159" i="15"/>
  <c r="N158" i="15"/>
  <c r="N157" i="15"/>
  <c r="N156" i="15"/>
  <c r="N155" i="15"/>
  <c r="N154" i="15"/>
  <c r="N153" i="15"/>
  <c r="N152" i="15"/>
  <c r="N151" i="15"/>
  <c r="N150" i="15"/>
  <c r="N149" i="15"/>
  <c r="N148" i="15"/>
  <c r="N147" i="15"/>
  <c r="N146" i="15"/>
  <c r="N145" i="15"/>
  <c r="N144" i="15"/>
  <c r="N143" i="15"/>
  <c r="N142" i="15"/>
  <c r="N141" i="15"/>
  <c r="N140" i="15"/>
  <c r="N139" i="15"/>
  <c r="N138" i="15"/>
  <c r="N137" i="15"/>
  <c r="N136" i="15"/>
  <c r="N135" i="15"/>
  <c r="N134" i="15"/>
  <c r="N133" i="15"/>
  <c r="N132" i="15"/>
  <c r="N131" i="15"/>
  <c r="N130" i="15"/>
  <c r="N129" i="15"/>
  <c r="N128" i="15"/>
  <c r="N127" i="15"/>
  <c r="N126" i="15"/>
  <c r="N125" i="15"/>
  <c r="N124" i="15"/>
  <c r="N123" i="15"/>
  <c r="N122" i="15"/>
  <c r="N121" i="15"/>
  <c r="N120" i="15"/>
  <c r="N119" i="15"/>
  <c r="N118" i="15"/>
  <c r="N117" i="15"/>
  <c r="N116" i="15"/>
  <c r="N115" i="15"/>
  <c r="N114" i="15"/>
  <c r="N113" i="15"/>
  <c r="N112" i="15"/>
  <c r="N111" i="15"/>
  <c r="N110" i="15"/>
  <c r="N109" i="15"/>
  <c r="N108" i="15"/>
  <c r="N107" i="15"/>
  <c r="N106" i="15"/>
  <c r="N105" i="15"/>
  <c r="N104" i="15"/>
  <c r="N103" i="15"/>
  <c r="N102" i="15"/>
  <c r="N101" i="15"/>
  <c r="N100" i="15"/>
  <c r="N99" i="15"/>
  <c r="N98" i="15"/>
  <c r="N97" i="15"/>
  <c r="N96" i="15"/>
  <c r="N95" i="15"/>
  <c r="N94" i="15"/>
  <c r="N93" i="15"/>
  <c r="N92" i="15"/>
  <c r="N91" i="15"/>
  <c r="N90" i="15"/>
  <c r="N89" i="15"/>
  <c r="N88" i="15"/>
  <c r="N87" i="15"/>
  <c r="N86" i="15"/>
  <c r="N85" i="15"/>
  <c r="N84" i="15"/>
  <c r="N83" i="15"/>
  <c r="N82" i="15"/>
  <c r="N81" i="15"/>
  <c r="N80" i="15"/>
  <c r="N79" i="15"/>
  <c r="N78" i="15"/>
  <c r="N77" i="15"/>
  <c r="N76" i="15"/>
  <c r="N75" i="15"/>
  <c r="N74" i="15"/>
  <c r="N73" i="15"/>
  <c r="N72" i="15"/>
  <c r="N71" i="15"/>
  <c r="N70" i="15"/>
  <c r="N69" i="15"/>
  <c r="N68" i="15"/>
  <c r="N67" i="15"/>
  <c r="N66" i="15"/>
  <c r="N65" i="15"/>
  <c r="N64" i="15"/>
  <c r="N63" i="15"/>
  <c r="N62" i="15"/>
  <c r="N61" i="15"/>
  <c r="N60" i="15"/>
  <c r="N59" i="15"/>
  <c r="N58" i="15"/>
  <c r="N57" i="15"/>
  <c r="N56" i="15"/>
  <c r="N55" i="15"/>
  <c r="N54" i="15"/>
  <c r="N53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N29" i="15"/>
  <c r="N28" i="15"/>
  <c r="N27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N4" i="15"/>
  <c r="N3" i="15"/>
  <c r="N2" i="15"/>
  <c r="D77" i="14"/>
  <c r="E77" i="14" s="1"/>
  <c r="F77" i="14" s="1"/>
  <c r="G77" i="14" s="1"/>
  <c r="H77" i="14" s="1"/>
  <c r="I77" i="14" s="1"/>
  <c r="J77" i="14" s="1"/>
  <c r="K77" i="14" s="1"/>
  <c r="L77" i="14" s="1"/>
  <c r="AP72" i="14"/>
  <c r="AO72" i="14"/>
  <c r="AN72" i="14"/>
  <c r="AM72" i="14"/>
  <c r="AL72" i="14"/>
  <c r="AK72" i="14"/>
  <c r="AJ72" i="14"/>
  <c r="AI72" i="14"/>
  <c r="AH72" i="14"/>
  <c r="AG72" i="14"/>
  <c r="AF72" i="14"/>
  <c r="AE72" i="14"/>
  <c r="AD72" i="14"/>
  <c r="AC72" i="14"/>
  <c r="AB72" i="14"/>
  <c r="AA72" i="14"/>
  <c r="Z72" i="14"/>
  <c r="Y72" i="14"/>
  <c r="X72" i="14"/>
  <c r="W72" i="14"/>
  <c r="V72" i="14"/>
  <c r="U72" i="14"/>
  <c r="T72" i="14"/>
  <c r="S72" i="14"/>
  <c r="R72" i="14"/>
  <c r="Q72" i="14"/>
  <c r="P72" i="14"/>
  <c r="O72" i="14"/>
  <c r="N72" i="14"/>
  <c r="M72" i="14"/>
  <c r="L72" i="14"/>
  <c r="C72" i="14"/>
  <c r="C74" i="14" s="1"/>
  <c r="D66" i="14"/>
  <c r="J71" i="14" s="1"/>
  <c r="D65" i="14"/>
  <c r="J70" i="14" s="1"/>
  <c r="D64" i="14"/>
  <c r="J69" i="14" s="1"/>
  <c r="C55" i="14"/>
  <c r="D55" i="14" s="1"/>
  <c r="E55" i="14" s="1"/>
  <c r="F55" i="14" s="1"/>
  <c r="G55" i="14" s="1"/>
  <c r="H55" i="14" s="1"/>
  <c r="I55" i="14" s="1"/>
  <c r="J55" i="14" s="1"/>
  <c r="K55" i="14" s="1"/>
  <c r="AQ12" i="10"/>
  <c r="AQ21" i="10" s="1"/>
  <c r="AP12" i="10"/>
  <c r="AP21" i="10" s="1"/>
  <c r="AO12" i="10"/>
  <c r="AM12" i="10"/>
  <c r="AQ44" i="14"/>
  <c r="AK44" i="14"/>
  <c r="AL12" i="10" s="1"/>
  <c r="AJ44" i="14"/>
  <c r="AK12" i="10" s="1"/>
  <c r="AI44" i="14"/>
  <c r="AJ12" i="10" s="1"/>
  <c r="AH44" i="14"/>
  <c r="AI12" i="10" s="1"/>
  <c r="AG44" i="14"/>
  <c r="AH12" i="10" s="1"/>
  <c r="AF44" i="14"/>
  <c r="AG12" i="10" s="1"/>
  <c r="AC44" i="14"/>
  <c r="AD12" i="10" s="1"/>
  <c r="AB44" i="14"/>
  <c r="AC12" i="10" s="1"/>
  <c r="AA44" i="14"/>
  <c r="AB12" i="10" s="1"/>
  <c r="Z44" i="14"/>
  <c r="AA12" i="10" s="1"/>
  <c r="Y44" i="14"/>
  <c r="Z12" i="10" s="1"/>
  <c r="X44" i="14"/>
  <c r="Y12" i="10" s="1"/>
  <c r="W44" i="14"/>
  <c r="X12" i="10" s="1"/>
  <c r="T44" i="14"/>
  <c r="U12" i="10" s="1"/>
  <c r="S44" i="14"/>
  <c r="T12" i="10" s="1"/>
  <c r="R44" i="14"/>
  <c r="S12" i="10" s="1"/>
  <c r="Q44" i="14"/>
  <c r="R12" i="10" s="1"/>
  <c r="P44" i="14"/>
  <c r="Q12" i="10" s="1"/>
  <c r="O44" i="14"/>
  <c r="P12" i="10" s="1"/>
  <c r="N44" i="14"/>
  <c r="O12" i="10" s="1"/>
  <c r="AP43" i="14"/>
  <c r="AO43" i="14"/>
  <c r="AN43" i="14"/>
  <c r="AM43" i="14"/>
  <c r="AL43" i="14"/>
  <c r="AK43" i="14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AP42" i="14"/>
  <c r="AO42" i="14"/>
  <c r="AN42" i="14"/>
  <c r="AM42" i="14"/>
  <c r="AL42" i="14"/>
  <c r="AK42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AP41" i="14"/>
  <c r="AO41" i="14"/>
  <c r="AN41" i="14"/>
  <c r="AM41" i="14"/>
  <c r="AL41" i="14"/>
  <c r="AK41" i="14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AP40" i="14"/>
  <c r="AO40" i="14"/>
  <c r="AN40" i="14"/>
  <c r="AM40" i="14"/>
  <c r="AL40" i="14"/>
  <c r="AK40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AP39" i="14"/>
  <c r="AO39" i="14"/>
  <c r="AN39" i="14"/>
  <c r="AM39" i="14"/>
  <c r="AL39" i="14"/>
  <c r="AK39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AP38" i="14"/>
  <c r="AO38" i="14"/>
  <c r="AN38" i="14"/>
  <c r="AM38" i="14"/>
  <c r="AL38" i="14"/>
  <c r="AK38" i="14"/>
  <c r="AJ38" i="14"/>
  <c r="AI38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C28" i="14"/>
  <c r="K26" i="14"/>
  <c r="J26" i="14"/>
  <c r="I26" i="14"/>
  <c r="H26" i="14"/>
  <c r="G26" i="14"/>
  <c r="F26" i="14"/>
  <c r="E26" i="14"/>
  <c r="D26" i="14"/>
  <c r="C26" i="14"/>
  <c r="AD25" i="14"/>
  <c r="AD19" i="14" s="1"/>
  <c r="AC25" i="14"/>
  <c r="AC19" i="14" s="1"/>
  <c r="AB25" i="14"/>
  <c r="AB19" i="14" s="1"/>
  <c r="AP25" i="14" s="1"/>
  <c r="AP19" i="14" s="1"/>
  <c r="AA25" i="14"/>
  <c r="AA19" i="14" s="1"/>
  <c r="AO25" i="14" s="1"/>
  <c r="AO19" i="14" s="1"/>
  <c r="Z25" i="14"/>
  <c r="Z19" i="14" s="1"/>
  <c r="AN25" i="14" s="1"/>
  <c r="AN19" i="14" s="1"/>
  <c r="V24" i="14"/>
  <c r="V18" i="14" s="1"/>
  <c r="AF24" i="14" s="1"/>
  <c r="AF18" i="14" s="1"/>
  <c r="AP24" i="14" s="1"/>
  <c r="AP18" i="14" s="1"/>
  <c r="AQ20" i="14"/>
  <c r="K19" i="14"/>
  <c r="Y25" i="14" s="1"/>
  <c r="Y19" i="14" s="1"/>
  <c r="AM25" i="14" s="1"/>
  <c r="AM19" i="14" s="1"/>
  <c r="J19" i="14"/>
  <c r="N222" i="10" s="1"/>
  <c r="I19" i="14"/>
  <c r="W25" i="14" s="1"/>
  <c r="W19" i="14" s="1"/>
  <c r="AK25" i="14" s="1"/>
  <c r="AK19" i="14" s="1"/>
  <c r="H19" i="14"/>
  <c r="V25" i="14" s="1"/>
  <c r="V19" i="14" s="1"/>
  <c r="AJ25" i="14" s="1"/>
  <c r="AJ19" i="14" s="1"/>
  <c r="G19" i="14"/>
  <c r="U25" i="14" s="1"/>
  <c r="U19" i="14" s="1"/>
  <c r="AI25" i="14" s="1"/>
  <c r="AI19" i="14" s="1"/>
  <c r="F19" i="14"/>
  <c r="T25" i="14" s="1"/>
  <c r="T19" i="14" s="1"/>
  <c r="AH25" i="14" s="1"/>
  <c r="AH19" i="14" s="1"/>
  <c r="E19" i="14"/>
  <c r="S25" i="14" s="1"/>
  <c r="S19" i="14" s="1"/>
  <c r="AG25" i="14" s="1"/>
  <c r="AG19" i="14" s="1"/>
  <c r="D19" i="14"/>
  <c r="R25" i="14" s="1"/>
  <c r="R19" i="14" s="1"/>
  <c r="AF25" i="14" s="1"/>
  <c r="AF19" i="14" s="1"/>
  <c r="C19" i="14"/>
  <c r="Q25" i="14" s="1"/>
  <c r="Q19" i="14" s="1"/>
  <c r="AE25" i="14" s="1"/>
  <c r="AE19" i="14" s="1"/>
  <c r="K18" i="14"/>
  <c r="U24" i="14" s="1"/>
  <c r="U18" i="14" s="1"/>
  <c r="AE24" i="14" s="1"/>
  <c r="AE18" i="14" s="1"/>
  <c r="AO24" i="14" s="1"/>
  <c r="AO18" i="14" s="1"/>
  <c r="J18" i="14"/>
  <c r="T24" i="14" s="1"/>
  <c r="T18" i="14" s="1"/>
  <c r="AD24" i="14" s="1"/>
  <c r="AD18" i="14" s="1"/>
  <c r="AN24" i="14" s="1"/>
  <c r="AN18" i="14" s="1"/>
  <c r="I18" i="14"/>
  <c r="S24" i="14" s="1"/>
  <c r="S18" i="14" s="1"/>
  <c r="AC24" i="14" s="1"/>
  <c r="AC18" i="14" s="1"/>
  <c r="AM24" i="14" s="1"/>
  <c r="AM18" i="14" s="1"/>
  <c r="H18" i="14"/>
  <c r="R24" i="14" s="1"/>
  <c r="R18" i="14" s="1"/>
  <c r="AB24" i="14" s="1"/>
  <c r="AB18" i="14" s="1"/>
  <c r="AL24" i="14" s="1"/>
  <c r="AL18" i="14" s="1"/>
  <c r="G18" i="14"/>
  <c r="Q24" i="14" s="1"/>
  <c r="Q18" i="14" s="1"/>
  <c r="AA24" i="14" s="1"/>
  <c r="AA18" i="14" s="1"/>
  <c r="AK24" i="14" s="1"/>
  <c r="AK18" i="14" s="1"/>
  <c r="F18" i="14"/>
  <c r="P24" i="14" s="1"/>
  <c r="P18" i="14" s="1"/>
  <c r="Z24" i="14" s="1"/>
  <c r="Z18" i="14" s="1"/>
  <c r="AJ24" i="14" s="1"/>
  <c r="AJ18" i="14" s="1"/>
  <c r="E18" i="14"/>
  <c r="I171" i="10" s="1"/>
  <c r="D18" i="14"/>
  <c r="N24" i="14" s="1"/>
  <c r="N18" i="14" s="1"/>
  <c r="X24" i="14" s="1"/>
  <c r="X18" i="14" s="1"/>
  <c r="AH24" i="14" s="1"/>
  <c r="AH18" i="14" s="1"/>
  <c r="C18" i="14"/>
  <c r="M24" i="14" s="1"/>
  <c r="M18" i="14" s="1"/>
  <c r="W24" i="14" s="1"/>
  <c r="W18" i="14" s="1"/>
  <c r="AG24" i="14" s="1"/>
  <c r="AG18" i="14" s="1"/>
  <c r="K17" i="14"/>
  <c r="J17" i="14"/>
  <c r="I17" i="14"/>
  <c r="H17" i="14"/>
  <c r="G17" i="14"/>
  <c r="K120" i="10" s="1"/>
  <c r="F17" i="14"/>
  <c r="J120" i="10" s="1"/>
  <c r="E17" i="14"/>
  <c r="D17" i="14"/>
  <c r="M23" i="14" s="1"/>
  <c r="C17" i="14"/>
  <c r="G120" i="10" s="1"/>
  <c r="C10" i="14"/>
  <c r="D10" i="14" s="1"/>
  <c r="E10" i="14" s="1"/>
  <c r="F10" i="14" s="1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Z10" i="14" s="1"/>
  <c r="AA10" i="14" s="1"/>
  <c r="AB10" i="14" s="1"/>
  <c r="AC10" i="14" s="1"/>
  <c r="AD10" i="14" s="1"/>
  <c r="AE10" i="14" s="1"/>
  <c r="AF10" i="14" s="1"/>
  <c r="AG10" i="14" s="1"/>
  <c r="AH10" i="14" s="1"/>
  <c r="AI10" i="14" s="1"/>
  <c r="AJ10" i="14" s="1"/>
  <c r="AK10" i="14" s="1"/>
  <c r="AL10" i="14" s="1"/>
  <c r="AM10" i="14" s="1"/>
  <c r="AN10" i="14" s="1"/>
  <c r="AO10" i="14" s="1"/>
  <c r="AP10" i="14" s="1"/>
  <c r="AQ8" i="10" s="1"/>
  <c r="AQ9" i="14"/>
  <c r="BA30" i="13"/>
  <c r="AZ30" i="13"/>
  <c r="AY30" i="13"/>
  <c r="AX30" i="13"/>
  <c r="AW30" i="13"/>
  <c r="AV30" i="13"/>
  <c r="AU30" i="13"/>
  <c r="AT30" i="13"/>
  <c r="AS30" i="13"/>
  <c r="AR30" i="13"/>
  <c r="AQ30" i="13"/>
  <c r="AP30" i="13"/>
  <c r="AO30" i="13"/>
  <c r="BA29" i="13"/>
  <c r="AZ29" i="13"/>
  <c r="AY29" i="13"/>
  <c r="AX29" i="13"/>
  <c r="AW29" i="13"/>
  <c r="AV29" i="13"/>
  <c r="AU29" i="13"/>
  <c r="AT29" i="13"/>
  <c r="AS29" i="13"/>
  <c r="AR29" i="13"/>
  <c r="AQ29" i="13"/>
  <c r="AP29" i="13"/>
  <c r="AO29" i="13"/>
  <c r="L24" i="13"/>
  <c r="M24" i="13" s="1"/>
  <c r="N24" i="13" s="1"/>
  <c r="O24" i="13" s="1"/>
  <c r="P24" i="13" s="1"/>
  <c r="Q24" i="13" s="1"/>
  <c r="R24" i="13" s="1"/>
  <c r="S24" i="13" s="1"/>
  <c r="T24" i="13" s="1"/>
  <c r="U24" i="13" s="1"/>
  <c r="V24" i="13" s="1"/>
  <c r="W24" i="13" s="1"/>
  <c r="X24" i="13" s="1"/>
  <c r="Y24" i="13" s="1"/>
  <c r="Z24" i="13" s="1"/>
  <c r="AA24" i="13" s="1"/>
  <c r="AB24" i="13" s="1"/>
  <c r="AC24" i="13" s="1"/>
  <c r="AD24" i="13" s="1"/>
  <c r="AE24" i="13" s="1"/>
  <c r="AF24" i="13" s="1"/>
  <c r="AG24" i="13" s="1"/>
  <c r="AH24" i="13" s="1"/>
  <c r="AI24" i="13" s="1"/>
  <c r="AJ24" i="13" s="1"/>
  <c r="AK24" i="13" s="1"/>
  <c r="AL24" i="13" s="1"/>
  <c r="AM24" i="13" s="1"/>
  <c r="AN24" i="13" s="1"/>
  <c r="AO24" i="13" s="1"/>
  <c r="AP24" i="13" s="1"/>
  <c r="AQ24" i="13" s="1"/>
  <c r="AR24" i="13" s="1"/>
  <c r="AS24" i="13" s="1"/>
  <c r="AT24" i="13" s="1"/>
  <c r="AU24" i="13" s="1"/>
  <c r="AV24" i="13" s="1"/>
  <c r="AW24" i="13" s="1"/>
  <c r="AX24" i="13" s="1"/>
  <c r="AY24" i="13" s="1"/>
  <c r="AZ24" i="13" s="1"/>
  <c r="BA24" i="13" s="1"/>
  <c r="L23" i="13"/>
  <c r="M23" i="13" s="1"/>
  <c r="N23" i="13" s="1"/>
  <c r="O23" i="13" s="1"/>
  <c r="AG17" i="13"/>
  <c r="AU17" i="13" s="1"/>
  <c r="AF17" i="13"/>
  <c r="AT17" i="13" s="1"/>
  <c r="AE17" i="13"/>
  <c r="AS17" i="13" s="1"/>
  <c r="AD17" i="13"/>
  <c r="AR17" i="13" s="1"/>
  <c r="AC17" i="13"/>
  <c r="AB17" i="13"/>
  <c r="AP17" i="13" s="1"/>
  <c r="AA17" i="13"/>
  <c r="AO17" i="13" s="1"/>
  <c r="Z17" i="13"/>
  <c r="AN17" i="13" s="1"/>
  <c r="Y17" i="13"/>
  <c r="AM17" i="13" s="1"/>
  <c r="BA17" i="13" s="1"/>
  <c r="X17" i="13"/>
  <c r="AL17" i="13" s="1"/>
  <c r="AZ17" i="13" s="1"/>
  <c r="W17" i="13"/>
  <c r="AK17" i="13" s="1"/>
  <c r="AY17" i="13" s="1"/>
  <c r="V17" i="13"/>
  <c r="AJ17" i="13" s="1"/>
  <c r="AX17" i="13" s="1"/>
  <c r="U17" i="13"/>
  <c r="T17" i="13"/>
  <c r="AH17" i="13" s="1"/>
  <c r="AV17" i="13" s="1"/>
  <c r="AG16" i="13"/>
  <c r="AU16" i="13" s="1"/>
  <c r="AF16" i="13"/>
  <c r="AT16" i="13" s="1"/>
  <c r="AE16" i="13"/>
  <c r="AD16" i="13"/>
  <c r="AR16" i="13" s="1"/>
  <c r="AC16" i="13"/>
  <c r="AQ16" i="13" s="1"/>
  <c r="AB16" i="13"/>
  <c r="AP16" i="13" s="1"/>
  <c r="AA16" i="13"/>
  <c r="AO16" i="13" s="1"/>
  <c r="Z16" i="13"/>
  <c r="AN16" i="13" s="1"/>
  <c r="Y16" i="13"/>
  <c r="AM16" i="13" s="1"/>
  <c r="BA16" i="13" s="1"/>
  <c r="X16" i="13"/>
  <c r="AL16" i="13" s="1"/>
  <c r="W16" i="13"/>
  <c r="V16" i="13"/>
  <c r="AJ16" i="13" s="1"/>
  <c r="AX16" i="13" s="1"/>
  <c r="U16" i="13"/>
  <c r="AI16" i="13" s="1"/>
  <c r="AW16" i="13" s="1"/>
  <c r="T16" i="13"/>
  <c r="AH16" i="13" s="1"/>
  <c r="AV16" i="13" s="1"/>
  <c r="AF11" i="13"/>
  <c r="AQ11" i="13" s="1"/>
  <c r="AA11" i="13"/>
  <c r="AL11" i="13" s="1"/>
  <c r="AW11" i="13" s="1"/>
  <c r="Z11" i="13"/>
  <c r="AK11" i="13" s="1"/>
  <c r="AV11" i="13" s="1"/>
  <c r="Y11" i="13"/>
  <c r="X11" i="13"/>
  <c r="AI11" i="13" s="1"/>
  <c r="AT11" i="13" s="1"/>
  <c r="W11" i="13"/>
  <c r="AH11" i="13" s="1"/>
  <c r="AS11" i="13" s="1"/>
  <c r="V11" i="13"/>
  <c r="AG11" i="13" s="1"/>
  <c r="AR11" i="13" s="1"/>
  <c r="U11" i="13"/>
  <c r="T11" i="13"/>
  <c r="AE11" i="13" s="1"/>
  <c r="AP11" i="13" s="1"/>
  <c r="BA11" i="13" s="1"/>
  <c r="S11" i="13"/>
  <c r="AD11" i="13" s="1"/>
  <c r="AO11" i="13" s="1"/>
  <c r="AZ11" i="13" s="1"/>
  <c r="R11" i="13"/>
  <c r="AC11" i="13" s="1"/>
  <c r="AN11" i="13" s="1"/>
  <c r="AY11" i="13" s="1"/>
  <c r="Q11" i="13"/>
  <c r="AA10" i="13"/>
  <c r="Z10" i="13"/>
  <c r="AK10" i="13" s="1"/>
  <c r="Y10" i="13"/>
  <c r="AJ10" i="13" s="1"/>
  <c r="X10" i="13"/>
  <c r="W10" i="13"/>
  <c r="AH10" i="13" s="1"/>
  <c r="AS10" i="13" s="1"/>
  <c r="V10" i="13"/>
  <c r="U10" i="13"/>
  <c r="T10" i="13"/>
  <c r="S10" i="13"/>
  <c r="R10" i="13"/>
  <c r="AC10" i="13" s="1"/>
  <c r="Q10" i="13"/>
  <c r="AB10" i="13" s="1"/>
  <c r="AM10" i="13" s="1"/>
  <c r="AA5" i="13"/>
  <c r="AL5" i="13" s="1"/>
  <c r="AW5" i="13" s="1"/>
  <c r="Z5" i="13"/>
  <c r="AK5" i="13" s="1"/>
  <c r="AV5" i="13" s="1"/>
  <c r="Y5" i="13"/>
  <c r="AJ5" i="13" s="1"/>
  <c r="AU5" i="13" s="1"/>
  <c r="X5" i="13"/>
  <c r="AI5" i="13" s="1"/>
  <c r="AT5" i="13" s="1"/>
  <c r="W5" i="13"/>
  <c r="AH5" i="13" s="1"/>
  <c r="AS5" i="13" s="1"/>
  <c r="V5" i="13"/>
  <c r="AG5" i="13" s="1"/>
  <c r="AR5" i="13" s="1"/>
  <c r="U5" i="13"/>
  <c r="AF5" i="13" s="1"/>
  <c r="AQ5" i="13" s="1"/>
  <c r="T5" i="13"/>
  <c r="AE5" i="13" s="1"/>
  <c r="AP5" i="13" s="1"/>
  <c r="BA5" i="13" s="1"/>
  <c r="S5" i="13"/>
  <c r="AD5" i="13" s="1"/>
  <c r="AO5" i="13" s="1"/>
  <c r="AZ5" i="13" s="1"/>
  <c r="R5" i="13"/>
  <c r="AC5" i="13" s="1"/>
  <c r="AN5" i="13" s="1"/>
  <c r="AY5" i="13" s="1"/>
  <c r="Q5" i="13"/>
  <c r="AB5" i="13" s="1"/>
  <c r="AM5" i="13" s="1"/>
  <c r="AX5" i="13" s="1"/>
  <c r="AA4" i="13"/>
  <c r="AL4" i="13" s="1"/>
  <c r="Z4" i="13"/>
  <c r="AK4" i="13" s="1"/>
  <c r="Y4" i="13"/>
  <c r="AJ4" i="13" s="1"/>
  <c r="X4" i="13"/>
  <c r="AI4" i="13" s="1"/>
  <c r="W4" i="13"/>
  <c r="V4" i="13"/>
  <c r="U4" i="13"/>
  <c r="T4" i="13"/>
  <c r="AE4" i="13" s="1"/>
  <c r="S4" i="13"/>
  <c r="AD4" i="13" s="1"/>
  <c r="R4" i="13"/>
  <c r="AC4" i="13" s="1"/>
  <c r="Q4" i="13"/>
  <c r="AB4" i="13" s="1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M64" i="12"/>
  <c r="M65" i="12" s="1"/>
  <c r="M66" i="12" s="1"/>
  <c r="G64" i="12"/>
  <c r="G63" i="12"/>
  <c r="G62" i="12"/>
  <c r="G61" i="12"/>
  <c r="G60" i="12"/>
  <c r="G59" i="12"/>
  <c r="G58" i="12"/>
  <c r="G57" i="12"/>
  <c r="G56" i="12"/>
  <c r="G55" i="12"/>
  <c r="AJ51" i="12"/>
  <c r="AH51" i="12"/>
  <c r="E51" i="12"/>
  <c r="AH50" i="12"/>
  <c r="E50" i="12"/>
  <c r="AJ50" i="12" s="1"/>
  <c r="AH49" i="12"/>
  <c r="E49" i="12"/>
  <c r="AJ49" i="12" s="1"/>
  <c r="AJ48" i="12"/>
  <c r="AH48" i="12"/>
  <c r="E48" i="12"/>
  <c r="AJ47" i="12"/>
  <c r="AH47" i="12"/>
  <c r="E47" i="12"/>
  <c r="AH46" i="12"/>
  <c r="E46" i="12"/>
  <c r="AJ46" i="12" s="1"/>
  <c r="AH45" i="12"/>
  <c r="E45" i="12"/>
  <c r="AJ45" i="12" s="1"/>
  <c r="AJ44" i="12"/>
  <c r="AH44" i="12"/>
  <c r="E44" i="12"/>
  <c r="AH43" i="12"/>
  <c r="AH42" i="12"/>
  <c r="AH41" i="12"/>
  <c r="AH40" i="12"/>
  <c r="AH39" i="12"/>
  <c r="AH38" i="12"/>
  <c r="AH37" i="12"/>
  <c r="AH36" i="12"/>
  <c r="AH35" i="12"/>
  <c r="AH34" i="12"/>
  <c r="AH33" i="12"/>
  <c r="AH32" i="12"/>
  <c r="AH31" i="12"/>
  <c r="AH30" i="12"/>
  <c r="AH29" i="12"/>
  <c r="AH28" i="12"/>
  <c r="AH27" i="12"/>
  <c r="AH26" i="12"/>
  <c r="AH25" i="12"/>
  <c r="AH24" i="12"/>
  <c r="AH23" i="12"/>
  <c r="AH22" i="12"/>
  <c r="AH21" i="12"/>
  <c r="AH20" i="12"/>
  <c r="AH19" i="12"/>
  <c r="AH18" i="12"/>
  <c r="AH17" i="12"/>
  <c r="AH16" i="12"/>
  <c r="AH15" i="12"/>
  <c r="AH14" i="12"/>
  <c r="AH13" i="12"/>
  <c r="AH12" i="12"/>
  <c r="AH11" i="12"/>
  <c r="AH10" i="12"/>
  <c r="AH9" i="12"/>
  <c r="AH8" i="12"/>
  <c r="AH7" i="12"/>
  <c r="AH6" i="12"/>
  <c r="W6" i="12"/>
  <c r="AH5" i="12"/>
  <c r="AH4" i="12"/>
  <c r="AN3" i="12"/>
  <c r="AL3" i="12"/>
  <c r="AK3" i="12"/>
  <c r="AJ3" i="12"/>
  <c r="AI3" i="12"/>
  <c r="AH3" i="12"/>
  <c r="P167" i="11"/>
  <c r="P166" i="11"/>
  <c r="O166" i="11"/>
  <c r="P165" i="11"/>
  <c r="O165" i="11"/>
  <c r="N165" i="11"/>
  <c r="P164" i="11"/>
  <c r="O164" i="11"/>
  <c r="N164" i="11"/>
  <c r="M164" i="11"/>
  <c r="P163" i="11"/>
  <c r="O163" i="11"/>
  <c r="N163" i="11"/>
  <c r="M163" i="11"/>
  <c r="L163" i="11"/>
  <c r="P162" i="11"/>
  <c r="O162" i="11"/>
  <c r="N162" i="11"/>
  <c r="M162" i="11"/>
  <c r="L162" i="11"/>
  <c r="K162" i="11"/>
  <c r="P161" i="11"/>
  <c r="O161" i="11"/>
  <c r="N161" i="11"/>
  <c r="M161" i="11"/>
  <c r="L161" i="11"/>
  <c r="K161" i="11"/>
  <c r="J161" i="11"/>
  <c r="P160" i="11"/>
  <c r="O160" i="11"/>
  <c r="N160" i="11"/>
  <c r="M160" i="11"/>
  <c r="L160" i="11"/>
  <c r="K160" i="11"/>
  <c r="J160" i="11"/>
  <c r="I160" i="11"/>
  <c r="O23" i="11"/>
  <c r="K23" i="11"/>
  <c r="G23" i="11"/>
  <c r="C8" i="11"/>
  <c r="B8" i="11"/>
  <c r="O273" i="10"/>
  <c r="N273" i="10"/>
  <c r="M273" i="10"/>
  <c r="L273" i="10"/>
  <c r="K273" i="10"/>
  <c r="J273" i="10"/>
  <c r="I273" i="10"/>
  <c r="H273" i="10"/>
  <c r="G273" i="10"/>
  <c r="J222" i="10"/>
  <c r="G222" i="10"/>
  <c r="E219" i="10"/>
  <c r="E270" i="10" s="1"/>
  <c r="E321" i="10" s="1"/>
  <c r="E218" i="10"/>
  <c r="E269" i="10" s="1"/>
  <c r="E320" i="10" s="1"/>
  <c r="E217" i="10"/>
  <c r="E268" i="10" s="1"/>
  <c r="E319" i="10" s="1"/>
  <c r="E216" i="10"/>
  <c r="E267" i="10" s="1"/>
  <c r="E318" i="10" s="1"/>
  <c r="E215" i="10"/>
  <c r="E266" i="10" s="1"/>
  <c r="E317" i="10" s="1"/>
  <c r="E214" i="10"/>
  <c r="E265" i="10" s="1"/>
  <c r="E316" i="10" s="1"/>
  <c r="E213" i="10"/>
  <c r="E264" i="10" s="1"/>
  <c r="E315" i="10" s="1"/>
  <c r="E212" i="10"/>
  <c r="E263" i="10" s="1"/>
  <c r="E314" i="10" s="1"/>
  <c r="E211" i="10"/>
  <c r="E262" i="10" s="1"/>
  <c r="E313" i="10" s="1"/>
  <c r="E210" i="10"/>
  <c r="E261" i="10" s="1"/>
  <c r="E312" i="10" s="1"/>
  <c r="E209" i="10"/>
  <c r="E260" i="10" s="1"/>
  <c r="E311" i="10" s="1"/>
  <c r="E208" i="10"/>
  <c r="E259" i="10" s="1"/>
  <c r="E310" i="10" s="1"/>
  <c r="E207" i="10"/>
  <c r="E258" i="10" s="1"/>
  <c r="E309" i="10" s="1"/>
  <c r="E206" i="10"/>
  <c r="E257" i="10" s="1"/>
  <c r="E308" i="10" s="1"/>
  <c r="E205" i="10"/>
  <c r="E256" i="10" s="1"/>
  <c r="E307" i="10" s="1"/>
  <c r="E204" i="10"/>
  <c r="E255" i="10" s="1"/>
  <c r="E306" i="10" s="1"/>
  <c r="E203" i="10"/>
  <c r="E254" i="10" s="1"/>
  <c r="E305" i="10" s="1"/>
  <c r="E202" i="10"/>
  <c r="E253" i="10" s="1"/>
  <c r="E304" i="10" s="1"/>
  <c r="E201" i="10"/>
  <c r="E252" i="10" s="1"/>
  <c r="E303" i="10" s="1"/>
  <c r="E200" i="10"/>
  <c r="E251" i="10" s="1"/>
  <c r="E302" i="10" s="1"/>
  <c r="E199" i="10"/>
  <c r="E250" i="10" s="1"/>
  <c r="E301" i="10" s="1"/>
  <c r="E198" i="10"/>
  <c r="E249" i="10" s="1"/>
  <c r="E300" i="10" s="1"/>
  <c r="E197" i="10"/>
  <c r="E248" i="10" s="1"/>
  <c r="E299" i="10" s="1"/>
  <c r="E196" i="10"/>
  <c r="E247" i="10" s="1"/>
  <c r="E298" i="10" s="1"/>
  <c r="E195" i="10"/>
  <c r="E246" i="10" s="1"/>
  <c r="E297" i="10" s="1"/>
  <c r="E194" i="10"/>
  <c r="E245" i="10" s="1"/>
  <c r="E296" i="10" s="1"/>
  <c r="E193" i="10"/>
  <c r="E244" i="10" s="1"/>
  <c r="E295" i="10" s="1"/>
  <c r="E192" i="10"/>
  <c r="E243" i="10" s="1"/>
  <c r="E294" i="10" s="1"/>
  <c r="E191" i="10"/>
  <c r="E242" i="10" s="1"/>
  <c r="E293" i="10" s="1"/>
  <c r="E190" i="10"/>
  <c r="E241" i="10" s="1"/>
  <c r="E292" i="10" s="1"/>
  <c r="E189" i="10"/>
  <c r="E240" i="10" s="1"/>
  <c r="E291" i="10" s="1"/>
  <c r="E188" i="10"/>
  <c r="E239" i="10" s="1"/>
  <c r="E290" i="10" s="1"/>
  <c r="E187" i="10"/>
  <c r="E238" i="10" s="1"/>
  <c r="E289" i="10" s="1"/>
  <c r="E186" i="10"/>
  <c r="E237" i="10" s="1"/>
  <c r="E288" i="10" s="1"/>
  <c r="E185" i="10"/>
  <c r="E236" i="10" s="1"/>
  <c r="E287" i="10" s="1"/>
  <c r="E184" i="10"/>
  <c r="E235" i="10" s="1"/>
  <c r="E286" i="10" s="1"/>
  <c r="E183" i="10"/>
  <c r="E234" i="10" s="1"/>
  <c r="E285" i="10" s="1"/>
  <c r="E182" i="10"/>
  <c r="E233" i="10" s="1"/>
  <c r="E284" i="10" s="1"/>
  <c r="E181" i="10"/>
  <c r="E232" i="10" s="1"/>
  <c r="E283" i="10" s="1"/>
  <c r="E180" i="10"/>
  <c r="E231" i="10" s="1"/>
  <c r="E282" i="10" s="1"/>
  <c r="E179" i="10"/>
  <c r="E230" i="10" s="1"/>
  <c r="E281" i="10" s="1"/>
  <c r="E178" i="10"/>
  <c r="E229" i="10" s="1"/>
  <c r="E280" i="10" s="1"/>
  <c r="E177" i="10"/>
  <c r="E228" i="10" s="1"/>
  <c r="E279" i="10" s="1"/>
  <c r="E176" i="10"/>
  <c r="E227" i="10" s="1"/>
  <c r="E278" i="10" s="1"/>
  <c r="E175" i="10"/>
  <c r="E226" i="10" s="1"/>
  <c r="E277" i="10" s="1"/>
  <c r="E174" i="10"/>
  <c r="E225" i="10" s="1"/>
  <c r="E276" i="10" s="1"/>
  <c r="E173" i="10"/>
  <c r="E224" i="10" s="1"/>
  <c r="E275" i="10" s="1"/>
  <c r="E172" i="10"/>
  <c r="E223" i="10" s="1"/>
  <c r="E274" i="10" s="1"/>
  <c r="L12" i="10"/>
  <c r="K12" i="10"/>
  <c r="J12" i="10"/>
  <c r="I12" i="10"/>
  <c r="H12" i="10"/>
  <c r="G12" i="10"/>
  <c r="F12" i="10"/>
  <c r="E12" i="10"/>
  <c r="D12" i="10"/>
  <c r="AQ7" i="10"/>
  <c r="AP7" i="10"/>
  <c r="AO7" i="10"/>
  <c r="AN7" i="10"/>
  <c r="AM7" i="10"/>
  <c r="AL7" i="10"/>
  <c r="AL21" i="10" s="1"/>
  <c r="AK7" i="10"/>
  <c r="AK21" i="10" s="1"/>
  <c r="AJ7" i="10"/>
  <c r="AI7" i="10"/>
  <c r="AH7" i="10"/>
  <c r="AG7" i="10"/>
  <c r="AF7" i="10"/>
  <c r="AE7" i="10"/>
  <c r="AD7" i="10"/>
  <c r="AD21" i="10" s="1"/>
  <c r="AC7" i="10"/>
  <c r="AB7" i="10"/>
  <c r="AA7" i="10"/>
  <c r="AA21" i="10" s="1"/>
  <c r="Z7" i="10"/>
  <c r="Z21" i="10" s="1"/>
  <c r="Y7" i="10"/>
  <c r="Y21" i="10" s="1"/>
  <c r="X7" i="10"/>
  <c r="W7" i="10"/>
  <c r="V7" i="10"/>
  <c r="U7" i="10"/>
  <c r="U21" i="10" s="1"/>
  <c r="T7" i="10"/>
  <c r="T21" i="10" s="1"/>
  <c r="S7" i="10"/>
  <c r="S21" i="10" s="1"/>
  <c r="R7" i="10"/>
  <c r="Q7" i="10"/>
  <c r="P7" i="10"/>
  <c r="O7" i="10"/>
  <c r="O21" i="10" s="1"/>
  <c r="N7" i="10"/>
  <c r="M7" i="10"/>
  <c r="L7" i="10"/>
  <c r="K7" i="10"/>
  <c r="J7" i="10"/>
  <c r="I7" i="10"/>
  <c r="H7" i="10"/>
  <c r="G7" i="10"/>
  <c r="F7" i="10"/>
  <c r="E7" i="10"/>
  <c r="D7" i="10"/>
  <c r="T8" i="10"/>
  <c r="D8" i="10"/>
  <c r="R10" i="15"/>
  <c r="Q10" i="15"/>
  <c r="R11" i="15"/>
  <c r="R21" i="10" l="1"/>
  <c r="AB21" i="10"/>
  <c r="AO21" i="10"/>
  <c r="P21" i="10"/>
  <c r="K69" i="10"/>
  <c r="L69" i="10"/>
  <c r="O69" i="10"/>
  <c r="L21" i="10"/>
  <c r="J69" i="10"/>
  <c r="G21" i="10"/>
  <c r="Q21" i="10"/>
  <c r="AM21" i="10"/>
  <c r="G69" i="10"/>
  <c r="X21" i="10"/>
  <c r="AH21" i="10"/>
  <c r="AC21" i="10"/>
  <c r="N69" i="10"/>
  <c r="H69" i="10"/>
  <c r="E21" i="10"/>
  <c r="AI21" i="10"/>
  <c r="M69" i="10"/>
  <c r="AG21" i="10"/>
  <c r="I69" i="10"/>
  <c r="AJ21" i="10"/>
  <c r="AF8" i="10"/>
  <c r="D69" i="14"/>
  <c r="E69" i="14"/>
  <c r="AH8" i="10"/>
  <c r="G69" i="14"/>
  <c r="AD8" i="10"/>
  <c r="AG8" i="10"/>
  <c r="E8" i="10"/>
  <c r="K69" i="14"/>
  <c r="H120" i="10"/>
  <c r="O8" i="10"/>
  <c r="D70" i="14"/>
  <c r="N8" i="10"/>
  <c r="P8" i="10"/>
  <c r="J171" i="10"/>
  <c r="AI8" i="10"/>
  <c r="S8" i="10"/>
  <c r="K171" i="10"/>
  <c r="H222" i="10"/>
  <c r="V8" i="10"/>
  <c r="L44" i="14"/>
  <c r="M12" i="10" s="1"/>
  <c r="M21" i="10" s="1"/>
  <c r="M8" i="10"/>
  <c r="Z8" i="10"/>
  <c r="H171" i="10"/>
  <c r="X25" i="14"/>
  <c r="X19" i="14" s="1"/>
  <c r="AL25" i="14" s="1"/>
  <c r="AL19" i="14" s="1"/>
  <c r="I8" i="10"/>
  <c r="W8" i="10"/>
  <c r="AN8" i="10"/>
  <c r="D28" i="14"/>
  <c r="E28" i="14" s="1"/>
  <c r="F28" i="14" s="1"/>
  <c r="G28" i="14" s="1"/>
  <c r="H28" i="14" s="1"/>
  <c r="I28" i="14" s="1"/>
  <c r="J28" i="14" s="1"/>
  <c r="K28" i="14" s="1"/>
  <c r="E70" i="14"/>
  <c r="F8" i="10"/>
  <c r="AJ8" i="10"/>
  <c r="J8" i="10"/>
  <c r="X8" i="10"/>
  <c r="AP8" i="10"/>
  <c r="L8" i="10"/>
  <c r="Y8" i="10"/>
  <c r="G171" i="10"/>
  <c r="Q23" i="14"/>
  <c r="R18" i="10" s="1"/>
  <c r="I17" i="10"/>
  <c r="I21" i="10" s="1"/>
  <c r="R23" i="14"/>
  <c r="S18" i="10" s="1"/>
  <c r="J17" i="10"/>
  <c r="J21" i="10" s="1"/>
  <c r="M44" i="14"/>
  <c r="N12" i="10" s="1"/>
  <c r="N21" i="10" s="1"/>
  <c r="S23" i="14"/>
  <c r="T18" i="10" s="1"/>
  <c r="K17" i="10"/>
  <c r="K21" i="10" s="1"/>
  <c r="T23" i="14"/>
  <c r="T26" i="14" s="1"/>
  <c r="L17" i="10"/>
  <c r="G8" i="10"/>
  <c r="Q8" i="10"/>
  <c r="AA8" i="10"/>
  <c r="AK8" i="10"/>
  <c r="D17" i="10"/>
  <c r="D21" i="10" s="1"/>
  <c r="G70" i="14"/>
  <c r="H8" i="10"/>
  <c r="R8" i="10"/>
  <c r="AB8" i="10"/>
  <c r="AL8" i="10"/>
  <c r="E17" i="10"/>
  <c r="J72" i="14"/>
  <c r="J74" i="14" s="1"/>
  <c r="K70" i="14"/>
  <c r="AC8" i="10"/>
  <c r="AM8" i="10"/>
  <c r="L120" i="10"/>
  <c r="I120" i="10"/>
  <c r="F17" i="10"/>
  <c r="F21" i="10" s="1"/>
  <c r="AN12" i="10"/>
  <c r="AN21" i="10" s="1"/>
  <c r="D71" i="14"/>
  <c r="AD44" i="14"/>
  <c r="AE12" i="10" s="1"/>
  <c r="AE21" i="10" s="1"/>
  <c r="O23" i="14"/>
  <c r="O17" i="14" s="1"/>
  <c r="G17" i="10"/>
  <c r="K8" i="10"/>
  <c r="U8" i="10"/>
  <c r="AE8" i="10"/>
  <c r="AO8" i="10"/>
  <c r="P23" i="14"/>
  <c r="Q18" i="10" s="1"/>
  <c r="H17" i="10"/>
  <c r="H21" i="10" s="1"/>
  <c r="L23" i="14"/>
  <c r="L26" i="14" s="1"/>
  <c r="U44" i="14"/>
  <c r="V12" i="10" s="1"/>
  <c r="V21" i="10" s="1"/>
  <c r="AE44" i="14"/>
  <c r="AF12" i="10" s="1"/>
  <c r="AF21" i="10" s="1"/>
  <c r="L74" i="14"/>
  <c r="M17" i="14"/>
  <c r="N18" i="10"/>
  <c r="V44" i="14"/>
  <c r="W12" i="10" s="1"/>
  <c r="W21" i="10" s="1"/>
  <c r="Y7" i="7"/>
  <c r="Z7" i="7" s="1"/>
  <c r="AB7" i="7" s="1"/>
  <c r="M14" i="6"/>
  <c r="F24" i="4" s="1" a="1"/>
  <c r="F24" i="4" s="1"/>
  <c r="J8" i="8"/>
  <c r="W9" i="7"/>
  <c r="I222" i="10"/>
  <c r="N23" i="14"/>
  <c r="N17" i="14" s="1"/>
  <c r="O24" i="14"/>
  <c r="O18" i="14" s="1"/>
  <c r="Y24" i="14" s="1"/>
  <c r="Y18" i="14" s="1"/>
  <c r="AI24" i="14" s="1"/>
  <c r="AI18" i="14" s="1"/>
  <c r="K222" i="10"/>
  <c r="L222" i="10"/>
  <c r="L171" i="10"/>
  <c r="M171" i="10"/>
  <c r="M222" i="10"/>
  <c r="O120" i="10"/>
  <c r="O171" i="10"/>
  <c r="M120" i="10"/>
  <c r="N171" i="10"/>
  <c r="O222" i="10"/>
  <c r="N120" i="10"/>
  <c r="O4" i="11"/>
  <c r="K4" i="11"/>
  <c r="G4" i="11"/>
  <c r="AU4" i="13"/>
  <c r="AM4" i="13"/>
  <c r="D8" i="11"/>
  <c r="C3" i="11"/>
  <c r="AT4" i="13"/>
  <c r="AX10" i="13"/>
  <c r="AJ11" i="13"/>
  <c r="AU11" i="13" s="1"/>
  <c r="P23" i="13"/>
  <c r="AL10" i="13"/>
  <c r="AU10" i="13"/>
  <c r="AS16" i="13"/>
  <c r="AQ17" i="13"/>
  <c r="AF4" i="13"/>
  <c r="AN4" i="13"/>
  <c r="AV4" i="13"/>
  <c r="AD10" i="13"/>
  <c r="AV10" i="13"/>
  <c r="AB11" i="13"/>
  <c r="AM11" i="13" s="1"/>
  <c r="AX11" i="13" s="1"/>
  <c r="AG4" i="13"/>
  <c r="AO4" i="13"/>
  <c r="AW4" i="13"/>
  <c r="AE10" i="13"/>
  <c r="AN10" i="13"/>
  <c r="AH4" i="13"/>
  <c r="AP4" i="13"/>
  <c r="AF10" i="13"/>
  <c r="AZ16" i="13"/>
  <c r="AG10" i="13"/>
  <c r="AK16" i="13"/>
  <c r="AI17" i="13"/>
  <c r="AI10" i="13"/>
  <c r="K71" i="14"/>
  <c r="M26" i="14"/>
  <c r="E71" i="14"/>
  <c r="F69" i="14"/>
  <c r="F70" i="14"/>
  <c r="F71" i="14"/>
  <c r="G71" i="14"/>
  <c r="H69" i="14"/>
  <c r="H70" i="14"/>
  <c r="H71" i="14"/>
  <c r="I69" i="14"/>
  <c r="I70" i="14"/>
  <c r="I71" i="14"/>
  <c r="AI22" i="10" l="1"/>
  <c r="K22" i="10"/>
  <c r="L22" i="10"/>
  <c r="M22" i="10"/>
  <c r="N22" i="10"/>
  <c r="O22" i="10"/>
  <c r="P22" i="10"/>
  <c r="Q22" i="10"/>
  <c r="R22" i="10"/>
  <c r="S22" i="10"/>
  <c r="T22" i="10"/>
  <c r="J22" i="10"/>
  <c r="D22" i="10"/>
  <c r="E22" i="10"/>
  <c r="F22" i="10"/>
  <c r="G22" i="10"/>
  <c r="H22" i="10"/>
  <c r="I22" i="10"/>
  <c r="Y22" i="10"/>
  <c r="AH22" i="10"/>
  <c r="AL22" i="10"/>
  <c r="U22" i="10"/>
  <c r="AJ22" i="10"/>
  <c r="V22" i="10"/>
  <c r="AF22" i="10"/>
  <c r="AK22" i="10"/>
  <c r="AA22" i="10"/>
  <c r="AG22" i="10"/>
  <c r="AD22" i="10"/>
  <c r="AC22" i="10"/>
  <c r="AB22" i="10"/>
  <c r="W22" i="10"/>
  <c r="AE22" i="10"/>
  <c r="Z22" i="10"/>
  <c r="AM22" i="10"/>
  <c r="X22" i="10"/>
  <c r="AP22" i="10"/>
  <c r="AO22" i="10"/>
  <c r="AN22" i="10"/>
  <c r="AQ22" i="10"/>
  <c r="G72" i="14"/>
  <c r="G74" i="14" s="1"/>
  <c r="O26" i="14"/>
  <c r="Q17" i="14"/>
  <c r="E72" i="14"/>
  <c r="E74" i="14" s="1"/>
  <c r="Q26" i="14"/>
  <c r="S26" i="14"/>
  <c r="D72" i="14"/>
  <c r="D74" i="14" s="1"/>
  <c r="C9" i="11"/>
  <c r="L55" i="14"/>
  <c r="M55" i="14" s="1"/>
  <c r="N55" i="14" s="1"/>
  <c r="O55" i="14" s="1"/>
  <c r="P55" i="14" s="1"/>
  <c r="Q55" i="14" s="1"/>
  <c r="R55" i="14" s="1"/>
  <c r="S55" i="14" s="1"/>
  <c r="T55" i="14" s="1"/>
  <c r="U55" i="14" s="1"/>
  <c r="V55" i="14" s="1"/>
  <c r="W55" i="14" s="1"/>
  <c r="X55" i="14" s="1"/>
  <c r="Y55" i="14" s="1"/>
  <c r="Z55" i="14" s="1"/>
  <c r="AA55" i="14" s="1"/>
  <c r="AB55" i="14" s="1"/>
  <c r="AC55" i="14" s="1"/>
  <c r="AD55" i="14" s="1"/>
  <c r="AE55" i="14" s="1"/>
  <c r="AF55" i="14" s="1"/>
  <c r="AG55" i="14" s="1"/>
  <c r="AH55" i="14" s="1"/>
  <c r="AI55" i="14" s="1"/>
  <c r="AJ55" i="14" s="1"/>
  <c r="AK55" i="14" s="1"/>
  <c r="AL55" i="14" s="1"/>
  <c r="AM55" i="14" s="1"/>
  <c r="AN55" i="14" s="1"/>
  <c r="AO55" i="14" s="1"/>
  <c r="AP55" i="14" s="1"/>
  <c r="L28" i="14"/>
  <c r="M28" i="14" s="1"/>
  <c r="K72" i="14"/>
  <c r="K74" i="14" s="1"/>
  <c r="R17" i="14"/>
  <c r="S17" i="10" s="1"/>
  <c r="R26" i="14"/>
  <c r="S17" i="14"/>
  <c r="T17" i="10" s="1"/>
  <c r="P26" i="14"/>
  <c r="Z23" i="14"/>
  <c r="AA18" i="10" s="1"/>
  <c r="R17" i="10"/>
  <c r="X23" i="14"/>
  <c r="Y18" i="10" s="1"/>
  <c r="P17" i="10"/>
  <c r="P17" i="14"/>
  <c r="W23" i="14"/>
  <c r="W26" i="14" s="1"/>
  <c r="O17" i="10"/>
  <c r="T17" i="14"/>
  <c r="U18" i="10"/>
  <c r="F72" i="14"/>
  <c r="F74" i="14" s="1"/>
  <c r="N26" i="14"/>
  <c r="O18" i="10"/>
  <c r="V23" i="14"/>
  <c r="N17" i="10"/>
  <c r="P18" i="10"/>
  <c r="L17" i="14"/>
  <c r="M18" i="10"/>
  <c r="L7" i="8"/>
  <c r="M7" i="8" s="1"/>
  <c r="Y8" i="7"/>
  <c r="Z8" i="7" s="1"/>
  <c r="AB8" i="7" s="1"/>
  <c r="M15" i="6"/>
  <c r="J9" i="8"/>
  <c r="W10" i="7"/>
  <c r="AY10" i="13"/>
  <c r="BA4" i="13"/>
  <c r="D16" i="11"/>
  <c r="D9" i="11"/>
  <c r="D11" i="11"/>
  <c r="D15" i="11"/>
  <c r="D10" i="11"/>
  <c r="D12" i="11"/>
  <c r="B12" i="11"/>
  <c r="C15" i="11"/>
  <c r="B16" i="11"/>
  <c r="B10" i="11"/>
  <c r="B9" i="11"/>
  <c r="C12" i="11"/>
  <c r="C16" i="11"/>
  <c r="B15" i="11"/>
  <c r="C10" i="11"/>
  <c r="Q23" i="13"/>
  <c r="AS4" i="13"/>
  <c r="AO10" i="13"/>
  <c r="AY4" i="13"/>
  <c r="AR10" i="13"/>
  <c r="H72" i="14"/>
  <c r="H74" i="14" s="1"/>
  <c r="AQ10" i="13"/>
  <c r="Z26" i="14"/>
  <c r="Z17" i="14"/>
  <c r="AP10" i="13"/>
  <c r="AW10" i="13"/>
  <c r="AX4" i="13"/>
  <c r="I72" i="14"/>
  <c r="I74" i="14" s="1"/>
  <c r="AT10" i="13"/>
  <c r="AW17" i="13"/>
  <c r="AY16" i="13"/>
  <c r="AZ4" i="13"/>
  <c r="AQ4" i="13"/>
  <c r="G3" i="11"/>
  <c r="G5" i="11"/>
  <c r="G17" i="11"/>
  <c r="K3" i="11"/>
  <c r="K5" i="11"/>
  <c r="K17" i="11"/>
  <c r="AR4" i="13"/>
  <c r="O3" i="11"/>
  <c r="O5" i="11"/>
  <c r="O17" i="11"/>
  <c r="AB23" i="14" l="1"/>
  <c r="AC18" i="10" s="1"/>
  <c r="N28" i="14"/>
  <c r="O28" i="14" s="1"/>
  <c r="X26" i="14"/>
  <c r="X17" i="14"/>
  <c r="AG23" i="14" s="1"/>
  <c r="AH18" i="10" s="1"/>
  <c r="AA23" i="14"/>
  <c r="P28" i="14"/>
  <c r="Q28" i="14" s="1"/>
  <c r="R28" i="14" s="1"/>
  <c r="S28" i="14" s="1"/>
  <c r="T28" i="14" s="1"/>
  <c r="C11" i="11"/>
  <c r="B11" i="11"/>
  <c r="AB26" i="14"/>
  <c r="AB17" i="14"/>
  <c r="AK23" i="14" s="1"/>
  <c r="AL18" i="10" s="1"/>
  <c r="D14" i="11"/>
  <c r="AI23" i="14"/>
  <c r="AJ18" i="10" s="1"/>
  <c r="AA17" i="10"/>
  <c r="W18" i="10"/>
  <c r="V17" i="14"/>
  <c r="V26" i="14"/>
  <c r="Y23" i="14"/>
  <c r="Q17" i="10"/>
  <c r="AC23" i="14"/>
  <c r="U17" i="10"/>
  <c r="B14" i="11"/>
  <c r="U23" i="14"/>
  <c r="M17" i="10"/>
  <c r="W17" i="14"/>
  <c r="X18" i="10"/>
  <c r="L8" i="8"/>
  <c r="M8" i="8" s="1"/>
  <c r="Y9" i="7"/>
  <c r="Z9" i="7" s="1"/>
  <c r="AB9" i="7" s="1"/>
  <c r="M16" i="6"/>
  <c r="J10" i="8"/>
  <c r="W11" i="7"/>
  <c r="C13" i="11"/>
  <c r="AZ10" i="13"/>
  <c r="B13" i="11"/>
  <c r="C14" i="11"/>
  <c r="BA10" i="13"/>
  <c r="K18" i="11"/>
  <c r="K16" i="11" s="1"/>
  <c r="K22" i="11" s="1"/>
  <c r="K12" i="11"/>
  <c r="K19" i="11" s="1"/>
  <c r="D13" i="11"/>
  <c r="G16" i="11"/>
  <c r="G22" i="11" s="1"/>
  <c r="R23" i="13"/>
  <c r="G18" i="11"/>
  <c r="G12" i="11"/>
  <c r="G19" i="11" s="1"/>
  <c r="O18" i="11"/>
  <c r="O16" i="11" s="1"/>
  <c r="O22" i="11" s="1"/>
  <c r="O12" i="11"/>
  <c r="O19" i="11" s="1"/>
  <c r="Y17" i="10" l="1"/>
  <c r="AC17" i="10"/>
  <c r="AB18" i="10"/>
  <c r="AA26" i="14"/>
  <c r="AA17" i="14"/>
  <c r="AK26" i="14"/>
  <c r="H117" i="11" a="1"/>
  <c r="N140" i="11" s="1"/>
  <c r="AI26" i="14"/>
  <c r="H33" i="11" a="1"/>
  <c r="O61" i="11" s="1"/>
  <c r="AF23" i="14"/>
  <c r="X17" i="10"/>
  <c r="AE23" i="14"/>
  <c r="W17" i="10"/>
  <c r="AI17" i="14"/>
  <c r="AJ17" i="10" s="1"/>
  <c r="V18" i="10"/>
  <c r="U26" i="14"/>
  <c r="U28" i="14" s="1"/>
  <c r="V28" i="14" s="1"/>
  <c r="W28" i="14" s="1"/>
  <c r="X28" i="14" s="1"/>
  <c r="U17" i="14"/>
  <c r="AG17" i="14"/>
  <c r="AK17" i="14"/>
  <c r="AL17" i="10" s="1"/>
  <c r="AD18" i="10"/>
  <c r="AC17" i="14"/>
  <c r="AC26" i="14"/>
  <c r="AG26" i="14"/>
  <c r="H75" i="11" a="1"/>
  <c r="J79" i="11" s="1"/>
  <c r="Z18" i="10"/>
  <c r="Y17" i="14"/>
  <c r="Y26" i="14"/>
  <c r="L9" i="8"/>
  <c r="M9" i="8" s="1"/>
  <c r="Y10" i="7"/>
  <c r="Z10" i="7" s="1"/>
  <c r="AB10" i="7" s="1"/>
  <c r="M17" i="6"/>
  <c r="J11" i="8"/>
  <c r="W12" i="7"/>
  <c r="K24" i="11"/>
  <c r="C6" i="11"/>
  <c r="D6" i="11"/>
  <c r="O24" i="11"/>
  <c r="B6" i="11"/>
  <c r="G24" i="11"/>
  <c r="S23" i="13"/>
  <c r="L270" i="10"/>
  <c r="N270" i="10"/>
  <c r="G264" i="10"/>
  <c r="M270" i="10"/>
  <c r="M269" i="10"/>
  <c r="L269" i="10"/>
  <c r="G263" i="10"/>
  <c r="G269" i="10"/>
  <c r="I269" i="10"/>
  <c r="I266" i="10"/>
  <c r="G270" i="10"/>
  <c r="L268" i="10"/>
  <c r="H270" i="10"/>
  <c r="H267" i="10"/>
  <c r="J266" i="10"/>
  <c r="I267" i="10"/>
  <c r="G266" i="10"/>
  <c r="G265" i="10"/>
  <c r="K268" i="10"/>
  <c r="H265" i="10"/>
  <c r="H269" i="10"/>
  <c r="J268" i="10"/>
  <c r="K270" i="10"/>
  <c r="J267" i="10"/>
  <c r="G267" i="10"/>
  <c r="J270" i="10"/>
  <c r="H264" i="10"/>
  <c r="I268" i="10"/>
  <c r="I270" i="10"/>
  <c r="K267" i="10"/>
  <c r="J269" i="10"/>
  <c r="I265" i="10"/>
  <c r="H266" i="10"/>
  <c r="K269" i="10"/>
  <c r="G268" i="10"/>
  <c r="H268" i="10"/>
  <c r="L149" i="11" l="1"/>
  <c r="O141" i="11"/>
  <c r="I135" i="11"/>
  <c r="P153" i="11"/>
  <c r="O155" i="11"/>
  <c r="K142" i="11"/>
  <c r="O149" i="11"/>
  <c r="I131" i="11"/>
  <c r="K157" i="11"/>
  <c r="K134" i="11"/>
  <c r="K124" i="11"/>
  <c r="N67" i="11"/>
  <c r="N151" i="11"/>
  <c r="I148" i="11"/>
  <c r="K42" i="11"/>
  <c r="K130" i="11"/>
  <c r="P49" i="11"/>
  <c r="J139" i="11"/>
  <c r="O64" i="11"/>
  <c r="J124" i="11"/>
  <c r="N137" i="11"/>
  <c r="I151" i="11"/>
  <c r="N153" i="11"/>
  <c r="J144" i="11"/>
  <c r="M151" i="11"/>
  <c r="N143" i="11"/>
  <c r="L63" i="11"/>
  <c r="P52" i="11"/>
  <c r="P57" i="11"/>
  <c r="M139" i="11"/>
  <c r="N142" i="11"/>
  <c r="I143" i="11"/>
  <c r="O150" i="11"/>
  <c r="N62" i="11"/>
  <c r="P145" i="11"/>
  <c r="M126" i="11"/>
  <c r="L123" i="11"/>
  <c r="P152" i="11"/>
  <c r="I125" i="11"/>
  <c r="L144" i="11"/>
  <c r="P65" i="11"/>
  <c r="I157" i="11"/>
  <c r="L50" i="11"/>
  <c r="M131" i="11"/>
  <c r="N124" i="11"/>
  <c r="O153" i="11"/>
  <c r="O152" i="11"/>
  <c r="O134" i="11"/>
  <c r="I119" i="11"/>
  <c r="L150" i="11"/>
  <c r="K125" i="11"/>
  <c r="I140" i="11"/>
  <c r="I155" i="11"/>
  <c r="N146" i="11"/>
  <c r="O145" i="11"/>
  <c r="N135" i="11"/>
  <c r="L141" i="11"/>
  <c r="M135" i="11"/>
  <c r="L152" i="11"/>
  <c r="O127" i="11"/>
  <c r="L126" i="11"/>
  <c r="O143" i="11"/>
  <c r="O146" i="11"/>
  <c r="J121" i="11"/>
  <c r="M127" i="11"/>
  <c r="J148" i="11"/>
  <c r="K147" i="11"/>
  <c r="L136" i="11"/>
  <c r="M144" i="11"/>
  <c r="N148" i="11"/>
  <c r="K153" i="11"/>
  <c r="I124" i="11"/>
  <c r="O138" i="11"/>
  <c r="K121" i="11"/>
  <c r="J154" i="11"/>
  <c r="K151" i="11"/>
  <c r="M128" i="11"/>
  <c r="N132" i="11"/>
  <c r="AB17" i="10"/>
  <c r="AJ23" i="14"/>
  <c r="N72" i="11"/>
  <c r="K71" i="11"/>
  <c r="I128" i="11"/>
  <c r="N126" i="11"/>
  <c r="I145" i="11"/>
  <c r="O130" i="11"/>
  <c r="P128" i="11"/>
  <c r="N127" i="11"/>
  <c r="O135" i="11"/>
  <c r="L133" i="11"/>
  <c r="L57" i="11"/>
  <c r="O73" i="11"/>
  <c r="O133" i="11"/>
  <c r="I129" i="11"/>
  <c r="H117" i="11"/>
  <c r="H143" i="11" s="1"/>
  <c r="J132" i="11"/>
  <c r="K131" i="11"/>
  <c r="L128" i="11"/>
  <c r="M136" i="11"/>
  <c r="N64" i="11"/>
  <c r="P67" i="11"/>
  <c r="P47" i="11"/>
  <c r="O58" i="11"/>
  <c r="P56" i="11"/>
  <c r="M70" i="11"/>
  <c r="N59" i="11"/>
  <c r="O51" i="11"/>
  <c r="M53" i="11"/>
  <c r="O50" i="11"/>
  <c r="M43" i="11"/>
  <c r="L40" i="11"/>
  <c r="O60" i="11"/>
  <c r="P44" i="11"/>
  <c r="L44" i="11"/>
  <c r="L47" i="11"/>
  <c r="O66" i="11"/>
  <c r="P45" i="11"/>
  <c r="M56" i="11"/>
  <c r="K46" i="11"/>
  <c r="O48" i="11"/>
  <c r="M48" i="11"/>
  <c r="K61" i="11"/>
  <c r="L69" i="11"/>
  <c r="M50" i="11"/>
  <c r="N55" i="11"/>
  <c r="M73" i="11"/>
  <c r="K39" i="11"/>
  <c r="M69" i="11"/>
  <c r="N42" i="11"/>
  <c r="L65" i="11"/>
  <c r="O53" i="11"/>
  <c r="L42" i="11"/>
  <c r="P72" i="11"/>
  <c r="M62" i="11"/>
  <c r="N49" i="11"/>
  <c r="L46" i="11"/>
  <c r="O63" i="11"/>
  <c r="K70" i="11"/>
  <c r="P60" i="11"/>
  <c r="N44" i="11"/>
  <c r="O59" i="11"/>
  <c r="K53" i="11"/>
  <c r="L41" i="11"/>
  <c r="M41" i="11"/>
  <c r="K43" i="11"/>
  <c r="P42" i="11"/>
  <c r="M55" i="11"/>
  <c r="N48" i="11"/>
  <c r="N73" i="11"/>
  <c r="O69" i="11"/>
  <c r="M67" i="11"/>
  <c r="L54" i="11"/>
  <c r="N52" i="11"/>
  <c r="K51" i="11"/>
  <c r="P63" i="11"/>
  <c r="L60" i="11"/>
  <c r="K73" i="11"/>
  <c r="P73" i="11"/>
  <c r="L62" i="11"/>
  <c r="M58" i="11"/>
  <c r="M57" i="11"/>
  <c r="K54" i="11"/>
  <c r="O68" i="11"/>
  <c r="O62" i="11"/>
  <c r="O71" i="11"/>
  <c r="P70" i="11"/>
  <c r="N66" i="11"/>
  <c r="N61" i="11"/>
  <c r="P51" i="11"/>
  <c r="N51" i="11"/>
  <c r="M63" i="11"/>
  <c r="M54" i="11"/>
  <c r="M59" i="11"/>
  <c r="K66" i="11"/>
  <c r="M61" i="11"/>
  <c r="O45" i="11"/>
  <c r="M39" i="11"/>
  <c r="P64" i="11"/>
  <c r="K59" i="11"/>
  <c r="M51" i="11"/>
  <c r="M68" i="11"/>
  <c r="H33" i="11"/>
  <c r="M64" i="11"/>
  <c r="N41" i="11"/>
  <c r="K64" i="11"/>
  <c r="L52" i="11"/>
  <c r="K40" i="11"/>
  <c r="L70" i="11"/>
  <c r="Y28" i="14"/>
  <c r="Z28" i="14" s="1"/>
  <c r="AA28" i="14" s="1"/>
  <c r="AB28" i="14" s="1"/>
  <c r="AC28" i="14" s="1"/>
  <c r="O90" i="11"/>
  <c r="O114" i="11"/>
  <c r="I104" i="11"/>
  <c r="K112" i="11"/>
  <c r="J99" i="11"/>
  <c r="J113" i="11"/>
  <c r="O84" i="11"/>
  <c r="I97" i="11"/>
  <c r="N87" i="11"/>
  <c r="L85" i="11"/>
  <c r="AP23" i="14"/>
  <c r="AH17" i="10"/>
  <c r="I84" i="11"/>
  <c r="M108" i="11"/>
  <c r="L83" i="11"/>
  <c r="I90" i="11"/>
  <c r="J107" i="11"/>
  <c r="J86" i="11"/>
  <c r="O92" i="11"/>
  <c r="AD23" i="14"/>
  <c r="V17" i="10"/>
  <c r="K81" i="11"/>
  <c r="M81" i="11"/>
  <c r="L106" i="11"/>
  <c r="I91" i="11"/>
  <c r="I89" i="11"/>
  <c r="O111" i="11"/>
  <c r="L99" i="11"/>
  <c r="M104" i="11"/>
  <c r="L114" i="11"/>
  <c r="L93" i="11"/>
  <c r="I99" i="11"/>
  <c r="AH23" i="14"/>
  <c r="Z17" i="10"/>
  <c r="L95" i="11"/>
  <c r="I100" i="11"/>
  <c r="N102" i="11"/>
  <c r="I106" i="11"/>
  <c r="J115" i="11"/>
  <c r="J94" i="11"/>
  <c r="O100" i="11"/>
  <c r="J88" i="11"/>
  <c r="P93" i="11"/>
  <c r="K87" i="11"/>
  <c r="O94" i="11"/>
  <c r="L90" i="11"/>
  <c r="L104" i="11"/>
  <c r="L109" i="11"/>
  <c r="I115" i="11"/>
  <c r="AF18" i="10"/>
  <c r="AE26" i="14"/>
  <c r="AE17" i="14"/>
  <c r="O106" i="11"/>
  <c r="P86" i="11"/>
  <c r="L88" i="11"/>
  <c r="K96" i="11"/>
  <c r="J91" i="11"/>
  <c r="J105" i="11"/>
  <c r="J110" i="11"/>
  <c r="K114" i="11"/>
  <c r="AL23" i="14"/>
  <c r="AD17" i="10"/>
  <c r="P101" i="11"/>
  <c r="K103" i="11"/>
  <c r="L115" i="11"/>
  <c r="I82" i="11"/>
  <c r="L96" i="11"/>
  <c r="L101" i="11"/>
  <c r="I107" i="11"/>
  <c r="L111" i="11"/>
  <c r="N90" i="11"/>
  <c r="H75" i="11"/>
  <c r="H82" i="11" s="1"/>
  <c r="I80" i="11"/>
  <c r="I83" i="11"/>
  <c r="J97" i="11"/>
  <c r="J102" i="11"/>
  <c r="O108" i="11"/>
  <c r="O192" i="11" s="1"/>
  <c r="P85" i="11"/>
  <c r="K89" i="11"/>
  <c r="M102" i="11"/>
  <c r="O110" i="11"/>
  <c r="L98" i="11"/>
  <c r="L112" i="11"/>
  <c r="AG18" i="10"/>
  <c r="AF17" i="14"/>
  <c r="AF26" i="14"/>
  <c r="L10" i="8"/>
  <c r="M10" i="8" s="1"/>
  <c r="Y11" i="7"/>
  <c r="Z11" i="7" s="1"/>
  <c r="AB11" i="7" s="1"/>
  <c r="M18" i="6"/>
  <c r="F88" i="4" s="1" a="1"/>
  <c r="J12" i="8"/>
  <c r="W13" i="7"/>
  <c r="P90" i="11"/>
  <c r="I123" i="11"/>
  <c r="P133" i="11"/>
  <c r="P149" i="11"/>
  <c r="K127" i="11"/>
  <c r="P140" i="11"/>
  <c r="P157" i="11"/>
  <c r="M134" i="11"/>
  <c r="N150" i="11"/>
  <c r="O136" i="11"/>
  <c r="O144" i="11"/>
  <c r="J152" i="11"/>
  <c r="J129" i="11"/>
  <c r="J137" i="11"/>
  <c r="J145" i="11"/>
  <c r="N154" i="11"/>
  <c r="K129" i="11"/>
  <c r="K137" i="11"/>
  <c r="K145" i="11"/>
  <c r="P154" i="11"/>
  <c r="J126" i="11"/>
  <c r="J134" i="11"/>
  <c r="J142" i="11"/>
  <c r="K150" i="11"/>
  <c r="K152" i="11"/>
  <c r="K110" i="11"/>
  <c r="O128" i="11"/>
  <c r="M137" i="11"/>
  <c r="J153" i="11"/>
  <c r="P130" i="11"/>
  <c r="P138" i="11"/>
  <c r="P146" i="11"/>
  <c r="N155" i="11"/>
  <c r="I130" i="11"/>
  <c r="I146" i="11"/>
  <c r="P135" i="11"/>
  <c r="P143" i="11"/>
  <c r="I153" i="11"/>
  <c r="K97" i="11"/>
  <c r="J108" i="11"/>
  <c r="L84" i="11"/>
  <c r="P89" i="11"/>
  <c r="J82" i="11"/>
  <c r="O91" i="11"/>
  <c r="P108" i="11"/>
  <c r="P106" i="11"/>
  <c r="P87" i="11"/>
  <c r="P103" i="11"/>
  <c r="M85" i="11"/>
  <c r="M93" i="11"/>
  <c r="M109" i="11"/>
  <c r="C4" i="11"/>
  <c r="C2" i="11" s="1"/>
  <c r="P127" i="11"/>
  <c r="H70" i="11"/>
  <c r="H35" i="11"/>
  <c r="H66" i="11"/>
  <c r="H71" i="11"/>
  <c r="H68" i="11"/>
  <c r="H69" i="11"/>
  <c r="H52" i="11"/>
  <c r="H57" i="11"/>
  <c r="H64" i="11"/>
  <c r="H65" i="11"/>
  <c r="H49" i="11"/>
  <c r="H45" i="11"/>
  <c r="H40" i="11"/>
  <c r="H54" i="11"/>
  <c r="H63" i="11"/>
  <c r="H36" i="11"/>
  <c r="H37" i="11"/>
  <c r="H46" i="11"/>
  <c r="H58" i="11"/>
  <c r="H44" i="11"/>
  <c r="H41" i="11"/>
  <c r="H55" i="11"/>
  <c r="H34" i="11"/>
  <c r="Q34" i="11" s="1"/>
  <c r="B19" i="11" s="1"/>
  <c r="H42" i="11"/>
  <c r="H73" i="11"/>
  <c r="H51" i="11"/>
  <c r="H59" i="11"/>
  <c r="H38" i="11"/>
  <c r="H72" i="11"/>
  <c r="H56" i="11"/>
  <c r="H50" i="11"/>
  <c r="H62" i="11"/>
  <c r="H60" i="11"/>
  <c r="H48" i="11"/>
  <c r="H47" i="11"/>
  <c r="H39" i="11"/>
  <c r="H61" i="11"/>
  <c r="H53" i="11"/>
  <c r="H67" i="11"/>
  <c r="H43" i="11"/>
  <c r="I46" i="11"/>
  <c r="I50" i="11"/>
  <c r="I37" i="11"/>
  <c r="I40" i="11"/>
  <c r="I65" i="11"/>
  <c r="J59" i="11"/>
  <c r="J46" i="11"/>
  <c r="J65" i="11"/>
  <c r="J58" i="11"/>
  <c r="J56" i="11"/>
  <c r="J68" i="11"/>
  <c r="J73" i="11"/>
  <c r="J66" i="11"/>
  <c r="J40" i="11"/>
  <c r="J69" i="11"/>
  <c r="I35" i="11"/>
  <c r="J67" i="11"/>
  <c r="J37" i="11"/>
  <c r="J163" i="11" s="1"/>
  <c r="J39" i="11"/>
  <c r="I41" i="11"/>
  <c r="I47" i="11"/>
  <c r="I55" i="11"/>
  <c r="I39" i="11"/>
  <c r="I38" i="11"/>
  <c r="J52" i="11"/>
  <c r="J51" i="11"/>
  <c r="J43" i="11"/>
  <c r="J50" i="11"/>
  <c r="I72" i="11"/>
  <c r="I49" i="11"/>
  <c r="I71" i="11"/>
  <c r="I58" i="11"/>
  <c r="J57" i="11"/>
  <c r="J72" i="11"/>
  <c r="J45" i="11"/>
  <c r="J47" i="11"/>
  <c r="J38" i="11"/>
  <c r="I57" i="11"/>
  <c r="I36" i="11"/>
  <c r="I43" i="11"/>
  <c r="I63" i="11"/>
  <c r="J44" i="11"/>
  <c r="J48" i="11"/>
  <c r="J53" i="11"/>
  <c r="J42" i="11"/>
  <c r="I48" i="11"/>
  <c r="I64" i="11"/>
  <c r="I59" i="11"/>
  <c r="I44" i="11"/>
  <c r="I61" i="11"/>
  <c r="I70" i="11"/>
  <c r="J71" i="11"/>
  <c r="J64" i="11"/>
  <c r="J61" i="11"/>
  <c r="J36" i="11"/>
  <c r="I68" i="11"/>
  <c r="I51" i="11"/>
  <c r="I45" i="11"/>
  <c r="I66" i="11"/>
  <c r="I52" i="11"/>
  <c r="J49" i="11"/>
  <c r="I60" i="11"/>
  <c r="I56" i="11"/>
  <c r="I73" i="11"/>
  <c r="I67" i="11"/>
  <c r="J60" i="11"/>
  <c r="J41" i="11"/>
  <c r="I54" i="11"/>
  <c r="I53" i="11"/>
  <c r="I69" i="11"/>
  <c r="I62" i="11"/>
  <c r="I42" i="11"/>
  <c r="J63" i="11"/>
  <c r="J54" i="11"/>
  <c r="J70" i="11"/>
  <c r="J55" i="11"/>
  <c r="J62" i="11"/>
  <c r="M40" i="11"/>
  <c r="K48" i="11"/>
  <c r="P59" i="11"/>
  <c r="O49" i="11"/>
  <c r="L68" i="11"/>
  <c r="L45" i="11"/>
  <c r="L72" i="11"/>
  <c r="L56" i="11"/>
  <c r="O46" i="11"/>
  <c r="M71" i="11"/>
  <c r="K72" i="11"/>
  <c r="O54" i="11"/>
  <c r="O67" i="11"/>
  <c r="K60" i="11"/>
  <c r="K37" i="11"/>
  <c r="P66" i="11"/>
  <c r="M60" i="11"/>
  <c r="M47" i="11"/>
  <c r="K57" i="11"/>
  <c r="L67" i="11"/>
  <c r="O43" i="11"/>
  <c r="P54" i="11"/>
  <c r="N65" i="11"/>
  <c r="M42" i="11"/>
  <c r="K52" i="11"/>
  <c r="K63" i="11"/>
  <c r="O103" i="11"/>
  <c r="N98" i="11"/>
  <c r="N86" i="11"/>
  <c r="K88" i="11"/>
  <c r="I108" i="11"/>
  <c r="J78" i="11"/>
  <c r="N106" i="11"/>
  <c r="O98" i="11"/>
  <c r="M92" i="11"/>
  <c r="J85" i="11"/>
  <c r="H84" i="11"/>
  <c r="M94" i="11"/>
  <c r="M110" i="11"/>
  <c r="L91" i="11"/>
  <c r="L107" i="11"/>
  <c r="I86" i="11"/>
  <c r="O102" i="11"/>
  <c r="K82" i="11"/>
  <c r="M96" i="11"/>
  <c r="M112" i="11"/>
  <c r="L86" i="11"/>
  <c r="L94" i="11"/>
  <c r="L102" i="11"/>
  <c r="L110" i="11"/>
  <c r="L92" i="11"/>
  <c r="L100" i="11"/>
  <c r="L108" i="11"/>
  <c r="I79" i="11"/>
  <c r="L89" i="11"/>
  <c r="L97" i="11"/>
  <c r="L105" i="11"/>
  <c r="L113" i="11"/>
  <c r="I87" i="11"/>
  <c r="I95" i="11"/>
  <c r="I103" i="11"/>
  <c r="I111" i="11"/>
  <c r="L122" i="11"/>
  <c r="N130" i="11"/>
  <c r="M130" i="11"/>
  <c r="L153" i="11"/>
  <c r="K136" i="11"/>
  <c r="K144" i="11"/>
  <c r="L138" i="11"/>
  <c r="M129" i="11"/>
  <c r="M124" i="11"/>
  <c r="P151" i="11"/>
  <c r="N134" i="11"/>
  <c r="P150" i="11"/>
  <c r="N125" i="11"/>
  <c r="N138" i="11"/>
  <c r="M153" i="11"/>
  <c r="P129" i="11"/>
  <c r="N145" i="11"/>
  <c r="J122" i="11"/>
  <c r="O137" i="11"/>
  <c r="K154" i="11"/>
  <c r="K138" i="11"/>
  <c r="K146" i="11"/>
  <c r="I154" i="11"/>
  <c r="N131" i="11"/>
  <c r="N139" i="11"/>
  <c r="N147" i="11"/>
  <c r="M156" i="11"/>
  <c r="O131" i="11"/>
  <c r="O139" i="11"/>
  <c r="O147" i="11"/>
  <c r="N156" i="11"/>
  <c r="N128" i="11"/>
  <c r="N136" i="11"/>
  <c r="N144" i="11"/>
  <c r="I152" i="11"/>
  <c r="O154" i="11"/>
  <c r="I92" i="11"/>
  <c r="J83" i="11"/>
  <c r="N114" i="11"/>
  <c r="M95" i="11"/>
  <c r="L82" i="11"/>
  <c r="K91" i="11"/>
  <c r="M88" i="11"/>
  <c r="M83" i="11"/>
  <c r="J80" i="11"/>
  <c r="K109" i="11"/>
  <c r="N93" i="11"/>
  <c r="N109" i="11"/>
  <c r="N193" i="11" s="1"/>
  <c r="N99" i="11"/>
  <c r="N107" i="11"/>
  <c r="N88" i="11"/>
  <c r="N96" i="11"/>
  <c r="N104" i="11"/>
  <c r="N112" i="11"/>
  <c r="K86" i="11"/>
  <c r="K102" i="11"/>
  <c r="M143" i="11"/>
  <c r="I133" i="11"/>
  <c r="L125" i="11"/>
  <c r="M146" i="11"/>
  <c r="L130" i="11"/>
  <c r="I141" i="11"/>
  <c r="J135" i="11"/>
  <c r="O126" i="11"/>
  <c r="J155" i="11"/>
  <c r="K148" i="11"/>
  <c r="L131" i="11"/>
  <c r="L147" i="11"/>
  <c r="L124" i="11"/>
  <c r="L135" i="11"/>
  <c r="O151" i="11"/>
  <c r="L142" i="11"/>
  <c r="J120" i="11"/>
  <c r="I136" i="11"/>
  <c r="M152" i="11"/>
  <c r="M145" i="11"/>
  <c r="J151" i="11"/>
  <c r="T23" i="13"/>
  <c r="O55" i="11"/>
  <c r="M52" i="11"/>
  <c r="M44" i="11"/>
  <c r="P53" i="11"/>
  <c r="L73" i="11"/>
  <c r="N47" i="11"/>
  <c r="K41" i="11"/>
  <c r="K58" i="11"/>
  <c r="P50" i="11"/>
  <c r="N43" i="11"/>
  <c r="K38" i="11"/>
  <c r="P55" i="11"/>
  <c r="N71" i="11"/>
  <c r="L61" i="11"/>
  <c r="O41" i="11"/>
  <c r="K69" i="11"/>
  <c r="L64" i="11"/>
  <c r="P48" i="11"/>
  <c r="N58" i="11"/>
  <c r="P69" i="11"/>
  <c r="M45" i="11"/>
  <c r="K55" i="11"/>
  <c r="L66" i="11"/>
  <c r="P43" i="11"/>
  <c r="N53" i="11"/>
  <c r="O65" i="11"/>
  <c r="K80" i="11"/>
  <c r="I81" i="11"/>
  <c r="M98" i="11"/>
  <c r="I94" i="11"/>
  <c r="M114" i="11"/>
  <c r="M82" i="11"/>
  <c r="P109" i="11"/>
  <c r="I105" i="11"/>
  <c r="O95" i="11"/>
  <c r="O87" i="11"/>
  <c r="L81" i="11"/>
  <c r="I96" i="11"/>
  <c r="I112" i="11"/>
  <c r="N94" i="11"/>
  <c r="N110" i="11"/>
  <c r="M87" i="11"/>
  <c r="K104" i="11"/>
  <c r="N83" i="11"/>
  <c r="I98" i="11"/>
  <c r="I114" i="11"/>
  <c r="J87" i="11"/>
  <c r="J95" i="11"/>
  <c r="J103" i="11"/>
  <c r="J111" i="11"/>
  <c r="J93" i="11"/>
  <c r="J101" i="11"/>
  <c r="J109" i="11"/>
  <c r="L80" i="11"/>
  <c r="J90" i="11"/>
  <c r="J98" i="11"/>
  <c r="J106" i="11"/>
  <c r="J114" i="11"/>
  <c r="O88" i="11"/>
  <c r="O96" i="11"/>
  <c r="O104" i="11"/>
  <c r="O112" i="11"/>
  <c r="N133" i="11"/>
  <c r="K143" i="11"/>
  <c r="P136" i="11"/>
  <c r="K123" i="11"/>
  <c r="O142" i="11"/>
  <c r="M147" i="11"/>
  <c r="N141" i="11"/>
  <c r="I132" i="11"/>
  <c r="J127" i="11"/>
  <c r="L155" i="11"/>
  <c r="J136" i="11"/>
  <c r="N152" i="11"/>
  <c r="I127" i="11"/>
  <c r="J140" i="11"/>
  <c r="K155" i="11"/>
  <c r="J131" i="11"/>
  <c r="J147" i="11"/>
  <c r="M123" i="11"/>
  <c r="K139" i="11"/>
  <c r="I156" i="11"/>
  <c r="I139" i="11"/>
  <c r="I147" i="11"/>
  <c r="P156" i="11"/>
  <c r="L132" i="11"/>
  <c r="L140" i="11"/>
  <c r="L148" i="11"/>
  <c r="L157" i="11"/>
  <c r="M132" i="11"/>
  <c r="M140" i="11"/>
  <c r="M148" i="11"/>
  <c r="M157" i="11"/>
  <c r="L129" i="11"/>
  <c r="L137" i="11"/>
  <c r="L145" i="11"/>
  <c r="P155" i="11"/>
  <c r="M155" i="11"/>
  <c r="I113" i="11"/>
  <c r="K95" i="11"/>
  <c r="K92" i="11"/>
  <c r="M106" i="11"/>
  <c r="L87" i="11"/>
  <c r="M99" i="11"/>
  <c r="O107" i="11"/>
  <c r="P92" i="11"/>
  <c r="P98" i="11"/>
  <c r="P95" i="11"/>
  <c r="M101" i="11"/>
  <c r="L53" i="11"/>
  <c r="L48" i="11"/>
  <c r="N60" i="11"/>
  <c r="N57" i="11"/>
  <c r="M46" i="11"/>
  <c r="M49" i="11"/>
  <c r="O44" i="11"/>
  <c r="N63" i="11"/>
  <c r="O52" i="11"/>
  <c r="K45" i="11"/>
  <c r="L39" i="11"/>
  <c r="O57" i="11"/>
  <c r="O72" i="11"/>
  <c r="P62" i="11"/>
  <c r="O42" i="11"/>
  <c r="O70" i="11"/>
  <c r="M65" i="11"/>
  <c r="K49" i="11"/>
  <c r="L59" i="11"/>
  <c r="N70" i="11"/>
  <c r="P46" i="11"/>
  <c r="N56" i="11"/>
  <c r="P68" i="11"/>
  <c r="K44" i="11"/>
  <c r="L55" i="11"/>
  <c r="M66" i="11"/>
  <c r="K100" i="11"/>
  <c r="J92" i="11"/>
  <c r="K111" i="11"/>
  <c r="M100" i="11"/>
  <c r="J84" i="11"/>
  <c r="K85" i="11"/>
  <c r="J81" i="11"/>
  <c r="K108" i="11"/>
  <c r="I102" i="11"/>
  <c r="M90" i="11"/>
  <c r="K83" i="11"/>
  <c r="O97" i="11"/>
  <c r="O113" i="11"/>
  <c r="J96" i="11"/>
  <c r="J112" i="11"/>
  <c r="M91" i="11"/>
  <c r="M107" i="11"/>
  <c r="I85" i="11"/>
  <c r="O99" i="11"/>
  <c r="O115" i="11"/>
  <c r="P88" i="11"/>
  <c r="P96" i="11"/>
  <c r="P104" i="11"/>
  <c r="P112" i="11"/>
  <c r="P94" i="11"/>
  <c r="P102" i="11"/>
  <c r="P110" i="11"/>
  <c r="O83" i="11"/>
  <c r="P91" i="11"/>
  <c r="P99" i="11"/>
  <c r="P107" i="11"/>
  <c r="P115" i="11"/>
  <c r="M89" i="11"/>
  <c r="M97" i="11"/>
  <c r="M105" i="11"/>
  <c r="M113" i="11"/>
  <c r="L146" i="11"/>
  <c r="O125" i="11"/>
  <c r="J143" i="11"/>
  <c r="K128" i="11"/>
  <c r="I149" i="11"/>
  <c r="M154" i="11"/>
  <c r="P144" i="11"/>
  <c r="K135" i="11"/>
  <c r="O129" i="11"/>
  <c r="P137" i="11"/>
  <c r="L154" i="11"/>
  <c r="J128" i="11"/>
  <c r="P141" i="11"/>
  <c r="J157" i="11"/>
  <c r="P132" i="11"/>
  <c r="P148" i="11"/>
  <c r="K126" i="11"/>
  <c r="M142" i="11"/>
  <c r="O132" i="11"/>
  <c r="O140" i="11"/>
  <c r="O148" i="11"/>
  <c r="O157" i="11"/>
  <c r="J133" i="11"/>
  <c r="J141" i="11"/>
  <c r="J149" i="11"/>
  <c r="J125" i="11"/>
  <c r="K133" i="11"/>
  <c r="K141" i="11"/>
  <c r="K149" i="11"/>
  <c r="I120" i="11"/>
  <c r="J130" i="11"/>
  <c r="J138" i="11"/>
  <c r="J146" i="11"/>
  <c r="O156" i="11"/>
  <c r="K156" i="11"/>
  <c r="M103" i="11"/>
  <c r="J100" i="11"/>
  <c r="I78" i="11"/>
  <c r="O105" i="11"/>
  <c r="J104" i="11"/>
  <c r="M115" i="11"/>
  <c r="P84" i="11"/>
  <c r="P100" i="11"/>
  <c r="P114" i="11"/>
  <c r="P111" i="11"/>
  <c r="I110" i="11"/>
  <c r="O101" i="11"/>
  <c r="L103" i="11"/>
  <c r="O89" i="11"/>
  <c r="O109" i="11"/>
  <c r="K107" i="11"/>
  <c r="P105" i="11"/>
  <c r="I101" i="11"/>
  <c r="K93" i="11"/>
  <c r="N85" i="11"/>
  <c r="N101" i="11"/>
  <c r="N91" i="11"/>
  <c r="N115" i="11"/>
  <c r="K94" i="11"/>
  <c r="I138" i="11"/>
  <c r="M72" i="11"/>
  <c r="K56" i="11"/>
  <c r="O47" i="11"/>
  <c r="K62" i="11"/>
  <c r="K50" i="11"/>
  <c r="L51" i="11"/>
  <c r="N46" i="11"/>
  <c r="N68" i="11"/>
  <c r="N54" i="11"/>
  <c r="L49" i="11"/>
  <c r="N40" i="11"/>
  <c r="P58" i="11"/>
  <c r="L38" i="11"/>
  <c r="K65" i="11"/>
  <c r="L43" i="11"/>
  <c r="P71" i="11"/>
  <c r="K68" i="11"/>
  <c r="N50" i="11"/>
  <c r="P61" i="11"/>
  <c r="L71" i="11"/>
  <c r="K47" i="11"/>
  <c r="L58" i="11"/>
  <c r="N69" i="11"/>
  <c r="N45" i="11"/>
  <c r="O56" i="11"/>
  <c r="K67" i="11"/>
  <c r="O86" i="11"/>
  <c r="N82" i="11"/>
  <c r="O85" i="11"/>
  <c r="K113" i="11"/>
  <c r="J89" i="11"/>
  <c r="I88" i="11"/>
  <c r="K84" i="11"/>
  <c r="M111" i="11"/>
  <c r="K105" i="11"/>
  <c r="O93" i="11"/>
  <c r="M84" i="11"/>
  <c r="K99" i="11"/>
  <c r="K115" i="11"/>
  <c r="P97" i="11"/>
  <c r="P113" i="11"/>
  <c r="I93" i="11"/>
  <c r="I109" i="11"/>
  <c r="M86" i="11"/>
  <c r="K101" i="11"/>
  <c r="K79" i="11"/>
  <c r="N89" i="11"/>
  <c r="N97" i="11"/>
  <c r="N105" i="11"/>
  <c r="N113" i="11"/>
  <c r="N95" i="11"/>
  <c r="N103" i="11"/>
  <c r="N111" i="11"/>
  <c r="N195" i="11" s="1"/>
  <c r="N84" i="11"/>
  <c r="N92" i="11"/>
  <c r="N100" i="11"/>
  <c r="N108" i="11"/>
  <c r="I77" i="11"/>
  <c r="K90" i="11"/>
  <c r="K98" i="11"/>
  <c r="K106" i="11"/>
  <c r="M125" i="11"/>
  <c r="I137" i="11"/>
  <c r="N149" i="11"/>
  <c r="K140" i="11"/>
  <c r="L156" i="11"/>
  <c r="I121" i="11"/>
  <c r="L151" i="11"/>
  <c r="M138" i="11"/>
  <c r="K132" i="11"/>
  <c r="K122" i="11"/>
  <c r="L139" i="11"/>
  <c r="J156" i="11"/>
  <c r="N129" i="11"/>
  <c r="L143" i="11"/>
  <c r="I122" i="11"/>
  <c r="L134" i="11"/>
  <c r="M150" i="11"/>
  <c r="L127" i="11"/>
  <c r="I144" i="11"/>
  <c r="M133" i="11"/>
  <c r="M141" i="11"/>
  <c r="M149" i="11"/>
  <c r="P126" i="11"/>
  <c r="P134" i="11"/>
  <c r="P142" i="11"/>
  <c r="I150" i="11"/>
  <c r="I126" i="11"/>
  <c r="I134" i="11"/>
  <c r="I142" i="11"/>
  <c r="J150" i="11"/>
  <c r="J123" i="11"/>
  <c r="P131" i="11"/>
  <c r="P139" i="11"/>
  <c r="P147" i="11"/>
  <c r="N157" i="11"/>
  <c r="H157" i="11" l="1"/>
  <c r="H148" i="11"/>
  <c r="H122" i="11"/>
  <c r="H132" i="11"/>
  <c r="P194" i="11"/>
  <c r="H154" i="11"/>
  <c r="Q154" i="11" s="1"/>
  <c r="D55" i="11" s="1"/>
  <c r="H119" i="11"/>
  <c r="H129" i="11"/>
  <c r="Q129" i="11" s="1"/>
  <c r="D30" i="11" s="1"/>
  <c r="N190" i="11"/>
  <c r="H112" i="11"/>
  <c r="L168" i="11"/>
  <c r="H109" i="11"/>
  <c r="Q109" i="11" s="1"/>
  <c r="C52" i="11" s="1"/>
  <c r="H78" i="11"/>
  <c r="Q78" i="11" s="1"/>
  <c r="C21" i="11" s="1"/>
  <c r="H136" i="11"/>
  <c r="Q136" i="11" s="1"/>
  <c r="D37" i="11" s="1"/>
  <c r="H152" i="11"/>
  <c r="O176" i="11"/>
  <c r="H144" i="11"/>
  <c r="Q144" i="11" s="1"/>
  <c r="D45" i="11" s="1"/>
  <c r="H156" i="11"/>
  <c r="Q156" i="11" s="1"/>
  <c r="D57" i="11" s="1"/>
  <c r="K172" i="11"/>
  <c r="M177" i="11"/>
  <c r="H151" i="11"/>
  <c r="O195" i="11"/>
  <c r="H121" i="11"/>
  <c r="Q121" i="11" s="1"/>
  <c r="D22" i="11" s="1"/>
  <c r="H145" i="11"/>
  <c r="Q145" i="11" s="1"/>
  <c r="D46" i="11" s="1"/>
  <c r="H142" i="11"/>
  <c r="Q142" i="11" s="1"/>
  <c r="D43" i="11" s="1"/>
  <c r="H147" i="11"/>
  <c r="Q147" i="11" s="1"/>
  <c r="D48" i="11" s="1"/>
  <c r="N175" i="11"/>
  <c r="H124" i="11"/>
  <c r="H166" i="11" s="1"/>
  <c r="H120" i="11"/>
  <c r="H146" i="11"/>
  <c r="Q146" i="11" s="1"/>
  <c r="D47" i="11" s="1"/>
  <c r="H153" i="11"/>
  <c r="Q153" i="11" s="1"/>
  <c r="D54" i="11" s="1"/>
  <c r="M181" i="11"/>
  <c r="H125" i="11"/>
  <c r="Q125" i="11" s="1"/>
  <c r="D26" i="11" s="1"/>
  <c r="M193" i="11"/>
  <c r="H128" i="11"/>
  <c r="H133" i="11"/>
  <c r="Q133" i="11" s="1"/>
  <c r="D34" i="11" s="1"/>
  <c r="H126" i="11"/>
  <c r="Q126" i="11" s="1"/>
  <c r="D27" i="11" s="1"/>
  <c r="H131" i="11"/>
  <c r="Q131" i="11" s="1"/>
  <c r="D32" i="11" s="1"/>
  <c r="L170" i="11"/>
  <c r="P170" i="11"/>
  <c r="O194" i="11"/>
  <c r="H155" i="11"/>
  <c r="Q155" i="11" s="1"/>
  <c r="D56" i="11" s="1"/>
  <c r="H141" i="11"/>
  <c r="Q141" i="11" s="1"/>
  <c r="D42" i="11" s="1"/>
  <c r="H135" i="11"/>
  <c r="Q135" i="11" s="1"/>
  <c r="D36" i="11" s="1"/>
  <c r="L195" i="11"/>
  <c r="M169" i="11"/>
  <c r="N168" i="11"/>
  <c r="H123" i="11"/>
  <c r="Q123" i="11" s="1"/>
  <c r="D24" i="11" s="1"/>
  <c r="H149" i="11"/>
  <c r="Q149" i="11" s="1"/>
  <c r="D50" i="11" s="1"/>
  <c r="H134" i="11"/>
  <c r="Q134" i="11" s="1"/>
  <c r="D35" i="11" s="1"/>
  <c r="H139" i="11"/>
  <c r="Q139" i="11" s="1"/>
  <c r="D40" i="11" s="1"/>
  <c r="H150" i="11"/>
  <c r="Q150" i="11" s="1"/>
  <c r="D51" i="11" s="1"/>
  <c r="H127" i="11"/>
  <c r="Q127" i="11" s="1"/>
  <c r="D28" i="11" s="1"/>
  <c r="H140" i="11"/>
  <c r="Q140" i="11" s="1"/>
  <c r="D41" i="11" s="1"/>
  <c r="H130" i="11"/>
  <c r="Q130" i="11" s="1"/>
  <c r="D31" i="11" s="1"/>
  <c r="H118" i="11"/>
  <c r="Q118" i="11" s="1"/>
  <c r="D19" i="11" s="1"/>
  <c r="H137" i="11"/>
  <c r="H138" i="11"/>
  <c r="Q138" i="11" s="1"/>
  <c r="D39" i="11" s="1"/>
  <c r="N194" i="11"/>
  <c r="O187" i="11"/>
  <c r="M186" i="11"/>
  <c r="K163" i="11"/>
  <c r="M173" i="11"/>
  <c r="K195" i="11"/>
  <c r="O184" i="11"/>
  <c r="N188" i="11"/>
  <c r="J181" i="11"/>
  <c r="N170" i="11"/>
  <c r="AK18" i="10"/>
  <c r="AJ26" i="14"/>
  <c r="AJ17" i="14"/>
  <c r="AK17" i="10" s="1"/>
  <c r="O188" i="11"/>
  <c r="P177" i="11"/>
  <c r="I161" i="11"/>
  <c r="O174" i="11"/>
  <c r="L191" i="11"/>
  <c r="N174" i="11"/>
  <c r="O190" i="11"/>
  <c r="H87" i="11"/>
  <c r="H171" i="11" s="1"/>
  <c r="O185" i="11"/>
  <c r="I197" i="11"/>
  <c r="N177" i="11"/>
  <c r="L183" i="11"/>
  <c r="N179" i="11"/>
  <c r="N185" i="11"/>
  <c r="O197" i="11"/>
  <c r="L186" i="11"/>
  <c r="H97" i="11"/>
  <c r="K199" i="11"/>
  <c r="H106" i="11"/>
  <c r="H190" i="11" s="1"/>
  <c r="M165" i="11"/>
  <c r="I187" i="11"/>
  <c r="O172" i="11"/>
  <c r="H83" i="11"/>
  <c r="I166" i="11"/>
  <c r="O170" i="11"/>
  <c r="K166" i="11"/>
  <c r="O177" i="11"/>
  <c r="M194" i="11"/>
  <c r="L178" i="11"/>
  <c r="P189" i="11"/>
  <c r="H105" i="11"/>
  <c r="Q105" i="11" s="1"/>
  <c r="C48" i="11" s="1"/>
  <c r="H102" i="11"/>
  <c r="Q102" i="11" s="1"/>
  <c r="C45" i="11" s="1"/>
  <c r="J172" i="11"/>
  <c r="L196" i="11"/>
  <c r="H85" i="11"/>
  <c r="Q85" i="11" s="1"/>
  <c r="C28" i="11" s="1"/>
  <c r="H91" i="11"/>
  <c r="Q91" i="11" s="1"/>
  <c r="C34" i="11" s="1"/>
  <c r="K187" i="11"/>
  <c r="O169" i="11"/>
  <c r="H90" i="11"/>
  <c r="Q90" i="11" s="1"/>
  <c r="C33" i="11" s="1"/>
  <c r="H111" i="11"/>
  <c r="Q111" i="11" s="1"/>
  <c r="C54" i="11" s="1"/>
  <c r="P187" i="11"/>
  <c r="K179" i="11"/>
  <c r="K173" i="11"/>
  <c r="K196" i="11"/>
  <c r="L173" i="11"/>
  <c r="N184" i="11"/>
  <c r="H88" i="11"/>
  <c r="H172" i="11" s="1"/>
  <c r="Q35" i="11"/>
  <c r="B20" i="11" s="1"/>
  <c r="L184" i="11"/>
  <c r="P168" i="11"/>
  <c r="K167" i="11"/>
  <c r="K165" i="11"/>
  <c r="M178" i="11"/>
  <c r="H98" i="11"/>
  <c r="P171" i="11"/>
  <c r="I184" i="11"/>
  <c r="L188" i="11"/>
  <c r="J178" i="11"/>
  <c r="M174" i="11"/>
  <c r="I174" i="11"/>
  <c r="O180" i="11"/>
  <c r="H86" i="11"/>
  <c r="H108" i="11"/>
  <c r="H107" i="11"/>
  <c r="I199" i="11"/>
  <c r="I193" i="11"/>
  <c r="M167" i="11"/>
  <c r="O191" i="11"/>
  <c r="L179" i="11"/>
  <c r="P198" i="11"/>
  <c r="J174" i="11"/>
  <c r="I182" i="11"/>
  <c r="I194" i="11"/>
  <c r="K178" i="11"/>
  <c r="H79" i="11"/>
  <c r="Q79" i="11" s="1"/>
  <c r="C22" i="11" s="1"/>
  <c r="H81" i="11"/>
  <c r="Q81" i="11" s="1"/>
  <c r="C24" i="11" s="1"/>
  <c r="H77" i="11"/>
  <c r="Q77" i="11" s="1"/>
  <c r="C20" i="11" s="1"/>
  <c r="I173" i="11"/>
  <c r="I167" i="11"/>
  <c r="Q84" i="11"/>
  <c r="C27" i="11" s="1"/>
  <c r="K184" i="11"/>
  <c r="P182" i="11"/>
  <c r="H76" i="11"/>
  <c r="Q76" i="11" s="1"/>
  <c r="C19" i="11" s="1"/>
  <c r="H100" i="11"/>
  <c r="Q100" i="11" s="1"/>
  <c r="C43" i="11" s="1"/>
  <c r="H95" i="11"/>
  <c r="Q95" i="11" s="1"/>
  <c r="C38" i="11" s="1"/>
  <c r="K164" i="11"/>
  <c r="J180" i="11"/>
  <c r="I180" i="11"/>
  <c r="I181" i="11"/>
  <c r="L172" i="11"/>
  <c r="M192" i="11"/>
  <c r="O171" i="11"/>
  <c r="N198" i="11"/>
  <c r="K180" i="11"/>
  <c r="H80" i="11"/>
  <c r="H164" i="11" s="1"/>
  <c r="H104" i="11"/>
  <c r="H103" i="11"/>
  <c r="Q103" i="11" s="1"/>
  <c r="C46" i="11" s="1"/>
  <c r="N167" i="11"/>
  <c r="L169" i="11"/>
  <c r="I168" i="11"/>
  <c r="L193" i="11"/>
  <c r="N166" i="11"/>
  <c r="K191" i="11"/>
  <c r="M188" i="11"/>
  <c r="N178" i="11"/>
  <c r="Q41" i="11"/>
  <c r="B26" i="11" s="1"/>
  <c r="I188" i="11"/>
  <c r="I192" i="11"/>
  <c r="M168" i="11"/>
  <c r="K177" i="11"/>
  <c r="K176" i="11"/>
  <c r="K181" i="11"/>
  <c r="J169" i="11"/>
  <c r="L166" i="11"/>
  <c r="L167" i="11"/>
  <c r="H113" i="11"/>
  <c r="H89" i="11"/>
  <c r="H94" i="11"/>
  <c r="Q94" i="11" s="1"/>
  <c r="C37" i="11" s="1"/>
  <c r="H99" i="11"/>
  <c r="Q99" i="11" s="1"/>
  <c r="C42" i="11" s="1"/>
  <c r="P169" i="11"/>
  <c r="O175" i="11"/>
  <c r="AO23" i="14"/>
  <c r="AG17" i="10"/>
  <c r="J166" i="11"/>
  <c r="J179" i="11"/>
  <c r="P181" i="11"/>
  <c r="J176" i="11"/>
  <c r="AN23" i="14"/>
  <c r="AF17" i="10"/>
  <c r="AI18" i="10"/>
  <c r="AH26" i="14"/>
  <c r="AH17" i="14"/>
  <c r="AI17" i="10" s="1"/>
  <c r="AE18" i="10"/>
  <c r="AD26" i="14"/>
  <c r="AD28" i="14" s="1"/>
  <c r="AE28" i="14" s="1"/>
  <c r="AF28" i="14" s="1"/>
  <c r="AG28" i="14" s="1"/>
  <c r="AD17" i="14"/>
  <c r="Q40" i="11"/>
  <c r="B25" i="11" s="1"/>
  <c r="M199" i="11"/>
  <c r="L192" i="11"/>
  <c r="P195" i="11"/>
  <c r="J167" i="11"/>
  <c r="J189" i="11"/>
  <c r="N191" i="11"/>
  <c r="J191" i="11"/>
  <c r="M166" i="11"/>
  <c r="I190" i="11"/>
  <c r="Q61" i="11"/>
  <c r="B46" i="11" s="1"/>
  <c r="Q52" i="11"/>
  <c r="B37" i="11" s="1"/>
  <c r="P173" i="11"/>
  <c r="O198" i="11"/>
  <c r="J199" i="11"/>
  <c r="K197" i="11"/>
  <c r="J190" i="11"/>
  <c r="L165" i="11"/>
  <c r="J197" i="11"/>
  <c r="L194" i="11"/>
  <c r="L175" i="11"/>
  <c r="H93" i="11"/>
  <c r="H92" i="11"/>
  <c r="Q92" i="11" s="1"/>
  <c r="C35" i="11" s="1"/>
  <c r="H110" i="11"/>
  <c r="H115" i="11"/>
  <c r="Q115" i="11" s="1"/>
  <c r="C58" i="11" s="1"/>
  <c r="J186" i="11"/>
  <c r="AM18" i="10"/>
  <c r="AL17" i="14"/>
  <c r="AM17" i="10" s="1"/>
  <c r="AL26" i="14"/>
  <c r="P179" i="11"/>
  <c r="I164" i="11"/>
  <c r="L198" i="11"/>
  <c r="P186" i="11"/>
  <c r="L164" i="11"/>
  <c r="K189" i="11"/>
  <c r="N169" i="11"/>
  <c r="P190" i="11"/>
  <c r="N183" i="11"/>
  <c r="I170" i="11"/>
  <c r="N171" i="11"/>
  <c r="M170" i="11"/>
  <c r="K198" i="11"/>
  <c r="K193" i="11"/>
  <c r="O179" i="11"/>
  <c r="I185" i="11"/>
  <c r="J183" i="11"/>
  <c r="J165" i="11"/>
  <c r="M183" i="11"/>
  <c r="L181" i="11"/>
  <c r="I177" i="11"/>
  <c r="P183" i="11"/>
  <c r="O183" i="11"/>
  <c r="O168" i="11"/>
  <c r="M198" i="11"/>
  <c r="L180" i="11"/>
  <c r="I171" i="11"/>
  <c r="H101" i="11"/>
  <c r="H185" i="11" s="1"/>
  <c r="H96" i="11"/>
  <c r="Q96" i="11" s="1"/>
  <c r="C39" i="11" s="1"/>
  <c r="H114" i="11"/>
  <c r="Q114" i="11" s="1"/>
  <c r="C57" i="11" s="1"/>
  <c r="N182" i="11"/>
  <c r="J196" i="11"/>
  <c r="Q68" i="11"/>
  <c r="B53" i="11" s="1"/>
  <c r="O178" i="11"/>
  <c r="AQ18" i="10"/>
  <c r="AP26" i="14"/>
  <c r="AP17" i="14"/>
  <c r="AQ17" i="10" s="1"/>
  <c r="L11" i="8"/>
  <c r="M11" i="8" s="1"/>
  <c r="Y12" i="7"/>
  <c r="Z12" i="7" s="1"/>
  <c r="AB12" i="7" s="1"/>
  <c r="F88" i="4"/>
  <c r="AG88" i="4"/>
  <c r="AG9" i="3" s="1"/>
  <c r="AG19" i="13" s="1"/>
  <c r="AE32" i="10" s="1"/>
  <c r="AE88" i="4"/>
  <c r="AF88" i="4"/>
  <c r="AF9" i="3" s="1"/>
  <c r="AF19" i="13" s="1"/>
  <c r="AD32" i="10" s="1"/>
  <c r="L9" i="3"/>
  <c r="L19" i="13" s="1"/>
  <c r="J32" i="10" s="1"/>
  <c r="J9" i="3"/>
  <c r="J19" i="13" s="1"/>
  <c r="H32" i="10" s="1"/>
  <c r="S9" i="3"/>
  <c r="S19" i="13" s="1"/>
  <c r="Q32" i="10" s="1"/>
  <c r="O9" i="3"/>
  <c r="O19" i="13" s="1"/>
  <c r="M32" i="10" s="1"/>
  <c r="AB88" i="4"/>
  <c r="G9" i="3"/>
  <c r="G19" i="13" s="1"/>
  <c r="E32" i="10" s="1"/>
  <c r="AH88" i="4"/>
  <c r="AH9" i="3" s="1"/>
  <c r="AH19" i="13" s="1"/>
  <c r="AF32" i="10" s="1"/>
  <c r="T9" i="3"/>
  <c r="T19" i="13" s="1"/>
  <c r="R32" i="10" s="1"/>
  <c r="AC88" i="4"/>
  <c r="AA88" i="4"/>
  <c r="H9" i="3"/>
  <c r="H19" i="13" s="1"/>
  <c r="F32" i="10" s="1"/>
  <c r="V88" i="4"/>
  <c r="P9" i="3"/>
  <c r="P19" i="13" s="1"/>
  <c r="N32" i="10" s="1"/>
  <c r="N9" i="3"/>
  <c r="N19" i="13" s="1"/>
  <c r="L32" i="10" s="1"/>
  <c r="R9" i="3"/>
  <c r="R19" i="13" s="1"/>
  <c r="P32" i="10" s="1"/>
  <c r="X88" i="4"/>
  <c r="M9" i="3"/>
  <c r="M19" i="13" s="1"/>
  <c r="K32" i="10" s="1"/>
  <c r="W88" i="4"/>
  <c r="AI88" i="4"/>
  <c r="AI9" i="3" s="1"/>
  <c r="AI19" i="13" s="1"/>
  <c r="AG32" i="10" s="1"/>
  <c r="Z88" i="4"/>
  <c r="Q9" i="3"/>
  <c r="Q19" i="13" s="1"/>
  <c r="O32" i="10" s="1"/>
  <c r="Y88" i="4"/>
  <c r="AD88" i="4"/>
  <c r="K9" i="3"/>
  <c r="K19" i="13" s="1"/>
  <c r="I32" i="10" s="1"/>
  <c r="I9" i="3"/>
  <c r="I19" i="13" s="1"/>
  <c r="G32" i="10" s="1"/>
  <c r="M19" i="6"/>
  <c r="J13" i="8"/>
  <c r="W14" i="7"/>
  <c r="I179" i="11"/>
  <c r="M184" i="11"/>
  <c r="Q122" i="11"/>
  <c r="D23" i="11" s="1"/>
  <c r="O167" i="11"/>
  <c r="L182" i="11"/>
  <c r="U23" i="13"/>
  <c r="J193" i="11"/>
  <c r="O181" i="11"/>
  <c r="Q67" i="11"/>
  <c r="B52" i="11" s="1"/>
  <c r="Q50" i="11"/>
  <c r="B35" i="11" s="1"/>
  <c r="Q63" i="11"/>
  <c r="B48" i="11" s="1"/>
  <c r="J192" i="11"/>
  <c r="M191" i="11"/>
  <c r="L185" i="11"/>
  <c r="I163" i="11"/>
  <c r="J188" i="11"/>
  <c r="K168" i="11"/>
  <c r="Q119" i="11"/>
  <c r="D20" i="11" s="1"/>
  <c r="Q137" i="11"/>
  <c r="D38" i="11" s="1"/>
  <c r="L171" i="11"/>
  <c r="L174" i="11"/>
  <c r="J173" i="11"/>
  <c r="M187" i="11"/>
  <c r="L189" i="11"/>
  <c r="O196" i="11"/>
  <c r="O173" i="11"/>
  <c r="P192" i="11"/>
  <c r="Q53" i="11"/>
  <c r="B38" i="11" s="1"/>
  <c r="Q56" i="11"/>
  <c r="B41" i="11" s="1"/>
  <c r="Q55" i="11"/>
  <c r="B40" i="11" s="1"/>
  <c r="Q54" i="11"/>
  <c r="B39" i="11" s="1"/>
  <c r="Q69" i="11"/>
  <c r="B54" i="11" s="1"/>
  <c r="M179" i="11"/>
  <c r="J184" i="11"/>
  <c r="J187" i="11"/>
  <c r="P199" i="11"/>
  <c r="M190" i="11"/>
  <c r="I189" i="11"/>
  <c r="J182" i="11"/>
  <c r="M189" i="11"/>
  <c r="I178" i="11"/>
  <c r="K190" i="11"/>
  <c r="I175" i="11"/>
  <c r="N186" i="11"/>
  <c r="N189" i="11"/>
  <c r="J164" i="11"/>
  <c r="P193" i="11"/>
  <c r="N172" i="11"/>
  <c r="Q39" i="11"/>
  <c r="B24" i="11" s="1"/>
  <c r="Q38" i="11"/>
  <c r="B23" i="11" s="1"/>
  <c r="Q44" i="11"/>
  <c r="B29" i="11" s="1"/>
  <c r="Q45" i="11"/>
  <c r="B30" i="11" s="1"/>
  <c r="Q71" i="11"/>
  <c r="B56" i="11" s="1"/>
  <c r="I172" i="11"/>
  <c r="J168" i="11"/>
  <c r="J171" i="11"/>
  <c r="K169" i="11"/>
  <c r="I176" i="11"/>
  <c r="M175" i="11"/>
  <c r="J198" i="11"/>
  <c r="K182" i="11"/>
  <c r="J175" i="11"/>
  <c r="P174" i="11"/>
  <c r="Q132" i="11"/>
  <c r="D33" i="11" s="1"/>
  <c r="N199" i="11"/>
  <c r="I186" i="11"/>
  <c r="I162" i="11"/>
  <c r="O199" i="11"/>
  <c r="Q128" i="11"/>
  <c r="D29" i="11" s="1"/>
  <c r="Q148" i="11"/>
  <c r="D49" i="11" s="1"/>
  <c r="M196" i="11"/>
  <c r="M182" i="11"/>
  <c r="I169" i="11"/>
  <c r="J162" i="11"/>
  <c r="M185" i="11"/>
  <c r="N181" i="11"/>
  <c r="N187" i="11"/>
  <c r="Q82" i="11"/>
  <c r="C25" i="11" s="1"/>
  <c r="Q47" i="11"/>
  <c r="B32" i="11" s="1"/>
  <c r="Q59" i="11"/>
  <c r="B44" i="11" s="1"/>
  <c r="Q58" i="11"/>
  <c r="B43" i="11" s="1"/>
  <c r="Q49" i="11"/>
  <c r="B34" i="11" s="1"/>
  <c r="Q66" i="11"/>
  <c r="B51" i="11" s="1"/>
  <c r="N197" i="11"/>
  <c r="P196" i="11"/>
  <c r="J194" i="11"/>
  <c r="P191" i="11"/>
  <c r="P188" i="11"/>
  <c r="O186" i="11"/>
  <c r="P175" i="11"/>
  <c r="Q157" i="11"/>
  <c r="D58" i="11" s="1"/>
  <c r="M172" i="11"/>
  <c r="Q143" i="11"/>
  <c r="D44" i="11" s="1"/>
  <c r="I191" i="11"/>
  <c r="N173" i="11"/>
  <c r="M171" i="11"/>
  <c r="Q51" i="11"/>
  <c r="B36" i="11" s="1"/>
  <c r="Q65" i="11"/>
  <c r="B50" i="11" s="1"/>
  <c r="P184" i="11"/>
  <c r="K174" i="11"/>
  <c r="O182" i="11"/>
  <c r="L199" i="11"/>
  <c r="J177" i="11"/>
  <c r="I196" i="11"/>
  <c r="M195" i="11"/>
  <c r="Q98" i="11"/>
  <c r="C41" i="11" s="1"/>
  <c r="Q60" i="11"/>
  <c r="B45" i="11" s="1"/>
  <c r="Q73" i="11"/>
  <c r="B58" i="11" s="1"/>
  <c r="Q37" i="11"/>
  <c r="B22" i="11" s="1"/>
  <c r="Q64" i="11"/>
  <c r="B49" i="11" s="1"/>
  <c r="Q70" i="11"/>
  <c r="B55" i="11" s="1"/>
  <c r="P180" i="11"/>
  <c r="I165" i="11"/>
  <c r="M197" i="11"/>
  <c r="I198" i="11"/>
  <c r="Q48" i="11"/>
  <c r="B33" i="11" s="1"/>
  <c r="Q46" i="11"/>
  <c r="B31" i="11" s="1"/>
  <c r="K183" i="11"/>
  <c r="J170" i="11"/>
  <c r="K170" i="11"/>
  <c r="P197" i="11"/>
  <c r="P178" i="11"/>
  <c r="O193" i="11"/>
  <c r="P176" i="11"/>
  <c r="L176" i="11"/>
  <c r="M180" i="11"/>
  <c r="K175" i="11"/>
  <c r="Q152" i="11"/>
  <c r="D53" i="11" s="1"/>
  <c r="J185" i="11"/>
  <c r="L187" i="11"/>
  <c r="L190" i="11"/>
  <c r="L197" i="11"/>
  <c r="K185" i="11"/>
  <c r="L177" i="11"/>
  <c r="I183" i="11"/>
  <c r="O189" i="11"/>
  <c r="K188" i="11"/>
  <c r="N180" i="11"/>
  <c r="K186" i="11"/>
  <c r="Q43" i="11"/>
  <c r="B28" i="11" s="1"/>
  <c r="Q62" i="11"/>
  <c r="B47" i="11" s="1"/>
  <c r="Q42" i="11"/>
  <c r="B27" i="11" s="1"/>
  <c r="Q36" i="11"/>
  <c r="B21" i="11" s="1"/>
  <c r="Q57" i="11"/>
  <c r="B42" i="11" s="1"/>
  <c r="I195" i="11"/>
  <c r="P172" i="11"/>
  <c r="K194" i="11"/>
  <c r="K171" i="11"/>
  <c r="N192" i="11"/>
  <c r="N176" i="11"/>
  <c r="Q72" i="11"/>
  <c r="B57" i="11" s="1"/>
  <c r="P185" i="11"/>
  <c r="J195" i="11"/>
  <c r="K192" i="11"/>
  <c r="N196" i="11"/>
  <c r="M176" i="11"/>
  <c r="H196" i="11" l="1"/>
  <c r="Q112" i="11"/>
  <c r="C55" i="11" s="1"/>
  <c r="H167" i="11"/>
  <c r="H168" i="11"/>
  <c r="H182" i="11"/>
  <c r="E26" i="12" s="1"/>
  <c r="Z48" i="10" s="1"/>
  <c r="H162" i="11"/>
  <c r="E6" i="12" s="1"/>
  <c r="F48" i="10" s="1"/>
  <c r="H193" i="11"/>
  <c r="E37" i="12" s="1"/>
  <c r="AK48" i="10" s="1"/>
  <c r="Q83" i="11"/>
  <c r="C26" i="11" s="1"/>
  <c r="H186" i="11"/>
  <c r="E30" i="12" s="1"/>
  <c r="AD48" i="10" s="1"/>
  <c r="H177" i="11"/>
  <c r="H173" i="11"/>
  <c r="Q124" i="11"/>
  <c r="D25" i="11" s="1"/>
  <c r="H194" i="11"/>
  <c r="Q151" i="11"/>
  <c r="D52" i="11" s="1"/>
  <c r="Q120" i="11"/>
  <c r="D21" i="11" s="1"/>
  <c r="H197" i="11"/>
  <c r="Q197" i="11" s="1"/>
  <c r="H181" i="11"/>
  <c r="E25" i="12" s="1"/>
  <c r="Y48" i="10" s="1"/>
  <c r="H179" i="11"/>
  <c r="Q93" i="11"/>
  <c r="C36" i="11" s="1"/>
  <c r="H192" i="11"/>
  <c r="Q97" i="11"/>
  <c r="C40" i="11" s="1"/>
  <c r="H188" i="11"/>
  <c r="E32" i="12" s="1"/>
  <c r="AF48" i="10" s="1"/>
  <c r="H178" i="11"/>
  <c r="E22" i="12" s="1"/>
  <c r="H170" i="11"/>
  <c r="E14" i="12" s="1"/>
  <c r="N48" i="10" s="1"/>
  <c r="H191" i="11"/>
  <c r="E35" i="12" s="1"/>
  <c r="AI48" i="10" s="1"/>
  <c r="H189" i="11"/>
  <c r="E33" i="12" s="1"/>
  <c r="AG48" i="10" s="1"/>
  <c r="Q87" i="11"/>
  <c r="C30" i="11" s="1"/>
  <c r="Q89" i="11"/>
  <c r="C32" i="11" s="1"/>
  <c r="Q80" i="11"/>
  <c r="C23" i="11" s="1"/>
  <c r="H163" i="11"/>
  <c r="Q163" i="11" s="1"/>
  <c r="Q107" i="11"/>
  <c r="C50" i="11" s="1"/>
  <c r="H195" i="11"/>
  <c r="Q195" i="11" s="1"/>
  <c r="H199" i="11"/>
  <c r="Q106" i="11"/>
  <c r="C49" i="11" s="1"/>
  <c r="H174" i="11"/>
  <c r="Q104" i="11"/>
  <c r="C47" i="11" s="1"/>
  <c r="Q113" i="11"/>
  <c r="C56" i="11" s="1"/>
  <c r="H184" i="11"/>
  <c r="H161" i="11"/>
  <c r="E5" i="12" s="1"/>
  <c r="E48" i="10" s="1"/>
  <c r="Q88" i="11"/>
  <c r="C31" i="11" s="1"/>
  <c r="H165" i="11"/>
  <c r="E9" i="12" s="1"/>
  <c r="I48" i="10" s="1"/>
  <c r="H198" i="11"/>
  <c r="E42" i="12" s="1"/>
  <c r="AP48" i="10" s="1"/>
  <c r="E43" i="12"/>
  <c r="AQ48" i="10" s="1"/>
  <c r="H169" i="11"/>
  <c r="E13" i="12" s="1"/>
  <c r="M48" i="10" s="1"/>
  <c r="E38" i="12"/>
  <c r="AL48" i="10" s="1"/>
  <c r="H187" i="11"/>
  <c r="Q187" i="11" s="1"/>
  <c r="H175" i="11"/>
  <c r="E19" i="12" s="1"/>
  <c r="S48" i="10" s="1"/>
  <c r="H180" i="11"/>
  <c r="E24" i="12" s="1"/>
  <c r="H183" i="11"/>
  <c r="E27" i="12" s="1"/>
  <c r="AA48" i="10" s="1"/>
  <c r="H176" i="11"/>
  <c r="E20" i="12" s="1"/>
  <c r="T48" i="10" s="1"/>
  <c r="E34" i="12"/>
  <c r="AH48" i="10" s="1"/>
  <c r="Q110" i="11"/>
  <c r="C53" i="11" s="1"/>
  <c r="E29" i="12"/>
  <c r="AC48" i="10" s="1"/>
  <c r="Q108" i="11"/>
  <c r="C51" i="11" s="1"/>
  <c r="Q86" i="11"/>
  <c r="C29" i="11" s="1"/>
  <c r="H160" i="11"/>
  <c r="E4" i="12" s="1"/>
  <c r="D48" i="10" s="1"/>
  <c r="E12" i="12"/>
  <c r="L48" i="10" s="1"/>
  <c r="E10" i="12"/>
  <c r="J48" i="10" s="1"/>
  <c r="E7" i="12"/>
  <c r="G48" i="10" s="1"/>
  <c r="AM23" i="14"/>
  <c r="AE17" i="10"/>
  <c r="E21" i="12"/>
  <c r="U48" i="10" s="1"/>
  <c r="AH28" i="14"/>
  <c r="AI28" i="14" s="1"/>
  <c r="AJ28" i="14" s="1"/>
  <c r="AK28" i="14" s="1"/>
  <c r="AL28" i="14" s="1"/>
  <c r="AP18" i="10"/>
  <c r="AO26" i="14"/>
  <c r="AO17" i="14"/>
  <c r="AP17" i="10" s="1"/>
  <c r="E15" i="12"/>
  <c r="O48" i="10" s="1"/>
  <c r="E40" i="12"/>
  <c r="AN48" i="10" s="1"/>
  <c r="E11" i="12"/>
  <c r="K48" i="10" s="1"/>
  <c r="AO18" i="10"/>
  <c r="AN26" i="14"/>
  <c r="AN17" i="14"/>
  <c r="AO17" i="10" s="1"/>
  <c r="E28" i="12"/>
  <c r="AB48" i="10" s="1"/>
  <c r="Q101" i="11"/>
  <c r="C44" i="11" s="1"/>
  <c r="E18" i="12"/>
  <c r="R48" i="10" s="1"/>
  <c r="E16" i="12"/>
  <c r="P48" i="10" s="1"/>
  <c r="E8" i="12"/>
  <c r="H48" i="10" s="1"/>
  <c r="E17" i="12"/>
  <c r="Q48" i="10" s="1"/>
  <c r="E36" i="12"/>
  <c r="AJ48" i="10" s="1"/>
  <c r="E23" i="12"/>
  <c r="W48" i="10" s="1"/>
  <c r="L12" i="8"/>
  <c r="M12" i="8" s="1"/>
  <c r="Y13" i="7"/>
  <c r="Z13" i="7" s="1"/>
  <c r="AB13" i="7" s="1"/>
  <c r="R41" i="10"/>
  <c r="AO88" i="4"/>
  <c r="AO9" i="3" s="1"/>
  <c r="AO19" i="13" s="1"/>
  <c r="AM32" i="10" s="1"/>
  <c r="Z9" i="3"/>
  <c r="Z19" i="13" s="1"/>
  <c r="X32" i="10" s="1"/>
  <c r="AM88" i="4"/>
  <c r="AM9" i="3" s="1"/>
  <c r="AM19" i="13" s="1"/>
  <c r="AK32" i="10" s="1"/>
  <c r="X9" i="3"/>
  <c r="X19" i="13" s="1"/>
  <c r="V32" i="10" s="1"/>
  <c r="AK88" i="4"/>
  <c r="AK9" i="3" s="1"/>
  <c r="AK19" i="13" s="1"/>
  <c r="AI32" i="10" s="1"/>
  <c r="V9" i="3"/>
  <c r="V19" i="13" s="1"/>
  <c r="T32" i="10" s="1"/>
  <c r="AS88" i="4"/>
  <c r="AS9" i="3" s="1"/>
  <c r="AS19" i="13" s="1"/>
  <c r="AQ32" i="10" s="1"/>
  <c r="AD9" i="3"/>
  <c r="AD19" i="13" s="1"/>
  <c r="AB32" i="10" s="1"/>
  <c r="Q41" i="10"/>
  <c r="AE9" i="3"/>
  <c r="AE19" i="13" s="1"/>
  <c r="AC32" i="10" s="1"/>
  <c r="AT88" i="4"/>
  <c r="M20" i="6"/>
  <c r="AN88" i="4"/>
  <c r="AN9" i="3" s="1"/>
  <c r="AN19" i="13" s="1"/>
  <c r="AL32" i="10" s="1"/>
  <c r="Y9" i="3"/>
  <c r="Y19" i="13" s="1"/>
  <c r="W32" i="10" s="1"/>
  <c r="W9" i="3"/>
  <c r="W19" i="13" s="1"/>
  <c r="U32" i="10" s="1"/>
  <c r="AL88" i="4"/>
  <c r="AL9" i="3" s="1"/>
  <c r="AL19" i="13" s="1"/>
  <c r="AJ32" i="10" s="1"/>
  <c r="AA9" i="3"/>
  <c r="AA19" i="13" s="1"/>
  <c r="Y32" i="10" s="1"/>
  <c r="AP88" i="4"/>
  <c r="AP9" i="3" s="1"/>
  <c r="AP19" i="13" s="1"/>
  <c r="AN32" i="10" s="1"/>
  <c r="M41" i="10"/>
  <c r="P41" i="10"/>
  <c r="O41" i="10"/>
  <c r="N41" i="10"/>
  <c r="AR88" i="4"/>
  <c r="AR9" i="3" s="1"/>
  <c r="AR19" i="13" s="1"/>
  <c r="AP32" i="10" s="1"/>
  <c r="AC9" i="3"/>
  <c r="AC19" i="13" s="1"/>
  <c r="AA32" i="10" s="1"/>
  <c r="AQ88" i="4"/>
  <c r="AQ9" i="3" s="1"/>
  <c r="AQ19" i="13" s="1"/>
  <c r="AO32" i="10" s="1"/>
  <c r="AB9" i="3"/>
  <c r="AB19" i="13" s="1"/>
  <c r="Z32" i="10" s="1"/>
  <c r="U88" i="4"/>
  <c r="F9" i="3"/>
  <c r="F19" i="13" s="1"/>
  <c r="D32" i="10" s="1"/>
  <c r="K41" i="10" s="1"/>
  <c r="J14" i="8"/>
  <c r="W15" i="7"/>
  <c r="Q193" i="11"/>
  <c r="Q182" i="11"/>
  <c r="Q177" i="11"/>
  <c r="Q192" i="11"/>
  <c r="Q166" i="11"/>
  <c r="Q186" i="11"/>
  <c r="Q185" i="11"/>
  <c r="Q170" i="11"/>
  <c r="Q188" i="11"/>
  <c r="Q165" i="11"/>
  <c r="Q171" i="11"/>
  <c r="Q184" i="11"/>
  <c r="Q196" i="11"/>
  <c r="Q162" i="11"/>
  <c r="Q172" i="11"/>
  <c r="Q164" i="11"/>
  <c r="Q173" i="11"/>
  <c r="Q178" i="11"/>
  <c r="Q174" i="11"/>
  <c r="Q168" i="11"/>
  <c r="Q167" i="11"/>
  <c r="Q190" i="11"/>
  <c r="V23" i="13"/>
  <c r="Q194" i="11"/>
  <c r="Q198" i="11"/>
  <c r="Q199" i="11"/>
  <c r="Q179" i="11"/>
  <c r="Q191" i="11"/>
  <c r="E41" i="12" l="1"/>
  <c r="AO48" i="10" s="1"/>
  <c r="Q181" i="11"/>
  <c r="Q183" i="11"/>
  <c r="Q189" i="11"/>
  <c r="AJ34" i="12"/>
  <c r="Q161" i="11"/>
  <c r="AJ5" i="12"/>
  <c r="E31" i="12"/>
  <c r="AE48" i="10" s="1"/>
  <c r="AJ38" i="12"/>
  <c r="AJ27" i="12"/>
  <c r="Q175" i="11"/>
  <c r="Q169" i="11"/>
  <c r="AJ7" i="12"/>
  <c r="AJ37" i="12"/>
  <c r="V48" i="10"/>
  <c r="AJ22" i="12"/>
  <c r="AJ33" i="12"/>
  <c r="AJ9" i="12"/>
  <c r="Q180" i="11"/>
  <c r="AJ21" i="12"/>
  <c r="E39" i="12"/>
  <c r="AM48" i="10" s="1"/>
  <c r="Q160" i="11"/>
  <c r="AJ15" i="12"/>
  <c r="AJ36" i="12"/>
  <c r="AJ23" i="12"/>
  <c r="AJ6" i="12"/>
  <c r="Q176" i="11"/>
  <c r="AJ43" i="12"/>
  <c r="AJ29" i="12"/>
  <c r="AJ20" i="12"/>
  <c r="X48" i="10"/>
  <c r="AJ24" i="12"/>
  <c r="AJ11" i="12"/>
  <c r="AJ26" i="12"/>
  <c r="AJ30" i="12"/>
  <c r="AJ10" i="12"/>
  <c r="AJ12" i="12"/>
  <c r="AJ42" i="12"/>
  <c r="AJ28" i="12"/>
  <c r="AJ14" i="12"/>
  <c r="AJ35" i="12"/>
  <c r="AJ17" i="12"/>
  <c r="AJ40" i="12"/>
  <c r="AJ32" i="12"/>
  <c r="AJ18" i="12"/>
  <c r="AJ8" i="12"/>
  <c r="AJ13" i="12"/>
  <c r="AJ25" i="12"/>
  <c r="AJ19" i="12"/>
  <c r="AN18" i="10"/>
  <c r="AM26" i="14"/>
  <c r="AM28" i="14" s="1"/>
  <c r="AN28" i="14" s="1"/>
  <c r="AO28" i="14" s="1"/>
  <c r="AP28" i="14" s="1"/>
  <c r="AM17" i="14"/>
  <c r="AN17" i="10" s="1"/>
  <c r="AJ16" i="12"/>
  <c r="AJ41" i="12"/>
  <c r="L13" i="8"/>
  <c r="M13" i="8" s="1"/>
  <c r="Y14" i="7"/>
  <c r="Z14" i="7" s="1"/>
  <c r="AB14" i="7" s="1"/>
  <c r="AE41" i="10"/>
  <c r="AG41" i="10"/>
  <c r="E41" i="10"/>
  <c r="D41" i="10"/>
  <c r="I41" i="10"/>
  <c r="H41" i="10"/>
  <c r="G41" i="10"/>
  <c r="J41" i="10"/>
  <c r="U9" i="3"/>
  <c r="U19" i="13" s="1"/>
  <c r="S32" i="10" s="1"/>
  <c r="S41" i="10" s="1"/>
  <c r="AJ88" i="4"/>
  <c r="AJ9" i="3" s="1"/>
  <c r="AJ19" i="13" s="1"/>
  <c r="AH32" i="10" s="1"/>
  <c r="AH41" i="10" s="1"/>
  <c r="F41" i="10"/>
  <c r="AD41" i="10"/>
  <c r="L41" i="10"/>
  <c r="AC41" i="10"/>
  <c r="AF41" i="10"/>
  <c r="AB41" i="10"/>
  <c r="M21" i="6"/>
  <c r="AQ41" i="10"/>
  <c r="J15" i="8"/>
  <c r="W16" i="7"/>
  <c r="AJ4" i="12"/>
  <c r="W23" i="13"/>
  <c r="AJ31" i="12" l="1"/>
  <c r="E53" i="12"/>
  <c r="AJ39" i="12"/>
  <c r="AI41" i="10"/>
  <c r="AP41" i="10"/>
  <c r="AK41" i="10"/>
  <c r="AM41" i="10"/>
  <c r="L14" i="8"/>
  <c r="Y15" i="7"/>
  <c r="Z15" i="7" s="1"/>
  <c r="AB15" i="7" s="1"/>
  <c r="F26" i="4" s="1" a="1"/>
  <c r="F26" i="4" s="1"/>
  <c r="AN41" i="10"/>
  <c r="AJ41" i="10"/>
  <c r="AL41" i="10"/>
  <c r="AO41" i="10"/>
  <c r="T41" i="10"/>
  <c r="D223" i="10" a="1"/>
  <c r="H241" i="10" s="1"/>
  <c r="Z41" i="10"/>
  <c r="AA41" i="10"/>
  <c r="W41" i="10"/>
  <c r="Y41" i="10"/>
  <c r="V41" i="10"/>
  <c r="U41" i="10"/>
  <c r="X41" i="10"/>
  <c r="L15" i="8"/>
  <c r="M15" i="8" s="1"/>
  <c r="M22" i="6"/>
  <c r="J16" i="8"/>
  <c r="W17" i="7"/>
  <c r="X23" i="13"/>
  <c r="M14" i="8" l="1"/>
  <c r="H251" i="10"/>
  <c r="L238" i="10"/>
  <c r="L243" i="10"/>
  <c r="L233" i="10"/>
  <c r="K229" i="10"/>
  <c r="G252" i="10"/>
  <c r="M236" i="10"/>
  <c r="H258" i="10"/>
  <c r="N268" i="10"/>
  <c r="J253" i="10"/>
  <c r="J244" i="10"/>
  <c r="K228" i="10"/>
  <c r="O255" i="10"/>
  <c r="K234" i="10"/>
  <c r="L250" i="10"/>
  <c r="H231" i="10"/>
  <c r="K244" i="10"/>
  <c r="O246" i="10"/>
  <c r="I255" i="10"/>
  <c r="L267" i="10"/>
  <c r="M267" i="10"/>
  <c r="O258" i="10"/>
  <c r="N247" i="10"/>
  <c r="K263" i="10"/>
  <c r="L242" i="10"/>
  <c r="I246" i="10"/>
  <c r="G239" i="10"/>
  <c r="N260" i="10"/>
  <c r="O252" i="10"/>
  <c r="L259" i="10"/>
  <c r="M234" i="10"/>
  <c r="N255" i="10"/>
  <c r="N266" i="10"/>
  <c r="M262" i="10"/>
  <c r="H261" i="10"/>
  <c r="I237" i="10"/>
  <c r="K249" i="10"/>
  <c r="I243" i="10"/>
  <c r="G262" i="10"/>
  <c r="K261" i="10"/>
  <c r="J228" i="10"/>
  <c r="L248" i="10"/>
  <c r="G259" i="10"/>
  <c r="J255" i="10"/>
  <c r="M257" i="10"/>
  <c r="J240" i="10"/>
  <c r="I245" i="10"/>
  <c r="H245" i="10"/>
  <c r="K265" i="10"/>
  <c r="H247" i="10"/>
  <c r="G228" i="10"/>
  <c r="G224" i="10"/>
  <c r="G225" i="10"/>
  <c r="I259" i="10"/>
  <c r="M243" i="10"/>
  <c r="K235" i="10"/>
  <c r="G248" i="10"/>
  <c r="L236" i="10"/>
  <c r="K238" i="10"/>
  <c r="K255" i="10"/>
  <c r="I238" i="10"/>
  <c r="L229" i="10"/>
  <c r="I240" i="10"/>
  <c r="N265" i="10"/>
  <c r="J243" i="10"/>
  <c r="K257" i="10"/>
  <c r="K240" i="10"/>
  <c r="O270" i="10"/>
  <c r="P270" i="10" s="1"/>
  <c r="K230" i="10"/>
  <c r="O244" i="10"/>
  <c r="J247" i="10"/>
  <c r="H256" i="10"/>
  <c r="K259" i="10"/>
  <c r="J251" i="10"/>
  <c r="N256" i="10"/>
  <c r="G241" i="10"/>
  <c r="H229" i="10"/>
  <c r="G233" i="10"/>
  <c r="G231" i="10"/>
  <c r="N233" i="10"/>
  <c r="N251" i="10"/>
  <c r="M230" i="10"/>
  <c r="H260" i="10"/>
  <c r="M266" i="10"/>
  <c r="K248" i="10"/>
  <c r="I242" i="10"/>
  <c r="O247" i="10"/>
  <c r="G234" i="10"/>
  <c r="N264" i="10"/>
  <c r="O253" i="10"/>
  <c r="J236" i="10"/>
  <c r="G253" i="10"/>
  <c r="O261" i="10"/>
  <c r="N240" i="10"/>
  <c r="I262" i="10"/>
  <c r="I251" i="10"/>
  <c r="N242" i="10"/>
  <c r="H243" i="10"/>
  <c r="J232" i="10"/>
  <c r="H250" i="10"/>
  <c r="H233" i="10"/>
  <c r="G243" i="10"/>
  <c r="J230" i="10"/>
  <c r="L241" i="10"/>
  <c r="I233" i="10"/>
  <c r="J229" i="10"/>
  <c r="H242" i="10"/>
  <c r="O259" i="10"/>
  <c r="H226" i="10"/>
  <c r="L257" i="10"/>
  <c r="L251" i="10"/>
  <c r="K243" i="10"/>
  <c r="L249" i="10"/>
  <c r="K253" i="10"/>
  <c r="O234" i="10"/>
  <c r="I248" i="10"/>
  <c r="I254" i="10"/>
  <c r="O264" i="10"/>
  <c r="I227" i="10"/>
  <c r="G250" i="10"/>
  <c r="G226" i="10"/>
  <c r="M233" i="10"/>
  <c r="L246" i="10"/>
  <c r="J241" i="10"/>
  <c r="I235" i="10"/>
  <c r="N262" i="10"/>
  <c r="I230" i="10"/>
  <c r="L262" i="10"/>
  <c r="I229" i="10"/>
  <c r="K247" i="10"/>
  <c r="H240" i="10"/>
  <c r="H263" i="10"/>
  <c r="L253" i="10"/>
  <c r="G245" i="10"/>
  <c r="N239" i="10"/>
  <c r="J227" i="10"/>
  <c r="M252" i="10"/>
  <c r="H259" i="10"/>
  <c r="N246" i="10"/>
  <c r="K239" i="10"/>
  <c r="H236" i="10"/>
  <c r="M246" i="10"/>
  <c r="O240" i="10"/>
  <c r="K260" i="10"/>
  <c r="G235" i="10"/>
  <c r="K242" i="10"/>
  <c r="J262" i="10"/>
  <c r="G237" i="10"/>
  <c r="I257" i="10"/>
  <c r="K241" i="10"/>
  <c r="L252" i="10"/>
  <c r="N250" i="10"/>
  <c r="G229" i="10"/>
  <c r="J246" i="10"/>
  <c r="J231" i="10"/>
  <c r="H249" i="10"/>
  <c r="N238" i="10"/>
  <c r="J257" i="10"/>
  <c r="M258" i="10"/>
  <c r="M238" i="10"/>
  <c r="N244" i="10"/>
  <c r="O249" i="10"/>
  <c r="N263" i="10"/>
  <c r="K264" i="10"/>
  <c r="J239" i="10"/>
  <c r="J254" i="10"/>
  <c r="K258" i="10"/>
  <c r="K232" i="10"/>
  <c r="M268" i="10"/>
  <c r="L254" i="10"/>
  <c r="O269" i="10"/>
  <c r="J259" i="10"/>
  <c r="H255" i="10"/>
  <c r="M245" i="10"/>
  <c r="H237" i="10"/>
  <c r="L256" i="10"/>
  <c r="O251" i="10"/>
  <c r="M239" i="10"/>
  <c r="N237" i="10"/>
  <c r="J252" i="10"/>
  <c r="H228" i="10"/>
  <c r="K246" i="10"/>
  <c r="J256" i="10"/>
  <c r="O238" i="10"/>
  <c r="N234" i="10"/>
  <c r="L232" i="10"/>
  <c r="G256" i="10"/>
  <c r="Y16" i="7"/>
  <c r="Z16" i="7" s="1"/>
  <c r="AB16" i="7" s="1"/>
  <c r="K251" i="10"/>
  <c r="G249" i="10"/>
  <c r="I236" i="10"/>
  <c r="K252" i="10"/>
  <c r="D223" i="10"/>
  <c r="O231" i="10" s="1"/>
  <c r="K266" i="10"/>
  <c r="G247" i="10"/>
  <c r="H227" i="10"/>
  <c r="I260" i="10"/>
  <c r="M237" i="10"/>
  <c r="K236" i="10"/>
  <c r="M253" i="10"/>
  <c r="M235" i="10"/>
  <c r="G258" i="10"/>
  <c r="L260" i="10"/>
  <c r="N257" i="10"/>
  <c r="J234" i="10"/>
  <c r="G255" i="10"/>
  <c r="M247" i="10"/>
  <c r="M244" i="10"/>
  <c r="J260" i="10"/>
  <c r="I247" i="10"/>
  <c r="J245" i="10"/>
  <c r="I256" i="10"/>
  <c r="H248" i="10"/>
  <c r="L234" i="10"/>
  <c r="I244" i="10"/>
  <c r="L245" i="10"/>
  <c r="M260" i="10"/>
  <c r="H257" i="10"/>
  <c r="K231" i="10"/>
  <c r="O243" i="10"/>
  <c r="O268" i="10"/>
  <c r="H252" i="10"/>
  <c r="I263" i="10"/>
  <c r="N245" i="10"/>
  <c r="H230" i="10"/>
  <c r="I252" i="10"/>
  <c r="O239" i="10"/>
  <c r="O265" i="10"/>
  <c r="M250" i="10"/>
  <c r="O237" i="10"/>
  <c r="M248" i="10"/>
  <c r="J237" i="10"/>
  <c r="N243" i="10"/>
  <c r="L264" i="10"/>
  <c r="N267" i="10"/>
  <c r="I264" i="10"/>
  <c r="M255" i="10"/>
  <c r="O232" i="10"/>
  <c r="K237" i="10"/>
  <c r="K233" i="10"/>
  <c r="K262" i="10"/>
  <c r="O262" i="10"/>
  <c r="L230" i="10"/>
  <c r="N232" i="10"/>
  <c r="J265" i="10"/>
  <c r="O245" i="10"/>
  <c r="L237" i="10"/>
  <c r="H262" i="10"/>
  <c r="G254" i="10"/>
  <c r="I241" i="10"/>
  <c r="M261" i="10"/>
  <c r="G236" i="10"/>
  <c r="O257" i="10"/>
  <c r="G257" i="10"/>
  <c r="O266" i="10"/>
  <c r="M241" i="10"/>
  <c r="H239" i="10"/>
  <c r="I226" i="10"/>
  <c r="O248" i="10"/>
  <c r="J238" i="10"/>
  <c r="I232" i="10"/>
  <c r="L265" i="10"/>
  <c r="K250" i="10"/>
  <c r="J242" i="10"/>
  <c r="G260" i="10"/>
  <c r="N249" i="10"/>
  <c r="K245" i="10"/>
  <c r="O263" i="10"/>
  <c r="O267" i="10"/>
  <c r="O235" i="10"/>
  <c r="O241" i="10"/>
  <c r="L263" i="10"/>
  <c r="N236" i="10"/>
  <c r="G238" i="10"/>
  <c r="O256" i="10"/>
  <c r="L240" i="10"/>
  <c r="L255" i="10"/>
  <c r="L244" i="10"/>
  <c r="O250" i="10"/>
  <c r="J263" i="10"/>
  <c r="G242" i="10"/>
  <c r="I258" i="10"/>
  <c r="N254" i="10"/>
  <c r="I228" i="10"/>
  <c r="H225" i="10"/>
  <c r="L261" i="10"/>
  <c r="M231" i="10"/>
  <c r="I253" i="10"/>
  <c r="H246" i="10"/>
  <c r="L239" i="10"/>
  <c r="N258" i="10"/>
  <c r="H232" i="10"/>
  <c r="G227" i="10"/>
  <c r="H254" i="10"/>
  <c r="J258" i="10"/>
  <c r="I261" i="10"/>
  <c r="K254" i="10"/>
  <c r="J261" i="10"/>
  <c r="M256" i="10"/>
  <c r="J250" i="10"/>
  <c r="G232" i="10"/>
  <c r="I249" i="10"/>
  <c r="J249" i="10"/>
  <c r="H238" i="10"/>
  <c r="H235" i="10"/>
  <c r="O260" i="10"/>
  <c r="J235" i="10"/>
  <c r="M259" i="10"/>
  <c r="M232" i="10"/>
  <c r="M264" i="10"/>
  <c r="H244" i="10"/>
  <c r="M242" i="10"/>
  <c r="I234" i="10"/>
  <c r="O236" i="10"/>
  <c r="O254" i="10"/>
  <c r="N241" i="10"/>
  <c r="N261" i="10"/>
  <c r="J264" i="10"/>
  <c r="N235" i="10"/>
  <c r="L235" i="10"/>
  <c r="G251" i="10"/>
  <c r="G246" i="10"/>
  <c r="N248" i="10"/>
  <c r="M254" i="10"/>
  <c r="G261" i="10"/>
  <c r="G230" i="10"/>
  <c r="M240" i="10"/>
  <c r="L247" i="10"/>
  <c r="N259" i="10"/>
  <c r="N252" i="10"/>
  <c r="M251" i="10"/>
  <c r="M249" i="10"/>
  <c r="M265" i="10"/>
  <c r="G244" i="10"/>
  <c r="N269" i="10"/>
  <c r="G240" i="10"/>
  <c r="I239" i="10"/>
  <c r="H234" i="10"/>
  <c r="L258" i="10"/>
  <c r="J248" i="10"/>
  <c r="O242" i="10"/>
  <c r="J233" i="10"/>
  <c r="L266" i="10"/>
  <c r="I250" i="10"/>
  <c r="I231" i="10"/>
  <c r="M263" i="10"/>
  <c r="H253" i="10"/>
  <c r="L231" i="10"/>
  <c r="K256" i="10"/>
  <c r="N253" i="10"/>
  <c r="O233" i="10"/>
  <c r="N231" i="10"/>
  <c r="L16" i="8"/>
  <c r="M16" i="8" s="1"/>
  <c r="M23" i="6"/>
  <c r="J17" i="8"/>
  <c r="W18" i="7"/>
  <c r="Y23" i="13"/>
  <c r="F90" i="4" l="1" a="1"/>
  <c r="F25" i="4" a="1"/>
  <c r="F25" i="4" s="1"/>
  <c r="K227" i="10"/>
  <c r="P227" i="10" s="1"/>
  <c r="P268" i="10"/>
  <c r="H224" i="10"/>
  <c r="P224" i="10" s="1"/>
  <c r="P256" i="10"/>
  <c r="P252" i="10"/>
  <c r="G223" i="10"/>
  <c r="P223" i="10" s="1"/>
  <c r="P266" i="10"/>
  <c r="P269" i="10"/>
  <c r="Y17" i="7"/>
  <c r="Z17" i="7" s="1"/>
  <c r="AB17" i="7" s="1"/>
  <c r="P254" i="10"/>
  <c r="J226" i="10"/>
  <c r="P226" i="10" s="1"/>
  <c r="N230" i="10"/>
  <c r="P230" i="10" s="1"/>
  <c r="P235" i="10"/>
  <c r="P267" i="10"/>
  <c r="M229" i="10"/>
  <c r="P229" i="10" s="1"/>
  <c r="L228" i="10"/>
  <c r="P228" i="10" s="1"/>
  <c r="I225" i="10"/>
  <c r="P225" i="10" s="1"/>
  <c r="P246" i="10"/>
  <c r="P249" i="10"/>
  <c r="P239" i="10"/>
  <c r="P234" i="10"/>
  <c r="P255" i="10"/>
  <c r="P258" i="10"/>
  <c r="P245" i="10"/>
  <c r="P250" i="10"/>
  <c r="P240" i="10"/>
  <c r="P247" i="10"/>
  <c r="P259" i="10"/>
  <c r="P238" i="10"/>
  <c r="P263" i="10"/>
  <c r="P241" i="10"/>
  <c r="P262" i="10"/>
  <c r="P233" i="10"/>
  <c r="P264" i="10"/>
  <c r="P237" i="10"/>
  <c r="P244" i="10"/>
  <c r="P257" i="10"/>
  <c r="P253" i="10"/>
  <c r="P261" i="10"/>
  <c r="P251" i="10"/>
  <c r="P232" i="10"/>
  <c r="P242" i="10"/>
  <c r="P236" i="10"/>
  <c r="P260" i="10"/>
  <c r="P265" i="10"/>
  <c r="P243" i="10"/>
  <c r="P248" i="10"/>
  <c r="P231" i="10"/>
  <c r="L17" i="8"/>
  <c r="M17" i="8" s="1"/>
  <c r="M24" i="6"/>
  <c r="J18" i="8"/>
  <c r="W19" i="7"/>
  <c r="Z23" i="13"/>
  <c r="F90" i="4" l="1"/>
  <c r="F91" i="4" s="1"/>
  <c r="F10" i="3" s="1"/>
  <c r="Q90" i="4"/>
  <c r="I91" i="4"/>
  <c r="I10" i="3" s="1"/>
  <c r="G91" i="4"/>
  <c r="G10" i="3" s="1"/>
  <c r="K91" i="4"/>
  <c r="H91" i="4"/>
  <c r="H10" i="3" s="1"/>
  <c r="J91" i="4"/>
  <c r="J10" i="3" s="1"/>
  <c r="Y18" i="7"/>
  <c r="Z18" i="7" s="1"/>
  <c r="AB18" i="7" s="1"/>
  <c r="L18" i="8"/>
  <c r="M18" i="8" s="1"/>
  <c r="M25" i="6"/>
  <c r="J19" i="8"/>
  <c r="W20" i="7"/>
  <c r="AA23" i="13"/>
  <c r="L91" i="4" l="1"/>
  <c r="K10" i="3"/>
  <c r="Y19" i="7"/>
  <c r="Z19" i="7" s="1"/>
  <c r="AB19" i="7" s="1"/>
  <c r="M26" i="6"/>
  <c r="J20" i="8"/>
  <c r="W21" i="7"/>
  <c r="AB23" i="13"/>
  <c r="L10" i="3" l="1"/>
  <c r="M91" i="4"/>
  <c r="L19" i="8"/>
  <c r="M19" i="8" s="1"/>
  <c r="Y20" i="7"/>
  <c r="Z20" i="7" s="1"/>
  <c r="AB20" i="7" s="1"/>
  <c r="M27" i="6"/>
  <c r="J21" i="8"/>
  <c r="W22" i="7"/>
  <c r="AC23" i="13"/>
  <c r="M10" i="3" l="1"/>
  <c r="N91" i="4"/>
  <c r="L20" i="8"/>
  <c r="M20" i="8" s="1"/>
  <c r="Y21" i="7"/>
  <c r="Z21" i="7" s="1"/>
  <c r="AB21" i="7" s="1"/>
  <c r="M28" i="6"/>
  <c r="J22" i="8"/>
  <c r="W23" i="7"/>
  <c r="AD23" i="13"/>
  <c r="O91" i="4" l="1"/>
  <c r="N10" i="3"/>
  <c r="L21" i="8"/>
  <c r="M21" i="8" s="1"/>
  <c r="Y22" i="7"/>
  <c r="Z22" i="7" s="1"/>
  <c r="AB22" i="7" s="1"/>
  <c r="M29" i="6"/>
  <c r="J23" i="8"/>
  <c r="W24" i="7"/>
  <c r="AE23" i="13"/>
  <c r="O10" i="3" l="1"/>
  <c r="P91" i="4"/>
  <c r="L22" i="8"/>
  <c r="M22" i="8" s="1"/>
  <c r="Y23" i="7"/>
  <c r="Z23" i="7" s="1"/>
  <c r="AB23" i="7" s="1"/>
  <c r="M30" i="6"/>
  <c r="J24" i="8"/>
  <c r="W25" i="7"/>
  <c r="AF23" i="13"/>
  <c r="Q91" i="4" l="1"/>
  <c r="P10" i="3"/>
  <c r="L23" i="8"/>
  <c r="M23" i="8" s="1"/>
  <c r="Y24" i="7"/>
  <c r="Z24" i="7" s="1"/>
  <c r="AB24" i="7" s="1"/>
  <c r="M31" i="6"/>
  <c r="J25" i="8"/>
  <c r="W26" i="7"/>
  <c r="AG23" i="13"/>
  <c r="Q10" i="3" l="1"/>
  <c r="R91" i="4"/>
  <c r="L24" i="8"/>
  <c r="M24" i="8" s="1"/>
  <c r="Y25" i="7"/>
  <c r="Z25" i="7" s="1"/>
  <c r="AB25" i="7" s="1"/>
  <c r="M32" i="6"/>
  <c r="J26" i="8"/>
  <c r="W27" i="7"/>
  <c r="AH23" i="13"/>
  <c r="R10" i="3" l="1"/>
  <c r="S91" i="4"/>
  <c r="L25" i="8"/>
  <c r="M25" i="8" s="1"/>
  <c r="Y26" i="7"/>
  <c r="Z26" i="7" s="1"/>
  <c r="AB26" i="7" s="1"/>
  <c r="M33" i="6"/>
  <c r="J27" i="8"/>
  <c r="W28" i="7"/>
  <c r="AI23" i="13"/>
  <c r="S10" i="3" l="1"/>
  <c r="T91" i="4"/>
  <c r="L26" i="8"/>
  <c r="M26" i="8" s="1"/>
  <c r="Y27" i="7"/>
  <c r="Z27" i="7" s="1"/>
  <c r="AB27" i="7" s="1"/>
  <c r="M34" i="6"/>
  <c r="J28" i="8"/>
  <c r="W29" i="7"/>
  <c r="AJ23" i="13"/>
  <c r="U91" i="4" l="1"/>
  <c r="T10" i="3"/>
  <c r="L27" i="8"/>
  <c r="M27" i="8" s="1"/>
  <c r="Y28" i="7"/>
  <c r="Z28" i="7" s="1"/>
  <c r="AB28" i="7" s="1"/>
  <c r="M35" i="6"/>
  <c r="J29" i="8"/>
  <c r="W30" i="7"/>
  <c r="AK23" i="13"/>
  <c r="V91" i="4" l="1"/>
  <c r="U10" i="3"/>
  <c r="L28" i="8"/>
  <c r="M28" i="8" s="1"/>
  <c r="Y29" i="7"/>
  <c r="Z29" i="7" s="1"/>
  <c r="AB29" i="7" s="1"/>
  <c r="M36" i="6"/>
  <c r="J30" i="8"/>
  <c r="W31" i="7"/>
  <c r="AL23" i="13"/>
  <c r="W91" i="4" l="1"/>
  <c r="V10" i="3"/>
  <c r="L29" i="8"/>
  <c r="M29" i="8" s="1"/>
  <c r="Y30" i="7"/>
  <c r="Z30" i="7" s="1"/>
  <c r="AB30" i="7" s="1"/>
  <c r="M37" i="6"/>
  <c r="J31" i="8"/>
  <c r="W32" i="7"/>
  <c r="AM23" i="13"/>
  <c r="W10" i="3" l="1"/>
  <c r="X91" i="4"/>
  <c r="L30" i="8"/>
  <c r="M30" i="8" s="1"/>
  <c r="Y31" i="7"/>
  <c r="Z31" i="7" s="1"/>
  <c r="AB31" i="7" s="1"/>
  <c r="M38" i="6"/>
  <c r="J32" i="8"/>
  <c r="W33" i="7"/>
  <c r="AN23" i="13"/>
  <c r="Y91" i="4" l="1"/>
  <c r="X10" i="3"/>
  <c r="L31" i="8"/>
  <c r="M31" i="8" s="1"/>
  <c r="Y32" i="7"/>
  <c r="Z32" i="7" s="1"/>
  <c r="AB32" i="7" s="1"/>
  <c r="M39" i="6"/>
  <c r="J33" i="8"/>
  <c r="W34" i="7"/>
  <c r="AO23" i="13"/>
  <c r="Z91" i="4" l="1"/>
  <c r="Y10" i="3"/>
  <c r="L32" i="8"/>
  <c r="M32" i="8" s="1"/>
  <c r="Y33" i="7"/>
  <c r="Z33" i="7" s="1"/>
  <c r="AB33" i="7" s="1"/>
  <c r="M40" i="6"/>
  <c r="J34" i="8"/>
  <c r="W35" i="7"/>
  <c r="AP23" i="13"/>
  <c r="AA91" i="4" l="1"/>
  <c r="Z10" i="3"/>
  <c r="L33" i="8"/>
  <c r="M33" i="8" s="1"/>
  <c r="Y34" i="7"/>
  <c r="Z34" i="7" s="1"/>
  <c r="AB34" i="7" s="1"/>
  <c r="M41" i="6"/>
  <c r="J35" i="8"/>
  <c r="W36" i="7"/>
  <c r="AQ23" i="13"/>
  <c r="AA10" i="3" l="1"/>
  <c r="AB91" i="4"/>
  <c r="L34" i="8"/>
  <c r="M34" i="8" s="1"/>
  <c r="Y35" i="7"/>
  <c r="Z35" i="7" s="1"/>
  <c r="AB35" i="7" s="1"/>
  <c r="M42" i="6"/>
  <c r="J36" i="8"/>
  <c r="W37" i="7"/>
  <c r="AR23" i="13"/>
  <c r="AB10" i="3" l="1"/>
  <c r="AC91" i="4"/>
  <c r="L35" i="8"/>
  <c r="M35" i="8" s="1"/>
  <c r="Y36" i="7"/>
  <c r="Z36" i="7" s="1"/>
  <c r="AB36" i="7" s="1"/>
  <c r="M43" i="6"/>
  <c r="J37" i="8"/>
  <c r="W38" i="7"/>
  <c r="AS23" i="13"/>
  <c r="AC10" i="3" l="1"/>
  <c r="AD91" i="4"/>
  <c r="L36" i="8"/>
  <c r="M36" i="8" s="1"/>
  <c r="Y37" i="7"/>
  <c r="Z37" i="7" s="1"/>
  <c r="AB37" i="7" s="1"/>
  <c r="M44" i="6"/>
  <c r="J38" i="8"/>
  <c r="W39" i="7"/>
  <c r="AT23" i="13"/>
  <c r="AE91" i="4" l="1"/>
  <c r="AD10" i="3"/>
  <c r="L37" i="8"/>
  <c r="M37" i="8" s="1"/>
  <c r="Y38" i="7"/>
  <c r="Z38" i="7" s="1"/>
  <c r="AB38" i="7" s="1"/>
  <c r="M45" i="6"/>
  <c r="J39" i="8"/>
  <c r="W40" i="7"/>
  <c r="AU23" i="13"/>
  <c r="AE10" i="3" l="1"/>
  <c r="AF91" i="4"/>
  <c r="L38" i="8"/>
  <c r="M38" i="8" s="1"/>
  <c r="Y39" i="7"/>
  <c r="Z39" i="7" s="1"/>
  <c r="AB39" i="7" s="1"/>
  <c r="M46" i="6"/>
  <c r="J40" i="8"/>
  <c r="W41" i="7"/>
  <c r="AV23" i="13"/>
  <c r="AF10" i="3" l="1"/>
  <c r="AG91" i="4"/>
  <c r="L39" i="8"/>
  <c r="M39" i="8" s="1"/>
  <c r="Y40" i="7"/>
  <c r="Z40" i="7" s="1"/>
  <c r="AB40" i="7" s="1"/>
  <c r="M47" i="6"/>
  <c r="J41" i="8"/>
  <c r="W42" i="7"/>
  <c r="AW23" i="13"/>
  <c r="AG10" i="3" l="1"/>
  <c r="AH91" i="4"/>
  <c r="L40" i="8"/>
  <c r="M40" i="8" s="1"/>
  <c r="Y41" i="7"/>
  <c r="Z41" i="7" s="1"/>
  <c r="AB41" i="7" s="1"/>
  <c r="M48" i="6"/>
  <c r="J42" i="8"/>
  <c r="W43" i="7"/>
  <c r="AX23" i="13"/>
  <c r="AI91" i="4" l="1"/>
  <c r="AH10" i="3"/>
  <c r="L41" i="8"/>
  <c r="M41" i="8" s="1"/>
  <c r="Y42" i="7"/>
  <c r="Z42" i="7" s="1"/>
  <c r="AB42" i="7" s="1"/>
  <c r="M49" i="6"/>
  <c r="J43" i="8"/>
  <c r="W44" i="7"/>
  <c r="AY23" i="13"/>
  <c r="AJ91" i="4" l="1"/>
  <c r="AI10" i="3"/>
  <c r="L42" i="8"/>
  <c r="M42" i="8" s="1"/>
  <c r="Y43" i="7"/>
  <c r="Z43" i="7" s="1"/>
  <c r="AB43" i="7" s="1"/>
  <c r="M50" i="6"/>
  <c r="J44" i="8"/>
  <c r="W45" i="7"/>
  <c r="AZ23" i="13"/>
  <c r="AK91" i="4" l="1"/>
  <c r="AJ10" i="3"/>
  <c r="L43" i="8"/>
  <c r="M43" i="8" s="1"/>
  <c r="Y44" i="7"/>
  <c r="Z44" i="7" s="1"/>
  <c r="M51" i="6"/>
  <c r="J45" i="8"/>
  <c r="W46" i="7"/>
  <c r="BA23" i="13"/>
  <c r="AL91" i="4" l="1"/>
  <c r="AK10" i="3"/>
  <c r="AB44" i="7"/>
  <c r="F93" i="4" s="1" a="1"/>
  <c r="F93" i="4" s="1"/>
  <c r="L44" i="8"/>
  <c r="M44" i="8" s="1"/>
  <c r="Y45" i="7"/>
  <c r="Z45" i="7" s="1"/>
  <c r="AB45" i="7" s="1"/>
  <c r="M52" i="6"/>
  <c r="J46" i="8"/>
  <c r="W47" i="7"/>
  <c r="AM91" i="4" l="1"/>
  <c r="AL10" i="3"/>
  <c r="L45" i="8"/>
  <c r="M45" i="8" s="1"/>
  <c r="Y46" i="7"/>
  <c r="Z46" i="7" s="1"/>
  <c r="AB46" i="7" s="1"/>
  <c r="M54" i="6"/>
  <c r="M53" i="6"/>
  <c r="J47" i="8"/>
  <c r="W48" i="7"/>
  <c r="N168" i="10"/>
  <c r="G166" i="10"/>
  <c r="I163" i="10"/>
  <c r="G165" i="10"/>
  <c r="G163" i="10"/>
  <c r="I168" i="10"/>
  <c r="H163" i="10"/>
  <c r="K166" i="10"/>
  <c r="K167" i="10"/>
  <c r="L168" i="10"/>
  <c r="H168" i="10"/>
  <c r="L167" i="10"/>
  <c r="M167" i="10"/>
  <c r="K165" i="10"/>
  <c r="H164" i="10"/>
  <c r="G162" i="10"/>
  <c r="H167" i="10"/>
  <c r="J166" i="10"/>
  <c r="L166" i="10"/>
  <c r="G161" i="10"/>
  <c r="J167" i="10"/>
  <c r="M168" i="10"/>
  <c r="J168" i="10"/>
  <c r="K168" i="10"/>
  <c r="G164" i="10"/>
  <c r="J165" i="10"/>
  <c r="I166" i="10"/>
  <c r="J164" i="10"/>
  <c r="H165" i="10"/>
  <c r="I167" i="10"/>
  <c r="G167" i="10"/>
  <c r="G168" i="10"/>
  <c r="I165" i="10"/>
  <c r="H166" i="10"/>
  <c r="I164" i="10"/>
  <c r="H162" i="10"/>
  <c r="AN91" i="4" l="1"/>
  <c r="AM10" i="3"/>
  <c r="L46" i="8"/>
  <c r="M46" i="8" s="1"/>
  <c r="Y47" i="7"/>
  <c r="Z47" i="7" s="1"/>
  <c r="AB47" i="7" s="1"/>
  <c r="J48" i="8"/>
  <c r="W49" i="7"/>
  <c r="AO91" i="4" l="1"/>
  <c r="AN10" i="3"/>
  <c r="L47" i="8"/>
  <c r="M47" i="8" s="1"/>
  <c r="Y48" i="7"/>
  <c r="Z48" i="7" s="1"/>
  <c r="AB48" i="7" s="1"/>
  <c r="J49" i="8"/>
  <c r="W50" i="7"/>
  <c r="I11" i="2"/>
  <c r="J11" i="2"/>
  <c r="I12" i="2"/>
  <c r="J12" i="2"/>
  <c r="I13" i="2"/>
  <c r="J13" i="2"/>
  <c r="I14" i="2"/>
  <c r="J14" i="2"/>
  <c r="I15" i="2"/>
  <c r="J15" i="2"/>
  <c r="I16" i="2"/>
  <c r="J16" i="2"/>
  <c r="I17" i="2"/>
  <c r="J17" i="2"/>
  <c r="I18" i="2"/>
  <c r="J18" i="2"/>
  <c r="I19" i="2"/>
  <c r="J19" i="2"/>
  <c r="I20" i="2"/>
  <c r="J20" i="2"/>
  <c r="I21" i="2"/>
  <c r="J21" i="2"/>
  <c r="I22" i="2"/>
  <c r="J22" i="2"/>
  <c r="I23" i="2"/>
  <c r="J23" i="2"/>
  <c r="I24" i="2"/>
  <c r="J24" i="2"/>
  <c r="I25" i="2"/>
  <c r="J25" i="2"/>
  <c r="I26" i="2"/>
  <c r="J26" i="2"/>
  <c r="I27" i="2"/>
  <c r="J27" i="2"/>
  <c r="I28" i="2"/>
  <c r="J28" i="2"/>
  <c r="I29" i="2"/>
  <c r="J29" i="2"/>
  <c r="I30" i="2"/>
  <c r="J30" i="2"/>
  <c r="I31" i="2"/>
  <c r="J31" i="2"/>
  <c r="I32" i="2"/>
  <c r="J32" i="2"/>
  <c r="I33" i="2"/>
  <c r="J33" i="2"/>
  <c r="I34" i="2"/>
  <c r="J34" i="2"/>
  <c r="I35" i="2"/>
  <c r="J35" i="2"/>
  <c r="I36" i="2"/>
  <c r="J36" i="2"/>
  <c r="I37" i="2"/>
  <c r="J37" i="2"/>
  <c r="I38" i="2"/>
  <c r="J38" i="2"/>
  <c r="I39" i="2"/>
  <c r="J39" i="2"/>
  <c r="I40" i="2"/>
  <c r="J40" i="2"/>
  <c r="I41" i="2"/>
  <c r="J41" i="2"/>
  <c r="I42" i="2"/>
  <c r="J42" i="2"/>
  <c r="I43" i="2"/>
  <c r="J43" i="2"/>
  <c r="I44" i="2"/>
  <c r="J44" i="2"/>
  <c r="I45" i="2"/>
  <c r="J45" i="2"/>
  <c r="I46" i="2"/>
  <c r="J46" i="2"/>
  <c r="I47" i="2"/>
  <c r="J47" i="2"/>
  <c r="I48" i="2"/>
  <c r="J48" i="2"/>
  <c r="J10" i="2"/>
  <c r="I10" i="2"/>
  <c r="F10" i="2"/>
  <c r="F11" i="2"/>
  <c r="F12" i="2"/>
  <c r="F17" i="2"/>
  <c r="F18" i="2"/>
  <c r="F19" i="2"/>
  <c r="F20" i="2"/>
  <c r="F25" i="2"/>
  <c r="F26" i="2"/>
  <c r="F27" i="2"/>
  <c r="F28" i="2"/>
  <c r="F33" i="2"/>
  <c r="F34" i="2"/>
  <c r="F35" i="2"/>
  <c r="F36" i="2"/>
  <c r="F41" i="2"/>
  <c r="F42" i="2"/>
  <c r="F43" i="2"/>
  <c r="F44" i="2"/>
  <c r="E17" i="2"/>
  <c r="E18" i="2"/>
  <c r="E19" i="2"/>
  <c r="E20" i="2"/>
  <c r="E25" i="2"/>
  <c r="E26" i="2"/>
  <c r="E27" i="2"/>
  <c r="E28" i="2"/>
  <c r="E33" i="2"/>
  <c r="E34" i="2"/>
  <c r="E35" i="2"/>
  <c r="E36" i="2"/>
  <c r="E41" i="2"/>
  <c r="E42" i="2"/>
  <c r="E43" i="2"/>
  <c r="E44" i="2"/>
  <c r="E45" i="2"/>
  <c r="E46" i="2"/>
  <c r="E47" i="2"/>
  <c r="E11" i="2"/>
  <c r="E12" i="2"/>
  <c r="E13" i="2"/>
  <c r="E14" i="2"/>
  <c r="E15" i="2"/>
  <c r="E16" i="2"/>
  <c r="E10" i="2"/>
  <c r="C6" i="2"/>
  <c r="F13" i="2" s="1"/>
  <c r="AO10" i="3" l="1"/>
  <c r="AP91" i="4"/>
  <c r="L48" i="8"/>
  <c r="M48" i="8" s="1"/>
  <c r="Y49" i="7"/>
  <c r="Z49" i="7" s="1"/>
  <c r="AB49" i="7" s="1"/>
  <c r="J50" i="8"/>
  <c r="W51" i="7"/>
  <c r="E37" i="2"/>
  <c r="E29" i="2"/>
  <c r="E21" i="2"/>
  <c r="F45" i="2"/>
  <c r="F37" i="2"/>
  <c r="F29" i="2"/>
  <c r="F21" i="2"/>
  <c r="E49" i="2"/>
  <c r="G49" i="2" s="1"/>
  <c r="F49" i="2"/>
  <c r="E50" i="2"/>
  <c r="F50" i="2"/>
  <c r="E48" i="2"/>
  <c r="E40" i="2"/>
  <c r="E32" i="2"/>
  <c r="E24" i="2"/>
  <c r="F48" i="2"/>
  <c r="F40" i="2"/>
  <c r="F32" i="2"/>
  <c r="F24" i="2"/>
  <c r="F16" i="2"/>
  <c r="G10" i="2"/>
  <c r="E39" i="2"/>
  <c r="E31" i="2"/>
  <c r="E23" i="2"/>
  <c r="F47" i="2"/>
  <c r="F39" i="2"/>
  <c r="F31" i="2"/>
  <c r="F23" i="2"/>
  <c r="F15" i="2"/>
  <c r="E38" i="2"/>
  <c r="E30" i="2"/>
  <c r="E22" i="2"/>
  <c r="F46" i="2"/>
  <c r="F38" i="2"/>
  <c r="F30" i="2"/>
  <c r="F22" i="2"/>
  <c r="F14" i="2"/>
  <c r="G6" i="3" l="1"/>
  <c r="G7" i="13" s="1"/>
  <c r="E30" i="10" s="1"/>
  <c r="G22" i="4"/>
  <c r="F6" i="3"/>
  <c r="F7" i="13" s="1"/>
  <c r="D30" i="10" s="1"/>
  <c r="F22" i="4"/>
  <c r="H6" i="3"/>
  <c r="H7" i="13" s="1"/>
  <c r="F30" i="10" s="1"/>
  <c r="H22" i="4"/>
  <c r="AP10" i="3"/>
  <c r="AQ91" i="4"/>
  <c r="L49" i="8"/>
  <c r="M49" i="8" s="1"/>
  <c r="Y50" i="7"/>
  <c r="Z50" i="7" s="1"/>
  <c r="AB50" i="7" s="1"/>
  <c r="J51" i="8"/>
  <c r="W52" i="7"/>
  <c r="G50" i="2"/>
  <c r="K48" i="2"/>
  <c r="K47" i="2"/>
  <c r="K46" i="2"/>
  <c r="K40" i="2"/>
  <c r="K37" i="2"/>
  <c r="K29" i="2"/>
  <c r="K28" i="2"/>
  <c r="K25" i="2"/>
  <c r="K24" i="2"/>
  <c r="K22" i="2"/>
  <c r="K21" i="2"/>
  <c r="K20" i="2"/>
  <c r="K18" i="2"/>
  <c r="K16" i="2"/>
  <c r="K14" i="2"/>
  <c r="E39" i="10" l="1"/>
  <c r="D39" i="10"/>
  <c r="F39" i="10"/>
  <c r="AQ10" i="3"/>
  <c r="AR91" i="4"/>
  <c r="L50" i="8"/>
  <c r="M50" i="8" s="1"/>
  <c r="Y51" i="7"/>
  <c r="Z51" i="7" s="1"/>
  <c r="AB51" i="7" s="1"/>
  <c r="F26" i="13"/>
  <c r="D29" i="10" s="1"/>
  <c r="J52" i="8"/>
  <c r="W53" i="7"/>
  <c r="K19" i="2"/>
  <c r="K31" i="2"/>
  <c r="K35" i="2"/>
  <c r="K41" i="2"/>
  <c r="K15" i="2"/>
  <c r="K44" i="2"/>
  <c r="K12" i="2"/>
  <c r="K30" i="2"/>
  <c r="K32" i="2"/>
  <c r="K34" i="2"/>
  <c r="K36" i="2"/>
  <c r="K38" i="2"/>
  <c r="K11" i="2"/>
  <c r="K13" i="2"/>
  <c r="K27" i="2"/>
  <c r="K43" i="2"/>
  <c r="K45" i="2"/>
  <c r="K23" i="2"/>
  <c r="K39" i="2"/>
  <c r="K10" i="2"/>
  <c r="K17" i="2"/>
  <c r="K26" i="2"/>
  <c r="K33" i="2"/>
  <c r="K42" i="2"/>
  <c r="G11" i="2"/>
  <c r="G15" i="2"/>
  <c r="G19" i="2"/>
  <c r="G24" i="2"/>
  <c r="G28" i="2"/>
  <c r="G31" i="2"/>
  <c r="G32" i="2"/>
  <c r="G36" i="2"/>
  <c r="G40" i="2"/>
  <c r="G44" i="2"/>
  <c r="G47" i="2"/>
  <c r="G48" i="2"/>
  <c r="AR10" i="3" l="1"/>
  <c r="AS91" i="4"/>
  <c r="L51" i="8"/>
  <c r="M51" i="8" s="1"/>
  <c r="Y52" i="7"/>
  <c r="Z52" i="7" s="1"/>
  <c r="AB52" i="7" s="1"/>
  <c r="G26" i="13"/>
  <c r="E29" i="10" s="1"/>
  <c r="M26" i="13"/>
  <c r="K29" i="10" s="1"/>
  <c r="N26" i="13"/>
  <c r="L29" i="10" s="1"/>
  <c r="K26" i="13"/>
  <c r="I29" i="10" s="1"/>
  <c r="R90" i="4"/>
  <c r="J26" i="13"/>
  <c r="H29" i="10" s="1"/>
  <c r="H26" i="13"/>
  <c r="F29" i="10" s="1"/>
  <c r="P26" i="13"/>
  <c r="N29" i="10" s="1"/>
  <c r="I26" i="13"/>
  <c r="G29" i="10" s="1"/>
  <c r="O26" i="13"/>
  <c r="M29" i="10" s="1"/>
  <c r="L26" i="13"/>
  <c r="J29" i="10" s="1"/>
  <c r="J53" i="8"/>
  <c r="W54" i="7"/>
  <c r="G46" i="2"/>
  <c r="G42" i="2"/>
  <c r="G38" i="2"/>
  <c r="G34" i="2"/>
  <c r="G30" i="2"/>
  <c r="G26" i="2"/>
  <c r="G17" i="2"/>
  <c r="G13" i="2"/>
  <c r="G45" i="2"/>
  <c r="G41" i="2"/>
  <c r="G37" i="2"/>
  <c r="G33" i="2"/>
  <c r="G29" i="2"/>
  <c r="G25" i="2"/>
  <c r="G21" i="2"/>
  <c r="G16" i="2"/>
  <c r="G12" i="2"/>
  <c r="G39" i="2"/>
  <c r="G43" i="2"/>
  <c r="G35" i="2"/>
  <c r="G27" i="2"/>
  <c r="G23" i="2"/>
  <c r="G18" i="2"/>
  <c r="G14" i="2"/>
  <c r="G20" i="2"/>
  <c r="G22" i="2"/>
  <c r="AT91" i="4" l="1"/>
  <c r="AS10" i="3"/>
  <c r="L52" i="8"/>
  <c r="M52" i="8" s="1"/>
  <c r="Q26" i="13"/>
  <c r="O29" i="10" s="1"/>
  <c r="Y53" i="7"/>
  <c r="Z53" i="7" s="1"/>
  <c r="AB53" i="7" s="1"/>
  <c r="J54" i="8"/>
  <c r="W55" i="7"/>
  <c r="U85" i="4"/>
  <c r="U7" i="3" s="1"/>
  <c r="R26" i="13"/>
  <c r="P29" i="10" s="1"/>
  <c r="S90" i="4"/>
  <c r="P81" i="4"/>
  <c r="O81" i="4"/>
  <c r="N81" i="4"/>
  <c r="M81" i="4"/>
  <c r="L81" i="4"/>
  <c r="K81" i="4"/>
  <c r="J81" i="4"/>
  <c r="I81" i="4"/>
  <c r="H81" i="4"/>
  <c r="P80" i="4"/>
  <c r="O80" i="4"/>
  <c r="N80" i="4"/>
  <c r="M80" i="4"/>
  <c r="L80" i="4"/>
  <c r="K80" i="4"/>
  <c r="J80" i="4"/>
  <c r="I80" i="4"/>
  <c r="H80" i="4"/>
  <c r="P79" i="4"/>
  <c r="O79" i="4"/>
  <c r="N79" i="4"/>
  <c r="M79" i="4"/>
  <c r="L79" i="4"/>
  <c r="K79" i="4"/>
  <c r="J79" i="4"/>
  <c r="I79" i="4"/>
  <c r="H79" i="4"/>
  <c r="P78" i="4"/>
  <c r="O78" i="4"/>
  <c r="N78" i="4"/>
  <c r="M78" i="4"/>
  <c r="L78" i="4"/>
  <c r="K78" i="4"/>
  <c r="J78" i="4"/>
  <c r="I78" i="4"/>
  <c r="H78" i="4"/>
  <c r="P75" i="4"/>
  <c r="P6" i="3" s="1"/>
  <c r="P7" i="13" s="1"/>
  <c r="N30" i="10" s="1"/>
  <c r="O75" i="4"/>
  <c r="O6" i="3" s="1"/>
  <c r="O7" i="13" s="1"/>
  <c r="M30" i="10" s="1"/>
  <c r="N75" i="4"/>
  <c r="N6" i="3" s="1"/>
  <c r="N7" i="13" s="1"/>
  <c r="L30" i="10" s="1"/>
  <c r="M75" i="4"/>
  <c r="L75" i="4"/>
  <c r="K75" i="4"/>
  <c r="J75" i="4"/>
  <c r="AA72" i="4"/>
  <c r="AL72" i="4" s="1"/>
  <c r="AL81" i="4" s="1"/>
  <c r="Z72" i="4"/>
  <c r="Z81" i="4" s="1"/>
  <c r="Y72" i="4"/>
  <c r="Y81" i="4" s="1"/>
  <c r="X72" i="4"/>
  <c r="AI72" i="4" s="1"/>
  <c r="AT72" i="4" s="1"/>
  <c r="AT81" i="4" s="1"/>
  <c r="W72" i="4"/>
  <c r="AH72" i="4" s="1"/>
  <c r="AS72" i="4" s="1"/>
  <c r="AS81" i="4" s="1"/>
  <c r="V72" i="4"/>
  <c r="V81" i="4" s="1"/>
  <c r="U72" i="4"/>
  <c r="T72" i="4"/>
  <c r="T81" i="4" s="1"/>
  <c r="S72" i="4"/>
  <c r="S81" i="4" s="1"/>
  <c r="R72" i="4"/>
  <c r="AC72" i="4" s="1"/>
  <c r="Q72" i="4"/>
  <c r="AB72" i="4" s="1"/>
  <c r="AB81" i="4" s="1"/>
  <c r="AA71" i="4"/>
  <c r="AL71" i="4" s="1"/>
  <c r="AL80" i="4" s="1"/>
  <c r="Z71" i="4"/>
  <c r="AK71" i="4" s="1"/>
  <c r="AK80" i="4" s="1"/>
  <c r="Y71" i="4"/>
  <c r="Y80" i="4" s="1"/>
  <c r="X71" i="4"/>
  <c r="X80" i="4" s="1"/>
  <c r="W71" i="4"/>
  <c r="V71" i="4"/>
  <c r="U71" i="4"/>
  <c r="T71" i="4"/>
  <c r="S71" i="4"/>
  <c r="S80" i="4" s="1"/>
  <c r="R71" i="4"/>
  <c r="R80" i="4" s="1"/>
  <c r="Q71" i="4"/>
  <c r="AB71" i="4" s="1"/>
  <c r="AA70" i="4"/>
  <c r="AL70" i="4" s="1"/>
  <c r="AL79" i="4" s="1"/>
  <c r="Z70" i="4"/>
  <c r="Z79" i="4" s="1"/>
  <c r="Y70" i="4"/>
  <c r="AJ70" i="4" s="1"/>
  <c r="AJ79" i="4" s="1"/>
  <c r="X70" i="4"/>
  <c r="W70" i="4"/>
  <c r="W79" i="4" s="1"/>
  <c r="V70" i="4"/>
  <c r="AG70" i="4" s="1"/>
  <c r="U70" i="4"/>
  <c r="T70" i="4"/>
  <c r="AE70" i="4" s="1"/>
  <c r="AE79" i="4" s="1"/>
  <c r="S70" i="4"/>
  <c r="AD70" i="4" s="1"/>
  <c r="AD79" i="4" s="1"/>
  <c r="R70" i="4"/>
  <c r="AC70" i="4" s="1"/>
  <c r="Q70" i="4"/>
  <c r="Q79" i="4" s="1"/>
  <c r="AA69" i="4"/>
  <c r="Z69" i="4"/>
  <c r="Z78" i="4" s="1"/>
  <c r="Y69" i="4"/>
  <c r="X69" i="4"/>
  <c r="W69" i="4"/>
  <c r="W78" i="4" s="1"/>
  <c r="V69" i="4"/>
  <c r="U69" i="4"/>
  <c r="AF69" i="4" s="1"/>
  <c r="T69" i="4"/>
  <c r="AE69" i="4" s="1"/>
  <c r="S69" i="4"/>
  <c r="AD69" i="4" s="1"/>
  <c r="AO69" i="4" s="1"/>
  <c r="R69" i="4"/>
  <c r="Q69" i="4"/>
  <c r="K6" i="3" l="1"/>
  <c r="K7" i="13" s="1"/>
  <c r="I30" i="10" s="1"/>
  <c r="K22" i="4"/>
  <c r="J6" i="3"/>
  <c r="J7" i="13" s="1"/>
  <c r="H30" i="10" s="1"/>
  <c r="J22" i="4"/>
  <c r="L6" i="3"/>
  <c r="L7" i="13" s="1"/>
  <c r="J30" i="10" s="1"/>
  <c r="L22" i="4"/>
  <c r="M6" i="3"/>
  <c r="M7" i="13" s="1"/>
  <c r="K30" i="10" s="1"/>
  <c r="M22" i="4"/>
  <c r="I6" i="3"/>
  <c r="I7" i="13" s="1"/>
  <c r="G30" i="10" s="1"/>
  <c r="G39" i="10" s="1"/>
  <c r="I22" i="4"/>
  <c r="F83" i="4"/>
  <c r="L54" i="8"/>
  <c r="M54" i="8" s="1"/>
  <c r="L53" i="8"/>
  <c r="M53" i="8" s="1"/>
  <c r="Y55" i="7"/>
  <c r="Z55" i="7" s="1"/>
  <c r="AB55" i="7" s="1"/>
  <c r="Y54" i="7"/>
  <c r="Z54" i="7" s="1"/>
  <c r="AB54" i="7" s="1"/>
  <c r="J94" i="4"/>
  <c r="I8" i="3"/>
  <c r="I13" i="13" s="1"/>
  <c r="G31" i="10" s="1"/>
  <c r="P8" i="3"/>
  <c r="P13" i="13" s="1"/>
  <c r="N31" i="10" s="1"/>
  <c r="O8" i="3"/>
  <c r="O13" i="13" s="1"/>
  <c r="M31" i="10" s="1"/>
  <c r="G8" i="3"/>
  <c r="G13" i="13" s="1"/>
  <c r="E31" i="10" s="1"/>
  <c r="X85" i="4"/>
  <c r="X7" i="3" s="1"/>
  <c r="L8" i="3"/>
  <c r="L13" i="13" s="1"/>
  <c r="J31" i="10" s="1"/>
  <c r="K8" i="3"/>
  <c r="K13" i="13" s="1"/>
  <c r="I31" i="10" s="1"/>
  <c r="W85" i="4"/>
  <c r="W7" i="3" s="1"/>
  <c r="AA85" i="4"/>
  <c r="AA7" i="3" s="1"/>
  <c r="Z85" i="4"/>
  <c r="Z7" i="3" s="1"/>
  <c r="V85" i="4"/>
  <c r="V7" i="3" s="1"/>
  <c r="M8" i="3"/>
  <c r="M13" i="13" s="1"/>
  <c r="K31" i="10" s="1"/>
  <c r="S85" i="4"/>
  <c r="S7" i="3" s="1"/>
  <c r="Y85" i="4"/>
  <c r="Y7" i="3" s="1"/>
  <c r="J8" i="3"/>
  <c r="J13" i="13" s="1"/>
  <c r="H31" i="10" s="1"/>
  <c r="H8" i="3"/>
  <c r="H13" i="13" s="1"/>
  <c r="F31" i="10" s="1"/>
  <c r="T85" i="4"/>
  <c r="T7" i="3" s="1"/>
  <c r="R85" i="4"/>
  <c r="R7" i="3" s="1"/>
  <c r="N8" i="3"/>
  <c r="N13" i="13" s="1"/>
  <c r="L31" i="10" s="1"/>
  <c r="F7" i="3"/>
  <c r="J7" i="3"/>
  <c r="N7" i="3"/>
  <c r="H7" i="3"/>
  <c r="P7" i="3"/>
  <c r="I7" i="3"/>
  <c r="M7" i="3"/>
  <c r="G7" i="3"/>
  <c r="K7" i="3"/>
  <c r="O7" i="3"/>
  <c r="L7" i="3"/>
  <c r="F94" i="4"/>
  <c r="M94" i="4"/>
  <c r="N94" i="4"/>
  <c r="O94" i="4"/>
  <c r="U8" i="3"/>
  <c r="U13" i="13" s="1"/>
  <c r="S31" i="10" s="1"/>
  <c r="AF85" i="4"/>
  <c r="AF7" i="3" s="1"/>
  <c r="F8" i="3"/>
  <c r="F13" i="13" s="1"/>
  <c r="D31" i="10" s="1"/>
  <c r="Q85" i="4"/>
  <c r="Q7" i="3" s="1"/>
  <c r="T90" i="4"/>
  <c r="S26" i="13"/>
  <c r="Q29" i="10" s="1"/>
  <c r="Q81" i="4"/>
  <c r="AJ72" i="4"/>
  <c r="AJ81" i="4" s="1"/>
  <c r="AI71" i="4"/>
  <c r="AT71" i="4" s="1"/>
  <c r="AT80" i="4" s="1"/>
  <c r="AJ71" i="4"/>
  <c r="AJ80" i="4" s="1"/>
  <c r="AH81" i="4"/>
  <c r="AI81" i="4"/>
  <c r="AH70" i="4"/>
  <c r="AS70" i="4" s="1"/>
  <c r="AS79" i="4" s="1"/>
  <c r="AC71" i="4"/>
  <c r="AC80" i="4" s="1"/>
  <c r="R79" i="4"/>
  <c r="R81" i="4"/>
  <c r="AD71" i="4"/>
  <c r="AD80" i="4" s="1"/>
  <c r="S79" i="4"/>
  <c r="H83" i="4"/>
  <c r="T79" i="4"/>
  <c r="Z80" i="4"/>
  <c r="Z83" i="4" s="1"/>
  <c r="AO70" i="4"/>
  <c r="AO79" i="4" s="1"/>
  <c r="AK72" i="4"/>
  <c r="AK81" i="4" s="1"/>
  <c r="T78" i="4"/>
  <c r="AA80" i="4"/>
  <c r="AA75" i="4"/>
  <c r="AA6" i="3" s="1"/>
  <c r="AA7" i="13" s="1"/>
  <c r="Y30" i="10" s="1"/>
  <c r="AP70" i="4"/>
  <c r="AP79" i="4" s="1"/>
  <c r="J83" i="4"/>
  <c r="U78" i="4"/>
  <c r="X75" i="4"/>
  <c r="X6" i="3" s="1"/>
  <c r="X7" i="13" s="1"/>
  <c r="V30" i="10" s="1"/>
  <c r="G83" i="4"/>
  <c r="AL69" i="4"/>
  <c r="AL78" i="4" s="1"/>
  <c r="AL83" i="4" s="1"/>
  <c r="AG79" i="4"/>
  <c r="AR70" i="4"/>
  <c r="AR79" i="4" s="1"/>
  <c r="AE78" i="4"/>
  <c r="AP69" i="4"/>
  <c r="AP78" i="4" s="1"/>
  <c r="AB80" i="4"/>
  <c r="AM71" i="4"/>
  <c r="AM80" i="4" s="1"/>
  <c r="AA81" i="4"/>
  <c r="AD72" i="4"/>
  <c r="AD81" i="4" s="1"/>
  <c r="P83" i="4"/>
  <c r="W75" i="4"/>
  <c r="W6" i="3" s="1"/>
  <c r="W7" i="13" s="1"/>
  <c r="U30" i="10" s="1"/>
  <c r="L83" i="4"/>
  <c r="AA78" i="4"/>
  <c r="V79" i="4"/>
  <c r="I83" i="4"/>
  <c r="Q80" i="4"/>
  <c r="X81" i="4"/>
  <c r="S75" i="4"/>
  <c r="S6" i="3" s="1"/>
  <c r="S7" i="13" s="1"/>
  <c r="Q30" i="10" s="1"/>
  <c r="W81" i="4"/>
  <c r="AH69" i="4"/>
  <c r="AH78" i="4" s="1"/>
  <c r="U75" i="4"/>
  <c r="U6" i="3" s="1"/>
  <c r="U7" i="13" s="1"/>
  <c r="S30" i="10" s="1"/>
  <c r="AM72" i="4"/>
  <c r="AM81" i="4" s="1"/>
  <c r="N83" i="4"/>
  <c r="AA79" i="4"/>
  <c r="AF70" i="4"/>
  <c r="AO78" i="4"/>
  <c r="T80" i="4"/>
  <c r="T75" i="4"/>
  <c r="T6" i="3" s="1"/>
  <c r="T7" i="13" s="1"/>
  <c r="R30" i="10" s="1"/>
  <c r="M83" i="4"/>
  <c r="AF71" i="4"/>
  <c r="U80" i="4"/>
  <c r="V75" i="4"/>
  <c r="V6" i="3" s="1"/>
  <c r="V7" i="13" s="1"/>
  <c r="T30" i="10" s="1"/>
  <c r="AG69" i="4"/>
  <c r="AN70" i="4"/>
  <c r="AN79" i="4" s="1"/>
  <c r="AC79" i="4"/>
  <c r="V78" i="4"/>
  <c r="X78" i="4"/>
  <c r="AI69" i="4"/>
  <c r="O83" i="4"/>
  <c r="AD78" i="4"/>
  <c r="W80" i="4"/>
  <c r="AH71" i="4"/>
  <c r="X79" i="4"/>
  <c r="AI70" i="4"/>
  <c r="AE71" i="4"/>
  <c r="AF78" i="4"/>
  <c r="AQ69" i="4"/>
  <c r="U81" i="4"/>
  <c r="AF72" i="4"/>
  <c r="AC81" i="4"/>
  <c r="AN72" i="4"/>
  <c r="AN81" i="4" s="1"/>
  <c r="U79" i="4"/>
  <c r="AG71" i="4"/>
  <c r="V80" i="4"/>
  <c r="Q78" i="4"/>
  <c r="Q75" i="4"/>
  <c r="Q6" i="3" s="1"/>
  <c r="Q7" i="13" s="1"/>
  <c r="O30" i="10" s="1"/>
  <c r="AB69" i="4"/>
  <c r="Z75" i="4"/>
  <c r="Z6" i="3" s="1"/>
  <c r="Z7" i="13" s="1"/>
  <c r="X30" i="10" s="1"/>
  <c r="AK69" i="4"/>
  <c r="AK70" i="4"/>
  <c r="AK79" i="4" s="1"/>
  <c r="S78" i="4"/>
  <c r="Y79" i="4"/>
  <c r="Y78" i="4"/>
  <c r="Y75" i="4"/>
  <c r="Y6" i="3" s="1"/>
  <c r="Y7" i="13" s="1"/>
  <c r="W30" i="10" s="1"/>
  <c r="AJ69" i="4"/>
  <c r="R75" i="4"/>
  <c r="R6" i="3" s="1"/>
  <c r="R7" i="13" s="1"/>
  <c r="P30" i="10" s="1"/>
  <c r="AC69" i="4"/>
  <c r="AE72" i="4"/>
  <c r="R78" i="4"/>
  <c r="AB70" i="4"/>
  <c r="AG72" i="4"/>
  <c r="K83" i="4"/>
  <c r="H39" i="10" l="1"/>
  <c r="N39" i="10"/>
  <c r="I39" i="10"/>
  <c r="J39" i="10"/>
  <c r="O39" i="10"/>
  <c r="M39" i="10"/>
  <c r="K39" i="10"/>
  <c r="L39" i="10"/>
  <c r="Q39" i="10"/>
  <c r="P39" i="10"/>
  <c r="U39" i="10"/>
  <c r="S39" i="10"/>
  <c r="R39" i="10"/>
  <c r="T39" i="10"/>
  <c r="Y39" i="10"/>
  <c r="X39" i="10"/>
  <c r="V39" i="10"/>
  <c r="W39" i="10"/>
  <c r="V8" i="3"/>
  <c r="V13" i="13" s="1"/>
  <c r="T31" i="10" s="1"/>
  <c r="J11" i="3"/>
  <c r="J32" i="13" s="1"/>
  <c r="H33" i="10" s="1"/>
  <c r="W8" i="3"/>
  <c r="W13" i="13" s="1"/>
  <c r="U31" i="10" s="1"/>
  <c r="AH85" i="4"/>
  <c r="AH7" i="3" s="1"/>
  <c r="AI85" i="4"/>
  <c r="AI7" i="3" s="1"/>
  <c r="X8" i="3"/>
  <c r="X13" i="13" s="1"/>
  <c r="V31" i="10" s="1"/>
  <c r="H40" i="10"/>
  <c r="AG85" i="4"/>
  <c r="AG7" i="3" s="1"/>
  <c r="AK85" i="4"/>
  <c r="AK7" i="3" s="1"/>
  <c r="M40" i="10"/>
  <c r="F11" i="3"/>
  <c r="F32" i="13" s="1"/>
  <c r="D33" i="10" s="1"/>
  <c r="D13" i="10" s="1"/>
  <c r="D38" i="10" s="1"/>
  <c r="N40" i="10"/>
  <c r="AE85" i="4"/>
  <c r="AE7" i="3" s="1"/>
  <c r="AL85" i="4"/>
  <c r="AL7" i="3" s="1"/>
  <c r="AD85" i="4"/>
  <c r="AD7" i="3" s="1"/>
  <c r="Z8" i="3"/>
  <c r="Z13" i="13" s="1"/>
  <c r="X31" i="10" s="1"/>
  <c r="S8" i="3"/>
  <c r="S13" i="13" s="1"/>
  <c r="Q31" i="10" s="1"/>
  <c r="AA8" i="3"/>
  <c r="AA13" i="13" s="1"/>
  <c r="Y31" i="10" s="1"/>
  <c r="T8" i="3"/>
  <c r="T13" i="13" s="1"/>
  <c r="R31" i="10" s="1"/>
  <c r="Y8" i="3"/>
  <c r="Y13" i="13" s="1"/>
  <c r="W31" i="10" s="1"/>
  <c r="AC85" i="4"/>
  <c r="AC7" i="3" s="1"/>
  <c r="AJ85" i="4"/>
  <c r="AJ7" i="3" s="1"/>
  <c r="R8" i="3"/>
  <c r="R13" i="13" s="1"/>
  <c r="P31" i="10" s="1"/>
  <c r="F40" i="10"/>
  <c r="J40" i="10"/>
  <c r="I40" i="10"/>
  <c r="O11" i="3"/>
  <c r="O32" i="13" s="1"/>
  <c r="M33" i="10" s="1"/>
  <c r="R94" i="4"/>
  <c r="R11" i="3" s="1"/>
  <c r="R32" i="13" s="1"/>
  <c r="P33" i="10" s="1"/>
  <c r="Q94" i="4"/>
  <c r="Q11" i="3" s="1"/>
  <c r="Q32" i="13" s="1"/>
  <c r="O33" i="10" s="1"/>
  <c r="N11" i="3"/>
  <c r="N32" i="13" s="1"/>
  <c r="L33" i="10" s="1"/>
  <c r="P94" i="4"/>
  <c r="P11" i="3" s="1"/>
  <c r="P32" i="13" s="1"/>
  <c r="N33" i="10" s="1"/>
  <c r="M11" i="3"/>
  <c r="M32" i="13" s="1"/>
  <c r="K33" i="10" s="1"/>
  <c r="AF8" i="3"/>
  <c r="AF13" i="13" s="1"/>
  <c r="AD31" i="10" s="1"/>
  <c r="AQ85" i="4"/>
  <c r="AQ7" i="3" s="1"/>
  <c r="Q8" i="3"/>
  <c r="Q13" i="13" s="1"/>
  <c r="O31" i="10" s="1"/>
  <c r="O40" i="10" s="1"/>
  <c r="AB85" i="4"/>
  <c r="AB7" i="3" s="1"/>
  <c r="G40" i="10"/>
  <c r="E40" i="10"/>
  <c r="L40" i="10"/>
  <c r="D40" i="10"/>
  <c r="K40" i="10"/>
  <c r="T26" i="13"/>
  <c r="R29" i="10" s="1"/>
  <c r="U90" i="4"/>
  <c r="K94" i="4"/>
  <c r="K11" i="3" s="1"/>
  <c r="K32" i="13" s="1"/>
  <c r="I33" i="10" s="1"/>
  <c r="L94" i="4"/>
  <c r="L11" i="3" s="1"/>
  <c r="L32" i="13" s="1"/>
  <c r="J33" i="10" s="1"/>
  <c r="H94" i="4"/>
  <c r="H11" i="3" s="1"/>
  <c r="H32" i="13" s="1"/>
  <c r="F33" i="10" s="1"/>
  <c r="I94" i="4"/>
  <c r="I11" i="3" s="1"/>
  <c r="I32" i="13" s="1"/>
  <c r="G33" i="10" s="1"/>
  <c r="G94" i="4"/>
  <c r="G11" i="3" s="1"/>
  <c r="G32" i="13" s="1"/>
  <c r="E33" i="10" s="1"/>
  <c r="AD94" i="4"/>
  <c r="AD11" i="3" s="1"/>
  <c r="AD32" i="13" s="1"/>
  <c r="AB33" i="10" s="1"/>
  <c r="K84" i="4"/>
  <c r="O84" i="4"/>
  <c r="M84" i="4"/>
  <c r="N84" i="4"/>
  <c r="P84" i="4"/>
  <c r="H84" i="4"/>
  <c r="L84" i="4"/>
  <c r="G84" i="4"/>
  <c r="J84" i="4"/>
  <c r="I84" i="4"/>
  <c r="AL75" i="4"/>
  <c r="AL6" i="3" s="1"/>
  <c r="AL7" i="13" s="1"/>
  <c r="AJ30" i="10" s="1"/>
  <c r="AH79" i="4"/>
  <c r="AI80" i="4"/>
  <c r="AO71" i="4"/>
  <c r="AO80" i="4" s="1"/>
  <c r="AN71" i="4"/>
  <c r="AN80" i="4" s="1"/>
  <c r="AH75" i="4"/>
  <c r="AH6" i="3" s="1"/>
  <c r="AH7" i="13" s="1"/>
  <c r="AF30" i="10" s="1"/>
  <c r="T83" i="4"/>
  <c r="R83" i="4"/>
  <c r="S83" i="4"/>
  <c r="U83" i="4"/>
  <c r="AD75" i="4"/>
  <c r="AD6" i="3" s="1"/>
  <c r="AD7" i="13" s="1"/>
  <c r="AB30" i="10" s="1"/>
  <c r="Q83" i="4"/>
  <c r="AF75" i="4"/>
  <c r="AF6" i="3" s="1"/>
  <c r="AF7" i="13" s="1"/>
  <c r="AD30" i="10" s="1"/>
  <c r="AA83" i="4"/>
  <c r="AO72" i="4"/>
  <c r="AO81" i="4" s="1"/>
  <c r="X83" i="4"/>
  <c r="AS69" i="4"/>
  <c r="W83" i="4"/>
  <c r="V83" i="4"/>
  <c r="AF79" i="4"/>
  <c r="AQ70" i="4"/>
  <c r="AQ79" i="4" s="1"/>
  <c r="AG81" i="4"/>
  <c r="AR72" i="4"/>
  <c r="AR81" i="4" s="1"/>
  <c r="AE80" i="4"/>
  <c r="AP71" i="4"/>
  <c r="AM70" i="4"/>
  <c r="AM79" i="4" s="1"/>
  <c r="AB79" i="4"/>
  <c r="AE75" i="4"/>
  <c r="AE6" i="3" s="1"/>
  <c r="AE7" i="13" s="1"/>
  <c r="AC30" i="10" s="1"/>
  <c r="Y83" i="4"/>
  <c r="AK78" i="4"/>
  <c r="AK83" i="4" s="1"/>
  <c r="AK75" i="4"/>
  <c r="AK6" i="3" s="1"/>
  <c r="AK7" i="13" s="1"/>
  <c r="AI30" i="10" s="1"/>
  <c r="AD83" i="4"/>
  <c r="AF80" i="4"/>
  <c r="AQ71" i="4"/>
  <c r="AQ80" i="4" s="1"/>
  <c r="AJ75" i="4"/>
  <c r="AJ6" i="3" s="1"/>
  <c r="AJ7" i="13" s="1"/>
  <c r="AH30" i="10" s="1"/>
  <c r="AJ78" i="4"/>
  <c r="AJ83" i="4" s="1"/>
  <c r="AP72" i="4"/>
  <c r="AP81" i="4" s="1"/>
  <c r="AE81" i="4"/>
  <c r="AQ72" i="4"/>
  <c r="AQ81" i="4" s="1"/>
  <c r="AF81" i="4"/>
  <c r="AG78" i="4"/>
  <c r="AG75" i="4"/>
  <c r="AG6" i="3" s="1"/>
  <c r="AG7" i="13" s="1"/>
  <c r="AE30" i="10" s="1"/>
  <c r="AR69" i="4"/>
  <c r="AQ78" i="4"/>
  <c r="AS71" i="4"/>
  <c r="AS80" i="4" s="1"/>
  <c r="AH80" i="4"/>
  <c r="AT70" i="4"/>
  <c r="AT79" i="4" s="1"/>
  <c r="AI79" i="4"/>
  <c r="AN69" i="4"/>
  <c r="AC75" i="4"/>
  <c r="AC6" i="3" s="1"/>
  <c r="AC7" i="13" s="1"/>
  <c r="AA30" i="10" s="1"/>
  <c r="AC78" i="4"/>
  <c r="AC83" i="4" s="1"/>
  <c r="AM69" i="4"/>
  <c r="AB78" i="4"/>
  <c r="AB75" i="4"/>
  <c r="AB6" i="3" s="1"/>
  <c r="AB7" i="13" s="1"/>
  <c r="Z30" i="10" s="1"/>
  <c r="Z39" i="10" s="1"/>
  <c r="AG80" i="4"/>
  <c r="AR71" i="4"/>
  <c r="AR80" i="4" s="1"/>
  <c r="AI78" i="4"/>
  <c r="AI75" i="4"/>
  <c r="AI6" i="3" s="1"/>
  <c r="AI7" i="13" s="1"/>
  <c r="AG30" i="10" s="1"/>
  <c r="AT69" i="4"/>
  <c r="AA39" i="10" l="1"/>
  <c r="AH39" i="10"/>
  <c r="AC39" i="10"/>
  <c r="AG39" i="10"/>
  <c r="AF39" i="10"/>
  <c r="AB39" i="10"/>
  <c r="AE39" i="10"/>
  <c r="AI39" i="10"/>
  <c r="AD39" i="10"/>
  <c r="AJ39" i="10"/>
  <c r="AG8" i="3"/>
  <c r="AG13" i="13" s="1"/>
  <c r="AE31" i="10" s="1"/>
  <c r="AR85" i="4"/>
  <c r="AR7" i="3" s="1"/>
  <c r="E13" i="10"/>
  <c r="E38" i="10" s="1"/>
  <c r="AI8" i="3"/>
  <c r="AI13" i="13" s="1"/>
  <c r="AG31" i="10" s="1"/>
  <c r="AS85" i="4"/>
  <c r="AS7" i="3" s="1"/>
  <c r="AT85" i="4"/>
  <c r="AH8" i="3"/>
  <c r="AH13" i="13" s="1"/>
  <c r="AF31" i="10" s="1"/>
  <c r="AL8" i="3"/>
  <c r="AL13" i="13" s="1"/>
  <c r="AJ31" i="10" s="1"/>
  <c r="AK8" i="3"/>
  <c r="AK13" i="13" s="1"/>
  <c r="AI31" i="10" s="1"/>
  <c r="AE8" i="3"/>
  <c r="AE13" i="13" s="1"/>
  <c r="AC31" i="10" s="1"/>
  <c r="AP85" i="4"/>
  <c r="AP7" i="3" s="1"/>
  <c r="AC8" i="3"/>
  <c r="AC13" i="13" s="1"/>
  <c r="AA31" i="10" s="1"/>
  <c r="Y40" i="10"/>
  <c r="AO85" i="4"/>
  <c r="AO7" i="3" s="1"/>
  <c r="AD8" i="3"/>
  <c r="AD13" i="13" s="1"/>
  <c r="AB31" i="10" s="1"/>
  <c r="AJ8" i="3"/>
  <c r="AJ13" i="13" s="1"/>
  <c r="AH31" i="10" s="1"/>
  <c r="X40" i="10"/>
  <c r="AN85" i="4"/>
  <c r="AN7" i="3" s="1"/>
  <c r="P40" i="10"/>
  <c r="S40" i="10"/>
  <c r="F13" i="10"/>
  <c r="F38" i="10" s="1"/>
  <c r="Q40" i="10"/>
  <c r="U40" i="10"/>
  <c r="J13" i="10"/>
  <c r="J38" i="10" s="1"/>
  <c r="K13" i="10"/>
  <c r="K38" i="10" s="1"/>
  <c r="O13" i="10"/>
  <c r="O38" i="10" s="1"/>
  <c r="P13" i="10"/>
  <c r="P38" i="10" s="1"/>
  <c r="L13" i="10"/>
  <c r="L38" i="10" s="1"/>
  <c r="I13" i="10"/>
  <c r="I38" i="10" s="1"/>
  <c r="N13" i="10"/>
  <c r="N38" i="10" s="1"/>
  <c r="G13" i="10"/>
  <c r="G38" i="10" s="1"/>
  <c r="H13" i="10"/>
  <c r="H38" i="10" s="1"/>
  <c r="M13" i="10"/>
  <c r="M38" i="10" s="1"/>
  <c r="V40" i="10"/>
  <c r="R40" i="10"/>
  <c r="W40" i="10"/>
  <c r="AQ8" i="3"/>
  <c r="AQ13" i="13" s="1"/>
  <c r="AO31" i="10" s="1"/>
  <c r="T40" i="10"/>
  <c r="AM85" i="4"/>
  <c r="AM7" i="3" s="1"/>
  <c r="AB8" i="3"/>
  <c r="AB13" i="13" s="1"/>
  <c r="Z31" i="10" s="1"/>
  <c r="U26" i="13"/>
  <c r="S29" i="10" s="1"/>
  <c r="V90" i="4"/>
  <c r="AB94" i="4"/>
  <c r="AB11" i="3" s="1"/>
  <c r="AB32" i="13" s="1"/>
  <c r="Z33" i="10" s="1"/>
  <c r="AA94" i="4"/>
  <c r="AA11" i="3" s="1"/>
  <c r="AA32" i="13" s="1"/>
  <c r="Y33" i="10" s="1"/>
  <c r="AF94" i="4"/>
  <c r="AF11" i="3" s="1"/>
  <c r="AF32" i="13" s="1"/>
  <c r="AD33" i="10" s="1"/>
  <c r="AC94" i="4"/>
  <c r="AC11" i="3" s="1"/>
  <c r="AC32" i="13" s="1"/>
  <c r="AA33" i="10" s="1"/>
  <c r="AE94" i="4"/>
  <c r="AE11" i="3" s="1"/>
  <c r="AE32" i="13" s="1"/>
  <c r="AC33" i="10" s="1"/>
  <c r="F84" i="4"/>
  <c r="AG94" i="4"/>
  <c r="AG11" i="3" s="1"/>
  <c r="AG32" i="13" s="1"/>
  <c r="AE33" i="10" s="1"/>
  <c r="AH94" i="4"/>
  <c r="AH11" i="3" s="1"/>
  <c r="AH32" i="13" s="1"/>
  <c r="AF33" i="10" s="1"/>
  <c r="AI94" i="4"/>
  <c r="AI11" i="3" s="1"/>
  <c r="AI32" i="13" s="1"/>
  <c r="AG33" i="10" s="1"/>
  <c r="Z94" i="4"/>
  <c r="AH83" i="4"/>
  <c r="AO83" i="4"/>
  <c r="AI83" i="4"/>
  <c r="AO75" i="4"/>
  <c r="AO6" i="3" s="1"/>
  <c r="AO7" i="13" s="1"/>
  <c r="AM30" i="10" s="1"/>
  <c r="AF83" i="4"/>
  <c r="AS75" i="4"/>
  <c r="AS6" i="3" s="1"/>
  <c r="AS7" i="13" s="1"/>
  <c r="AQ30" i="10" s="1"/>
  <c r="AS78" i="4"/>
  <c r="AS83" i="4" s="1"/>
  <c r="AE83" i="4"/>
  <c r="AB83" i="4"/>
  <c r="AM78" i="4"/>
  <c r="AM83" i="4" s="1"/>
  <c r="AM75" i="4"/>
  <c r="AM6" i="3" s="1"/>
  <c r="AM7" i="13" s="1"/>
  <c r="AK30" i="10" s="1"/>
  <c r="AK39" i="10" s="1"/>
  <c r="AP80" i="4"/>
  <c r="AP83" i="4" s="1"/>
  <c r="AP75" i="4"/>
  <c r="AP6" i="3" s="1"/>
  <c r="AP7" i="13" s="1"/>
  <c r="AN30" i="10" s="1"/>
  <c r="AN78" i="4"/>
  <c r="AN83" i="4" s="1"/>
  <c r="AN75" i="4"/>
  <c r="AN6" i="3" s="1"/>
  <c r="AN7" i="13" s="1"/>
  <c r="AL30" i="10" s="1"/>
  <c r="AT75" i="4"/>
  <c r="AT78" i="4"/>
  <c r="AT83" i="4" s="1"/>
  <c r="AQ83" i="4"/>
  <c r="AQ75" i="4"/>
  <c r="AQ6" i="3" s="1"/>
  <c r="AQ7" i="13" s="1"/>
  <c r="AO30" i="10" s="1"/>
  <c r="AR75" i="4"/>
  <c r="AR6" i="3" s="1"/>
  <c r="AR7" i="13" s="1"/>
  <c r="AP30" i="10" s="1"/>
  <c r="AR78" i="4"/>
  <c r="AR83" i="4" s="1"/>
  <c r="AG83" i="4"/>
  <c r="AR8" i="3" l="1"/>
  <c r="AR13" i="13" s="1"/>
  <c r="AP31" i="10" s="1"/>
  <c r="AM39" i="10"/>
  <c r="AP39" i="10"/>
  <c r="AL39" i="10"/>
  <c r="AO39" i="10"/>
  <c r="AN39" i="10"/>
  <c r="D121" i="10" a="1"/>
  <c r="AN8" i="3"/>
  <c r="AN13" i="13" s="1"/>
  <c r="AL31" i="10" s="1"/>
  <c r="AQ39" i="10"/>
  <c r="AS8" i="3"/>
  <c r="AS13" i="13" s="1"/>
  <c r="AQ31" i="10" s="1"/>
  <c r="AJ40" i="10"/>
  <c r="AO8" i="3"/>
  <c r="AO13" i="13" s="1"/>
  <c r="AM31" i="10" s="1"/>
  <c r="AB40" i="10"/>
  <c r="AP8" i="3"/>
  <c r="AP13" i="13" s="1"/>
  <c r="AN31" i="10" s="1"/>
  <c r="AI40" i="10"/>
  <c r="AH40" i="10"/>
  <c r="AG13" i="10"/>
  <c r="AG38" i="10" s="1"/>
  <c r="AD40" i="10"/>
  <c r="AT94" i="4"/>
  <c r="Z11" i="3"/>
  <c r="Z32" i="13" s="1"/>
  <c r="X33" i="10" s="1"/>
  <c r="AF13" i="10" s="1"/>
  <c r="AF38" i="10" s="1"/>
  <c r="Z40" i="10"/>
  <c r="AA40" i="10"/>
  <c r="AG40" i="10"/>
  <c r="AF40" i="10"/>
  <c r="AC40" i="10"/>
  <c r="AM8" i="3"/>
  <c r="AM13" i="13" s="1"/>
  <c r="AK31" i="10" s="1"/>
  <c r="AK40" i="10" s="1"/>
  <c r="AE40" i="10"/>
  <c r="V26" i="13"/>
  <c r="T29" i="10" s="1"/>
  <c r="W90" i="4"/>
  <c r="AK94" i="4"/>
  <c r="AK11" i="3" s="1"/>
  <c r="AK32" i="13" s="1"/>
  <c r="AI33" i="10" s="1"/>
  <c r="T94" i="4"/>
  <c r="T11" i="3" s="1"/>
  <c r="T32" i="13" s="1"/>
  <c r="R33" i="10" s="1"/>
  <c r="AJ94" i="4"/>
  <c r="AJ11" i="3" s="1"/>
  <c r="AJ32" i="13" s="1"/>
  <c r="AH33" i="10" s="1"/>
  <c r="AH13" i="10" s="1"/>
  <c r="AH38" i="10" s="1"/>
  <c r="S94" i="4"/>
  <c r="S11" i="3" s="1"/>
  <c r="S32" i="13" s="1"/>
  <c r="Q33" i="10" s="1"/>
  <c r="AL94" i="4"/>
  <c r="AL11" i="3" s="1"/>
  <c r="AL32" i="13" s="1"/>
  <c r="AJ33" i="10" s="1"/>
  <c r="U94" i="4"/>
  <c r="U11" i="3" s="1"/>
  <c r="U32" i="13" s="1"/>
  <c r="S33" i="10" s="1"/>
  <c r="G159" i="10" l="1"/>
  <c r="O130" i="10"/>
  <c r="K138" i="10"/>
  <c r="M149" i="10"/>
  <c r="J129" i="10"/>
  <c r="H130" i="10"/>
  <c r="K149" i="10"/>
  <c r="K147" i="10"/>
  <c r="J140" i="10"/>
  <c r="K158" i="10"/>
  <c r="L141" i="10"/>
  <c r="K151" i="10"/>
  <c r="J155" i="10"/>
  <c r="L142" i="10"/>
  <c r="N131" i="10"/>
  <c r="J147" i="10"/>
  <c r="G149" i="10"/>
  <c r="K128" i="10"/>
  <c r="N166" i="10"/>
  <c r="N155" i="10"/>
  <c r="L140" i="10"/>
  <c r="H131" i="10"/>
  <c r="J130" i="10"/>
  <c r="O132" i="10"/>
  <c r="N158" i="10"/>
  <c r="K156" i="10"/>
  <c r="L128" i="10"/>
  <c r="I142" i="10"/>
  <c r="L162" i="10"/>
  <c r="L159" i="10"/>
  <c r="M164" i="10"/>
  <c r="I151" i="10"/>
  <c r="M133" i="10"/>
  <c r="I159" i="10"/>
  <c r="H148" i="10"/>
  <c r="O136" i="10"/>
  <c r="J144" i="10"/>
  <c r="I147" i="10"/>
  <c r="H134" i="10"/>
  <c r="I153" i="10"/>
  <c r="I148" i="10"/>
  <c r="O163" i="10"/>
  <c r="L134" i="10"/>
  <c r="K154" i="10"/>
  <c r="H124" i="10"/>
  <c r="K161" i="10"/>
  <c r="G132" i="10"/>
  <c r="K152" i="10"/>
  <c r="I156" i="10"/>
  <c r="L136" i="10"/>
  <c r="L147" i="10"/>
  <c r="M159" i="10"/>
  <c r="H128" i="10"/>
  <c r="G131" i="10"/>
  <c r="N161" i="10"/>
  <c r="G126" i="10"/>
  <c r="J142" i="10"/>
  <c r="J157" i="10"/>
  <c r="J132" i="10"/>
  <c r="G134" i="10"/>
  <c r="G153" i="10"/>
  <c r="G146" i="10"/>
  <c r="H133" i="10"/>
  <c r="I140" i="10"/>
  <c r="N142" i="10"/>
  <c r="N133" i="10"/>
  <c r="J146" i="10"/>
  <c r="I152" i="10"/>
  <c r="M144" i="10"/>
  <c r="G148" i="10"/>
  <c r="M165" i="10"/>
  <c r="O159" i="10"/>
  <c r="L152" i="10"/>
  <c r="N132" i="10"/>
  <c r="L132" i="10"/>
  <c r="I145" i="10"/>
  <c r="G125" i="10"/>
  <c r="G136" i="10"/>
  <c r="O157" i="10"/>
  <c r="K143" i="10"/>
  <c r="N139" i="10"/>
  <c r="G129" i="10"/>
  <c r="H139" i="10"/>
  <c r="H154" i="10"/>
  <c r="I139" i="10"/>
  <c r="N153" i="10"/>
  <c r="J135" i="10"/>
  <c r="L150" i="10"/>
  <c r="N144" i="10"/>
  <c r="G135" i="10"/>
  <c r="K162" i="10"/>
  <c r="I150" i="10"/>
  <c r="K159" i="10"/>
  <c r="G150" i="10"/>
  <c r="I124" i="10"/>
  <c r="M162" i="10"/>
  <c r="J134" i="10"/>
  <c r="J131" i="10"/>
  <c r="H151" i="10"/>
  <c r="J161" i="10"/>
  <c r="L153" i="10"/>
  <c r="O134" i="10"/>
  <c r="K137" i="10"/>
  <c r="K163" i="10"/>
  <c r="H141" i="10"/>
  <c r="N149" i="10"/>
  <c r="J160" i="10"/>
  <c r="J162" i="10"/>
  <c r="G151" i="10"/>
  <c r="J152" i="10"/>
  <c r="G128" i="10"/>
  <c r="K164" i="10"/>
  <c r="H135" i="10"/>
  <c r="K148" i="10"/>
  <c r="M156" i="10"/>
  <c r="J153" i="10"/>
  <c r="O160" i="10"/>
  <c r="L160" i="10"/>
  <c r="H156" i="10"/>
  <c r="H159" i="10"/>
  <c r="J139" i="10"/>
  <c r="L139" i="10"/>
  <c r="G157" i="10"/>
  <c r="I157" i="10"/>
  <c r="I144" i="10"/>
  <c r="H155" i="10"/>
  <c r="O161" i="10"/>
  <c r="O155" i="10"/>
  <c r="D121" i="10"/>
  <c r="H157" i="10"/>
  <c r="O137" i="10"/>
  <c r="I132" i="10"/>
  <c r="G143" i="10"/>
  <c r="O151" i="10"/>
  <c r="L149" i="10"/>
  <c r="M146" i="10"/>
  <c r="O165" i="10"/>
  <c r="H149" i="10"/>
  <c r="G152" i="10"/>
  <c r="M138" i="10"/>
  <c r="L157" i="10"/>
  <c r="I129" i="10"/>
  <c r="G137" i="10"/>
  <c r="M151" i="10"/>
  <c r="K132" i="10"/>
  <c r="O146" i="10"/>
  <c r="H144" i="10"/>
  <c r="I135" i="10"/>
  <c r="J141" i="10"/>
  <c r="I130" i="10"/>
  <c r="H126" i="10"/>
  <c r="N138" i="10"/>
  <c r="I128" i="10"/>
  <c r="I133" i="10"/>
  <c r="H138" i="10"/>
  <c r="G160" i="10"/>
  <c r="K127" i="10"/>
  <c r="I161" i="10"/>
  <c r="G144" i="10"/>
  <c r="J136" i="10"/>
  <c r="H140" i="10"/>
  <c r="N146" i="10"/>
  <c r="M132" i="10"/>
  <c r="H150" i="10"/>
  <c r="G124" i="10"/>
  <c r="K160" i="10"/>
  <c r="O147" i="10"/>
  <c r="M130" i="10"/>
  <c r="N167" i="10"/>
  <c r="I162" i="10"/>
  <c r="O168" i="10"/>
  <c r="P168" i="10" s="1"/>
  <c r="N157" i="10"/>
  <c r="N148" i="10"/>
  <c r="M145" i="10"/>
  <c r="M166" i="10"/>
  <c r="O149" i="10"/>
  <c r="M153" i="10"/>
  <c r="K135" i="10"/>
  <c r="O162" i="10"/>
  <c r="O152" i="10"/>
  <c r="J137" i="10"/>
  <c r="I125" i="10"/>
  <c r="I137" i="10"/>
  <c r="G140" i="10"/>
  <c r="K150" i="10"/>
  <c r="O158" i="10"/>
  <c r="O144" i="10"/>
  <c r="H129" i="10"/>
  <c r="H137" i="10"/>
  <c r="L145" i="10"/>
  <c r="O156" i="10"/>
  <c r="H160" i="10"/>
  <c r="G123" i="10"/>
  <c r="K144" i="10"/>
  <c r="N130" i="10"/>
  <c r="N163" i="10"/>
  <c r="K153" i="10"/>
  <c r="K136" i="10"/>
  <c r="O143" i="10"/>
  <c r="G127" i="10"/>
  <c r="I141" i="10"/>
  <c r="I154" i="10"/>
  <c r="O166" i="10"/>
  <c r="K155" i="10"/>
  <c r="G147" i="10"/>
  <c r="G154" i="10"/>
  <c r="L151" i="10"/>
  <c r="K140" i="10"/>
  <c r="L129" i="10"/>
  <c r="N165" i="10"/>
  <c r="J150" i="10"/>
  <c r="H146" i="10"/>
  <c r="K126" i="10"/>
  <c r="I136" i="10"/>
  <c r="M158" i="10"/>
  <c r="J154" i="10"/>
  <c r="J145" i="10"/>
  <c r="I127" i="10"/>
  <c r="N152" i="10"/>
  <c r="O154" i="10"/>
  <c r="I143" i="10"/>
  <c r="H142" i="10"/>
  <c r="H161" i="10"/>
  <c r="L146" i="10"/>
  <c r="M139" i="10"/>
  <c r="O141" i="10"/>
  <c r="H153" i="10"/>
  <c r="G158" i="10"/>
  <c r="H147" i="10"/>
  <c r="G133" i="10"/>
  <c r="L131" i="10"/>
  <c r="J127" i="10"/>
  <c r="G138" i="10"/>
  <c r="O138" i="10"/>
  <c r="O150" i="10"/>
  <c r="M152" i="10"/>
  <c r="K157" i="10"/>
  <c r="J158" i="10"/>
  <c r="N147" i="10"/>
  <c r="O167" i="10"/>
  <c r="K129" i="10"/>
  <c r="H132" i="10"/>
  <c r="N134" i="10"/>
  <c r="J128" i="10"/>
  <c r="L137" i="10"/>
  <c r="G145" i="10"/>
  <c r="I126" i="10"/>
  <c r="M129" i="10"/>
  <c r="H123" i="10"/>
  <c r="J133" i="10"/>
  <c r="M163" i="10"/>
  <c r="M148" i="10"/>
  <c r="J126" i="10"/>
  <c r="L130" i="10"/>
  <c r="J156" i="10"/>
  <c r="K146" i="10"/>
  <c r="H158" i="10"/>
  <c r="K134" i="10"/>
  <c r="O148" i="10"/>
  <c r="H145" i="10"/>
  <c r="L155" i="10"/>
  <c r="M154" i="10"/>
  <c r="I138" i="10"/>
  <c r="H136" i="10"/>
  <c r="O153" i="10"/>
  <c r="J148" i="10"/>
  <c r="K130" i="10"/>
  <c r="M160" i="10"/>
  <c r="L127" i="10"/>
  <c r="O140" i="10"/>
  <c r="O142" i="10"/>
  <c r="O135" i="10"/>
  <c r="I146" i="10"/>
  <c r="H127" i="10"/>
  <c r="M131" i="10"/>
  <c r="H125" i="10"/>
  <c r="N143" i="10"/>
  <c r="I158" i="10"/>
  <c r="O131" i="10"/>
  <c r="O139" i="10"/>
  <c r="N145" i="10"/>
  <c r="M161" i="10"/>
  <c r="N137" i="10"/>
  <c r="G156" i="10"/>
  <c r="L156" i="10"/>
  <c r="N135" i="10"/>
  <c r="M141" i="10"/>
  <c r="O145" i="10"/>
  <c r="K141" i="10"/>
  <c r="I160" i="10"/>
  <c r="L158" i="10"/>
  <c r="N150" i="10"/>
  <c r="G155" i="10"/>
  <c r="N154" i="10"/>
  <c r="J138" i="10"/>
  <c r="J149" i="10"/>
  <c r="G141" i="10"/>
  <c r="N136" i="10"/>
  <c r="L144" i="10"/>
  <c r="M140" i="10"/>
  <c r="M142" i="10"/>
  <c r="H143" i="10"/>
  <c r="O133" i="10"/>
  <c r="I155" i="10"/>
  <c r="L165" i="10"/>
  <c r="N159" i="10"/>
  <c r="N164" i="10"/>
  <c r="J151" i="10"/>
  <c r="K145" i="10"/>
  <c r="I149" i="10"/>
  <c r="H152" i="10"/>
  <c r="L138" i="10"/>
  <c r="N160" i="10"/>
  <c r="N156" i="10"/>
  <c r="M150" i="10"/>
  <c r="K142" i="10"/>
  <c r="L135" i="10"/>
  <c r="L143" i="10"/>
  <c r="M147" i="10"/>
  <c r="K133" i="10"/>
  <c r="J125" i="10"/>
  <c r="K139" i="10"/>
  <c r="J143" i="10"/>
  <c r="L163" i="10"/>
  <c r="M134" i="10"/>
  <c r="G139" i="10"/>
  <c r="N129" i="10"/>
  <c r="L133" i="10"/>
  <c r="N141" i="10"/>
  <c r="J163" i="10"/>
  <c r="L161" i="10"/>
  <c r="I134" i="10"/>
  <c r="N162" i="10"/>
  <c r="L154" i="10"/>
  <c r="L148" i="10"/>
  <c r="N140" i="10"/>
  <c r="N151" i="10"/>
  <c r="O164" i="10"/>
  <c r="M143" i="10"/>
  <c r="M137" i="10"/>
  <c r="L164" i="10"/>
  <c r="M135" i="10"/>
  <c r="M157" i="10"/>
  <c r="M136" i="10"/>
  <c r="K131" i="10"/>
  <c r="M155" i="10"/>
  <c r="G142" i="10"/>
  <c r="I131" i="10"/>
  <c r="G122" i="10"/>
  <c r="J159" i="10"/>
  <c r="G130" i="10"/>
  <c r="M128" i="10"/>
  <c r="AO40" i="10"/>
  <c r="AM40" i="10"/>
  <c r="R13" i="10"/>
  <c r="R38" i="10" s="1"/>
  <c r="AI13" i="10"/>
  <c r="AI38" i="10" s="1"/>
  <c r="AJ13" i="10"/>
  <c r="AJ38" i="10" s="1"/>
  <c r="S13" i="10"/>
  <c r="S38" i="10" s="1"/>
  <c r="Q13" i="10"/>
  <c r="Q38" i="10" s="1"/>
  <c r="D172" i="10" a="1"/>
  <c r="AQ40" i="10"/>
  <c r="AN40" i="10"/>
  <c r="AL40" i="10"/>
  <c r="AP40" i="10"/>
  <c r="W26" i="13"/>
  <c r="U29" i="10" s="1"/>
  <c r="X90" i="4"/>
  <c r="V94" i="4"/>
  <c r="V11" i="3" s="1"/>
  <c r="V32" i="13" s="1"/>
  <c r="T33" i="10" s="1"/>
  <c r="T13" i="10" s="1"/>
  <c r="T38" i="10" s="1"/>
  <c r="AM94" i="4"/>
  <c r="AM11" i="3" s="1"/>
  <c r="AM32" i="13" s="1"/>
  <c r="AK33" i="10" s="1"/>
  <c r="AK13" i="10" s="1"/>
  <c r="AK38" i="10" s="1"/>
  <c r="AO94" i="4"/>
  <c r="AO11" i="3" s="1"/>
  <c r="AO32" i="13" s="1"/>
  <c r="AM33" i="10" s="1"/>
  <c r="X94" i="4"/>
  <c r="AN94" i="4"/>
  <c r="AN11" i="3" s="1"/>
  <c r="AN32" i="13" s="1"/>
  <c r="AL33" i="10" s="1"/>
  <c r="W94" i="4"/>
  <c r="P139" i="10" l="1"/>
  <c r="P163" i="10"/>
  <c r="P167" i="10"/>
  <c r="P151" i="10"/>
  <c r="P133" i="10"/>
  <c r="P162" i="10"/>
  <c r="P135" i="10"/>
  <c r="P148" i="10"/>
  <c r="P134" i="10"/>
  <c r="P158" i="10"/>
  <c r="P149" i="10"/>
  <c r="P131" i="10"/>
  <c r="P161" i="10"/>
  <c r="P137" i="10"/>
  <c r="P143" i="10"/>
  <c r="P157" i="10"/>
  <c r="P152" i="10"/>
  <c r="N128" i="10"/>
  <c r="P128" i="10" s="1"/>
  <c r="M127" i="10"/>
  <c r="P127" i="10" s="1"/>
  <c r="J124" i="10"/>
  <c r="P124" i="10" s="1"/>
  <c r="O129" i="10"/>
  <c r="P129" i="10" s="1"/>
  <c r="G121" i="10"/>
  <c r="P121" i="10" s="1"/>
  <c r="L126" i="10"/>
  <c r="P126" i="10" s="1"/>
  <c r="I123" i="10"/>
  <c r="P123" i="10" s="1"/>
  <c r="K125" i="10"/>
  <c r="P125" i="10" s="1"/>
  <c r="H122" i="10"/>
  <c r="P122" i="10" s="1"/>
  <c r="P136" i="10"/>
  <c r="P142" i="10"/>
  <c r="P165" i="10"/>
  <c r="P140" i="10"/>
  <c r="P155" i="10"/>
  <c r="P164" i="10"/>
  <c r="P146" i="10"/>
  <c r="P144" i="10"/>
  <c r="P141" i="10"/>
  <c r="P132" i="10"/>
  <c r="P145" i="10"/>
  <c r="P154" i="10"/>
  <c r="P160" i="10"/>
  <c r="P147" i="10"/>
  <c r="P166" i="10"/>
  <c r="P156" i="10"/>
  <c r="P150" i="10"/>
  <c r="P138" i="10"/>
  <c r="P130" i="10"/>
  <c r="P153" i="10"/>
  <c r="P159" i="10"/>
  <c r="AL13" i="10"/>
  <c r="AL38" i="10" s="1"/>
  <c r="AQ94" i="4"/>
  <c r="AQ11" i="3" s="1"/>
  <c r="AQ32" i="13" s="1"/>
  <c r="AO33" i="10" s="1"/>
  <c r="W11" i="3"/>
  <c r="W32" i="13" s="1"/>
  <c r="U33" i="10" s="1"/>
  <c r="AR94" i="4"/>
  <c r="AR11" i="3" s="1"/>
  <c r="AR32" i="13" s="1"/>
  <c r="AP33" i="10" s="1"/>
  <c r="X11" i="3"/>
  <c r="X32" i="13" s="1"/>
  <c r="V33" i="10" s="1"/>
  <c r="AM13" i="10"/>
  <c r="AM38" i="10" s="1"/>
  <c r="D172" i="10"/>
  <c r="H214" i="10"/>
  <c r="I206" i="10"/>
  <c r="H212" i="10"/>
  <c r="G185" i="10"/>
  <c r="I179" i="10"/>
  <c r="I201" i="10"/>
  <c r="G176" i="10"/>
  <c r="O212" i="10"/>
  <c r="I184" i="10"/>
  <c r="J195" i="10"/>
  <c r="G202" i="10"/>
  <c r="H198" i="10"/>
  <c r="O195" i="10"/>
  <c r="M196" i="10"/>
  <c r="G193" i="10"/>
  <c r="G179" i="10"/>
  <c r="K196" i="10"/>
  <c r="K191" i="10"/>
  <c r="N202" i="10"/>
  <c r="G196" i="10"/>
  <c r="K218" i="10"/>
  <c r="M202" i="10"/>
  <c r="G203" i="10"/>
  <c r="I193" i="10"/>
  <c r="K184" i="10"/>
  <c r="K198" i="10"/>
  <c r="L192" i="10"/>
  <c r="M197" i="10"/>
  <c r="O216" i="10"/>
  <c r="L188" i="10"/>
  <c r="G186" i="10"/>
  <c r="J210" i="10"/>
  <c r="M181" i="10"/>
  <c r="N204" i="10"/>
  <c r="K213" i="10"/>
  <c r="G208" i="10"/>
  <c r="I183" i="10"/>
  <c r="L214" i="10"/>
  <c r="O189" i="10"/>
  <c r="H186" i="10"/>
  <c r="M203" i="10"/>
  <c r="G215" i="10"/>
  <c r="L216" i="10"/>
  <c r="N193" i="10"/>
  <c r="I175" i="10"/>
  <c r="M209" i="10"/>
  <c r="O213" i="10"/>
  <c r="H218" i="10"/>
  <c r="J204" i="10"/>
  <c r="I202" i="10"/>
  <c r="N185" i="10"/>
  <c r="J191" i="10"/>
  <c r="J207" i="10"/>
  <c r="O201" i="10"/>
  <c r="K206" i="10"/>
  <c r="K187" i="10"/>
  <c r="M183" i="10"/>
  <c r="L199" i="10"/>
  <c r="N181" i="10"/>
  <c r="J196" i="10"/>
  <c r="H199" i="10"/>
  <c r="N219" i="10"/>
  <c r="K190" i="10"/>
  <c r="O206" i="10"/>
  <c r="I197" i="10"/>
  <c r="J192" i="10"/>
  <c r="G180" i="10"/>
  <c r="H177" i="10"/>
  <c r="M213" i="10"/>
  <c r="L208" i="10"/>
  <c r="L186" i="10"/>
  <c r="K202" i="10"/>
  <c r="L202" i="10"/>
  <c r="H216" i="10"/>
  <c r="L201" i="10"/>
  <c r="M188" i="10"/>
  <c r="G201" i="10"/>
  <c r="I213" i="10"/>
  <c r="L219" i="10"/>
  <c r="J198" i="10"/>
  <c r="I209" i="10"/>
  <c r="H195" i="10"/>
  <c r="J209" i="10"/>
  <c r="G184" i="10"/>
  <c r="H176" i="10"/>
  <c r="O199" i="10"/>
  <c r="O217" i="10"/>
  <c r="G207" i="10"/>
  <c r="I182" i="10"/>
  <c r="G192" i="10"/>
  <c r="O196" i="10"/>
  <c r="O188" i="10"/>
  <c r="I194" i="10"/>
  <c r="G173" i="10"/>
  <c r="G216" i="10"/>
  <c r="H193" i="10"/>
  <c r="K181" i="10"/>
  <c r="J212" i="10"/>
  <c r="G211" i="10"/>
  <c r="H188" i="10"/>
  <c r="K186" i="10"/>
  <c r="M214" i="10"/>
  <c r="G218" i="10"/>
  <c r="H183" i="10"/>
  <c r="L190" i="10"/>
  <c r="K195" i="10"/>
  <c r="L181" i="10"/>
  <c r="M191" i="10"/>
  <c r="I185" i="10"/>
  <c r="M211" i="10"/>
  <c r="O211" i="10"/>
  <c r="J208" i="10"/>
  <c r="M180" i="10"/>
  <c r="N190" i="10"/>
  <c r="K180" i="10"/>
  <c r="O197" i="10"/>
  <c r="J213" i="10"/>
  <c r="M215" i="10"/>
  <c r="O183" i="10"/>
  <c r="K216" i="10"/>
  <c r="M185" i="10"/>
  <c r="O204" i="10"/>
  <c r="L184" i="10"/>
  <c r="G181" i="10"/>
  <c r="I217" i="10"/>
  <c r="M210" i="10"/>
  <c r="H180" i="10"/>
  <c r="I205" i="10"/>
  <c r="H203" i="10"/>
  <c r="J183" i="10"/>
  <c r="L207" i="10"/>
  <c r="G199" i="10"/>
  <c r="M204" i="10"/>
  <c r="J180" i="10"/>
  <c r="G219" i="10"/>
  <c r="N194" i="10"/>
  <c r="G206" i="10"/>
  <c r="K204" i="10"/>
  <c r="M217" i="10"/>
  <c r="H194" i="10"/>
  <c r="K219" i="10"/>
  <c r="M194" i="10"/>
  <c r="H208" i="10"/>
  <c r="G189" i="10"/>
  <c r="K189" i="10"/>
  <c r="I210" i="10"/>
  <c r="N209" i="10"/>
  <c r="N217" i="10"/>
  <c r="G177" i="10"/>
  <c r="O194" i="10"/>
  <c r="O182" i="10"/>
  <c r="L185" i="10"/>
  <c r="N215" i="10"/>
  <c r="G213" i="10"/>
  <c r="K214" i="10"/>
  <c r="G183" i="10"/>
  <c r="L182" i="10"/>
  <c r="L197" i="10"/>
  <c r="H213" i="10"/>
  <c r="J190" i="10"/>
  <c r="H205" i="10"/>
  <c r="J187" i="10"/>
  <c r="H206" i="10"/>
  <c r="H178" i="10"/>
  <c r="H174" i="10"/>
  <c r="I198" i="10"/>
  <c r="J215" i="10"/>
  <c r="J205" i="10"/>
  <c r="G175" i="10"/>
  <c r="O187" i="10"/>
  <c r="I195" i="10"/>
  <c r="O184" i="10"/>
  <c r="I192" i="10"/>
  <c r="J211" i="10"/>
  <c r="I211" i="10"/>
  <c r="L183" i="10"/>
  <c r="K183" i="10"/>
  <c r="M206" i="10"/>
  <c r="G174" i="10"/>
  <c r="I180" i="10"/>
  <c r="L198" i="10"/>
  <c r="M198" i="10"/>
  <c r="G191" i="10"/>
  <c r="I208" i="10"/>
  <c r="L178" i="10"/>
  <c r="K200" i="10"/>
  <c r="L209" i="10"/>
  <c r="N205" i="10"/>
  <c r="H191" i="10"/>
  <c r="M189" i="10"/>
  <c r="O218" i="10"/>
  <c r="K207" i="10"/>
  <c r="N192" i="10"/>
  <c r="N212" i="10"/>
  <c r="L217" i="10"/>
  <c r="O191" i="10"/>
  <c r="J217" i="10"/>
  <c r="M212" i="10"/>
  <c r="N207" i="10"/>
  <c r="K209" i="10"/>
  <c r="N210" i="10"/>
  <c r="I212" i="10"/>
  <c r="L193" i="10"/>
  <c r="G210" i="10"/>
  <c r="I191" i="10"/>
  <c r="M179" i="10"/>
  <c r="I188" i="10"/>
  <c r="I176" i="10"/>
  <c r="H190" i="10"/>
  <c r="M219" i="10"/>
  <c r="L189" i="10"/>
  <c r="M190" i="10"/>
  <c r="M216" i="10"/>
  <c r="G195" i="10"/>
  <c r="O214" i="10"/>
  <c r="J182" i="10"/>
  <c r="J186" i="10"/>
  <c r="I190" i="10"/>
  <c r="G198" i="10"/>
  <c r="I219" i="10"/>
  <c r="J206" i="10"/>
  <c r="J218" i="10"/>
  <c r="J179" i="10"/>
  <c r="I200" i="10"/>
  <c r="H185" i="10"/>
  <c r="J200" i="10"/>
  <c r="J201" i="10"/>
  <c r="I216" i="10"/>
  <c r="I189" i="10"/>
  <c r="J194" i="10"/>
  <c r="N195" i="10"/>
  <c r="G217" i="10"/>
  <c r="H182" i="10"/>
  <c r="G182" i="10"/>
  <c r="I181" i="10"/>
  <c r="J184" i="10"/>
  <c r="M186" i="10"/>
  <c r="J181" i="10"/>
  <c r="N196" i="10"/>
  <c r="L195" i="10"/>
  <c r="M207" i="10"/>
  <c r="O210" i="10"/>
  <c r="I199" i="10"/>
  <c r="L218" i="10"/>
  <c r="M193" i="10"/>
  <c r="O186" i="10"/>
  <c r="I204" i="10"/>
  <c r="L205" i="10"/>
  <c r="K194" i="10"/>
  <c r="M200" i="10"/>
  <c r="N180" i="10"/>
  <c r="K192" i="10"/>
  <c r="G205" i="10"/>
  <c r="K208" i="10"/>
  <c r="H200" i="10"/>
  <c r="J176" i="10"/>
  <c r="J199" i="10"/>
  <c r="H184" i="10"/>
  <c r="G188" i="10"/>
  <c r="I177" i="10"/>
  <c r="L203" i="10"/>
  <c r="N206" i="10"/>
  <c r="O219" i="10"/>
  <c r="J202" i="10"/>
  <c r="J216" i="10"/>
  <c r="N216" i="10"/>
  <c r="M199" i="10"/>
  <c r="J193" i="10"/>
  <c r="H219" i="10"/>
  <c r="H197" i="10"/>
  <c r="I178" i="10"/>
  <c r="I187" i="10"/>
  <c r="J189" i="10"/>
  <c r="O208" i="10"/>
  <c r="G187" i="10"/>
  <c r="N188" i="10"/>
  <c r="G190" i="10"/>
  <c r="H202" i="10"/>
  <c r="J177" i="10"/>
  <c r="H211" i="10"/>
  <c r="H210" i="10"/>
  <c r="J178" i="10"/>
  <c r="N218" i="10"/>
  <c r="I214" i="10"/>
  <c r="K182" i="10"/>
  <c r="L180" i="10"/>
  <c r="N214" i="10"/>
  <c r="G178" i="10"/>
  <c r="K179" i="10"/>
  <c r="L196" i="10"/>
  <c r="N189" i="10"/>
  <c r="N213" i="10"/>
  <c r="K217" i="10"/>
  <c r="M195" i="10"/>
  <c r="L204" i="10"/>
  <c r="L210" i="10"/>
  <c r="O200" i="10"/>
  <c r="K210" i="10"/>
  <c r="N200" i="10"/>
  <c r="H196" i="10"/>
  <c r="L191" i="10"/>
  <c r="O203" i="10"/>
  <c r="H209" i="10"/>
  <c r="N186" i="10"/>
  <c r="I207" i="10"/>
  <c r="L194" i="10"/>
  <c r="G197" i="10"/>
  <c r="K205" i="10"/>
  <c r="O207" i="10"/>
  <c r="J185" i="10"/>
  <c r="I218" i="10"/>
  <c r="I215" i="10"/>
  <c r="H215" i="10"/>
  <c r="I186" i="10"/>
  <c r="H187" i="10"/>
  <c r="H207" i="10"/>
  <c r="H179" i="10"/>
  <c r="H181" i="10"/>
  <c r="O185" i="10"/>
  <c r="N199" i="10"/>
  <c r="J214" i="10"/>
  <c r="N203" i="10"/>
  <c r="O202" i="10"/>
  <c r="H201" i="10"/>
  <c r="N208" i="10"/>
  <c r="H189" i="10"/>
  <c r="K178" i="10"/>
  <c r="L213" i="10"/>
  <c r="N197" i="10"/>
  <c r="G212" i="10"/>
  <c r="K177" i="10"/>
  <c r="M205" i="10"/>
  <c r="N182" i="10"/>
  <c r="O198" i="10"/>
  <c r="K201" i="10"/>
  <c r="K215" i="10"/>
  <c r="L206" i="10"/>
  <c r="M201" i="10"/>
  <c r="O193" i="10"/>
  <c r="L211" i="10"/>
  <c r="G214" i="10"/>
  <c r="I196" i="10"/>
  <c r="M187" i="10"/>
  <c r="O209" i="10"/>
  <c r="K193" i="10"/>
  <c r="G200" i="10"/>
  <c r="J203" i="10"/>
  <c r="L215" i="10"/>
  <c r="G204" i="10"/>
  <c r="H204" i="10"/>
  <c r="M192" i="10"/>
  <c r="O215" i="10"/>
  <c r="M208" i="10"/>
  <c r="N201" i="10"/>
  <c r="H175" i="10"/>
  <c r="L200" i="10"/>
  <c r="O192" i="10"/>
  <c r="J188" i="10"/>
  <c r="J219" i="10"/>
  <c r="N187" i="10"/>
  <c r="M218" i="10"/>
  <c r="L187" i="10"/>
  <c r="K188" i="10"/>
  <c r="N198" i="10"/>
  <c r="I203" i="10"/>
  <c r="K185" i="10"/>
  <c r="N183" i="10"/>
  <c r="K211" i="10"/>
  <c r="G194" i="10"/>
  <c r="N191" i="10"/>
  <c r="L212" i="10"/>
  <c r="M184" i="10"/>
  <c r="G209" i="10"/>
  <c r="J197" i="10"/>
  <c r="H192" i="10"/>
  <c r="M182" i="10"/>
  <c r="K199" i="10"/>
  <c r="K212" i="10"/>
  <c r="K203" i="10"/>
  <c r="L179" i="10"/>
  <c r="O190" i="10"/>
  <c r="N184" i="10"/>
  <c r="N211" i="10"/>
  <c r="K197" i="10"/>
  <c r="H217" i="10"/>
  <c r="O181" i="10"/>
  <c r="O205" i="10"/>
  <c r="X26" i="13"/>
  <c r="V29" i="10" s="1"/>
  <c r="Y90" i="4"/>
  <c r="Y94" i="4"/>
  <c r="AP94" i="4"/>
  <c r="AP11" i="3" s="1"/>
  <c r="AP32" i="13" s="1"/>
  <c r="AN33" i="10" s="1"/>
  <c r="AN13" i="10" s="1"/>
  <c r="AN38" i="10" s="1"/>
  <c r="V13" i="10" l="1"/>
  <c r="V38" i="10" s="1"/>
  <c r="P183" i="10"/>
  <c r="P185" i="10"/>
  <c r="P210" i="10"/>
  <c r="P199" i="10"/>
  <c r="P181" i="10"/>
  <c r="P182" i="10"/>
  <c r="P208" i="10"/>
  <c r="AP13" i="10"/>
  <c r="AP38" i="10" s="1"/>
  <c r="U13" i="10"/>
  <c r="U38" i="10" s="1"/>
  <c r="AS94" i="4"/>
  <c r="AS11" i="3" s="1"/>
  <c r="AS32" i="13" s="1"/>
  <c r="AQ33" i="10" s="1"/>
  <c r="Y11" i="3"/>
  <c r="Y32" i="13" s="1"/>
  <c r="W33" i="10" s="1"/>
  <c r="AO13" i="10"/>
  <c r="AO38" i="10" s="1"/>
  <c r="P195" i="10"/>
  <c r="P209" i="10"/>
  <c r="P204" i="10"/>
  <c r="P214" i="10"/>
  <c r="P190" i="10"/>
  <c r="P205" i="10"/>
  <c r="P201" i="10"/>
  <c r="P211" i="10"/>
  <c r="P202" i="10"/>
  <c r="P212" i="10"/>
  <c r="P215" i="10"/>
  <c r="P194" i="10"/>
  <c r="P206" i="10"/>
  <c r="P184" i="10"/>
  <c r="P196" i="10"/>
  <c r="P187" i="10"/>
  <c r="P200" i="10"/>
  <c r="P213" i="10"/>
  <c r="P189" i="10"/>
  <c r="P207" i="10"/>
  <c r="L177" i="10"/>
  <c r="P177" i="10" s="1"/>
  <c r="M178" i="10"/>
  <c r="P178" i="10" s="1"/>
  <c r="G172" i="10"/>
  <c r="P172" i="10" s="1"/>
  <c r="I174" i="10"/>
  <c r="P174" i="10" s="1"/>
  <c r="J175" i="10"/>
  <c r="P175" i="10" s="1"/>
  <c r="K176" i="10"/>
  <c r="P176" i="10" s="1"/>
  <c r="H173" i="10"/>
  <c r="P173" i="10" s="1"/>
  <c r="O180" i="10"/>
  <c r="P180" i="10" s="1"/>
  <c r="N179" i="10"/>
  <c r="P179" i="10" s="1"/>
  <c r="P197" i="10"/>
  <c r="P188" i="10"/>
  <c r="P198" i="10"/>
  <c r="P192" i="10"/>
  <c r="P217" i="10"/>
  <c r="P191" i="10"/>
  <c r="P219" i="10"/>
  <c r="P218" i="10"/>
  <c r="P216" i="10"/>
  <c r="P186" i="10"/>
  <c r="P203" i="10"/>
  <c r="P193" i="10"/>
  <c r="Z90" i="4"/>
  <c r="Y26" i="13"/>
  <c r="W29" i="10" s="1"/>
  <c r="W13" i="10" l="1"/>
  <c r="W38" i="10" s="1"/>
  <c r="Z13" i="10"/>
  <c r="Z38" i="10" s="1"/>
  <c r="AB13" i="10"/>
  <c r="AB38" i="10" s="1"/>
  <c r="AD13" i="10"/>
  <c r="AD38" i="10" s="1"/>
  <c r="AE13" i="10"/>
  <c r="AE38" i="10" s="1"/>
  <c r="AA13" i="10"/>
  <c r="AA38" i="10" s="1"/>
  <c r="AC13" i="10"/>
  <c r="AC38" i="10" s="1"/>
  <c r="Y13" i="10"/>
  <c r="Y38" i="10" s="1"/>
  <c r="X13" i="10"/>
  <c r="X38" i="10" s="1"/>
  <c r="AQ13" i="10"/>
  <c r="AQ38" i="10" s="1"/>
  <c r="D274" i="10" a="1"/>
  <c r="AA90" i="4"/>
  <c r="Z26" i="13"/>
  <c r="X29" i="10" s="1"/>
  <c r="J299" i="10" l="1"/>
  <c r="J312" i="10"/>
  <c r="G295" i="10"/>
  <c r="G300" i="10"/>
  <c r="I279" i="10"/>
  <c r="J307" i="10"/>
  <c r="G294" i="10"/>
  <c r="J304" i="10"/>
  <c r="I288" i="10"/>
  <c r="L310" i="10"/>
  <c r="N310" i="10"/>
  <c r="J313" i="10"/>
  <c r="K319" i="10"/>
  <c r="M305" i="10"/>
  <c r="G315" i="10"/>
  <c r="H293" i="10"/>
  <c r="G299" i="10"/>
  <c r="J290" i="10"/>
  <c r="H285" i="10"/>
  <c r="G309" i="10"/>
  <c r="I293" i="10"/>
  <c r="K294" i="10"/>
  <c r="N307" i="10"/>
  <c r="J281" i="10"/>
  <c r="K295" i="10"/>
  <c r="M300" i="10"/>
  <c r="H321" i="10"/>
  <c r="L308" i="10"/>
  <c r="K279" i="10"/>
  <c r="N304" i="10"/>
  <c r="J300" i="10"/>
  <c r="K318" i="10"/>
  <c r="N296" i="10"/>
  <c r="I303" i="10"/>
  <c r="I309" i="10"/>
  <c r="J292" i="10"/>
  <c r="O312" i="10"/>
  <c r="H282" i="10"/>
  <c r="O300" i="10"/>
  <c r="G276" i="10"/>
  <c r="K320" i="10"/>
  <c r="N312" i="10"/>
  <c r="H300" i="10"/>
  <c r="K301" i="10"/>
  <c r="H296" i="10"/>
  <c r="K285" i="10"/>
  <c r="G308" i="10"/>
  <c r="N287" i="10"/>
  <c r="J306" i="10"/>
  <c r="M297" i="10"/>
  <c r="I277" i="10"/>
  <c r="G290" i="10"/>
  <c r="H306" i="10"/>
  <c r="N320" i="10"/>
  <c r="K311" i="10"/>
  <c r="M318" i="10"/>
  <c r="O320" i="10"/>
  <c r="O298" i="10"/>
  <c r="N291" i="10"/>
  <c r="H277" i="10"/>
  <c r="J285" i="10"/>
  <c r="J289" i="10"/>
  <c r="G316" i="10"/>
  <c r="M313" i="10"/>
  <c r="N293" i="10"/>
  <c r="K302" i="10"/>
  <c r="M320" i="10"/>
  <c r="O285" i="10"/>
  <c r="N303" i="10"/>
  <c r="G314" i="10"/>
  <c r="M316" i="10"/>
  <c r="O308" i="10"/>
  <c r="K304" i="10"/>
  <c r="G292" i="10"/>
  <c r="I292" i="10"/>
  <c r="I289" i="10"/>
  <c r="N321" i="10"/>
  <c r="N295" i="10"/>
  <c r="G289" i="10"/>
  <c r="N292" i="10"/>
  <c r="G319" i="10"/>
  <c r="L293" i="10"/>
  <c r="N283" i="10"/>
  <c r="I295" i="10"/>
  <c r="K292" i="10"/>
  <c r="M286" i="10"/>
  <c r="L281" i="10"/>
  <c r="H303" i="10"/>
  <c r="G317" i="10"/>
  <c r="L305" i="10"/>
  <c r="H284" i="10"/>
  <c r="O299" i="10"/>
  <c r="M309" i="10"/>
  <c r="L320" i="10"/>
  <c r="N309" i="10"/>
  <c r="J316" i="10"/>
  <c r="K313" i="10"/>
  <c r="N299" i="10"/>
  <c r="J284" i="10"/>
  <c r="L280" i="10"/>
  <c r="K288" i="10"/>
  <c r="N300" i="10"/>
  <c r="I290" i="10"/>
  <c r="K315" i="10"/>
  <c r="H302" i="10"/>
  <c r="J295" i="10"/>
  <c r="K280" i="10"/>
  <c r="H304" i="10"/>
  <c r="I287" i="10"/>
  <c r="H315" i="10"/>
  <c r="J298" i="10"/>
  <c r="G288" i="10"/>
  <c r="H317" i="10"/>
  <c r="I300" i="10"/>
  <c r="J301" i="10"/>
  <c r="J291" i="10"/>
  <c r="I301" i="10"/>
  <c r="H287" i="10"/>
  <c r="O316" i="10"/>
  <c r="H290" i="10"/>
  <c r="M321" i="10"/>
  <c r="O315" i="10"/>
  <c r="H278" i="10"/>
  <c r="I297" i="10"/>
  <c r="K290" i="10"/>
  <c r="I320" i="10"/>
  <c r="H288" i="10"/>
  <c r="J321" i="10"/>
  <c r="L291" i="10"/>
  <c r="M293" i="10"/>
  <c r="M307" i="10"/>
  <c r="O288" i="10"/>
  <c r="O306" i="10"/>
  <c r="G280" i="10"/>
  <c r="M285" i="10"/>
  <c r="G284" i="10"/>
  <c r="K310" i="10"/>
  <c r="I311" i="10"/>
  <c r="L299" i="10"/>
  <c r="L287" i="10"/>
  <c r="H286" i="10"/>
  <c r="M302" i="10"/>
  <c r="I321" i="10"/>
  <c r="N305" i="10"/>
  <c r="O289" i="10"/>
  <c r="G279" i="10"/>
  <c r="J279" i="10"/>
  <c r="H307" i="10"/>
  <c r="L290" i="10"/>
  <c r="H279" i="10"/>
  <c r="J283" i="10"/>
  <c r="G286" i="10"/>
  <c r="K300" i="10"/>
  <c r="N301" i="10"/>
  <c r="I282" i="10"/>
  <c r="K289" i="10"/>
  <c r="M304" i="10"/>
  <c r="L286" i="10"/>
  <c r="M289" i="10"/>
  <c r="O307" i="10"/>
  <c r="L315" i="10"/>
  <c r="M283" i="10"/>
  <c r="O309" i="10"/>
  <c r="L297" i="10"/>
  <c r="H320" i="10"/>
  <c r="G283" i="10"/>
  <c r="I306" i="10"/>
  <c r="K309" i="10"/>
  <c r="H280" i="10"/>
  <c r="I319" i="10"/>
  <c r="L309" i="10"/>
  <c r="H309" i="10"/>
  <c r="G296" i="10"/>
  <c r="J282" i="10"/>
  <c r="H301" i="10"/>
  <c r="G307" i="10"/>
  <c r="I285" i="10"/>
  <c r="H308" i="10"/>
  <c r="H276" i="10"/>
  <c r="N282" i="10"/>
  <c r="G320" i="10"/>
  <c r="G313" i="10"/>
  <c r="K296" i="10"/>
  <c r="M291" i="10"/>
  <c r="L312" i="10"/>
  <c r="N297" i="10"/>
  <c r="L307" i="10"/>
  <c r="H314" i="10"/>
  <c r="H312" i="10"/>
  <c r="L300" i="10"/>
  <c r="H319" i="10"/>
  <c r="G298" i="10"/>
  <c r="K316" i="10"/>
  <c r="O314" i="10"/>
  <c r="J320" i="10"/>
  <c r="J288" i="10"/>
  <c r="G285" i="10"/>
  <c r="I317" i="10"/>
  <c r="N315" i="10"/>
  <c r="L296" i="10"/>
  <c r="L316" i="10"/>
  <c r="L292" i="10"/>
  <c r="L284" i="10"/>
  <c r="G306" i="10"/>
  <c r="I302" i="10"/>
  <c r="O305" i="10"/>
  <c r="L283" i="10"/>
  <c r="O283" i="10"/>
  <c r="K281" i="10"/>
  <c r="N317" i="10"/>
  <c r="O293" i="10"/>
  <c r="K287" i="10"/>
  <c r="M299" i="10"/>
  <c r="K306" i="10"/>
  <c r="H289" i="10"/>
  <c r="H281" i="10"/>
  <c r="L306" i="10"/>
  <c r="N288" i="10"/>
  <c r="M319" i="10"/>
  <c r="M288" i="10"/>
  <c r="K305" i="10"/>
  <c r="L319" i="10"/>
  <c r="M315" i="10"/>
  <c r="M284" i="10"/>
  <c r="D274" i="10"/>
  <c r="O310" i="10"/>
  <c r="M317" i="10"/>
  <c r="G275" i="10"/>
  <c r="I304" i="10"/>
  <c r="N298" i="10"/>
  <c r="O302" i="10"/>
  <c r="M308" i="10"/>
  <c r="K286" i="10"/>
  <c r="G312" i="10"/>
  <c r="I314" i="10"/>
  <c r="N290" i="10"/>
  <c r="L303" i="10"/>
  <c r="O317" i="10"/>
  <c r="M287" i="10"/>
  <c r="G301" i="10"/>
  <c r="J311" i="10"/>
  <c r="H311" i="10"/>
  <c r="H292" i="10"/>
  <c r="J309" i="10"/>
  <c r="O321" i="10"/>
  <c r="N302" i="10"/>
  <c r="J314" i="10"/>
  <c r="O291" i="10"/>
  <c r="G293" i="10"/>
  <c r="O296" i="10"/>
  <c r="N306" i="10"/>
  <c r="J319" i="10"/>
  <c r="I296" i="10"/>
  <c r="M290" i="10"/>
  <c r="L302" i="10"/>
  <c r="N286" i="10"/>
  <c r="J278" i="10"/>
  <c r="L289" i="10"/>
  <c r="L318" i="10"/>
  <c r="L294" i="10"/>
  <c r="J305" i="10"/>
  <c r="G277" i="10"/>
  <c r="H310" i="10"/>
  <c r="H298" i="10"/>
  <c r="J308" i="10"/>
  <c r="K303" i="10"/>
  <c r="M310" i="10"/>
  <c r="M282" i="10"/>
  <c r="H305" i="10"/>
  <c r="J287" i="10"/>
  <c r="O313" i="10"/>
  <c r="H313" i="10"/>
  <c r="L321" i="10"/>
  <c r="K299" i="10"/>
  <c r="N319" i="10"/>
  <c r="K284" i="10"/>
  <c r="M303" i="10"/>
  <c r="N294" i="10"/>
  <c r="I310" i="10"/>
  <c r="I298" i="10"/>
  <c r="M296" i="10"/>
  <c r="I316" i="10"/>
  <c r="M294" i="10"/>
  <c r="L282" i="10"/>
  <c r="H291" i="10"/>
  <c r="J297" i="10"/>
  <c r="M306" i="10"/>
  <c r="G291" i="10"/>
  <c r="O304" i="10"/>
  <c r="J303" i="10"/>
  <c r="M281" i="10"/>
  <c r="H283" i="10"/>
  <c r="N318" i="10"/>
  <c r="H318" i="10"/>
  <c r="I308" i="10"/>
  <c r="L317" i="10"/>
  <c r="K293" i="10"/>
  <c r="L295" i="10"/>
  <c r="K308" i="10"/>
  <c r="K321" i="10"/>
  <c r="L288" i="10"/>
  <c r="H299" i="10"/>
  <c r="G304" i="10"/>
  <c r="L314" i="10"/>
  <c r="N308" i="10"/>
  <c r="G321" i="10"/>
  <c r="H295" i="10"/>
  <c r="L301" i="10"/>
  <c r="G302" i="10"/>
  <c r="N313" i="10"/>
  <c r="G310" i="10"/>
  <c r="I299" i="10"/>
  <c r="J310" i="10"/>
  <c r="N314" i="10"/>
  <c r="H316" i="10"/>
  <c r="N311" i="10"/>
  <c r="I294" i="10"/>
  <c r="L285" i="10"/>
  <c r="K298" i="10"/>
  <c r="O290" i="10"/>
  <c r="O295" i="10"/>
  <c r="H294" i="10"/>
  <c r="J286" i="10"/>
  <c r="J317" i="10"/>
  <c r="O303" i="10"/>
  <c r="I307" i="10"/>
  <c r="I291" i="10"/>
  <c r="G303" i="10"/>
  <c r="O286" i="10"/>
  <c r="G282" i="10"/>
  <c r="I315" i="10"/>
  <c r="M301" i="10"/>
  <c r="K282" i="10"/>
  <c r="M312" i="10"/>
  <c r="N285" i="10"/>
  <c r="J293" i="10"/>
  <c r="M292" i="10"/>
  <c r="O294" i="10"/>
  <c r="O319" i="10"/>
  <c r="M298" i="10"/>
  <c r="M311" i="10"/>
  <c r="I318" i="10"/>
  <c r="K283" i="10"/>
  <c r="M314" i="10"/>
  <c r="K297" i="10"/>
  <c r="O287" i="10"/>
  <c r="I278" i="10"/>
  <c r="K291" i="10"/>
  <c r="J296" i="10"/>
  <c r="I286" i="10"/>
  <c r="K314" i="10"/>
  <c r="H297" i="10"/>
  <c r="L313" i="10"/>
  <c r="L304" i="10"/>
  <c r="O311" i="10"/>
  <c r="L298" i="10"/>
  <c r="O318" i="10"/>
  <c r="G305" i="10"/>
  <c r="G287" i="10"/>
  <c r="J315" i="10"/>
  <c r="I280" i="10"/>
  <c r="G278" i="10"/>
  <c r="J294" i="10"/>
  <c r="O301" i="10"/>
  <c r="L311" i="10"/>
  <c r="J302" i="10"/>
  <c r="K307" i="10"/>
  <c r="G297" i="10"/>
  <c r="I305" i="10"/>
  <c r="G311" i="10"/>
  <c r="K317" i="10"/>
  <c r="O297" i="10"/>
  <c r="K312" i="10"/>
  <c r="O284" i="10"/>
  <c r="I281" i="10"/>
  <c r="G318" i="10"/>
  <c r="I313" i="10"/>
  <c r="N289" i="10"/>
  <c r="N284" i="10"/>
  <c r="I312" i="10"/>
  <c r="G281" i="10"/>
  <c r="N316" i="10"/>
  <c r="I283" i="10"/>
  <c r="I284" i="10"/>
  <c r="M295" i="10"/>
  <c r="J280" i="10"/>
  <c r="J318" i="10"/>
  <c r="O292" i="10"/>
  <c r="AA26" i="13"/>
  <c r="Y29" i="10" s="1"/>
  <c r="AB90" i="4"/>
  <c r="P310" i="10" l="1"/>
  <c r="P294" i="10"/>
  <c r="P318" i="10"/>
  <c r="P297" i="10"/>
  <c r="P315" i="10"/>
  <c r="P303" i="10"/>
  <c r="P290" i="10"/>
  <c r="P291" i="10"/>
  <c r="P301" i="10"/>
  <c r="P288" i="10"/>
  <c r="P286" i="10"/>
  <c r="P307" i="10"/>
  <c r="P308" i="10"/>
  <c r="P287" i="10"/>
  <c r="P305" i="10"/>
  <c r="P283" i="10"/>
  <c r="P284" i="10"/>
  <c r="P316" i="10"/>
  <c r="P296" i="10"/>
  <c r="P314" i="10"/>
  <c r="P302" i="10"/>
  <c r="P313" i="10"/>
  <c r="P285" i="10"/>
  <c r="P320" i="10"/>
  <c r="P292" i="10"/>
  <c r="P298" i="10"/>
  <c r="P306" i="10"/>
  <c r="P309" i="10"/>
  <c r="P300" i="10"/>
  <c r="P319" i="10"/>
  <c r="P289" i="10"/>
  <c r="P311" i="10"/>
  <c r="P304" i="10"/>
  <c r="P321" i="10"/>
  <c r="P312" i="10"/>
  <c r="P295" i="10"/>
  <c r="P293" i="10"/>
  <c r="K278" i="10"/>
  <c r="P278" i="10" s="1"/>
  <c r="M280" i="10"/>
  <c r="P280" i="10" s="1"/>
  <c r="L279" i="10"/>
  <c r="P279" i="10" s="1"/>
  <c r="N281" i="10"/>
  <c r="P281" i="10" s="1"/>
  <c r="I276" i="10"/>
  <c r="P276" i="10" s="1"/>
  <c r="J277" i="10"/>
  <c r="P277" i="10" s="1"/>
  <c r="G274" i="10"/>
  <c r="P274" i="10" s="1"/>
  <c r="O282" i="10"/>
  <c r="P282" i="10" s="1"/>
  <c r="H275" i="10"/>
  <c r="P275" i="10" s="1"/>
  <c r="P317" i="10"/>
  <c r="P299" i="10"/>
  <c r="AC90" i="4"/>
  <c r="AB26" i="13"/>
  <c r="Z29" i="10" s="1"/>
  <c r="AC26" i="13" l="1"/>
  <c r="AA29" i="10" s="1"/>
  <c r="AD90" i="4"/>
  <c r="AE90" i="4" l="1"/>
  <c r="AD26" i="13"/>
  <c r="AB29" i="10" s="1"/>
  <c r="AE26" i="13" l="1"/>
  <c r="AC29" i="10" s="1"/>
  <c r="AF90" i="4"/>
  <c r="AF26" i="13" l="1"/>
  <c r="AD29" i="10" s="1"/>
  <c r="AG90" i="4"/>
  <c r="AG26" i="13" l="1"/>
  <c r="AE29" i="10" s="1"/>
  <c r="AH90" i="4"/>
  <c r="AH26" i="13" l="1"/>
  <c r="AF29" i="10" s="1"/>
  <c r="AI90" i="4"/>
  <c r="AJ90" i="4" l="1"/>
  <c r="AI26" i="13"/>
  <c r="AG29" i="10" s="1"/>
  <c r="AJ26" i="13" l="1"/>
  <c r="AH29" i="10" s="1"/>
  <c r="AK90" i="4"/>
  <c r="AK26" i="13" l="1"/>
  <c r="AI29" i="10" s="1"/>
  <c r="AL90" i="4"/>
  <c r="AM90" i="4" l="1"/>
  <c r="AL26" i="13"/>
  <c r="AJ29" i="10" s="1"/>
  <c r="AN90" i="4" l="1"/>
  <c r="AM26" i="13"/>
  <c r="AK29" i="10" s="1"/>
  <c r="AN26" i="13" l="1"/>
  <c r="AL29" i="10" s="1"/>
  <c r="AO90" i="4"/>
  <c r="AP90" i="4" l="1"/>
  <c r="AO26" i="13"/>
  <c r="AM29" i="10" s="1"/>
  <c r="AQ90" i="4" l="1"/>
  <c r="AP26" i="13"/>
  <c r="AN29" i="10" s="1"/>
  <c r="AQ26" i="13" l="1"/>
  <c r="AO29" i="10" s="1"/>
  <c r="AR90" i="4"/>
  <c r="AR26" i="13" l="1"/>
  <c r="AP29" i="10" s="1"/>
  <c r="AS90" i="4"/>
  <c r="AS26" i="13" l="1"/>
  <c r="AQ29" i="10" s="1"/>
  <c r="D70" i="10" s="1" a="1"/>
  <c r="AT90" i="4"/>
  <c r="O96" i="10" l="1"/>
  <c r="M98" i="10"/>
  <c r="K110" i="10"/>
  <c r="L99" i="10"/>
  <c r="H103" i="10"/>
  <c r="J116" i="10"/>
  <c r="I92" i="10"/>
  <c r="M114" i="10"/>
  <c r="G98" i="10"/>
  <c r="L83" i="10"/>
  <c r="J106" i="10"/>
  <c r="I86" i="10"/>
  <c r="M95" i="10"/>
  <c r="G115" i="10"/>
  <c r="O108" i="10"/>
  <c r="K89" i="10"/>
  <c r="I114" i="10"/>
  <c r="H96" i="10"/>
  <c r="N104" i="10"/>
  <c r="G97" i="10"/>
  <c r="M109" i="10"/>
  <c r="I107" i="10"/>
  <c r="M92" i="10"/>
  <c r="G95" i="10"/>
  <c r="O94" i="10"/>
  <c r="J101" i="10"/>
  <c r="M82" i="10"/>
  <c r="L104" i="10"/>
  <c r="I109" i="10"/>
  <c r="N103" i="10"/>
  <c r="L102" i="10"/>
  <c r="I89" i="10"/>
  <c r="N110" i="10"/>
  <c r="K97" i="10"/>
  <c r="I110" i="10"/>
  <c r="N113" i="10"/>
  <c r="L88" i="10"/>
  <c r="I106" i="10"/>
  <c r="N92" i="10"/>
  <c r="L84" i="10"/>
  <c r="I117" i="10"/>
  <c r="N78" i="10"/>
  <c r="K87" i="10"/>
  <c r="H116" i="10"/>
  <c r="O112" i="10"/>
  <c r="J102" i="10"/>
  <c r="N94" i="10"/>
  <c r="L86" i="10"/>
  <c r="G114" i="10"/>
  <c r="L77" i="10"/>
  <c r="H85" i="10"/>
  <c r="K104" i="10"/>
  <c r="H100" i="10"/>
  <c r="L79" i="10"/>
  <c r="M115" i="10"/>
  <c r="J100" i="10"/>
  <c r="G106" i="10"/>
  <c r="I75" i="10"/>
  <c r="H86" i="10"/>
  <c r="H97" i="10"/>
  <c r="H78" i="10"/>
  <c r="H111" i="10"/>
  <c r="H84" i="10"/>
  <c r="N105" i="10"/>
  <c r="K99" i="10"/>
  <c r="K76" i="10"/>
  <c r="N91" i="10"/>
  <c r="H81" i="10"/>
  <c r="J79" i="10"/>
  <c r="L97" i="10"/>
  <c r="G73" i="10"/>
  <c r="K91" i="10"/>
  <c r="G105" i="10"/>
  <c r="H73" i="10"/>
  <c r="G74" i="10"/>
  <c r="I94" i="10"/>
  <c r="O111" i="10"/>
  <c r="L89" i="10"/>
  <c r="H106" i="10"/>
  <c r="I111" i="10"/>
  <c r="K88" i="10"/>
  <c r="K112" i="10"/>
  <c r="H92" i="10"/>
  <c r="N88" i="10"/>
  <c r="K100" i="10"/>
  <c r="L85" i="10"/>
  <c r="N97" i="10"/>
  <c r="J94" i="10"/>
  <c r="H101" i="10"/>
  <c r="M78" i="10"/>
  <c r="G80" i="10"/>
  <c r="K109" i="10"/>
  <c r="J87" i="10"/>
  <c r="I79" i="10"/>
  <c r="M103" i="10"/>
  <c r="G102" i="10"/>
  <c r="L107" i="10"/>
  <c r="J99" i="10"/>
  <c r="I100" i="10"/>
  <c r="H80" i="10"/>
  <c r="N82" i="10"/>
  <c r="O114" i="10"/>
  <c r="J108" i="10"/>
  <c r="I83" i="10"/>
  <c r="M83" i="10"/>
  <c r="G90" i="10"/>
  <c r="O98" i="10"/>
  <c r="I76" i="10"/>
  <c r="N83" i="10"/>
  <c r="L91" i="10"/>
  <c r="I93" i="10"/>
  <c r="N96" i="10"/>
  <c r="K101" i="10"/>
  <c r="I74" i="10"/>
  <c r="G107" i="10"/>
  <c r="K106" i="10"/>
  <c r="I97" i="10"/>
  <c r="N99" i="10"/>
  <c r="L93" i="10"/>
  <c r="I73" i="10"/>
  <c r="N100" i="10"/>
  <c r="L92" i="10"/>
  <c r="I87" i="10"/>
  <c r="G91" i="10"/>
  <c r="L76" i="10"/>
  <c r="M100" i="10"/>
  <c r="O88" i="10"/>
  <c r="I77" i="10"/>
  <c r="N111" i="10"/>
  <c r="K117" i="10"/>
  <c r="G109" i="10"/>
  <c r="M102" i="10"/>
  <c r="L115" i="10"/>
  <c r="G112" i="10"/>
  <c r="K84" i="10"/>
  <c r="H83" i="10"/>
  <c r="J82" i="10"/>
  <c r="O95" i="10"/>
  <c r="M99" i="10"/>
  <c r="J105" i="10"/>
  <c r="G111" i="10"/>
  <c r="I103" i="10"/>
  <c r="L80" i="10"/>
  <c r="K80" i="10"/>
  <c r="L98" i="10"/>
  <c r="L109" i="10"/>
  <c r="K95" i="10"/>
  <c r="K115" i="10"/>
  <c r="J104" i="10"/>
  <c r="G71" i="10"/>
  <c r="H104" i="10"/>
  <c r="I90" i="10"/>
  <c r="K92" i="10"/>
  <c r="N114" i="10"/>
  <c r="I78" i="10"/>
  <c r="J115" i="10"/>
  <c r="L94" i="10"/>
  <c r="H108" i="10"/>
  <c r="O104" i="10"/>
  <c r="L112" i="10"/>
  <c r="M104" i="10"/>
  <c r="K83" i="10"/>
  <c r="K86" i="10"/>
  <c r="D70" i="10"/>
  <c r="G70" i="10" s="1"/>
  <c r="P70" i="10" s="1"/>
  <c r="O89" i="10"/>
  <c r="H107" i="10"/>
  <c r="L101" i="10"/>
  <c r="H87" i="10"/>
  <c r="N84" i="10"/>
  <c r="K90" i="10"/>
  <c r="L81" i="10"/>
  <c r="H93" i="10"/>
  <c r="J93" i="10"/>
  <c r="H110" i="10"/>
  <c r="M110" i="10"/>
  <c r="G84" i="10"/>
  <c r="K96" i="10"/>
  <c r="J83" i="10"/>
  <c r="H91" i="10"/>
  <c r="M89" i="10"/>
  <c r="G78" i="10"/>
  <c r="L106" i="10"/>
  <c r="J117" i="10"/>
  <c r="I108" i="10"/>
  <c r="M108" i="10"/>
  <c r="N98" i="10"/>
  <c r="O81" i="10"/>
  <c r="J84" i="10"/>
  <c r="I95" i="10"/>
  <c r="M86" i="10"/>
  <c r="G76" i="10"/>
  <c r="O106" i="10"/>
  <c r="I104" i="10"/>
  <c r="N90" i="10"/>
  <c r="K113" i="10"/>
  <c r="I82" i="10"/>
  <c r="N106" i="10"/>
  <c r="K116" i="10"/>
  <c r="H82" i="10"/>
  <c r="G110" i="10"/>
  <c r="L82" i="10"/>
  <c r="I116" i="10"/>
  <c r="G103" i="10"/>
  <c r="K93" i="10"/>
  <c r="I105" i="10"/>
  <c r="G99" i="10"/>
  <c r="K108" i="10"/>
  <c r="H76" i="10"/>
  <c r="J80" i="10"/>
  <c r="I115" i="10"/>
  <c r="H72" i="10"/>
  <c r="M88" i="10"/>
  <c r="N79" i="10"/>
  <c r="J86" i="10"/>
  <c r="G89" i="10"/>
  <c r="I80" i="10"/>
  <c r="O97" i="10"/>
  <c r="M90" i="10"/>
  <c r="G101" i="10"/>
  <c r="G86" i="10"/>
  <c r="G93" i="10"/>
  <c r="G100" i="10"/>
  <c r="G77" i="10"/>
  <c r="G96" i="10"/>
  <c r="I101" i="10"/>
  <c r="L110" i="10"/>
  <c r="H102" i="10"/>
  <c r="N95" i="10"/>
  <c r="G108" i="10"/>
  <c r="M93" i="10"/>
  <c r="H75" i="10"/>
  <c r="H112" i="10"/>
  <c r="G88" i="10"/>
  <c r="G83" i="10"/>
  <c r="K114" i="10"/>
  <c r="N112" i="10"/>
  <c r="N108" i="10"/>
  <c r="N89" i="10"/>
  <c r="N86" i="10"/>
  <c r="I113" i="10"/>
  <c r="L90" i="10"/>
  <c r="K82" i="10"/>
  <c r="K75" i="10"/>
  <c r="K85" i="10"/>
  <c r="I85" i="10"/>
  <c r="G116" i="10"/>
  <c r="K111" i="10"/>
  <c r="L108" i="10"/>
  <c r="K77" i="10"/>
  <c r="H114" i="10"/>
  <c r="N107" i="10"/>
  <c r="J97" i="10"/>
  <c r="I91" i="10"/>
  <c r="M106" i="10"/>
  <c r="G82" i="10"/>
  <c r="L116" i="10"/>
  <c r="J109" i="10"/>
  <c r="I84" i="10"/>
  <c r="M112" i="10"/>
  <c r="N81" i="10"/>
  <c r="O85" i="10"/>
  <c r="K103" i="10"/>
  <c r="G87" i="10"/>
  <c r="H77" i="10"/>
  <c r="N116" i="10"/>
  <c r="G104" i="10"/>
  <c r="L78" i="10"/>
  <c r="I99" i="10"/>
  <c r="H94" i="10"/>
  <c r="N85" i="10"/>
  <c r="O110" i="10"/>
  <c r="J113" i="10"/>
  <c r="M117" i="10"/>
  <c r="O109" i="10"/>
  <c r="J75" i="10"/>
  <c r="M107" i="10"/>
  <c r="L87" i="10"/>
  <c r="J91" i="10"/>
  <c r="N93" i="10"/>
  <c r="L103" i="10"/>
  <c r="J90" i="10"/>
  <c r="M101" i="10"/>
  <c r="O83" i="10"/>
  <c r="J112" i="10"/>
  <c r="G79" i="10"/>
  <c r="M97" i="10"/>
  <c r="I102" i="10"/>
  <c r="N115" i="10"/>
  <c r="K98" i="10"/>
  <c r="H109" i="10"/>
  <c r="O115" i="10"/>
  <c r="J95" i="10"/>
  <c r="M91" i="10"/>
  <c r="L105" i="10"/>
  <c r="K107" i="10"/>
  <c r="K79" i="10"/>
  <c r="H79" i="10"/>
  <c r="O86" i="10"/>
  <c r="K105" i="10"/>
  <c r="G92" i="10"/>
  <c r="N87" i="10"/>
  <c r="G117" i="10"/>
  <c r="L100" i="10"/>
  <c r="K102" i="10"/>
  <c r="H113" i="10"/>
  <c r="O92" i="10"/>
  <c r="H99" i="10"/>
  <c r="N80" i="10"/>
  <c r="K81" i="10"/>
  <c r="O91" i="10"/>
  <c r="M81" i="10"/>
  <c r="G113" i="10"/>
  <c r="J74" i="10"/>
  <c r="J77" i="10"/>
  <c r="L113" i="10"/>
  <c r="H74" i="10"/>
  <c r="O84" i="10"/>
  <c r="J96" i="10"/>
  <c r="M113" i="10"/>
  <c r="K78" i="10"/>
  <c r="J103" i="10"/>
  <c r="J89" i="10"/>
  <c r="H98" i="10"/>
  <c r="J107" i="10"/>
  <c r="H105" i="10"/>
  <c r="I81" i="10"/>
  <c r="H117" i="10"/>
  <c r="M77" i="10"/>
  <c r="N117" i="10"/>
  <c r="N102" i="10"/>
  <c r="H115" i="10"/>
  <c r="O101" i="10"/>
  <c r="N109" i="10"/>
  <c r="O90" i="10"/>
  <c r="O105" i="10"/>
  <c r="O82" i="10"/>
  <c r="M94" i="10"/>
  <c r="O117" i="10"/>
  <c r="O79" i="10"/>
  <c r="J78" i="10"/>
  <c r="I98" i="10"/>
  <c r="J85" i="10"/>
  <c r="M105" i="10"/>
  <c r="L96" i="10"/>
  <c r="M111" i="10"/>
  <c r="O99" i="10"/>
  <c r="O87" i="10"/>
  <c r="M80" i="10"/>
  <c r="H95" i="10"/>
  <c r="J114" i="10"/>
  <c r="M96" i="10"/>
  <c r="G75" i="10"/>
  <c r="J98" i="10"/>
  <c r="I96" i="10"/>
  <c r="G85" i="10"/>
  <c r="J76" i="10"/>
  <c r="O80" i="10"/>
  <c r="O103" i="10"/>
  <c r="J88" i="10"/>
  <c r="G94" i="10"/>
  <c r="L111" i="10"/>
  <c r="H90" i="10"/>
  <c r="H89" i="10"/>
  <c r="M79" i="10"/>
  <c r="M85" i="10"/>
  <c r="O100" i="10"/>
  <c r="L117" i="10"/>
  <c r="H88" i="10"/>
  <c r="O107" i="10"/>
  <c r="O113" i="10"/>
  <c r="J110" i="10"/>
  <c r="N101" i="10"/>
  <c r="M87" i="10"/>
  <c r="I112" i="10"/>
  <c r="L95" i="10"/>
  <c r="J81" i="10"/>
  <c r="G72" i="10"/>
  <c r="M116" i="10"/>
  <c r="K94" i="10"/>
  <c r="L114" i="10"/>
  <c r="O102" i="10"/>
  <c r="J111" i="10"/>
  <c r="M84" i="10"/>
  <c r="O116" i="10"/>
  <c r="J92" i="10"/>
  <c r="G81" i="10"/>
  <c r="I88" i="10"/>
  <c r="O93" i="10"/>
  <c r="P92" i="10" l="1"/>
  <c r="P111" i="10"/>
  <c r="P93" i="10"/>
  <c r="P79" i="10"/>
  <c r="P86" i="10"/>
  <c r="P108" i="10"/>
  <c r="J73" i="10"/>
  <c r="P73" i="10" s="1"/>
  <c r="H71" i="10"/>
  <c r="P71" i="10" s="1"/>
  <c r="O78" i="10"/>
  <c r="P78" i="10" s="1"/>
  <c r="K74" i="10"/>
  <c r="P74" i="10" s="1"/>
  <c r="L75" i="10"/>
  <c r="P75" i="10" s="1"/>
  <c r="I72" i="10"/>
  <c r="P72" i="10" s="1"/>
  <c r="N77" i="10"/>
  <c r="P77" i="10" s="1"/>
  <c r="M76" i="10"/>
  <c r="P76" i="10" s="1"/>
  <c r="P91" i="10"/>
  <c r="P97" i="10"/>
  <c r="P85" i="10"/>
  <c r="P101" i="10"/>
  <c r="P103" i="10"/>
  <c r="P109" i="10"/>
  <c r="P107" i="10"/>
  <c r="P80" i="10"/>
  <c r="P81" i="10"/>
  <c r="P104" i="10"/>
  <c r="P83" i="10"/>
  <c r="P90" i="10"/>
  <c r="P88" i="10"/>
  <c r="P105" i="10"/>
  <c r="P106" i="10"/>
  <c r="P114" i="10"/>
  <c r="P98" i="10"/>
  <c r="P94" i="10"/>
  <c r="P113" i="10"/>
  <c r="P96" i="10"/>
  <c r="P110" i="10"/>
  <c r="P84" i="10"/>
  <c r="P102" i="10"/>
  <c r="P95" i="10"/>
  <c r="P87" i="10"/>
  <c r="P82" i="10"/>
  <c r="P89" i="10"/>
  <c r="P117" i="10"/>
  <c r="P116" i="10"/>
  <c r="P100" i="10"/>
  <c r="P99" i="10"/>
  <c r="P112" i="10"/>
  <c r="P115" i="10"/>
  <c r="D37" i="10" l="1" a="1"/>
  <c r="D37" i="10" s="1"/>
  <c r="AJ42" i="10" l="1"/>
  <c r="AJ47" i="10" s="1"/>
  <c r="AB42" i="10"/>
  <c r="AB47" i="10" s="1"/>
  <c r="T42" i="10"/>
  <c r="T47" i="10" s="1"/>
  <c r="L42" i="10"/>
  <c r="L47" i="10" s="1"/>
  <c r="AP42" i="10"/>
  <c r="AP47" i="10" s="1"/>
  <c r="AH42" i="10"/>
  <c r="AH47" i="10" s="1"/>
  <c r="Z42" i="10"/>
  <c r="Z47" i="10" s="1"/>
  <c r="R42" i="10"/>
  <c r="R47" i="10" s="1"/>
  <c r="J42" i="10"/>
  <c r="J47" i="10" s="1"/>
  <c r="AO42" i="10"/>
  <c r="AO47" i="10" s="1"/>
  <c r="AG42" i="10"/>
  <c r="AG47" i="10" s="1"/>
  <c r="Q42" i="10"/>
  <c r="Q47" i="10" s="1"/>
  <c r="I42" i="10"/>
  <c r="I47" i="10" s="1"/>
  <c r="AQ42" i="10"/>
  <c r="AQ47" i="10" s="1"/>
  <c r="AI42" i="10"/>
  <c r="AI47" i="10" s="1"/>
  <c r="AA42" i="10"/>
  <c r="AA47" i="10" s="1"/>
  <c r="S42" i="10"/>
  <c r="S47" i="10" s="1"/>
  <c r="K42" i="10"/>
  <c r="K47" i="10" s="1"/>
  <c r="Y42" i="10"/>
  <c r="Y47" i="10" s="1"/>
  <c r="AN42" i="10"/>
  <c r="AN47" i="10" s="1"/>
  <c r="AF42" i="10"/>
  <c r="AF47" i="10" s="1"/>
  <c r="X42" i="10"/>
  <c r="X47" i="10" s="1"/>
  <c r="P42" i="10"/>
  <c r="P47" i="10" s="1"/>
  <c r="H42" i="10"/>
  <c r="H47" i="10" s="1"/>
  <c r="AE42" i="10"/>
  <c r="AE47" i="10" s="1"/>
  <c r="W42" i="10"/>
  <c r="W47" i="10" s="1"/>
  <c r="G42" i="10"/>
  <c r="G47" i="10" s="1"/>
  <c r="AL42" i="10"/>
  <c r="AL47" i="10" s="1"/>
  <c r="V42" i="10"/>
  <c r="V47" i="10" s="1"/>
  <c r="N42" i="10"/>
  <c r="N47" i="10" s="1"/>
  <c r="F42" i="10"/>
  <c r="F47" i="10" s="1"/>
  <c r="AC42" i="10"/>
  <c r="AC47" i="10" s="1"/>
  <c r="U42" i="10"/>
  <c r="U47" i="10" s="1"/>
  <c r="E42" i="10"/>
  <c r="E47" i="10" s="1"/>
  <c r="AM42" i="10"/>
  <c r="AM47" i="10" s="1"/>
  <c r="O42" i="10"/>
  <c r="O47" i="10" s="1"/>
  <c r="AD42" i="10"/>
  <c r="AD47" i="10" s="1"/>
  <c r="AK42" i="10"/>
  <c r="AK47" i="10" s="1"/>
  <c r="M42" i="10"/>
  <c r="M47" i="10" s="1"/>
  <c r="D48" i="12"/>
  <c r="D44" i="12"/>
  <c r="D51" i="12"/>
  <c r="D45" i="12"/>
  <c r="D47" i="12"/>
  <c r="D46" i="12"/>
  <c r="D49" i="12"/>
  <c r="D50" i="12"/>
  <c r="D42" i="10" l="1"/>
  <c r="D47" i="10" s="1"/>
  <c r="AI50" i="12"/>
  <c r="F50" i="12"/>
  <c r="AK50" i="12" s="1"/>
  <c r="G50" i="12"/>
  <c r="AL50" i="12" s="1"/>
  <c r="G45" i="12"/>
  <c r="AL45" i="12" s="1"/>
  <c r="F45" i="12"/>
  <c r="AK45" i="12" s="1"/>
  <c r="AI45" i="12"/>
  <c r="F49" i="12"/>
  <c r="AK49" i="12" s="1"/>
  <c r="AI49" i="12"/>
  <c r="G49" i="12"/>
  <c r="AL49" i="12" s="1"/>
  <c r="F47" i="12"/>
  <c r="AK47" i="12" s="1"/>
  <c r="AI47" i="12"/>
  <c r="G47" i="12"/>
  <c r="AL47" i="12" s="1"/>
  <c r="G44" i="12"/>
  <c r="AL44" i="12" s="1"/>
  <c r="AI44" i="12"/>
  <c r="F44" i="12"/>
  <c r="AK44" i="12" s="1"/>
  <c r="G46" i="12"/>
  <c r="AL46" i="12" s="1"/>
  <c r="F46" i="12"/>
  <c r="AK46" i="12" s="1"/>
  <c r="AI46" i="12"/>
  <c r="F51" i="12"/>
  <c r="AK51" i="12" s="1"/>
  <c r="G51" i="12"/>
  <c r="AL51" i="12" s="1"/>
  <c r="AI51" i="12"/>
  <c r="AI48" i="12"/>
  <c r="F48" i="12"/>
  <c r="AK48" i="12" s="1"/>
  <c r="G48" i="12"/>
  <c r="AL48" i="12" s="1"/>
  <c r="D4" i="12" l="1" a="1"/>
  <c r="AI41" i="12" s="1"/>
  <c r="H46" i="12"/>
  <c r="K47" i="12" s="1"/>
  <c r="H45" i="12"/>
  <c r="AN45" i="12" s="1"/>
  <c r="AM46" i="12"/>
  <c r="H48" i="12"/>
  <c r="AN48" i="12" s="1"/>
  <c r="H47" i="12"/>
  <c r="K48" i="12" s="1"/>
  <c r="AM45" i="12"/>
  <c r="H51" i="12"/>
  <c r="AN51" i="12" s="1"/>
  <c r="H44" i="12"/>
  <c r="AN44" i="12" s="1"/>
  <c r="H49" i="12"/>
  <c r="K50" i="12" s="1"/>
  <c r="AM44" i="12"/>
  <c r="H50" i="12"/>
  <c r="AN50" i="12" s="1"/>
  <c r="AM48" i="12"/>
  <c r="AM47" i="12"/>
  <c r="AM50" i="12"/>
  <c r="AM51" i="12"/>
  <c r="AM49" i="12"/>
  <c r="G18" i="12" l="1"/>
  <c r="AL18" i="12" s="1"/>
  <c r="AI26" i="12"/>
  <c r="AI42" i="12"/>
  <c r="F18" i="12"/>
  <c r="AK18" i="12" s="1"/>
  <c r="AI24" i="12"/>
  <c r="F28" i="12"/>
  <c r="AB49" i="10" s="1"/>
  <c r="F13" i="12"/>
  <c r="AK13" i="12" s="1"/>
  <c r="G40" i="12"/>
  <c r="AL40" i="12" s="1"/>
  <c r="G38" i="12"/>
  <c r="AL50" i="10" s="1"/>
  <c r="F42" i="12"/>
  <c r="AP49" i="10" s="1"/>
  <c r="G9" i="12"/>
  <c r="AL9" i="12" s="1"/>
  <c r="G16" i="12"/>
  <c r="P50" i="10" s="1"/>
  <c r="G10" i="12"/>
  <c r="AL10" i="12" s="1"/>
  <c r="F9" i="12"/>
  <c r="I49" i="10" s="1"/>
  <c r="G37" i="12"/>
  <c r="AL37" i="12" s="1"/>
  <c r="AI8" i="12"/>
  <c r="AI31" i="12"/>
  <c r="F22" i="12"/>
  <c r="V49" i="10" s="1"/>
  <c r="AI10" i="12"/>
  <c r="AI43" i="12"/>
  <c r="F32" i="12"/>
  <c r="AF49" i="10" s="1"/>
  <c r="G8" i="12"/>
  <c r="H50" i="10" s="1"/>
  <c r="AI7" i="12"/>
  <c r="G23" i="12"/>
  <c r="AL23" i="12" s="1"/>
  <c r="AI20" i="12"/>
  <c r="G20" i="12"/>
  <c r="AL20" i="12" s="1"/>
  <c r="F34" i="12"/>
  <c r="AK34" i="12" s="1"/>
  <c r="F8" i="12"/>
  <c r="F12" i="12"/>
  <c r="AK12" i="12" s="1"/>
  <c r="F6" i="12"/>
  <c r="AK6" i="12" s="1"/>
  <c r="G41" i="12"/>
  <c r="AO50" i="10" s="1"/>
  <c r="F40" i="12"/>
  <c r="AK40" i="12" s="1"/>
  <c r="F31" i="12"/>
  <c r="AK31" i="12" s="1"/>
  <c r="G21" i="12"/>
  <c r="AL21" i="12" s="1"/>
  <c r="F24" i="12"/>
  <c r="AK24" i="12" s="1"/>
  <c r="AI36" i="12"/>
  <c r="AI6" i="12"/>
  <c r="F38" i="12"/>
  <c r="G35" i="12"/>
  <c r="AI50" i="10" s="1"/>
  <c r="G26" i="12"/>
  <c r="AL26" i="12" s="1"/>
  <c r="F41" i="12"/>
  <c r="AK41" i="12" s="1"/>
  <c r="G6" i="12"/>
  <c r="AL6" i="12" s="1"/>
  <c r="G7" i="12"/>
  <c r="AL7" i="12" s="1"/>
  <c r="G12" i="12"/>
  <c r="AL12" i="12" s="1"/>
  <c r="F5" i="12"/>
  <c r="AK5" i="12" s="1"/>
  <c r="AI18" i="12"/>
  <c r="G29" i="12"/>
  <c r="AL29" i="12" s="1"/>
  <c r="G30" i="12"/>
  <c r="AD50" i="10" s="1"/>
  <c r="AI19" i="12"/>
  <c r="G42" i="12"/>
  <c r="H42" i="12" s="1"/>
  <c r="K42" i="12" s="1"/>
  <c r="F10" i="12"/>
  <c r="AK10" i="12" s="1"/>
  <c r="AI14" i="12"/>
  <c r="AI9" i="12"/>
  <c r="AI12" i="12"/>
  <c r="F39" i="12"/>
  <c r="AK39" i="12" s="1"/>
  <c r="AI33" i="12"/>
  <c r="G14" i="12"/>
  <c r="AL14" i="12" s="1"/>
  <c r="F36" i="12"/>
  <c r="AK36" i="12" s="1"/>
  <c r="F43" i="12"/>
  <c r="AQ49" i="10" s="1"/>
  <c r="AI35" i="12"/>
  <c r="F27" i="12"/>
  <c r="AK27" i="12" s="1"/>
  <c r="AI5" i="12"/>
  <c r="F11" i="12"/>
  <c r="AK11" i="12" s="1"/>
  <c r="G15" i="12"/>
  <c r="O50" i="10" s="1"/>
  <c r="F17" i="12"/>
  <c r="AK17" i="12" s="1"/>
  <c r="G22" i="12"/>
  <c r="V50" i="10" s="1"/>
  <c r="G34" i="12"/>
  <c r="H34" i="12" s="1"/>
  <c r="K34" i="12" s="1"/>
  <c r="AI28" i="12"/>
  <c r="G28" i="12"/>
  <c r="AL28" i="12" s="1"/>
  <c r="F29" i="12"/>
  <c r="AC49" i="10" s="1"/>
  <c r="AI37" i="12"/>
  <c r="AI39" i="12"/>
  <c r="G19" i="12"/>
  <c r="S50" i="10" s="1"/>
  <c r="F19" i="12"/>
  <c r="AI27" i="12"/>
  <c r="F20" i="12"/>
  <c r="T49" i="10" s="1"/>
  <c r="AI16" i="12"/>
  <c r="G33" i="12"/>
  <c r="AL33" i="12" s="1"/>
  <c r="F26" i="12"/>
  <c r="AI13" i="12"/>
  <c r="AI25" i="12"/>
  <c r="D4" i="12"/>
  <c r="G4" i="12" s="1"/>
  <c r="D50" i="10" s="1"/>
  <c r="AI34" i="12"/>
  <c r="F30" i="12"/>
  <c r="G13" i="12"/>
  <c r="AL13" i="12" s="1"/>
  <c r="F35" i="12"/>
  <c r="AK35" i="12" s="1"/>
  <c r="G5" i="12"/>
  <c r="AL5" i="12" s="1"/>
  <c r="G31" i="12"/>
  <c r="AE50" i="10" s="1"/>
  <c r="G24" i="12"/>
  <c r="AL24" i="12" s="1"/>
  <c r="F25" i="12"/>
  <c r="Y49" i="10" s="1"/>
  <c r="AI22" i="12"/>
  <c r="AI15" i="12"/>
  <c r="AI32" i="12"/>
  <c r="G27" i="12"/>
  <c r="AL27" i="12" s="1"/>
  <c r="G43" i="12"/>
  <c r="AL43" i="12" s="1"/>
  <c r="AI38" i="12"/>
  <c r="G17" i="12"/>
  <c r="AL17" i="12" s="1"/>
  <c r="F33" i="12"/>
  <c r="AG49" i="10" s="1"/>
  <c r="F37" i="12"/>
  <c r="AK49" i="10" s="1"/>
  <c r="AI40" i="12"/>
  <c r="F21" i="12"/>
  <c r="AK21" i="12" s="1"/>
  <c r="G32" i="12"/>
  <c r="AL32" i="12" s="1"/>
  <c r="F7" i="12"/>
  <c r="AK7" i="12" s="1"/>
  <c r="G11" i="12"/>
  <c r="AL11" i="12" s="1"/>
  <c r="AI30" i="12"/>
  <c r="G25" i="12"/>
  <c r="Y50" i="10" s="1"/>
  <c r="G39" i="12"/>
  <c r="AI21" i="12"/>
  <c r="AI23" i="12"/>
  <c r="F16" i="12"/>
  <c r="F15" i="12"/>
  <c r="O49" i="10" s="1"/>
  <c r="AI17" i="12"/>
  <c r="G36" i="12"/>
  <c r="AL36" i="12" s="1"/>
  <c r="AI11" i="12"/>
  <c r="AI29" i="12"/>
  <c r="F23" i="12"/>
  <c r="AK23" i="12" s="1"/>
  <c r="F14" i="12"/>
  <c r="AK14" i="12" s="1"/>
  <c r="K46" i="12"/>
  <c r="L47" i="12" s="1"/>
  <c r="M47" i="12" s="1"/>
  <c r="AN47" i="12"/>
  <c r="AN46" i="12"/>
  <c r="K49" i="12"/>
  <c r="L49" i="12" s="1"/>
  <c r="M49" i="12" s="1"/>
  <c r="K51" i="12"/>
  <c r="L51" i="12" s="1"/>
  <c r="M51" i="12" s="1"/>
  <c r="AN49" i="12"/>
  <c r="K45" i="12"/>
  <c r="L48" i="12"/>
  <c r="M48" i="12" s="1"/>
  <c r="H39" i="12" l="1"/>
  <c r="K39" i="12" s="1"/>
  <c r="H6" i="12"/>
  <c r="K6" i="12" s="1"/>
  <c r="H30" i="12"/>
  <c r="K30" i="12" s="1"/>
  <c r="H38" i="12"/>
  <c r="K38" i="12" s="1"/>
  <c r="AE49" i="10"/>
  <c r="AE51" i="10" s="1"/>
  <c r="AE53" i="10" s="1"/>
  <c r="J50" i="10"/>
  <c r="AL38" i="12"/>
  <c r="R50" i="10"/>
  <c r="N50" i="10"/>
  <c r="AK32" i="12"/>
  <c r="AM32" i="12" s="1"/>
  <c r="AO49" i="10"/>
  <c r="AO51" i="10" s="1"/>
  <c r="AO53" i="10" s="1"/>
  <c r="AL19" i="12"/>
  <c r="AK42" i="12"/>
  <c r="AK9" i="12"/>
  <c r="AM9" i="12" s="1"/>
  <c r="L49" i="10"/>
  <c r="M50" i="10"/>
  <c r="E49" i="10"/>
  <c r="AK28" i="12"/>
  <c r="AM28" i="12" s="1"/>
  <c r="F50" i="10"/>
  <c r="AL8" i="12"/>
  <c r="AP50" i="10"/>
  <c r="AP51" i="10" s="1"/>
  <c r="AP53" i="10" s="1"/>
  <c r="AN6" i="12"/>
  <c r="H8" i="12"/>
  <c r="K8" i="12" s="1"/>
  <c r="H14" i="12"/>
  <c r="K14" i="12" s="1"/>
  <c r="AK22" i="12"/>
  <c r="AL49" i="10"/>
  <c r="AL51" i="10" s="1"/>
  <c r="AL53" i="10" s="1"/>
  <c r="F49" i="10"/>
  <c r="H32" i="12"/>
  <c r="K32" i="12" s="1"/>
  <c r="AK25" i="12"/>
  <c r="U50" i="10"/>
  <c r="T50" i="10"/>
  <c r="T51" i="10" s="1"/>
  <c r="T53" i="10" s="1"/>
  <c r="AK38" i="12"/>
  <c r="AL22" i="12"/>
  <c r="AK29" i="12"/>
  <c r="AM29" i="12" s="1"/>
  <c r="AL42" i="12"/>
  <c r="R49" i="10"/>
  <c r="H18" i="12"/>
  <c r="K18" i="12" s="1"/>
  <c r="H41" i="12"/>
  <c r="K41" i="12" s="1"/>
  <c r="L42" i="12" s="1"/>
  <c r="M42" i="12" s="1"/>
  <c r="AH49" i="10"/>
  <c r="AL16" i="12"/>
  <c r="X49" i="10"/>
  <c r="AL35" i="12"/>
  <c r="AM35" i="12" s="1"/>
  <c r="H9" i="12"/>
  <c r="K9" i="12" s="1"/>
  <c r="AH50" i="10"/>
  <c r="AC50" i="10"/>
  <c r="AC51" i="10" s="1"/>
  <c r="AC53" i="10" s="1"/>
  <c r="G50" i="10"/>
  <c r="AL41" i="12"/>
  <c r="AM41" i="12" s="1"/>
  <c r="AK37" i="12"/>
  <c r="AM37" i="12" s="1"/>
  <c r="AN50" i="10"/>
  <c r="H37" i="12"/>
  <c r="K37" i="12" s="1"/>
  <c r="W50" i="10"/>
  <c r="M49" i="10"/>
  <c r="I50" i="10"/>
  <c r="I51" i="10" s="1"/>
  <c r="I53" i="10" s="1"/>
  <c r="AK50" i="10"/>
  <c r="AK51" i="10" s="1"/>
  <c r="AK53" i="10" s="1"/>
  <c r="J49" i="10"/>
  <c r="H7" i="12"/>
  <c r="K7" i="12" s="1"/>
  <c r="H16" i="12"/>
  <c r="K16" i="12" s="1"/>
  <c r="AK30" i="12"/>
  <c r="H49" i="10"/>
  <c r="H51" i="10" s="1"/>
  <c r="H53" i="10" s="1"/>
  <c r="AL30" i="12"/>
  <c r="N49" i="10"/>
  <c r="H24" i="12"/>
  <c r="K24" i="12" s="1"/>
  <c r="AL15" i="12"/>
  <c r="AK20" i="12"/>
  <c r="AM20" i="12" s="1"/>
  <c r="AK8" i="12"/>
  <c r="W49" i="10"/>
  <c r="AM5" i="12"/>
  <c r="H26" i="12"/>
  <c r="K26" i="12" s="1"/>
  <c r="AM10" i="12"/>
  <c r="H23" i="12"/>
  <c r="K23" i="12" s="1"/>
  <c r="H12" i="12"/>
  <c r="K12" i="12" s="1"/>
  <c r="O12" i="12" s="1"/>
  <c r="H40" i="12"/>
  <c r="K40" i="12" s="1"/>
  <c r="L40" i="12" s="1"/>
  <c r="M40" i="12" s="1"/>
  <c r="Z50" i="10"/>
  <c r="L50" i="10"/>
  <c r="AL31" i="12"/>
  <c r="AM31" i="12" s="1"/>
  <c r="AN49" i="10"/>
  <c r="AD49" i="10"/>
  <c r="AD51" i="10" s="1"/>
  <c r="AD53" i="10" s="1"/>
  <c r="H43" i="12"/>
  <c r="K43" i="12" s="1"/>
  <c r="AL34" i="12"/>
  <c r="AM34" i="12" s="1"/>
  <c r="AM49" i="10"/>
  <c r="H10" i="12"/>
  <c r="K10" i="12" s="1"/>
  <c r="H22" i="12"/>
  <c r="K22" i="12" s="1"/>
  <c r="AJ49" i="10"/>
  <c r="G49" i="10"/>
  <c r="Z49" i="10"/>
  <c r="AM50" i="10"/>
  <c r="K49" i="10"/>
  <c r="AK33" i="12"/>
  <c r="AM33" i="12" s="1"/>
  <c r="H5" i="12"/>
  <c r="K5" i="12" s="1"/>
  <c r="O5" i="12" s="1"/>
  <c r="AM21" i="12"/>
  <c r="AQ50" i="10"/>
  <c r="AQ51" i="10" s="1"/>
  <c r="D53" i="12"/>
  <c r="H36" i="12"/>
  <c r="K36" i="12" s="1"/>
  <c r="E50" i="10"/>
  <c r="AK43" i="12"/>
  <c r="AM43" i="12" s="1"/>
  <c r="AG50" i="10"/>
  <c r="AG51" i="10" s="1"/>
  <c r="AG53" i="10" s="1"/>
  <c r="AK26" i="12"/>
  <c r="AM26" i="12" s="1"/>
  <c r="AK16" i="12"/>
  <c r="AL39" i="12"/>
  <c r="AM39" i="12" s="1"/>
  <c r="H21" i="12"/>
  <c r="K21" i="12" s="1"/>
  <c r="H13" i="12"/>
  <c r="K13" i="12" s="1"/>
  <c r="X50" i="10"/>
  <c r="AB50" i="10"/>
  <c r="AB51" i="10" s="1"/>
  <c r="AB53" i="10" s="1"/>
  <c r="Q49" i="10"/>
  <c r="H28" i="12"/>
  <c r="K28" i="12" s="1"/>
  <c r="H20" i="12"/>
  <c r="AN20" i="12" s="1"/>
  <c r="H11" i="12"/>
  <c r="AN11" i="12" s="1"/>
  <c r="AM18" i="12"/>
  <c r="K50" i="10"/>
  <c r="AA49" i="10"/>
  <c r="AM6" i="12"/>
  <c r="H15" i="12"/>
  <c r="K15" i="12" s="1"/>
  <c r="H31" i="12"/>
  <c r="K31" i="12" s="1"/>
  <c r="H19" i="12"/>
  <c r="K19" i="12" s="1"/>
  <c r="H35" i="12"/>
  <c r="K35" i="12" s="1"/>
  <c r="L35" i="12" s="1"/>
  <c r="M35" i="12" s="1"/>
  <c r="S49" i="10"/>
  <c r="S51" i="10" s="1"/>
  <c r="S53" i="10" s="1"/>
  <c r="AF50" i="10"/>
  <c r="AF51" i="10" s="1"/>
  <c r="AF53" i="10" s="1"/>
  <c r="H17" i="12"/>
  <c r="K17" i="12" s="1"/>
  <c r="F4" i="12"/>
  <c r="D49" i="10" s="1"/>
  <c r="D51" i="10" s="1"/>
  <c r="H29" i="12"/>
  <c r="K29" i="12" s="1"/>
  <c r="H27" i="12"/>
  <c r="K27" i="12" s="1"/>
  <c r="AL25" i="12"/>
  <c r="U49" i="10"/>
  <c r="Q50" i="10"/>
  <c r="AA50" i="10"/>
  <c r="AI49" i="10"/>
  <c r="AI51" i="10" s="1"/>
  <c r="AI53" i="10" s="1"/>
  <c r="AK19" i="12"/>
  <c r="AI4" i="12"/>
  <c r="H25" i="12"/>
  <c r="K25" i="12" s="1"/>
  <c r="H33" i="12"/>
  <c r="K33" i="12" s="1"/>
  <c r="AJ50" i="10"/>
  <c r="P49" i="10"/>
  <c r="P51" i="10" s="1"/>
  <c r="P53" i="10" s="1"/>
  <c r="AM14" i="12"/>
  <c r="AM11" i="12"/>
  <c r="AM40" i="12"/>
  <c r="AM7" i="12"/>
  <c r="AK15" i="12"/>
  <c r="AM24" i="12"/>
  <c r="AM12" i="12"/>
  <c r="AM23" i="12"/>
  <c r="AM36" i="12"/>
  <c r="V51" i="10"/>
  <c r="V53" i="10" s="1"/>
  <c r="AM17" i="12"/>
  <c r="AM13" i="12"/>
  <c r="AM27" i="12"/>
  <c r="Y51" i="10"/>
  <c r="Y53" i="10" s="1"/>
  <c r="O51" i="10"/>
  <c r="O53" i="10" s="1"/>
  <c r="L46" i="12"/>
  <c r="M46" i="12" s="1"/>
  <c r="L50" i="12"/>
  <c r="M50" i="12" s="1"/>
  <c r="AN39" i="12"/>
  <c r="AN34" i="12"/>
  <c r="AN42" i="12"/>
  <c r="G53" i="12"/>
  <c r="AL4" i="12"/>
  <c r="AN30" i="12"/>
  <c r="L39" i="12" l="1"/>
  <c r="M39" i="12" s="1"/>
  <c r="R51" i="10"/>
  <c r="R53" i="10" s="1"/>
  <c r="T54" i="10" s="1"/>
  <c r="N51" i="10"/>
  <c r="N53" i="10" s="1"/>
  <c r="P54" i="10" s="1"/>
  <c r="L15" i="12"/>
  <c r="M15" i="12" s="1"/>
  <c r="M51" i="10"/>
  <c r="M53" i="10" s="1"/>
  <c r="AN38" i="12"/>
  <c r="L38" i="12"/>
  <c r="M38" i="12" s="1"/>
  <c r="F51" i="10"/>
  <c r="F53" i="10" s="1"/>
  <c r="J51" i="10"/>
  <c r="J53" i="10" s="1"/>
  <c r="K54" i="10" s="1"/>
  <c r="AM38" i="12"/>
  <c r="AM19" i="12"/>
  <c r="AM42" i="12"/>
  <c r="E51" i="10"/>
  <c r="E53" i="10" s="1"/>
  <c r="F54" i="10" s="1"/>
  <c r="L51" i="10"/>
  <c r="L53" i="10" s="1"/>
  <c r="AM8" i="12"/>
  <c r="AM22" i="12"/>
  <c r="AN32" i="12"/>
  <c r="AN14" i="12"/>
  <c r="AN8" i="12"/>
  <c r="AM25" i="12"/>
  <c r="AM16" i="12"/>
  <c r="U51" i="10"/>
  <c r="U53" i="10" s="1"/>
  <c r="V54" i="10" s="1"/>
  <c r="G51" i="10"/>
  <c r="G53" i="10" s="1"/>
  <c r="I54" i="10" s="1"/>
  <c r="AN27" i="12"/>
  <c r="AN51" i="10"/>
  <c r="AN53" i="10" s="1"/>
  <c r="AP54" i="10" s="1"/>
  <c r="AN16" i="12"/>
  <c r="AN41" i="12"/>
  <c r="X51" i="10"/>
  <c r="X53" i="10" s="1"/>
  <c r="Z54" i="10" s="1"/>
  <c r="AN25" i="12"/>
  <c r="AN18" i="12"/>
  <c r="AH51" i="10"/>
  <c r="AH53" i="10" s="1"/>
  <c r="AI54" i="10" s="1"/>
  <c r="AM51" i="10"/>
  <c r="AM53" i="10" s="1"/>
  <c r="AN23" i="12"/>
  <c r="K51" i="10"/>
  <c r="K53" i="10" s="1"/>
  <c r="AN43" i="12"/>
  <c r="AN37" i="12"/>
  <c r="AM15" i="12"/>
  <c r="AN28" i="12"/>
  <c r="AN12" i="12"/>
  <c r="AN24" i="12"/>
  <c r="AN9" i="12"/>
  <c r="AK4" i="12"/>
  <c r="AM4" i="12" s="1"/>
  <c r="AM30" i="12"/>
  <c r="H4" i="12"/>
  <c r="K4" i="12" s="1"/>
  <c r="L4" i="12" s="1"/>
  <c r="M4" i="12" s="1"/>
  <c r="L17" i="12"/>
  <c r="M17" i="12" s="1"/>
  <c r="W51" i="10"/>
  <c r="W53" i="10" s="1"/>
  <c r="AN7" i="12"/>
  <c r="L41" i="12"/>
  <c r="M41" i="12" s="1"/>
  <c r="AN31" i="12"/>
  <c r="AN26" i="12"/>
  <c r="AN40" i="12"/>
  <c r="L26" i="12"/>
  <c r="M26" i="12" s="1"/>
  <c r="K20" i="12"/>
  <c r="L21" i="12" s="1"/>
  <c r="M21" i="12" s="1"/>
  <c r="AJ51" i="10"/>
  <c r="AJ53" i="10" s="1"/>
  <c r="AL54" i="10" s="1"/>
  <c r="AH54" i="10"/>
  <c r="AQ54" i="10"/>
  <c r="AN21" i="12"/>
  <c r="AN10" i="12"/>
  <c r="AG54" i="10"/>
  <c r="L36" i="12"/>
  <c r="M36" i="12" s="1"/>
  <c r="Z51" i="10"/>
  <c r="Z53" i="10" s="1"/>
  <c r="AA54" i="10" s="1"/>
  <c r="AN22" i="12"/>
  <c r="AN15" i="12"/>
  <c r="AN36" i="12"/>
  <c r="AN17" i="12"/>
  <c r="Q51" i="10"/>
  <c r="Q53" i="10" s="1"/>
  <c r="R54" i="10" s="1"/>
  <c r="AA51" i="10"/>
  <c r="AA53" i="10" s="1"/>
  <c r="AN5" i="12"/>
  <c r="K44" i="12"/>
  <c r="L44" i="12" s="1"/>
  <c r="M44" i="12" s="1"/>
  <c r="AN35" i="12"/>
  <c r="AN13" i="12"/>
  <c r="AN19" i="12"/>
  <c r="K11" i="12"/>
  <c r="L12" i="12" s="1"/>
  <c r="M12" i="12" s="1"/>
  <c r="AN29" i="12"/>
  <c r="AN33" i="12"/>
  <c r="F53" i="12"/>
  <c r="AM54" i="10"/>
  <c r="J54" i="10"/>
  <c r="AE54" i="10"/>
  <c r="U54" i="10"/>
  <c r="Q54" i="10"/>
  <c r="AD54" i="10"/>
  <c r="AF54" i="10"/>
  <c r="V5" i="12"/>
  <c r="L22" i="12"/>
  <c r="M22" i="12" s="1"/>
  <c r="L28" i="12"/>
  <c r="M28" i="12" s="1"/>
  <c r="L13" i="12"/>
  <c r="M13" i="12" s="1"/>
  <c r="L43" i="12"/>
  <c r="M43" i="12" s="1"/>
  <c r="L8" i="12"/>
  <c r="M8" i="12" s="1"/>
  <c r="L18" i="12"/>
  <c r="M18" i="12" s="1"/>
  <c r="L31" i="12"/>
  <c r="M31" i="12" s="1"/>
  <c r="L37" i="12"/>
  <c r="M37" i="12" s="1"/>
  <c r="L33" i="12"/>
  <c r="M33" i="12" s="1"/>
  <c r="L24" i="12"/>
  <c r="M24" i="12" s="1"/>
  <c r="L16" i="12"/>
  <c r="M16" i="12" s="1"/>
  <c r="L34" i="12"/>
  <c r="M34" i="12" s="1"/>
  <c r="L9" i="12"/>
  <c r="M9" i="12" s="1"/>
  <c r="L10" i="12"/>
  <c r="M10" i="12" s="1"/>
  <c r="L25" i="12"/>
  <c r="M25" i="12" s="1"/>
  <c r="L27" i="12"/>
  <c r="M27" i="12" s="1"/>
  <c r="L14" i="12"/>
  <c r="M14" i="12" s="1"/>
  <c r="L29" i="12"/>
  <c r="M29" i="12" s="1"/>
  <c r="L32" i="12"/>
  <c r="M32" i="12" s="1"/>
  <c r="L30" i="12"/>
  <c r="M30" i="12" s="1"/>
  <c r="L23" i="12"/>
  <c r="M23" i="12" s="1"/>
  <c r="L19" i="12"/>
  <c r="M19" i="12" s="1"/>
  <c r="L7" i="12"/>
  <c r="M7" i="12" s="1"/>
  <c r="O54" i="10" l="1"/>
  <c r="N54" i="10"/>
  <c r="L54" i="10"/>
  <c r="H54" i="10"/>
  <c r="W54" i="10"/>
  <c r="M54" i="10"/>
  <c r="AO54" i="10"/>
  <c r="AN54" i="10"/>
  <c r="Y54" i="10"/>
  <c r="AJ54" i="10"/>
  <c r="X54" i="10"/>
  <c r="AB54" i="10"/>
  <c r="AN4" i="12"/>
  <c r="AK54" i="10"/>
  <c r="AC54" i="10"/>
  <c r="L20" i="12"/>
  <c r="M20" i="12" s="1"/>
  <c r="L45" i="12"/>
  <c r="M45" i="12" s="1"/>
  <c r="L11" i="12"/>
  <c r="M11" i="12" s="1"/>
  <c r="S54" i="10"/>
  <c r="C60" i="10"/>
  <c r="F55" i="10" s="1"/>
  <c r="G54" i="10"/>
  <c r="V4" i="12"/>
  <c r="X4" i="12" s="1"/>
  <c r="L6" i="12"/>
  <c r="M6" i="12" s="1"/>
  <c r="L5" i="12"/>
  <c r="M5" i="12" s="1"/>
  <c r="N4" i="12"/>
  <c r="X5" i="12"/>
  <c r="N5" i="12" l="1"/>
  <c r="P5" i="12" s="1"/>
  <c r="G55" i="10"/>
  <c r="H55" i="10" s="1"/>
  <c r="H57" i="10" s="1"/>
  <c r="H58" i="10" s="1"/>
  <c r="F57" i="10"/>
  <c r="F58" i="10" s="1"/>
  <c r="V6" i="12"/>
  <c r="X6" i="12" s="1"/>
  <c r="P4" i="12"/>
  <c r="G57" i="10" l="1"/>
  <c r="G58" i="10" s="1"/>
  <c r="I55" i="10"/>
  <c r="I57" i="10" s="1"/>
  <c r="I58" i="10" s="1"/>
  <c r="N6" i="12"/>
  <c r="N7" i="12" l="1"/>
  <c r="N8" i="12" s="1"/>
  <c r="N9" i="12" s="1"/>
  <c r="N10" i="12" s="1"/>
  <c r="N11" i="12" s="1"/>
  <c r="N12" i="12" s="1"/>
  <c r="N13" i="12" s="1"/>
  <c r="N14" i="12" s="1"/>
  <c r="N15" i="12" s="1"/>
  <c r="N16" i="12" s="1"/>
  <c r="J55" i="10"/>
  <c r="J57" i="10" s="1"/>
  <c r="J58" i="10" s="1"/>
  <c r="P6" i="12"/>
  <c r="K55" i="10" l="1"/>
  <c r="K57" i="10" s="1"/>
  <c r="K58" i="10" s="1"/>
  <c r="P7" i="12"/>
  <c r="L55" i="10" l="1"/>
  <c r="L57" i="10" s="1"/>
  <c r="L58" i="10" s="1"/>
  <c r="P8" i="12"/>
  <c r="M55" i="10" l="1"/>
  <c r="M57" i="10" s="1"/>
  <c r="M58" i="10" s="1"/>
  <c r="P9" i="12"/>
  <c r="N55" i="10" l="1"/>
  <c r="N57" i="10" s="1"/>
  <c r="N58" i="10" s="1"/>
  <c r="P10" i="12"/>
  <c r="O55" i="10" l="1"/>
  <c r="O57" i="10" s="1"/>
  <c r="O58" i="10" s="1"/>
  <c r="P11" i="12"/>
  <c r="P55" i="10" l="1"/>
  <c r="P57" i="10" s="1"/>
  <c r="P58" i="10" s="1"/>
  <c r="P12" i="12"/>
  <c r="Q55" i="10" l="1"/>
  <c r="Q57" i="10" s="1"/>
  <c r="Q58" i="10" s="1"/>
  <c r="P13" i="12"/>
  <c r="R55" i="10" l="1"/>
  <c r="S55" i="10" s="1"/>
  <c r="S57" i="10" s="1"/>
  <c r="S58" i="10" s="1"/>
  <c r="P14" i="12"/>
  <c r="T55" i="10" l="1"/>
  <c r="U55" i="10" s="1"/>
  <c r="R57" i="10"/>
  <c r="R58" i="10" s="1"/>
  <c r="P15" i="12"/>
  <c r="T57" i="10" l="1"/>
  <c r="T58" i="10" s="1"/>
  <c r="V55" i="10"/>
  <c r="U57" i="10"/>
  <c r="U58" i="10" s="1"/>
  <c r="N17" i="12"/>
  <c r="P16" i="12"/>
  <c r="V57" i="10" l="1"/>
  <c r="V58" i="10" s="1"/>
  <c r="W55" i="10"/>
  <c r="N18" i="12"/>
  <c r="P17" i="12"/>
  <c r="W57" i="10" l="1"/>
  <c r="W58" i="10" s="1"/>
  <c r="X55" i="10"/>
  <c r="P18" i="12"/>
  <c r="N19" i="12"/>
  <c r="X57" i="10" l="1"/>
  <c r="X58" i="10" s="1"/>
  <c r="Y55" i="10"/>
  <c r="N20" i="12"/>
  <c r="P19" i="12"/>
  <c r="Y57" i="10" l="1"/>
  <c r="Y58" i="10" s="1"/>
  <c r="Z55" i="10"/>
  <c r="N21" i="12"/>
  <c r="N22" i="12" s="1"/>
  <c r="P20" i="12"/>
  <c r="Z57" i="10" l="1"/>
  <c r="Z58" i="10" s="1"/>
  <c r="AA55" i="10"/>
  <c r="P21" i="12"/>
  <c r="AA57" i="10" l="1"/>
  <c r="AA58" i="10" s="1"/>
  <c r="AB55" i="10"/>
  <c r="N23" i="12"/>
  <c r="P22" i="12"/>
  <c r="AC55" i="10" l="1"/>
  <c r="AB57" i="10"/>
  <c r="AB58" i="10" s="1"/>
  <c r="N24" i="12"/>
  <c r="P23" i="12"/>
  <c r="AD55" i="10" l="1"/>
  <c r="AC57" i="10"/>
  <c r="AC58" i="10" s="1"/>
  <c r="N25" i="12"/>
  <c r="P24" i="12"/>
  <c r="AE55" i="10" l="1"/>
  <c r="AD57" i="10"/>
  <c r="AD58" i="10" s="1"/>
  <c r="N26" i="12"/>
  <c r="P25" i="12"/>
  <c r="AF55" i="10" l="1"/>
  <c r="AE57" i="10"/>
  <c r="AE58" i="10" s="1"/>
  <c r="N27" i="12"/>
  <c r="P26" i="12"/>
  <c r="AG55" i="10" l="1"/>
  <c r="AF57" i="10"/>
  <c r="AF58" i="10" s="1"/>
  <c r="P27" i="12"/>
  <c r="N28" i="12"/>
  <c r="AH55" i="10" l="1"/>
  <c r="AG57" i="10"/>
  <c r="AG58" i="10" s="1"/>
  <c r="N29" i="12"/>
  <c r="P28" i="12"/>
  <c r="AI55" i="10" l="1"/>
  <c r="AH57" i="10"/>
  <c r="AH58" i="10" s="1"/>
  <c r="N30" i="12"/>
  <c r="P29" i="12"/>
  <c r="AJ55" i="10" l="1"/>
  <c r="AI57" i="10"/>
  <c r="AI58" i="10" s="1"/>
  <c r="N31" i="12"/>
  <c r="P30" i="12"/>
  <c r="AK55" i="10" l="1"/>
  <c r="AJ57" i="10"/>
  <c r="AJ58" i="10" s="1"/>
  <c r="P31" i="12"/>
  <c r="N32" i="12"/>
  <c r="AL55" i="10" l="1"/>
  <c r="AK57" i="10"/>
  <c r="AK58" i="10" s="1"/>
  <c r="P32" i="12"/>
  <c r="N33" i="12"/>
  <c r="AM55" i="10" l="1"/>
  <c r="AL57" i="10"/>
  <c r="AL58" i="10" s="1"/>
  <c r="P33" i="12"/>
  <c r="N34" i="12"/>
  <c r="AN55" i="10" l="1"/>
  <c r="AM57" i="10"/>
  <c r="AM58" i="10" s="1"/>
  <c r="N35" i="12"/>
  <c r="P34" i="12"/>
  <c r="AO55" i="10" l="1"/>
  <c r="AN57" i="10"/>
  <c r="AN58" i="10" s="1"/>
  <c r="N36" i="12"/>
  <c r="P35" i="12"/>
  <c r="AP55" i="10" l="1"/>
  <c r="AO57" i="10"/>
  <c r="AO58" i="10" s="1"/>
  <c r="N37" i="12"/>
  <c r="P36" i="12"/>
  <c r="AQ55" i="10" l="1"/>
  <c r="AQ57" i="10" s="1"/>
  <c r="AQ58" i="10" s="1"/>
  <c r="AP57" i="10"/>
  <c r="AP58" i="10" s="1"/>
  <c r="N38" i="12"/>
  <c r="P37" i="12"/>
  <c r="N39" i="12" l="1"/>
  <c r="P38" i="12"/>
  <c r="N40" i="12" l="1"/>
  <c r="P39" i="12"/>
  <c r="P40" i="12" l="1"/>
  <c r="N41" i="12"/>
  <c r="P41" i="12" l="1"/>
  <c r="N42" i="12"/>
  <c r="N43" i="12" l="1"/>
  <c r="P42" i="12"/>
  <c r="N53" i="12" l="1"/>
  <c r="N54" i="12" s="1"/>
  <c r="N44" i="12"/>
  <c r="P43" i="12"/>
  <c r="N61" i="12" l="1"/>
  <c r="N62" i="12" s="1"/>
  <c r="N58" i="12"/>
  <c r="C14" i="3"/>
  <c r="S4" i="12"/>
  <c r="N45" i="12"/>
  <c r="P44" i="12"/>
  <c r="N46" i="12" l="1"/>
  <c r="P45" i="12"/>
  <c r="S5" i="12"/>
  <c r="S6" i="12" s="1"/>
  <c r="S7" i="12" s="1"/>
  <c r="S8" i="12" s="1"/>
  <c r="S9" i="12" s="1"/>
  <c r="S10" i="12" s="1"/>
  <c r="S11" i="12" s="1"/>
  <c r="S12" i="12" s="1"/>
  <c r="S13" i="12" s="1"/>
  <c r="S14" i="12" s="1"/>
  <c r="S15" i="12" s="1"/>
  <c r="S16" i="12" s="1"/>
  <c r="S17" i="12" s="1"/>
  <c r="S18" i="12" s="1"/>
  <c r="S19" i="12" s="1"/>
  <c r="S20" i="12" s="1"/>
  <c r="S21" i="12" s="1"/>
  <c r="S22" i="12" s="1"/>
  <c r="S23" i="12" s="1"/>
  <c r="S24" i="12" s="1"/>
  <c r="S25" i="12" s="1"/>
  <c r="S26" i="12" s="1"/>
  <c r="S27" i="12" s="1"/>
  <c r="S28" i="12" s="1"/>
  <c r="S29" i="12" s="1"/>
  <c r="S30" i="12" s="1"/>
  <c r="S31" i="12" s="1"/>
  <c r="S32" i="12" s="1"/>
  <c r="S33" i="12" s="1"/>
  <c r="S34" i="12" s="1"/>
  <c r="S35" i="12" s="1"/>
  <c r="S36" i="12" s="1"/>
  <c r="S37" i="12" s="1"/>
  <c r="S38" i="12" s="1"/>
  <c r="S39" i="12" s="1"/>
  <c r="S40" i="12" s="1"/>
  <c r="S41" i="12" s="1"/>
  <c r="S42" i="12" s="1"/>
  <c r="S43" i="12" s="1"/>
  <c r="S44" i="12" s="1"/>
  <c r="S45" i="12" s="1"/>
  <c r="S46" i="12" s="1"/>
  <c r="S47" i="12" s="1"/>
  <c r="S48" i="12" s="1"/>
  <c r="S49" i="12" s="1"/>
  <c r="S50" i="12" s="1"/>
  <c r="S51" i="12" s="1"/>
  <c r="O19" i="12"/>
  <c r="N47" i="12" l="1"/>
  <c r="P46" i="12"/>
  <c r="N48" i="12" l="1"/>
  <c r="P47" i="12"/>
  <c r="N49" i="12" l="1"/>
  <c r="P48" i="12"/>
  <c r="N50" i="12" l="1"/>
  <c r="P49" i="12"/>
  <c r="N51" i="12" l="1"/>
  <c r="P51" i="12" s="1"/>
  <c r="P50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tc={699F4794-7740-2947-B102-F81DFC79F048}</author>
    <author>tc={163259B7-CAFB-7D4B-8F53-4CD6202F4C07}</author>
    <author>tc={88AE8804-86EA-F343-B17E-98E6E7214257}</author>
    <author>tc={63528953-37FE-2645-8795-52358AF8C532}</author>
    <author>tc={52F33E09-257E-F745-AC5F-12A06E9C0CA5}</author>
    <author>tc={4A35AEC7-877C-FE43-AD09-62410B732FB6}</author>
    <author>tc={EE43E1FA-DB30-F14F-BD0B-080E693BFFA2}</author>
    <author>tc={4489B12E-AFCE-CB42-AF5F-D12CFD1A4D6D}</author>
    <author>tc={3A4C4700-7697-D64C-AE00-3D46440C18DB}</author>
    <author>tc={03C8886E-D7E0-D643-9C7A-529C6E66D889}</author>
    <author>tc={13679C8A-E05D-284B-8F1D-CA130720CFA0}</author>
    <author>tc={09067A34-0B89-AE42-BDF8-7CD17FEB4967}</author>
    <author>tc={32DEF03A-EBA1-BD45-989D-EDB1DBCDA467}</author>
    <author>tc={92F2E375-7B27-214B-9C54-0EAF0E21CA13}</author>
    <author>tc={B2B42E77-47FC-1043-AC15-9390F528F9FA}</author>
    <author>tc={A81BFB23-46BA-2E42-8F3F-B5170DED7536}</author>
    <author>tc={8D97F692-297B-2A44-8491-E5B4F4BB3426}</author>
    <author>tc={2966336D-F729-3A49-BB9E-303FBA978E07}</author>
    <author>tc={CAA30A41-258F-A942-8710-F6037EDA6B99}</author>
    <author>tc={872C449D-3D2B-E84F-819A-BE721C373936}</author>
    <author>tc={4ECB0C06-8598-7F4B-BCF9-BF6A0F396BD3}</author>
    <author>tc={A0F9EB51-605F-4F47-9038-E19A165D2BE4}</author>
    <author>tc={346DF7F8-7A4A-6641-8829-F368C1D0F1F1}</author>
    <author>tc={2CD6561A-FB2D-B441-B7E9-5C3938825255}</author>
    <author>tc={CF141A17-A0CE-1B47-8272-673ED8A1749E}</author>
    <author>tc={3B2AD769-A866-744E-AB5B-95D8898FD53C}</author>
    <author>tc={E8D00283-90A7-E54A-A385-2C8344813992}</author>
    <author>tc={9A5A54DE-6991-174E-BAF3-EB9A7F951C58}</author>
    <author>tc={0720E60C-9ABB-3845-B8B2-303401239502}</author>
    <author>tc={FCB7BF25-7911-3D41-AECE-8AF9397410B2}</author>
    <author>tc={E6AB97B9-F6BD-0546-9E56-ACF88B6A3DE7}</author>
    <author>tc={275D0476-A6F7-0C4E-AB21-A4D755B0A76E}</author>
    <author>tc={9FC3A0F2-4E04-3A42-B1D5-57D0984E3C58}</author>
    <author>tc={84A5D01E-2FC6-D143-A893-C7992476710E}</author>
    <author>tc={09480E94-6B26-BB48-A97C-EA880B2A523C}</author>
    <author>tc={5C6BD459-E5B4-D44F-95A0-523409F07332}</author>
  </authors>
  <commentList>
    <comment ref="F1" authorId="0" shapeId="0" xr:uid="{699F4794-7740-2947-B102-F81DFC79F048}">
      <text>
        <t>[Threaded comment]
Your version of Excel allows you to read this threaded comment; however, any edits to it will get removed if the file is opened in a newer version of Excel. Learn more: https://go.microsoft.com/fwlink/?linkid=870924
Comment:
    Eq.1 AR/AM tool https://cdm.unfccc.int/methodologies/ARmethodologies/tools/ar-am-tool-16-v1.1.0.pdf</t>
      </text>
    </comment>
    <comment ref="J1" authorId="1" shapeId="0" xr:uid="{163259B7-CAFB-7D4B-8F53-4CD6202F4C07}">
      <text>
        <t>[Threaded comment]
Your version of Excel allows you to read this threaded comment; however, any edits to it will get removed if the file is opened in a newer version of Excel. Learn more: https://go.microsoft.com/fwlink/?linkid=870924
Comment:
    Eq.1 AR/AM tool https://cdm.unfccc.int/methodologies/ARmethodologies/tools/ar-am-tool-16-v1.1.0.pdf</t>
      </text>
    </comment>
    <comment ref="N1" authorId="2" shapeId="0" xr:uid="{88AE8804-86EA-F343-B17E-98E6E7214257}">
      <text>
        <t>[Threaded comment]
Your version of Excel allows you to read this threaded comment; however, any edits to it will get removed if the file is opened in a newer version of Excel. Learn more: https://go.microsoft.com/fwlink/?linkid=870924
Comment:
    Eq.1 AR/AM tool https://cdm.unfccc.int/methodologies/ARmethodologies/tools/ar-am-tool-16-v1.1.0.pdf</t>
      </text>
    </comment>
    <comment ref="F5" authorId="3" shapeId="0" xr:uid="{63528953-37FE-2645-8795-52358AF8C532}">
      <text>
        <t>[Threaded comment]
Your version of Excel allows you to read this threaded comment; however, any edits to it will get removed if the file is opened in a newer version of Excel. Learn more: https://go.microsoft.com/fwlink/?linkid=870924
Comment:
    According to IPCC Soil classes and IPCC climate; earthmap.org</t>
      </text>
    </comment>
    <comment ref="G5" authorId="4" shapeId="0" xr:uid="{52F33E09-257E-F745-AC5F-12A06E9C0CA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Table 3; AR/AM tool https://cdm.unfccc.int/methodologies/ARmethodologies/tools/ar-am-tool-16-v1.1.0.pdf
</t>
      </text>
    </comment>
    <comment ref="J5" authorId="5" shapeId="0" xr:uid="{4A35AEC7-877C-FE43-AD09-62410B732FB6}">
      <text>
        <t>[Threaded comment]
Your version of Excel allows you to read this threaded comment; however, any edits to it will get removed if the file is opened in a newer version of Excel. Learn more: https://go.microsoft.com/fwlink/?linkid=870924
Comment:
    According to IPCC Soil classes and IPCC climate; earthmap.org</t>
      </text>
    </comment>
    <comment ref="K5" authorId="6" shapeId="0" xr:uid="{EE43E1FA-DB30-F14F-BD0B-080E693BFFA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Table 3; AR/AM tool https://cdm.unfccc.int/methodologies/ARmethodologies/tools/ar-am-tool-16-v1.1.0.pdf
</t>
      </text>
    </comment>
    <comment ref="N5" authorId="7" shapeId="0" xr:uid="{4489B12E-AFCE-CB42-AF5F-D12CFD1A4D6D}">
      <text>
        <t>[Threaded comment]
Your version of Excel allows you to read this threaded comment; however, any edits to it will get removed if the file is opened in a newer version of Excel. Learn more: https://go.microsoft.com/fwlink/?linkid=870924
Comment:
    According to IPCC Soil classes and IPCC climate; earthmap.org</t>
      </text>
    </comment>
    <comment ref="O5" authorId="8" shapeId="0" xr:uid="{3A4C4700-7697-D64C-AE00-3D46440C18D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Table 3; AR/AM tool https://cdm.unfccc.int/methodologies/ARmethodologies/tools/ar-am-tool-16-v1.1.0.pdf
</t>
      </text>
    </comment>
    <comment ref="F6" authorId="9" shapeId="0" xr:uid="{03C8886E-D7E0-D643-9C7A-529C6E66D889}">
      <text>
        <t>[Threaded comment]
Your version of Excel allows you to read this threaded comment; however, any edits to it will get removed if the file is opened in a newer version of Excel. Learn more: https://go.microsoft.com/fwlink/?linkid=870924
Comment:
    Table 4 , AR/AM tool https://cdm.unfccc.int/methodologies/ARmethodologies/tools/ar-am-tool-16-v1.1.0.pdf</t>
      </text>
    </comment>
    <comment ref="G6" authorId="10" shapeId="0" xr:uid="{13679C8A-E05D-284B-8F1D-CA130720CFA0}">
      <text>
        <t>[Threaded comment]
Your version of Excel allows you to read this threaded comment; however, any edits to it will get removed if the file is opened in a newer version of Excel. Learn more: https://go.microsoft.com/fwlink/?linkid=870924
Comment:
    Tropical montane - short term cultivated</t>
      </text>
    </comment>
    <comment ref="J6" authorId="11" shapeId="0" xr:uid="{09067A34-0B89-AE42-BDF8-7CD17FEB4967}">
      <text>
        <t>[Threaded comment]
Your version of Excel allows you to read this threaded comment; however, any edits to it will get removed if the file is opened in a newer version of Excel. Learn more: https://go.microsoft.com/fwlink/?linkid=870924
Comment:
    Table 4 , AR/AM tool https://cdm.unfccc.int/methodologies/ARmethodologies/tools/ar-am-tool-16-v1.1.0.pdf</t>
      </text>
    </comment>
    <comment ref="K6" authorId="12" shapeId="0" xr:uid="{32DEF03A-EBA1-BD45-989D-EDB1DBCDA467}">
      <text>
        <t>[Threaded comment]
Your version of Excel allows you to read this threaded comment; however, any edits to it will get removed if the file is opened in a newer version of Excel. Learn more: https://go.microsoft.com/fwlink/?linkid=870924
Comment:
    Tropical moist</t>
      </text>
    </comment>
    <comment ref="N6" authorId="13" shapeId="0" xr:uid="{92F2E375-7B27-214B-9C54-0EAF0E21CA13}">
      <text>
        <t>[Threaded comment]
Your version of Excel allows you to read this threaded comment; however, any edits to it will get removed if the file is opened in a newer version of Excel. Learn more: https://go.microsoft.com/fwlink/?linkid=870924
Comment:
    Table 4 , AR/AM tool https://cdm.unfccc.int/methodologies/ARmethodologies/tools/ar-am-tool-16-v1.1.0.pdf</t>
      </text>
    </comment>
    <comment ref="O6" authorId="14" shapeId="0" xr:uid="{B2B42E77-47FC-1043-AC15-9390F528F9FA}">
      <text>
        <t>[Threaded comment]
Your version of Excel allows you to read this threaded comment; however, any edits to it will get removed if the file is opened in a newer version of Excel. Learn more: https://go.microsoft.com/fwlink/?linkid=870924
Comment:
    Tropical montane</t>
      </text>
    </comment>
    <comment ref="F7" authorId="15" shapeId="0" xr:uid="{A81BFB23-46BA-2E42-8F3F-B5170DED7536}">
      <text>
        <t>[Threaded comment]
Your version of Excel allows you to read this threaded comment; however, any edits to it will get removed if the file is opened in a newer version of Excel. Learn more: https://go.microsoft.com/fwlink/?linkid=870924
Comment:
    Table 4 , AR/AM tool https://cdm.unfccc.int/methodologies/ARmethodologies/tools/ar-am-tool-16-v1.1.0.pdf</t>
      </text>
    </comment>
    <comment ref="G7" authorId="16" shapeId="0" xr:uid="{8D97F692-297B-2A44-8491-E5B4F4BB3426}">
      <text>
        <t>[Threaded comment]
Your version of Excel allows you to read this threaded comment; however, any edits to it will get removed if the file is opened in a newer version of Excel. Learn more: https://go.microsoft.com/fwlink/?linkid=870924
Comment:
    reduced tillage, tropical montane</t>
      </text>
    </comment>
    <comment ref="J7" authorId="17" shapeId="0" xr:uid="{2966336D-F729-3A49-BB9E-303FBA978E07}">
      <text>
        <t>[Threaded comment]
Your version of Excel allows you to read this threaded comment; however, any edits to it will get removed if the file is opened in a newer version of Excel. Learn more: https://go.microsoft.com/fwlink/?linkid=870924
Comment:
    Table 4 , AR/AM tool https://cdm.unfccc.int/methodologies/ARmethodologies/tools/ar-am-tool-16-v1.1.0.pdf</t>
      </text>
    </comment>
    <comment ref="K7" authorId="18" shapeId="0" xr:uid="{CAA30A41-258F-A942-8710-F6037EDA6B99}">
      <text>
        <t>[Threaded comment]
Your version of Excel allows you to read this threaded comment; however, any edits to it will get removed if the file is opened in a newer version of Excel. Learn more: https://go.microsoft.com/fwlink/?linkid=870924
Comment:
    reduced tillage, tropical moist</t>
      </text>
    </comment>
    <comment ref="N7" authorId="19" shapeId="0" xr:uid="{872C449D-3D2B-E84F-819A-BE721C373936}">
      <text>
        <t>[Threaded comment]
Your version of Excel allows you to read this threaded comment; however, any edits to it will get removed if the file is opened in a newer version of Excel. Learn more: https://go.microsoft.com/fwlink/?linkid=870924
Comment:
    Table 4 , AR/AM tool https://cdm.unfccc.int/methodologies/ARmethodologies/tools/ar-am-tool-16-v1.1.0.pdf</t>
      </text>
    </comment>
    <comment ref="O7" authorId="20" shapeId="0" xr:uid="{4ECB0C06-8598-7F4B-BCF9-BF6A0F396BD3}">
      <text>
        <t>[Threaded comment]
Your version of Excel allows you to read this threaded comment; however, any edits to it will get removed if the file is opened in a newer version of Excel. Learn more: https://go.microsoft.com/fwlink/?linkid=870924
Comment:
    reduced tillage, tropical montane</t>
      </text>
    </comment>
    <comment ref="F8" authorId="21" shapeId="0" xr:uid="{A0F9EB51-605F-4F47-9038-E19A165D2BE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Table 5, AR/AM tool https://cdm.unfccc.int/methodologies/ARmethodologies/tools/ar-am-tool-16-v1.1.0.pdf
</t>
      </text>
    </comment>
    <comment ref="G8" authorId="22" shapeId="0" xr:uid="{346DF7F8-7A4A-6641-8829-F368C1D0F1F1}">
      <text>
        <t>[Threaded comment]
Your version of Excel allows you to read this threaded comment; however, any edits to it will get removed if the file is opened in a newer version of Excel. Learn more: https://go.microsoft.com/fwlink/?linkid=870924
Comment:
    Low, tropical montane</t>
      </text>
    </comment>
    <comment ref="J8" authorId="23" shapeId="0" xr:uid="{2CD6561A-FB2D-B441-B7E9-5C393882525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Table 5, AR/AM tool https://cdm.unfccc.int/methodologies/ARmethodologies/tools/ar-am-tool-16-v1.1.0.pdf
</t>
      </text>
    </comment>
    <comment ref="K8" authorId="24" shapeId="0" xr:uid="{CF141A17-A0CE-1B47-8272-673ED8A1749E}">
      <text>
        <t>[Threaded comment]
Your version of Excel allows you to read this threaded comment; however, any edits to it will get removed if the file is opened in a newer version of Excel. Learn more: https://go.microsoft.com/fwlink/?linkid=870924
Comment:
    Low, tropical moist</t>
      </text>
    </comment>
    <comment ref="N8" authorId="25" shapeId="0" xr:uid="{3B2AD769-A866-744E-AB5B-95D8898FD53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Table 5, AR/AM tool https://cdm.unfccc.int/methodologies/ARmethodologies/tools/ar-am-tool-16-v1.1.0.pdf
</t>
      </text>
    </comment>
    <comment ref="O8" authorId="26" shapeId="0" xr:uid="{E8D00283-90A7-E54A-A385-2C8344813992}">
      <text>
        <t>[Threaded comment]
Your version of Excel allows you to read this threaded comment; however, any edits to it will get removed if the file is opened in a newer version of Excel. Learn more: https://go.microsoft.com/fwlink/?linkid=870924
Comment:
    Low, tropical montane</t>
      </text>
    </comment>
    <comment ref="F10" authorId="27" shapeId="0" xr:uid="{9A5A54DE-6991-174E-BAF3-EB9A7F951C58}">
      <text>
        <t>[Threaded comment]
Your version of Excel allows you to read this threaded comment; however, any edits to it will get removed if the file is opened in a newer version of Excel. Learn more: https://go.microsoft.com/fwlink/?linkid=870924
Comment:
    Eq.2 AR/AM tool https://cdm.unfccc.int/methodologies/ARmethodologies/tools/ar-am-tool-16-v1.1.0.pdf</t>
      </text>
    </comment>
    <comment ref="J10" authorId="28" shapeId="0" xr:uid="{0720E60C-9ABB-3845-B8B2-303401239502}">
      <text>
        <t>[Threaded comment]
Your version of Excel allows you to read this threaded comment; however, any edits to it will get removed if the file is opened in a newer version of Excel. Learn more: https://go.microsoft.com/fwlink/?linkid=870924
Comment:
    Eq.2 AR/AM tool https://cdm.unfccc.int/methodologies/ARmethodologies/tools/ar-am-tool-16-v1.1.0.pdf</t>
      </text>
    </comment>
    <comment ref="N10" authorId="29" shapeId="0" xr:uid="{FCB7BF25-7911-3D41-AECE-8AF9397410B2}">
      <text>
        <t>[Threaded comment]
Your version of Excel allows you to read this threaded comment; however, any edits to it will get removed if the file is opened in a newer version of Excel. Learn more: https://go.microsoft.com/fwlink/?linkid=870924
Comment:
    Eq.2 AR/AM tool https://cdm.unfccc.int/methodologies/ARmethodologies/tools/ar-am-tool-16-v1.1.0.pdf</t>
      </text>
    </comment>
    <comment ref="F14" authorId="30" shapeId="0" xr:uid="{E6AB97B9-F6BD-0546-9E56-ACF88B6A3DE7}">
      <text>
        <t>[Threaded comment]
Your version of Excel allows you to read this threaded comment; however, any edits to it will get removed if the file is opened in a newer version of Excel. Learn more: https://go.microsoft.com/fwlink/?linkid=870924
Comment:
    Eq.6 AR/AM tool https://cdm.unfccc.int/methodologies/ARmethodologies/tools/ar-am-tool-16-v1.1.0.pdf</t>
      </text>
    </comment>
    <comment ref="J14" authorId="31" shapeId="0" xr:uid="{275D0476-A6F7-0C4E-AB21-A4D755B0A76E}">
      <text>
        <t>[Threaded comment]
Your version of Excel allows you to read this threaded comment; however, any edits to it will get removed if the file is opened in a newer version of Excel. Learn more: https://go.microsoft.com/fwlink/?linkid=870924
Comment:
    Eq.6 AR/AM tool https://cdm.unfccc.int/methodologies/ARmethodologies/tools/ar-am-tool-16-v1.1.0.pdf</t>
      </text>
    </comment>
    <comment ref="N14" authorId="32" shapeId="0" xr:uid="{9FC3A0F2-4E04-3A42-B1D5-57D0984E3C58}">
      <text>
        <t>[Threaded comment]
Your version of Excel allows you to read this threaded comment; however, any edits to it will get removed if the file is opened in a newer version of Excel. Learn more: https://go.microsoft.com/fwlink/?linkid=870924
Comment:
    Eq.6 AR/AM tool https://cdm.unfccc.int/methodologies/ARmethodologies/tools/ar-am-tool-16-v1.1.0.pdf</t>
      </text>
    </comment>
    <comment ref="F21" authorId="33" shapeId="0" xr:uid="{84A5D01E-2FC6-D143-A893-C7992476710E}">
      <text>
        <t>[Threaded comment]
Your version of Excel allows you to read this threaded comment; however, any edits to it will get removed if the file is opened in a newer version of Excel. Learn more: https://go.microsoft.com/fwlink/?linkid=870924
Comment:
    Eq.8 AR/AM tool https://cdm.unfccc.int/methodologies/ARmethodologies/tools/ar-am-tool-16-v1.1.0.pdf</t>
      </text>
    </comment>
    <comment ref="J21" authorId="34" shapeId="0" xr:uid="{09480E94-6B26-BB48-A97C-EA880B2A523C}">
      <text>
        <t>[Threaded comment]
Your version of Excel allows you to read this threaded comment; however, any edits to it will get removed if the file is opened in a newer version of Excel. Learn more: https://go.microsoft.com/fwlink/?linkid=870924
Comment:
    Eq.8 AR/AM tool https://cdm.unfccc.int/methodologies/ARmethodologies/tools/ar-am-tool-16-v1.1.0.pdf</t>
      </text>
    </comment>
    <comment ref="N21" authorId="35" shapeId="0" xr:uid="{5C6BD459-E5B4-D44F-95A0-523409F07332}">
      <text>
        <t>[Threaded comment]
Your version of Excel allows you to read this threaded comment; however, any edits to it will get removed if the file is opened in a newer version of Excel. Learn more: https://go.microsoft.com/fwlink/?linkid=870924
Comment:
    Eq.8 AR/AM tool https://cdm.unfccc.int/methodologies/ARmethodologies/tools/ar-am-tool-16-v1.1.0.pdf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tc={F6E882C4-DAD8-D940-A969-46E0F0D60AA0}</author>
    <author>tc={421591E4-0F7B-4CC7-B38C-8EB048C298DB}</author>
  </authors>
  <commentList>
    <comment ref="R3" authorId="0" shapeId="0" xr:uid="{F6E882C4-DAD8-D940-A969-46E0F0D60AA0}">
      <text>
        <t>[Threaded comment]
Your version of Excel allows you to read this threaded comment; however, any edits to it will get removed if the file is opened in a newer version of Excel. Learn more: https://go.microsoft.com/fwlink/?linkid=870924
Comment:
    Please calculated the LA according to the following guideline
https://verra.org/wp-content/uploads/2018/03/VCS-Guidance-Harvesting-Examples_0.pdf</t>
      </text>
    </comment>
    <comment ref="C55" authorId="1" shapeId="0" xr:uid="{421591E4-0F7B-4CC7-B38C-8EB048C298DB}">
      <text>
        <t>[Threaded comment]
Your version of Excel allows you to read this threaded comment; however, any edits to it will get removed if the file is opened in a newer version of Excel. Learn more: https://go.microsoft.com/fwlink/?linkid=870924
Comment:
    Accountable days for 2022 (22nd august to 31st december)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tc={88DA001E-9B5D-884F-B53E-46624EF934A5}</author>
  </authors>
  <commentList>
    <comment ref="L1" authorId="0" shapeId="0" xr:uid="{88DA001E-9B5D-884F-B53E-46624EF934A5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Global Soil Organic Carbon Map v 1.5 (FAO)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<sst xmlns="http://schemas.openxmlformats.org/spreadsheetml/2006/main" count="7962" uniqueCount="2806">
  <si>
    <t>•</t>
  </si>
  <si>
    <t xml:space="preserve">Planting </t>
  </si>
  <si>
    <t>Boundary</t>
  </si>
  <si>
    <t>Planted trees</t>
  </si>
  <si>
    <t>trees</t>
  </si>
  <si>
    <t>Total number of trees</t>
  </si>
  <si>
    <t>Charcoal/Fuelwood</t>
  </si>
  <si>
    <t>Planted trees/year</t>
  </si>
  <si>
    <t>Total biomass</t>
  </si>
  <si>
    <t>Timber</t>
  </si>
  <si>
    <t>Harvested Trees/year</t>
  </si>
  <si>
    <t>Total</t>
  </si>
  <si>
    <t>Total Surviving Trees/year</t>
  </si>
  <si>
    <t>Total Surviving Trees Cumulative</t>
  </si>
  <si>
    <t>Growth Rates</t>
  </si>
  <si>
    <t>Site Quality Assumption</t>
  </si>
  <si>
    <t>Normal</t>
  </si>
  <si>
    <t>Growth year</t>
  </si>
  <si>
    <t>year</t>
  </si>
  <si>
    <t>ton biomass/tree</t>
  </si>
  <si>
    <t>Timber - Gmelina arborea</t>
  </si>
  <si>
    <t>Timber - Melia volkensii</t>
  </si>
  <si>
    <t>Timber - Maesopsis eminii</t>
  </si>
  <si>
    <t>Charcoal species</t>
  </si>
  <si>
    <t>Biomass</t>
  </si>
  <si>
    <t>Boundary Tree Biomass</t>
  </si>
  <si>
    <t>ton biomass</t>
  </si>
  <si>
    <t>Charcoal Tree Biomass</t>
  </si>
  <si>
    <t>Timber - Gmelina</t>
  </si>
  <si>
    <t>tCO2e</t>
  </si>
  <si>
    <t>Timber - Melia</t>
  </si>
  <si>
    <t>Timber - Muzisi</t>
  </si>
  <si>
    <t>Total Biomass</t>
  </si>
  <si>
    <t>Carbon Sequestration</t>
  </si>
  <si>
    <t>Year</t>
  </si>
  <si>
    <t>Ctree</t>
  </si>
  <si>
    <t>Soil Organic Carbon</t>
  </si>
  <si>
    <t>Deadwood</t>
  </si>
  <si>
    <t>Litter</t>
  </si>
  <si>
    <t>Total GHG reduction at year t</t>
  </si>
  <si>
    <t>Annual Change in GHG Benefit</t>
  </si>
  <si>
    <t>Credits Issued</t>
  </si>
  <si>
    <t>Buffer pool contribution</t>
  </si>
  <si>
    <t>Credits net of buffer pool</t>
  </si>
  <si>
    <t>Average</t>
  </si>
  <si>
    <t>CF Tree</t>
  </si>
  <si>
    <t>CO2/C ratio</t>
  </si>
  <si>
    <t>Buffer Pool %</t>
  </si>
  <si>
    <t xml:space="preserve">Waterfall sequestration calculations hidden below. </t>
  </si>
  <si>
    <t>BIOMASS</t>
  </si>
  <si>
    <t>Planting year</t>
  </si>
  <si>
    <t>tons biomass/year/tree</t>
  </si>
  <si>
    <t>YEAR</t>
  </si>
  <si>
    <t>GMELINA - TIMBER</t>
  </si>
  <si>
    <t>YEAR OF PLANTATION</t>
  </si>
  <si>
    <t>tbiomass/y/tree</t>
  </si>
  <si>
    <t>PLANTED TREES/ Y</t>
  </si>
  <si>
    <t>TOTAL</t>
  </si>
  <si>
    <t>MELIA - TIMBER</t>
  </si>
  <si>
    <t>MUZISI - TIMBER</t>
  </si>
  <si>
    <t>CHARCOAL</t>
  </si>
  <si>
    <r>
      <t>SOC</t>
    </r>
    <r>
      <rPr>
        <b/>
        <vertAlign val="subscript"/>
        <sz val="10"/>
        <color theme="1"/>
        <rFont val="Aptos Display"/>
        <family val="2"/>
        <scheme val="major"/>
      </rPr>
      <t>INITIAL,i</t>
    </r>
    <r>
      <rPr>
        <b/>
        <sz val="10"/>
        <color theme="1"/>
        <rFont val="Aptos Display"/>
        <family val="2"/>
        <scheme val="major"/>
      </rPr>
      <t xml:space="preserve"> = SOC</t>
    </r>
    <r>
      <rPr>
        <b/>
        <vertAlign val="subscript"/>
        <sz val="10"/>
        <color theme="1"/>
        <rFont val="Aptos Display"/>
        <family val="2"/>
        <scheme val="major"/>
      </rPr>
      <t xml:space="preserve">REF,i </t>
    </r>
    <r>
      <rPr>
        <b/>
        <sz val="10"/>
        <color theme="1"/>
        <rFont val="Aptos Display"/>
        <family val="2"/>
        <scheme val="major"/>
      </rPr>
      <t>* fLU,i * fMG,i * fIN,i</t>
    </r>
  </si>
  <si>
    <t>SOC</t>
  </si>
  <si>
    <t>tCO2/ha/year</t>
  </si>
  <si>
    <t>Area</t>
  </si>
  <si>
    <t>ha</t>
  </si>
  <si>
    <r>
      <t>SOC</t>
    </r>
    <r>
      <rPr>
        <b/>
        <vertAlign val="subscript"/>
        <sz val="10"/>
        <color theme="1"/>
        <rFont val="Aptos Display"/>
        <family val="2"/>
        <scheme val="major"/>
      </rPr>
      <t>INITIAL,i</t>
    </r>
    <r>
      <rPr>
        <b/>
        <sz val="10"/>
        <color theme="1"/>
        <rFont val="Aptos Display"/>
        <family val="2"/>
        <scheme val="major"/>
      </rPr>
      <t xml:space="preserve"> </t>
    </r>
  </si>
  <si>
    <t>t C/ha</t>
  </si>
  <si>
    <t>Total SOC</t>
  </si>
  <si>
    <t>tCO2/year</t>
  </si>
  <si>
    <r>
      <t>SOC</t>
    </r>
    <r>
      <rPr>
        <i/>
        <vertAlign val="subscript"/>
        <sz val="10"/>
        <color theme="1"/>
        <rFont val="Aptos Display"/>
        <family val="2"/>
        <scheme val="major"/>
      </rPr>
      <t>REF,i</t>
    </r>
  </si>
  <si>
    <t>HAC, tropical montane</t>
  </si>
  <si>
    <t>HAC, tropical moist</t>
  </si>
  <si>
    <t>LAC, tropical montane</t>
  </si>
  <si>
    <t>tCO2/ha/yr</t>
  </si>
  <si>
    <t>fLU,i</t>
  </si>
  <si>
    <t>HAC+Tr.Montane</t>
  </si>
  <si>
    <t>HAC+Tr. Moist</t>
  </si>
  <si>
    <t>LAC+Tr.Montane</t>
  </si>
  <si>
    <t xml:space="preserve">fMG,i </t>
  </si>
  <si>
    <t>fIN,i</t>
  </si>
  <si>
    <r>
      <t>SOC</t>
    </r>
    <r>
      <rPr>
        <b/>
        <vertAlign val="subscript"/>
        <sz val="10"/>
        <color theme="1"/>
        <rFont val="Aptos Display"/>
        <family val="2"/>
        <scheme val="major"/>
      </rPr>
      <t xml:space="preserve">LOSS,i </t>
    </r>
    <r>
      <rPr>
        <b/>
        <sz val="10"/>
        <color theme="1"/>
        <rFont val="Aptos Display"/>
        <family val="2"/>
        <scheme val="major"/>
      </rPr>
      <t>= SOC</t>
    </r>
    <r>
      <rPr>
        <b/>
        <vertAlign val="subscript"/>
        <sz val="10"/>
        <color theme="1"/>
        <rFont val="Aptos Display"/>
        <family val="2"/>
        <scheme val="major"/>
      </rPr>
      <t>INITIAL,i</t>
    </r>
    <r>
      <rPr>
        <b/>
        <sz val="10"/>
        <color theme="1"/>
        <rFont val="Aptos Display"/>
        <family val="2"/>
        <scheme val="major"/>
      </rPr>
      <t xml:space="preserve"> * 0.1</t>
    </r>
  </si>
  <si>
    <r>
      <t>SOC</t>
    </r>
    <r>
      <rPr>
        <b/>
        <vertAlign val="subscript"/>
        <sz val="10"/>
        <color theme="1"/>
        <rFont val="Aptos Display"/>
        <family val="2"/>
        <scheme val="major"/>
      </rPr>
      <t>LOSS,i</t>
    </r>
  </si>
  <si>
    <r>
      <t>dSOC</t>
    </r>
    <r>
      <rPr>
        <b/>
        <vertAlign val="subscript"/>
        <sz val="10"/>
        <color theme="1"/>
        <rFont val="Aptos Display"/>
        <family val="2"/>
        <scheme val="major"/>
      </rPr>
      <t>t,i</t>
    </r>
    <r>
      <rPr>
        <b/>
        <sz val="10"/>
        <color theme="1"/>
        <rFont val="Aptos Display"/>
        <family val="2"/>
        <scheme val="major"/>
      </rPr>
      <t xml:space="preserve"> = SOC</t>
    </r>
    <r>
      <rPr>
        <b/>
        <vertAlign val="subscript"/>
        <sz val="10"/>
        <color theme="1"/>
        <rFont val="Aptos Display"/>
        <family val="2"/>
        <scheme val="major"/>
      </rPr>
      <t>REF,i</t>
    </r>
    <r>
      <rPr>
        <b/>
        <sz val="10"/>
        <color theme="1"/>
        <rFont val="Aptos Display"/>
        <family val="2"/>
        <scheme val="major"/>
      </rPr>
      <t xml:space="preserve"> - (SOC</t>
    </r>
    <r>
      <rPr>
        <b/>
        <vertAlign val="subscript"/>
        <sz val="10"/>
        <color theme="1"/>
        <rFont val="Aptos Display"/>
        <family val="2"/>
        <scheme val="major"/>
      </rPr>
      <t>INITIAL,i</t>
    </r>
    <r>
      <rPr>
        <b/>
        <sz val="10"/>
        <color theme="1"/>
        <rFont val="Aptos Display"/>
        <family val="2"/>
        <scheme val="major"/>
      </rPr>
      <t xml:space="preserve"> - SOC</t>
    </r>
    <r>
      <rPr>
        <b/>
        <vertAlign val="subscript"/>
        <sz val="10"/>
        <color theme="1"/>
        <rFont val="Aptos Display"/>
        <family val="2"/>
        <scheme val="major"/>
      </rPr>
      <t>LOSS,i</t>
    </r>
    <r>
      <rPr>
        <b/>
        <sz val="10"/>
        <color theme="1"/>
        <rFont val="Aptos Display"/>
        <family val="2"/>
        <scheme val="major"/>
      </rPr>
      <t>)/20 years</t>
    </r>
  </si>
  <si>
    <r>
      <t>dSOC</t>
    </r>
    <r>
      <rPr>
        <b/>
        <vertAlign val="subscript"/>
        <sz val="10"/>
        <color theme="1"/>
        <rFont val="Aptos Display"/>
        <family val="2"/>
        <scheme val="major"/>
      </rPr>
      <t>t,i</t>
    </r>
  </si>
  <si>
    <r>
      <t>SOC</t>
    </r>
    <r>
      <rPr>
        <i/>
        <vertAlign val="subscript"/>
        <sz val="10"/>
        <color theme="1"/>
        <rFont val="Aptos Display"/>
        <family val="2"/>
        <scheme val="major"/>
      </rPr>
      <t>INITIAL,i</t>
    </r>
  </si>
  <si>
    <r>
      <t>SOC</t>
    </r>
    <r>
      <rPr>
        <i/>
        <vertAlign val="subscript"/>
        <sz val="10"/>
        <color theme="1"/>
        <rFont val="Aptos Display"/>
        <family val="2"/>
        <scheme val="major"/>
      </rPr>
      <t>LOSS,i</t>
    </r>
  </si>
  <si>
    <r>
      <t>SOC</t>
    </r>
    <r>
      <rPr>
        <b/>
        <vertAlign val="subscript"/>
        <sz val="10"/>
        <color theme="1"/>
        <rFont val="Aptos Display"/>
        <family val="2"/>
        <scheme val="major"/>
      </rPr>
      <t xml:space="preserve">AL,t </t>
    </r>
    <r>
      <rPr>
        <b/>
        <sz val="10"/>
        <color theme="1"/>
        <rFont val="Aptos Display"/>
        <family val="2"/>
        <scheme val="major"/>
      </rPr>
      <t>= 44/12 * A</t>
    </r>
    <r>
      <rPr>
        <b/>
        <vertAlign val="subscript"/>
        <sz val="10"/>
        <color theme="1"/>
        <rFont val="Aptos Display"/>
        <family val="2"/>
        <scheme val="major"/>
      </rPr>
      <t>i</t>
    </r>
    <r>
      <rPr>
        <b/>
        <sz val="10"/>
        <color theme="1"/>
        <rFont val="Aptos Display"/>
        <family val="2"/>
        <scheme val="major"/>
      </rPr>
      <t xml:space="preserve"> * dSOC </t>
    </r>
    <r>
      <rPr>
        <b/>
        <vertAlign val="subscript"/>
        <sz val="10"/>
        <color theme="1"/>
        <rFont val="Aptos Display"/>
        <family val="2"/>
        <scheme val="major"/>
      </rPr>
      <t>t,i</t>
    </r>
    <r>
      <rPr>
        <b/>
        <sz val="10"/>
        <color theme="1"/>
        <rFont val="Aptos Display"/>
        <family val="2"/>
        <scheme val="major"/>
      </rPr>
      <t xml:space="preserve"> * 1year </t>
    </r>
  </si>
  <si>
    <r>
      <t>dSOC</t>
    </r>
    <r>
      <rPr>
        <b/>
        <vertAlign val="subscript"/>
        <sz val="10"/>
        <color theme="1"/>
        <rFont val="Aptos Display"/>
        <family val="2"/>
        <scheme val="major"/>
      </rPr>
      <t>t</t>
    </r>
    <r>
      <rPr>
        <b/>
        <sz val="10"/>
        <color theme="1"/>
        <rFont val="Aptos Display"/>
        <family val="2"/>
        <scheme val="major"/>
      </rPr>
      <t>,</t>
    </r>
    <r>
      <rPr>
        <b/>
        <vertAlign val="subscript"/>
        <sz val="10"/>
        <color theme="1"/>
        <rFont val="Aptos Display"/>
        <family val="2"/>
        <scheme val="major"/>
      </rPr>
      <t xml:space="preserve">i </t>
    </r>
    <r>
      <rPr>
        <b/>
        <sz val="10"/>
        <color theme="1"/>
        <rFont val="Aptos Display"/>
        <family val="2"/>
        <scheme val="major"/>
      </rPr>
      <t>* 44/12</t>
    </r>
  </si>
  <si>
    <t>t CO2/ha</t>
  </si>
  <si>
    <t>Ai</t>
  </si>
  <si>
    <r>
      <t>SOC</t>
    </r>
    <r>
      <rPr>
        <b/>
        <vertAlign val="subscript"/>
        <sz val="10"/>
        <color theme="1"/>
        <rFont val="Aptos Display"/>
        <family val="2"/>
        <scheme val="major"/>
      </rPr>
      <t>AL,t</t>
    </r>
  </si>
  <si>
    <t>t CO2</t>
  </si>
  <si>
    <t>IPCC CLIMATE REGION</t>
  </si>
  <si>
    <t>IPCC SOILS</t>
  </si>
  <si>
    <t>Tropical moist</t>
  </si>
  <si>
    <t>Tropical montane</t>
  </si>
  <si>
    <t>HAC</t>
  </si>
  <si>
    <t>LAC</t>
  </si>
  <si>
    <t>Planting Year</t>
  </si>
  <si>
    <t>Calendar Year</t>
  </si>
  <si>
    <t>TOTAL SOC</t>
  </si>
  <si>
    <t xml:space="preserve">Summary </t>
  </si>
  <si>
    <t>Biomass tons/tree (tdm, kg)</t>
  </si>
  <si>
    <t>Species</t>
  </si>
  <si>
    <t>Use</t>
  </si>
  <si>
    <t>Source</t>
  </si>
  <si>
    <t>Timber - Gmelina - Research</t>
  </si>
  <si>
    <t>Swamy et. al.</t>
  </si>
  <si>
    <t>Timber - Gmelina - MYRLIN (Reference only)</t>
  </si>
  <si>
    <t>MYRLIN</t>
  </si>
  <si>
    <t>Boundary - Acacia polyacantha</t>
  </si>
  <si>
    <t>Boundary Planting</t>
  </si>
  <si>
    <t>Charcoal - Mix</t>
  </si>
  <si>
    <t>Fuelwood/Charcoal</t>
  </si>
  <si>
    <t>Long Term Average</t>
  </si>
  <si>
    <t>TOTAL C02 PROJECT</t>
  </si>
  <si>
    <t>Baseline scenario</t>
  </si>
  <si>
    <t>DW</t>
  </si>
  <si>
    <t>LI</t>
  </si>
  <si>
    <t xml:space="preserve">TOTAL EST. </t>
  </si>
  <si>
    <t>TOTAL SUBMITTED</t>
  </si>
  <si>
    <t>Project scenario: todate GHG emission reductions and removals at year t</t>
  </si>
  <si>
    <t>Annual change in GHG benefit</t>
  </si>
  <si>
    <t>Expected total GHG benefit to date</t>
  </si>
  <si>
    <t>Total credits available to be issued each year</t>
  </si>
  <si>
    <t>Exante buffer contributions</t>
  </si>
  <si>
    <t>Long term Average</t>
  </si>
  <si>
    <t>exante 2022</t>
  </si>
  <si>
    <t>expost 2022</t>
  </si>
  <si>
    <t>SOC+DW+LI</t>
  </si>
  <si>
    <t>Average annual ERs</t>
  </si>
  <si>
    <t>total</t>
  </si>
  <si>
    <t>Sum</t>
  </si>
  <si>
    <t>Total estimated ERRs in the crediting period</t>
  </si>
  <si>
    <t>LA</t>
  </si>
  <si>
    <t>Estimated ERR total (tCO2)</t>
  </si>
  <si>
    <t>22-Aug-2022</t>
  </si>
  <si>
    <t>to</t>
  </si>
  <si>
    <t>31-Dec-2022</t>
  </si>
  <si>
    <t>Estimated ERR annual (tCO2)</t>
  </si>
  <si>
    <t>01-Jan-2023</t>
  </si>
  <si>
    <t>31-Dec-2023</t>
  </si>
  <si>
    <t>01-Jan-2024</t>
  </si>
  <si>
    <t>31-Dec-2024</t>
  </si>
  <si>
    <t>Total buffer contribution (14%)</t>
  </si>
  <si>
    <t>01-Jan-2025</t>
  </si>
  <si>
    <t>31-Dec-2025</t>
  </si>
  <si>
    <t>Total GHG credits issued</t>
  </si>
  <si>
    <t>01-Jan-2026</t>
  </si>
  <si>
    <t>31-Dec-2026</t>
  </si>
  <si>
    <t>01-Jan-2027</t>
  </si>
  <si>
    <t>31-Dec-2027</t>
  </si>
  <si>
    <t>01-Jan-2028</t>
  </si>
  <si>
    <t>31-Dec-2028</t>
  </si>
  <si>
    <t>01-Jan-2029</t>
  </si>
  <si>
    <t>31-Dec-2029</t>
  </si>
  <si>
    <t>01-Jan-2030</t>
  </si>
  <si>
    <t>31-Dec-2030</t>
  </si>
  <si>
    <t>01-Jan-2031</t>
  </si>
  <si>
    <t>31-Dec-2031</t>
  </si>
  <si>
    <t>01-Jan-2032</t>
  </si>
  <si>
    <t>31-Dec-2032</t>
  </si>
  <si>
    <t>01-Jan-2033</t>
  </si>
  <si>
    <t>31-Dec-2033</t>
  </si>
  <si>
    <t>01-Jan-2034</t>
  </si>
  <si>
    <t>31-Dec-2034</t>
  </si>
  <si>
    <t>01-Jan-2035</t>
  </si>
  <si>
    <t>31-Dec-2035</t>
  </si>
  <si>
    <t>01-Jan-2036</t>
  </si>
  <si>
    <t>31-Dec-2036</t>
  </si>
  <si>
    <t>01-Jan-2037</t>
  </si>
  <si>
    <t>31-Dec-2037</t>
  </si>
  <si>
    <t>01-Jan-2038</t>
  </si>
  <si>
    <t>31-Dec-2038</t>
  </si>
  <si>
    <t>01-Jan-2039</t>
  </si>
  <si>
    <t>31-Dec-2039</t>
  </si>
  <si>
    <t>01-Jan-2040</t>
  </si>
  <si>
    <t>31-Dec-2040</t>
  </si>
  <si>
    <t>01-Jan-2041</t>
  </si>
  <si>
    <t>31-Dec-2041</t>
  </si>
  <si>
    <t>01-Jan-2042</t>
  </si>
  <si>
    <t>31-Dec-2042</t>
  </si>
  <si>
    <t>01-Jan-2043</t>
  </si>
  <si>
    <t>31-Dec-2043</t>
  </si>
  <si>
    <t>01-Jan-2044</t>
  </si>
  <si>
    <t>31-Dec-2044</t>
  </si>
  <si>
    <t>01-Jan-2045</t>
  </si>
  <si>
    <t>31-Dec-2045</t>
  </si>
  <si>
    <t>01-Jan-2046</t>
  </si>
  <si>
    <t>31-Dec-2046</t>
  </si>
  <si>
    <t>01-Jan-2047</t>
  </si>
  <si>
    <t>31-Dec-2047</t>
  </si>
  <si>
    <t>01-Jan-2048</t>
  </si>
  <si>
    <t>31-Dec-2048</t>
  </si>
  <si>
    <t>01-Jan-2049</t>
  </si>
  <si>
    <t>31-Dec-2049</t>
  </si>
  <si>
    <t>01-Jan-2050</t>
  </si>
  <si>
    <t>31-Dec-2050</t>
  </si>
  <si>
    <t>01-Jan-2051</t>
  </si>
  <si>
    <t>31-Dec-2051</t>
  </si>
  <si>
    <t>01-Jan-2052</t>
  </si>
  <si>
    <t>31-Dec-2052</t>
  </si>
  <si>
    <t>01-Jan-2053</t>
  </si>
  <si>
    <t>31-Dec-2053</t>
  </si>
  <si>
    <t>01-Jan-2054</t>
  </si>
  <si>
    <t>31-Dec-2054</t>
  </si>
  <si>
    <t>01-Jan-2055</t>
  </si>
  <si>
    <t>31-Dec-2055</t>
  </si>
  <si>
    <t>01-Jan-2056</t>
  </si>
  <si>
    <t>31-Dec-2056</t>
  </si>
  <si>
    <t>01-Jan-2057</t>
  </si>
  <si>
    <t>31-Dec-2057</t>
  </si>
  <si>
    <t>01-Jan-2058</t>
  </si>
  <si>
    <t>31-Dec-2058</t>
  </si>
  <si>
    <t>01-Jan-2059</t>
  </si>
  <si>
    <t>31-Dec-2059</t>
  </si>
  <si>
    <t>01-Jan-2060</t>
  </si>
  <si>
    <t>31-Dec-2060</t>
  </si>
  <si>
    <t>01-Jan-2061</t>
  </si>
  <si>
    <t>31-Dec-2061</t>
  </si>
  <si>
    <t>01-Jan-2062</t>
  </si>
  <si>
    <t>21-Aug-2062</t>
  </si>
  <si>
    <t>BOUNDARY</t>
  </si>
  <si>
    <t>TIMBER</t>
  </si>
  <si>
    <t>2024 onwards: Kijani projections</t>
  </si>
  <si>
    <t>PLANTED TREES/YEAR (survival rates)</t>
  </si>
  <si>
    <t>Fahideribia</t>
  </si>
  <si>
    <t>Ongono</t>
  </si>
  <si>
    <t>TOTAL-Boundaries</t>
  </si>
  <si>
    <t>TOTAL-Cumulative</t>
  </si>
  <si>
    <t>Gmelina</t>
  </si>
  <si>
    <t>Melia</t>
  </si>
  <si>
    <t>Muzisi</t>
  </si>
  <si>
    <t>TOTAL-Planted</t>
  </si>
  <si>
    <t>HARVESTED TREES/YEAR</t>
  </si>
  <si>
    <t>TOTAL-Harvested</t>
  </si>
  <si>
    <t>Melia Volkensii</t>
  </si>
  <si>
    <t>Gmelina Arborea</t>
  </si>
  <si>
    <t>Maesopsis Eminii</t>
  </si>
  <si>
    <t>Lebek</t>
  </si>
  <si>
    <t>Opok</t>
  </si>
  <si>
    <t>Senna</t>
  </si>
  <si>
    <t>Senegal</t>
  </si>
  <si>
    <t>Seyal</t>
  </si>
  <si>
    <t>Calliandra</t>
  </si>
  <si>
    <t>Survival Rates (already factored into above tree figures)</t>
  </si>
  <si>
    <t>Tree Spacing</t>
  </si>
  <si>
    <t>Spacing (m)</t>
  </si>
  <si>
    <t>Trees/ha</t>
  </si>
  <si>
    <t>Charcoal</t>
  </si>
  <si>
    <t>Planting Areas (est, in ha)</t>
  </si>
  <si>
    <t>Average Trees/ha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</si>
  <si>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</si>
  <si>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</si>
  <si>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</si>
  <si>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</si>
  <si>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</si>
  <si>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</si>
  <si>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</si>
  <si>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</si>
  <si>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</si>
  <si>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</si>
  <si>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SENNA SIAMEA (2x2)</t>
  </si>
  <si>
    <t>ALBIZIA LEBBEK (2x2)</t>
  </si>
  <si>
    <t>MYRLIN MODEL PARAMETERS</t>
  </si>
  <si>
    <t>Chave et al (2014)</t>
  </si>
  <si>
    <t>(index)</t>
  </si>
  <si>
    <t>Trees Per Hectare</t>
  </si>
  <si>
    <t>Quadratic Mean Diameter (Optimal Site Quality)</t>
  </si>
  <si>
    <t xml:space="preserve">Quadratic Mean Diameter </t>
  </si>
  <si>
    <t>Dominant Height</t>
  </si>
  <si>
    <t>Basal Area</t>
  </si>
  <si>
    <t>Total Wood Volume</t>
  </si>
  <si>
    <t>Wood Density</t>
  </si>
  <si>
    <t>AGB/tree (Chave et al  2014)</t>
  </si>
  <si>
    <t>Root shoot ratio</t>
  </si>
  <si>
    <t xml:space="preserve">Total BTRee </t>
  </si>
  <si>
    <t>basalArea</t>
  </si>
  <si>
    <t>totalWoodVolume</t>
  </si>
  <si>
    <t>Average Charcoal Btree</t>
  </si>
  <si>
    <t>0</t>
  </si>
  <si>
    <t>2500</t>
  </si>
  <si>
    <t>0.55</t>
  </si>
  <si>
    <t>1.43</t>
  </si>
  <si>
    <t>1.42</t>
  </si>
  <si>
    <t>4.953</t>
  </si>
  <si>
    <t>1</t>
  </si>
  <si>
    <t>2.21</t>
  </si>
  <si>
    <t>8.755</t>
  </si>
  <si>
    <t>5.69</t>
  </si>
  <si>
    <t>29.738</t>
  </si>
  <si>
    <t>2</t>
  </si>
  <si>
    <t>4.74</t>
  </si>
  <si>
    <t>23.271</t>
  </si>
  <si>
    <t>9.81</t>
  </si>
  <si>
    <t>60.17</t>
  </si>
  <si>
    <t>3</t>
  </si>
  <si>
    <t>2454.77</t>
  </si>
  <si>
    <t>6.97</t>
  </si>
  <si>
    <t>38.527</t>
  </si>
  <si>
    <t>2244.91</t>
  </si>
  <si>
    <t>13.35</t>
  </si>
  <si>
    <t>92.576</t>
  </si>
  <si>
    <t>4</t>
  </si>
  <si>
    <t>2388.94</t>
  </si>
  <si>
    <t>9.17</t>
  </si>
  <si>
    <t>55.601</t>
  </si>
  <si>
    <t>1903.56</t>
  </si>
  <si>
    <t>16.27</t>
  </si>
  <si>
    <t>125.257</t>
  </si>
  <si>
    <t>5</t>
  </si>
  <si>
    <t>2258.49</t>
  </si>
  <si>
    <t>11.31</t>
  </si>
  <si>
    <t>74.256</t>
  </si>
  <si>
    <t>1577.13</t>
  </si>
  <si>
    <t>18.54</t>
  </si>
  <si>
    <t>155.487</t>
  </si>
  <si>
    <t>6</t>
  </si>
  <si>
    <t>2065.43</t>
  </si>
  <si>
    <t>13.24</t>
  </si>
  <si>
    <t>93.457</t>
  </si>
  <si>
    <t>1300.69</t>
  </si>
  <si>
    <t>20.21</t>
  </si>
  <si>
    <t>181.496</t>
  </si>
  <si>
    <t>7</t>
  </si>
  <si>
    <t>1854.55</t>
  </si>
  <si>
    <t>14.92</t>
  </si>
  <si>
    <t>112.214</t>
  </si>
  <si>
    <t>1080.23</t>
  </si>
  <si>
    <t>21.59</t>
  </si>
  <si>
    <t>205.639</t>
  </si>
  <si>
    <t>8</t>
  </si>
  <si>
    <t>1647.72</t>
  </si>
  <si>
    <t>16.19</t>
  </si>
  <si>
    <t>128.432</t>
  </si>
  <si>
    <t>905.36</t>
  </si>
  <si>
    <t>22.7</t>
  </si>
  <si>
    <t>227.285</t>
  </si>
  <si>
    <t>9</t>
  </si>
  <si>
    <t>1459.47</t>
  </si>
  <si>
    <t>17.28</t>
  </si>
  <si>
    <t>143.677</t>
  </si>
  <si>
    <t>773.46</t>
  </si>
  <si>
    <t>23.78</t>
  </si>
  <si>
    <t>248.663</t>
  </si>
  <si>
    <t>10</t>
  </si>
  <si>
    <t>1295.63</t>
  </si>
  <si>
    <t>18.28</t>
  </si>
  <si>
    <t>158.608</t>
  </si>
  <si>
    <t>669.8</t>
  </si>
  <si>
    <t>24.57</t>
  </si>
  <si>
    <t>266.355</t>
  </si>
  <si>
    <t>11</t>
  </si>
  <si>
    <t>1155.13</t>
  </si>
  <si>
    <t>19.18</t>
  </si>
  <si>
    <t>172.886</t>
  </si>
  <si>
    <t>592.01</t>
  </si>
  <si>
    <t>25.3</t>
  </si>
  <si>
    <t>282.56</t>
  </si>
  <si>
    <t>12</t>
  </si>
  <si>
    <t>1033.34</t>
  </si>
  <si>
    <t>19.96</t>
  </si>
  <si>
    <t>186.144</t>
  </si>
  <si>
    <t>531.29</t>
  </si>
  <si>
    <t>26.03</t>
  </si>
  <si>
    <t>298.701</t>
  </si>
  <si>
    <t>13</t>
  </si>
  <si>
    <t>929.5</t>
  </si>
  <si>
    <t>20.64</t>
  </si>
  <si>
    <t>198.508</t>
  </si>
  <si>
    <t>481.64</t>
  </si>
  <si>
    <t>26.63</t>
  </si>
  <si>
    <t>313.06</t>
  </si>
  <si>
    <t>14</t>
  </si>
  <si>
    <t>843.51</t>
  </si>
  <si>
    <t>21.23</t>
  </si>
  <si>
    <t>209.718</t>
  </si>
  <si>
    <t>441.05</t>
  </si>
  <si>
    <t>27.29</t>
  </si>
  <si>
    <t>328.279</t>
  </si>
  <si>
    <t>15</t>
  </si>
  <si>
    <t>768.95</t>
  </si>
  <si>
    <t>21.77</t>
  </si>
  <si>
    <t>220.368</t>
  </si>
  <si>
    <t>409.87</t>
  </si>
  <si>
    <t>28.05</t>
  </si>
  <si>
    <t>344.607</t>
  </si>
  <si>
    <t>16</t>
  </si>
  <si>
    <t>705.75</t>
  </si>
  <si>
    <t>22.18</t>
  </si>
  <si>
    <t>229.39</t>
  </si>
  <si>
    <t>381.51</t>
  </si>
  <si>
    <t>28.68</t>
  </si>
  <si>
    <t>359.567</t>
  </si>
  <si>
    <t>17</t>
  </si>
  <si>
    <t>654.74</t>
  </si>
  <si>
    <t>22.63</t>
  </si>
  <si>
    <t>238.673</t>
  </si>
  <si>
    <t>358.61</t>
  </si>
  <si>
    <t>29.37</t>
  </si>
  <si>
    <t>375.091</t>
  </si>
  <si>
    <t>18</t>
  </si>
  <si>
    <t>610.59</t>
  </si>
  <si>
    <t>23.09</t>
  </si>
  <si>
    <t>247.964</t>
  </si>
  <si>
    <t>339.97</t>
  </si>
  <si>
    <t>30.17</t>
  </si>
  <si>
    <t>392.14</t>
  </si>
  <si>
    <t>19</t>
  </si>
  <si>
    <t>570.87</t>
  </si>
  <si>
    <t>23.45</t>
  </si>
  <si>
    <t>256.21</t>
  </si>
  <si>
    <t>324.31</t>
  </si>
  <si>
    <t>31.04</t>
  </si>
  <si>
    <t>410.354</t>
  </si>
  <si>
    <t>20</t>
  </si>
  <si>
    <t>538.32</t>
  </si>
  <si>
    <t>23.9</t>
  </si>
  <si>
    <t>265.387</t>
  </si>
  <si>
    <t>306.94</t>
  </si>
  <si>
    <t>31.59</t>
  </si>
  <si>
    <t>424.613</t>
  </si>
  <si>
    <t>21</t>
  </si>
  <si>
    <t>511.27</t>
  </si>
  <si>
    <t>24.4</t>
  </si>
  <si>
    <t>275.234</t>
  </si>
  <si>
    <t>291.99</t>
  </si>
  <si>
    <t>32.25</t>
  </si>
  <si>
    <t>440.273</t>
  </si>
  <si>
    <t>22</t>
  </si>
  <si>
    <t>485.58</t>
  </si>
  <si>
    <t>24.85</t>
  </si>
  <si>
    <t>284.513</t>
  </si>
  <si>
    <t>279.36</t>
  </si>
  <si>
    <t>32.97</t>
  </si>
  <si>
    <t>457.086</t>
  </si>
  <si>
    <t>23</t>
  </si>
  <si>
    <t>463.37</t>
  </si>
  <si>
    <t>25.29</t>
  </si>
  <si>
    <t>293.699</t>
  </si>
  <si>
    <t>268.26</t>
  </si>
  <si>
    <t>33.76</t>
  </si>
  <si>
    <t>474.957</t>
  </si>
  <si>
    <t>24</t>
  </si>
  <si>
    <t>443.83</t>
  </si>
  <si>
    <t>25.74</t>
  </si>
  <si>
    <t>302.938</t>
  </si>
  <si>
    <t>257.73</t>
  </si>
  <si>
    <t>34.5</t>
  </si>
  <si>
    <t>492.232</t>
  </si>
  <si>
    <t>25</t>
  </si>
  <si>
    <t>424.75</t>
  </si>
  <si>
    <t>26.16</t>
  </si>
  <si>
    <t>312.031</t>
  </si>
  <si>
    <t>248.14</t>
  </si>
  <si>
    <t>35.28</t>
  </si>
  <si>
    <t>510.436</t>
  </si>
  <si>
    <t>26</t>
  </si>
  <si>
    <t>408.24</t>
  </si>
  <si>
    <t>321.752</t>
  </si>
  <si>
    <t>238.63</t>
  </si>
  <si>
    <t>35.91</t>
  </si>
  <si>
    <t>526.325</t>
  </si>
  <si>
    <t>27</t>
  </si>
  <si>
    <t>393.31</t>
  </si>
  <si>
    <t>27.09</t>
  </si>
  <si>
    <t>331.448</t>
  </si>
  <si>
    <t>229.97</t>
  </si>
  <si>
    <t>36.58</t>
  </si>
  <si>
    <t>542.99</t>
  </si>
  <si>
    <t>28</t>
  </si>
  <si>
    <t>379.48</t>
  </si>
  <si>
    <t>27.51</t>
  </si>
  <si>
    <t>340.601</t>
  </si>
  <si>
    <t>221.31</t>
  </si>
  <si>
    <t>37.15</t>
  </si>
  <si>
    <t>558.358</t>
  </si>
  <si>
    <t>29</t>
  </si>
  <si>
    <t>366.99</t>
  </si>
  <si>
    <t>27.96</t>
  </si>
  <si>
    <t>350.198</t>
  </si>
  <si>
    <t>213.19</t>
  </si>
  <si>
    <t>37.76</t>
  </si>
  <si>
    <t>574.425</t>
  </si>
  <si>
    <t>30</t>
  </si>
  <si>
    <t>355.59</t>
  </si>
  <si>
    <t>28.44</t>
  </si>
  <si>
    <t>360.122</t>
  </si>
  <si>
    <t>205.57</t>
  </si>
  <si>
    <t>38.4</t>
  </si>
  <si>
    <t>591.194</t>
  </si>
  <si>
    <t>31</t>
  </si>
  <si>
    <t>344.56</t>
  </si>
  <si>
    <t>28.88</t>
  </si>
  <si>
    <t>369.73</t>
  </si>
  <si>
    <t>198.42</t>
  </si>
  <si>
    <t>39.07</t>
  </si>
  <si>
    <t>608.665</t>
  </si>
  <si>
    <t>32</t>
  </si>
  <si>
    <t>334.32</t>
  </si>
  <si>
    <t>29.34</t>
  </si>
  <si>
    <t>379.721</t>
  </si>
  <si>
    <t>191.7</t>
  </si>
  <si>
    <t>39.77</t>
  </si>
  <si>
    <t>626.838</t>
  </si>
  <si>
    <t>33</t>
  </si>
  <si>
    <t>324.83</t>
  </si>
  <si>
    <t>29.82</t>
  </si>
  <si>
    <t>390.047</t>
  </si>
  <si>
    <t>185.38</t>
  </si>
  <si>
    <t>40.51</t>
  </si>
  <si>
    <t>645.707</t>
  </si>
  <si>
    <t>34</t>
  </si>
  <si>
    <t>315.44</t>
  </si>
  <si>
    <t>30.22</t>
  </si>
  <si>
    <t>399.362</t>
  </si>
  <si>
    <t>178.96</t>
  </si>
  <si>
    <t>41.13</t>
  </si>
  <si>
    <t>662.86</t>
  </si>
  <si>
    <t>35</t>
  </si>
  <si>
    <t>306.61</t>
  </si>
  <si>
    <t>30.64</t>
  </si>
  <si>
    <t>408.967</t>
  </si>
  <si>
    <t>172.24</t>
  </si>
  <si>
    <t>41.5</t>
  </si>
  <si>
    <t>675.788</t>
  </si>
  <si>
    <t>36</t>
  </si>
  <si>
    <t>297.99</t>
  </si>
  <si>
    <t>31.03</t>
  </si>
  <si>
    <t>418.143</t>
  </si>
  <si>
    <t>165.92</t>
  </si>
  <si>
    <t>41.9</t>
  </si>
  <si>
    <t>689.332</t>
  </si>
  <si>
    <t>37</t>
  </si>
  <si>
    <t>289.89</t>
  </si>
  <si>
    <t>31.43</t>
  </si>
  <si>
    <t>427.622</t>
  </si>
  <si>
    <t>159.99</t>
  </si>
  <si>
    <t>42.34</t>
  </si>
  <si>
    <t>703.487</t>
  </si>
  <si>
    <t>38</t>
  </si>
  <si>
    <t>282.15</t>
  </si>
  <si>
    <t>31.84</t>
  </si>
  <si>
    <t>437.389</t>
  </si>
  <si>
    <t>154.4</t>
  </si>
  <si>
    <t>42.8</t>
  </si>
  <si>
    <t>718.244</t>
  </si>
  <si>
    <t>39</t>
  </si>
  <si>
    <t>274.76</t>
  </si>
  <si>
    <t>32.27</t>
  </si>
  <si>
    <t>447.444</t>
  </si>
  <si>
    <t>149.16</t>
  </si>
  <si>
    <t>43.29</t>
  </si>
  <si>
    <t>733.609</t>
  </si>
  <si>
    <t>40</t>
  </si>
  <si>
    <t>267.68</t>
  </si>
  <si>
    <t>32.71</t>
  </si>
  <si>
    <t>457.788</t>
  </si>
  <si>
    <t>144.23</t>
  </si>
  <si>
    <t>43.81</t>
  </si>
  <si>
    <t>749.572</t>
  </si>
  <si>
    <t>41</t>
  </si>
  <si>
    <t>260.89</t>
  </si>
  <si>
    <t>33.17</t>
  </si>
  <si>
    <t>468.419</t>
  </si>
  <si>
    <t>139.58</t>
  </si>
  <si>
    <t>44.36</t>
  </si>
  <si>
    <t>766.129</t>
  </si>
  <si>
    <t>42</t>
  </si>
  <si>
    <t>254.05</t>
  </si>
  <si>
    <t>33.57</t>
  </si>
  <si>
    <t>478.394</t>
  </si>
  <si>
    <t>135.21</t>
  </si>
  <si>
    <t>44.93</t>
  </si>
  <si>
    <t>783.275</t>
  </si>
  <si>
    <t>43</t>
  </si>
  <si>
    <t>247.53</t>
  </si>
  <si>
    <t>33.99</t>
  </si>
  <si>
    <t>488.69</t>
  </si>
  <si>
    <t>131.09</t>
  </si>
  <si>
    <t>45.53</t>
  </si>
  <si>
    <t>800.997</t>
  </si>
  <si>
    <t>44</t>
  </si>
  <si>
    <t>240.78</t>
  </si>
  <si>
    <t>34.3</t>
  </si>
  <si>
    <t>497.241</t>
  </si>
  <si>
    <t>127.21</t>
  </si>
  <si>
    <t>46.16</t>
  </si>
  <si>
    <t>819.306</t>
  </si>
  <si>
    <t>45</t>
  </si>
  <si>
    <t>234.33</t>
  </si>
  <si>
    <t>34.62</t>
  </si>
  <si>
    <t>506.042</t>
  </si>
  <si>
    <t>123.14</t>
  </si>
  <si>
    <t>46.63</t>
  </si>
  <si>
    <t>834.949</t>
  </si>
  <si>
    <t>46</t>
  </si>
  <si>
    <t>228.14</t>
  </si>
  <si>
    <t>34.95</t>
  </si>
  <si>
    <t>515.092</t>
  </si>
  <si>
    <t>119.33</t>
  </si>
  <si>
    <t>47.14</t>
  </si>
  <si>
    <t>851.356</t>
  </si>
  <si>
    <t>47</t>
  </si>
  <si>
    <t>222.23</t>
  </si>
  <si>
    <t>35.29</t>
  </si>
  <si>
    <t>524.397</t>
  </si>
  <si>
    <t>115.75</t>
  </si>
  <si>
    <t>47.68</t>
  </si>
  <si>
    <t>868.514</t>
  </si>
  <si>
    <t>48</t>
  </si>
  <si>
    <t>216.58</t>
  </si>
  <si>
    <t>35.65</t>
  </si>
  <si>
    <t>533.953</t>
  </si>
  <si>
    <t>112.37</t>
  </si>
  <si>
    <t>48.26</t>
  </si>
  <si>
    <t>886.401</t>
  </si>
  <si>
    <t>49</t>
  </si>
  <si>
    <t>211.17</t>
  </si>
  <si>
    <t>36.02</t>
  </si>
  <si>
    <t>543.76</t>
  </si>
  <si>
    <t>109.22</t>
  </si>
  <si>
    <t>48.87</t>
  </si>
  <si>
    <t>905.023</t>
  </si>
  <si>
    <t>50</t>
  </si>
  <si>
    <t>205.99</t>
  </si>
  <si>
    <t>36.4</t>
  </si>
  <si>
    <t>553.818</t>
  </si>
  <si>
    <t>106.25</t>
  </si>
  <si>
    <t>49.51</t>
  </si>
  <si>
    <t>924.358</t>
  </si>
  <si>
    <t>625</t>
  </si>
  <si>
    <t>0.6</t>
  </si>
  <si>
    <t>2.431</t>
  </si>
  <si>
    <t>2.38</t>
  </si>
  <si>
    <t>14.441</t>
  </si>
  <si>
    <t>4.67</t>
  </si>
  <si>
    <t>33.473</t>
  </si>
  <si>
    <t>623</t>
  </si>
  <si>
    <t>7.23</t>
  </si>
  <si>
    <t>58.038</t>
  </si>
  <si>
    <t>615.98</t>
  </si>
  <si>
    <t>10.09</t>
  </si>
  <si>
    <t>88.829</t>
  </si>
  <si>
    <t>606.11</t>
  </si>
  <si>
    <t>13.18</t>
  </si>
  <si>
    <t>125.039</t>
  </si>
  <si>
    <t>590.07</t>
  </si>
  <si>
    <t>16.2</t>
  </si>
  <si>
    <t>163.519</t>
  </si>
  <si>
    <t>570.98</t>
  </si>
  <si>
    <t>19.02</t>
  </si>
  <si>
    <t>201.764</t>
  </si>
  <si>
    <t>550.4</t>
  </si>
  <si>
    <t>238.904</t>
  </si>
  <si>
    <t>529.36</t>
  </si>
  <si>
    <t>23.97</t>
  </si>
  <si>
    <t>275.131</t>
  </si>
  <si>
    <t>495.68</t>
  </si>
  <si>
    <t>309.109</t>
  </si>
  <si>
    <t>458.42</t>
  </si>
  <si>
    <t>27.73</t>
  </si>
  <si>
    <t>339.541</t>
  </si>
  <si>
    <t>422.01</t>
  </si>
  <si>
    <t>29.16</t>
  </si>
  <si>
    <t>367.19</t>
  </si>
  <si>
    <t>389.06</t>
  </si>
  <si>
    <t>30.34</t>
  </si>
  <si>
    <t>391.652</t>
  </si>
  <si>
    <t>359.93</t>
  </si>
  <si>
    <t>31.34</t>
  </si>
  <si>
    <t>413.633</t>
  </si>
  <si>
    <t>334.86</t>
  </si>
  <si>
    <t>32.29</t>
  </si>
  <si>
    <t>435.158</t>
  </si>
  <si>
    <t>312.72</t>
  </si>
  <si>
    <t>33.15</t>
  </si>
  <si>
    <t>455.595</t>
  </si>
  <si>
    <t>293.75</t>
  </si>
  <si>
    <t>475.639</t>
  </si>
  <si>
    <t>277.11</t>
  </si>
  <si>
    <t>34.8</t>
  </si>
  <si>
    <t>495.472</t>
  </si>
  <si>
    <t>262.37</t>
  </si>
  <si>
    <t>35.63</t>
  </si>
  <si>
    <t>515.673</t>
  </si>
  <si>
    <t>249.6</t>
  </si>
  <si>
    <t>36.45</t>
  </si>
  <si>
    <t>535.83</t>
  </si>
  <si>
    <t>238.4</t>
  </si>
  <si>
    <t>37.3</t>
  </si>
  <si>
    <t>556.62</t>
  </si>
  <si>
    <t>227.77</t>
  </si>
  <si>
    <t>38.1</t>
  </si>
  <si>
    <t>576.893</t>
  </si>
  <si>
    <t>218.63</t>
  </si>
  <si>
    <t>38.95</t>
  </si>
  <si>
    <t>597.979</t>
  </si>
  <si>
    <t>210.02</t>
  </si>
  <si>
    <t>39.74</t>
  </si>
  <si>
    <t>618.262</t>
  </si>
  <si>
    <t>201.87</t>
  </si>
  <si>
    <t>40.52</t>
  </si>
  <si>
    <t>638.654</t>
  </si>
  <si>
    <t>194.56</t>
  </si>
  <si>
    <t>41.27</t>
  </si>
  <si>
    <t>658.706</t>
  </si>
  <si>
    <t>187.53</t>
  </si>
  <si>
    <t>42.01</t>
  </si>
  <si>
    <t>678.773</t>
  </si>
  <si>
    <t>180.91</t>
  </si>
  <si>
    <t>42.77</t>
  </si>
  <si>
    <t>699.488</t>
  </si>
  <si>
    <t>174.29</t>
  </si>
  <si>
    <t>43.45</t>
  </si>
  <si>
    <t>718.829</t>
  </si>
  <si>
    <t>168.12</t>
  </si>
  <si>
    <t>44.15</t>
  </si>
  <si>
    <t>738.866</t>
  </si>
  <si>
    <t>162.18</t>
  </si>
  <si>
    <t>44.83</t>
  </si>
  <si>
    <t>758.815</t>
  </si>
  <si>
    <t>156.41</t>
  </si>
  <si>
    <t>45.45</t>
  </si>
  <si>
    <t>777.795</t>
  </si>
  <si>
    <t>150.85</t>
  </si>
  <si>
    <t>46.06</t>
  </si>
  <si>
    <t>796.646</t>
  </si>
  <si>
    <t>145.55</t>
  </si>
  <si>
    <t>46.69</t>
  </si>
  <si>
    <t>816.156</t>
  </si>
  <si>
    <t>140.59</t>
  </si>
  <si>
    <t>47.35</t>
  </si>
  <si>
    <t>836.378</t>
  </si>
  <si>
    <t>135.65</t>
  </si>
  <si>
    <t>47.89</t>
  </si>
  <si>
    <t>854.445</t>
  </si>
  <si>
    <t>130.99</t>
  </si>
  <si>
    <t>48.46</t>
  </si>
  <si>
    <t>873.162</t>
  </si>
  <si>
    <t>126.58</t>
  </si>
  <si>
    <t>49.05</t>
  </si>
  <si>
    <t>892.545</t>
  </si>
  <si>
    <t>122.31</t>
  </si>
  <si>
    <t>49.63</t>
  </si>
  <si>
    <t>911.68</t>
  </si>
  <si>
    <t>118.24</t>
  </si>
  <si>
    <t>50.23</t>
  </si>
  <si>
    <t>931.501</t>
  </si>
  <si>
    <t>114.28</t>
  </si>
  <si>
    <t>50.74</t>
  </si>
  <si>
    <t>949.609</t>
  </si>
  <si>
    <t>110.43</t>
  </si>
  <si>
    <t>51.23</t>
  </si>
  <si>
    <t>967.316</t>
  </si>
  <si>
    <t>106.8</t>
  </si>
  <si>
    <t>51.74</t>
  </si>
  <si>
    <t>985.697</t>
  </si>
  <si>
    <t>103.37</t>
  </si>
  <si>
    <t>52.29</t>
  </si>
  <si>
    <t>1004.745</t>
  </si>
  <si>
    <t>100.09</t>
  </si>
  <si>
    <t>52.86</t>
  </si>
  <si>
    <t>1024.425</t>
  </si>
  <si>
    <t>96.94</t>
  </si>
  <si>
    <t>53.4</t>
  </si>
  <si>
    <t>1043.659</t>
  </si>
  <si>
    <t>93.8</t>
  </si>
  <si>
    <t>53.82</t>
  </si>
  <si>
    <t>1060.496</t>
  </si>
  <si>
    <t>90.82</t>
  </si>
  <si>
    <t>54.27</t>
  </si>
  <si>
    <t>1077.956</t>
  </si>
  <si>
    <t>88.01</t>
  </si>
  <si>
    <t>54.75</t>
  </si>
  <si>
    <t>1096.033</t>
  </si>
  <si>
    <t>85.33</t>
  </si>
  <si>
    <t>55.25</t>
  </si>
  <si>
    <t>1114.693</t>
  </si>
  <si>
    <t>Columna1</t>
  </si>
  <si>
    <t>Columna2</t>
  </si>
  <si>
    <t>Columna3</t>
  </si>
  <si>
    <t>Column1</t>
  </si>
  <si>
    <t>Columna42</t>
  </si>
  <si>
    <t>Columna20</t>
  </si>
  <si>
    <t>Columna5</t>
  </si>
  <si>
    <t>Columna6</t>
  </si>
  <si>
    <t>Column2</t>
  </si>
  <si>
    <t>Column3</t>
  </si>
  <si>
    <t>Column4</t>
  </si>
  <si>
    <t>Column5</t>
  </si>
  <si>
    <t>2.69</t>
  </si>
  <si>
    <t>3.89</t>
  </si>
  <si>
    <t>5.38</t>
  </si>
  <si>
    <t>6.21</t>
  </si>
  <si>
    <t>7.07</t>
  </si>
  <si>
    <t>7.84</t>
  </si>
  <si>
    <t>8.7</t>
  </si>
  <si>
    <t>9.49</t>
  </si>
  <si>
    <t>10.43</t>
  </si>
  <si>
    <t>11.11</t>
  </si>
  <si>
    <t>12.23</t>
  </si>
  <si>
    <t>12.44</t>
  </si>
  <si>
    <t>14.06</t>
  </si>
  <si>
    <t>13.68</t>
  </si>
  <si>
    <t>15.95</t>
  </si>
  <si>
    <t>14.8</t>
  </si>
  <si>
    <t>17.87</t>
  </si>
  <si>
    <t>15.84</t>
  </si>
  <si>
    <t>19.79</t>
  </si>
  <si>
    <t>16.79</t>
  </si>
  <si>
    <t>21.61</t>
  </si>
  <si>
    <t>17.59</t>
  </si>
  <si>
    <t>23.33</t>
  </si>
  <si>
    <t>18.31</t>
  </si>
  <si>
    <t>24.98</t>
  </si>
  <si>
    <t>19.01</t>
  </si>
  <si>
    <t>26.53</t>
  </si>
  <si>
    <t>19.71</t>
  </si>
  <si>
    <t>28.07</t>
  </si>
  <si>
    <t>20.39</t>
  </si>
  <si>
    <t>29.52</t>
  </si>
  <si>
    <t>21.08</t>
  </si>
  <si>
    <t>30.94</t>
  </si>
  <si>
    <t>21.8</t>
  </si>
  <si>
    <t>22.49</t>
  </si>
  <si>
    <t>33.61</t>
  </si>
  <si>
    <t>23.19</t>
  </si>
  <si>
    <t>34.91</t>
  </si>
  <si>
    <t>23.93</t>
  </si>
  <si>
    <t>36.2</t>
  </si>
  <si>
    <t>24.69</t>
  </si>
  <si>
    <t>37.5</t>
  </si>
  <si>
    <t>25.36</t>
  </si>
  <si>
    <t>38.77</t>
  </si>
  <si>
    <t>26.07</t>
  </si>
  <si>
    <t>40.03</t>
  </si>
  <si>
    <t>26.81</t>
  </si>
  <si>
    <t>41.28</t>
  </si>
  <si>
    <t>27.56</t>
  </si>
  <si>
    <t>42.55</t>
  </si>
  <si>
    <t>28.31</t>
  </si>
  <si>
    <t>43.77</t>
  </si>
  <si>
    <t>29.05</t>
  </si>
  <si>
    <t>29.75</t>
  </si>
  <si>
    <t>46.23</t>
  </si>
  <si>
    <t>30.46</t>
  </si>
  <si>
    <t>47.49</t>
  </si>
  <si>
    <t>31.16</t>
  </si>
  <si>
    <t>48.77</t>
  </si>
  <si>
    <t>31.86</t>
  </si>
  <si>
    <t>50.07</t>
  </si>
  <si>
    <t>32.59</t>
  </si>
  <si>
    <t>51.4</t>
  </si>
  <si>
    <t>33.33</t>
  </si>
  <si>
    <t>52.75</t>
  </si>
  <si>
    <t>34.09</t>
  </si>
  <si>
    <t>54.09</t>
  </si>
  <si>
    <t>34.87</t>
  </si>
  <si>
    <t>55.39</t>
  </si>
  <si>
    <t>35.59</t>
  </si>
  <si>
    <t>56.71</t>
  </si>
  <si>
    <t>36.21</t>
  </si>
  <si>
    <t>58.04</t>
  </si>
  <si>
    <t>36.86</t>
  </si>
  <si>
    <t>59.41</t>
  </si>
  <si>
    <t>37.07</t>
  </si>
  <si>
    <t>60.79</t>
  </si>
  <si>
    <t>37.74</t>
  </si>
  <si>
    <t>62.19</t>
  </si>
  <si>
    <t>38.43</t>
  </si>
  <si>
    <t>63.61</t>
  </si>
  <si>
    <t>39.14</t>
  </si>
  <si>
    <t>65.05</t>
  </si>
  <si>
    <t>39.87</t>
  </si>
  <si>
    <t>66.5</t>
  </si>
  <si>
    <t>40.62</t>
  </si>
  <si>
    <t>67.97</t>
  </si>
  <si>
    <t>41.03</t>
  </si>
  <si>
    <t>69.43</t>
  </si>
  <si>
    <t>41.82</t>
  </si>
  <si>
    <t>70.92</t>
  </si>
  <si>
    <t>42.25</t>
  </si>
  <si>
    <t>72.42</t>
  </si>
  <si>
    <t>42.75</t>
  </si>
  <si>
    <t>73.94</t>
  </si>
  <si>
    <t>43.32</t>
  </si>
  <si>
    <t>75.48</t>
  </si>
  <si>
    <t>43.76</t>
  </si>
  <si>
    <t>77.03</t>
  </si>
  <si>
    <t>44.44</t>
  </si>
  <si>
    <t>Species:</t>
  </si>
  <si>
    <t>Gmelina arborea</t>
  </si>
  <si>
    <t>Spacing:</t>
  </si>
  <si>
    <t>trees/ha</t>
  </si>
  <si>
    <t>Mortality</t>
  </si>
  <si>
    <t>Carbon fraction</t>
  </si>
  <si>
    <t>Stoichiometric Conversion</t>
  </si>
  <si>
    <t>Below Ground Biomass (Woody)</t>
  </si>
  <si>
    <t>Above Ground Biomass (tCO2e)</t>
  </si>
  <si>
    <t>Below Ground Biomass (t/tree)</t>
  </si>
  <si>
    <t>Above Ground Biomass (t/tree)</t>
  </si>
  <si>
    <t>Total biomass (t/tree)</t>
  </si>
  <si>
    <t>Above Ground Biomass (Woody)</t>
  </si>
  <si>
    <t>Total biomass (tCO2/tree)</t>
  </si>
  <si>
    <t xml:space="preserve">Values correspond to biomass stocks (tdm/tree) and does not represent annual growth rates (tdm/tree/year) </t>
  </si>
  <si>
    <t>Biomass tons/tree</t>
  </si>
  <si>
    <t>Data Type</t>
  </si>
  <si>
    <t>AGB</t>
  </si>
  <si>
    <t>Research</t>
  </si>
  <si>
    <t>derived from MYRLIN</t>
  </si>
  <si>
    <t>BGB</t>
  </si>
  <si>
    <t>Total biomass Gmelina</t>
  </si>
  <si>
    <t>Total biomass Melia</t>
  </si>
  <si>
    <t>Total biomass Muzisi</t>
  </si>
  <si>
    <t>Boundary - all species</t>
  </si>
  <si>
    <t>Charcoal - all species</t>
  </si>
  <si>
    <t>1.11</t>
  </si>
  <si>
    <t>5.47</t>
  </si>
  <si>
    <t>4.46</t>
  </si>
  <si>
    <t>32.077</t>
  </si>
  <si>
    <t>8.44</t>
  </si>
  <si>
    <t>70.959</t>
  </si>
  <si>
    <t>615.39</t>
  </si>
  <si>
    <t>12.7</t>
  </si>
  <si>
    <t>119.368</t>
  </si>
  <si>
    <t>597.99</t>
  </si>
  <si>
    <t>17.25</t>
  </si>
  <si>
    <t>177.32</t>
  </si>
  <si>
    <t>575.38</t>
  </si>
  <si>
    <t>21.67</t>
  </si>
  <si>
    <t>239.107</t>
  </si>
  <si>
    <t>547.33</t>
  </si>
  <si>
    <t>25.63</t>
  </si>
  <si>
    <t>298.967</t>
  </si>
  <si>
    <t>493.84</t>
  </si>
  <si>
    <t>28.8</t>
  </si>
  <si>
    <t>353.185</t>
  </si>
  <si>
    <t>439.16</t>
  </si>
  <si>
    <t>31.36</t>
  </si>
  <si>
    <t>402.23</t>
  </si>
  <si>
    <t>389.69</t>
  </si>
  <si>
    <t>33.46</t>
  </si>
  <si>
    <t>446.247</t>
  </si>
  <si>
    <t>347.07</t>
  </si>
  <si>
    <t>35.25</t>
  </si>
  <si>
    <t>486.561</t>
  </si>
  <si>
    <t>310.78</t>
  </si>
  <si>
    <t>36.6</t>
  </si>
  <si>
    <t>520.449</t>
  </si>
  <si>
    <t>281.54</t>
  </si>
  <si>
    <t>37.75</t>
  </si>
  <si>
    <t>550.604</t>
  </si>
  <si>
    <t>257.56</t>
  </si>
  <si>
    <t>38.91</t>
  </si>
  <si>
    <t>581.077</t>
  </si>
  <si>
    <t>237.2</t>
  </si>
  <si>
    <t>39.96</t>
  </si>
  <si>
    <t>609.624</t>
  </si>
  <si>
    <t>220.29</t>
  </si>
  <si>
    <t>41.01</t>
  </si>
  <si>
    <t>638.225</t>
  </si>
  <si>
    <t>206.83</t>
  </si>
  <si>
    <t>42.19</t>
  </si>
  <si>
    <t>668.951</t>
  </si>
  <si>
    <t>194.72</t>
  </si>
  <si>
    <t>43.27</t>
  </si>
  <si>
    <t>698.336</t>
  </si>
  <si>
    <t>183.84</t>
  </si>
  <si>
    <t>44.34</t>
  </si>
  <si>
    <t>727.752</t>
  </si>
  <si>
    <t>174.44</t>
  </si>
  <si>
    <t>45.38</t>
  </si>
  <si>
    <t>756.703</t>
  </si>
  <si>
    <t>166.33</t>
  </si>
  <si>
    <t>46.51</t>
  </si>
  <si>
    <t>787.518</t>
  </si>
  <si>
    <t>158.74</t>
  </si>
  <si>
    <t>47.55</t>
  </si>
  <si>
    <t>816.842</t>
  </si>
  <si>
    <t>151.83</t>
  </si>
  <si>
    <t>48.58</t>
  </si>
  <si>
    <t>846.372</t>
  </si>
  <si>
    <t>145.79</t>
  </si>
  <si>
    <t>49.67</t>
  </si>
  <si>
    <t>877.362</t>
  </si>
  <si>
    <t>139.99</t>
  </si>
  <si>
    <t>50.63</t>
  </si>
  <si>
    <t>906.078</t>
  </si>
  <si>
    <t>134.56</t>
  </si>
  <si>
    <t>51.64</t>
  </si>
  <si>
    <t>935.919</t>
  </si>
  <si>
    <t>129.32</t>
  </si>
  <si>
    <t>52.6</t>
  </si>
  <si>
    <t>965.338</t>
  </si>
  <si>
    <t>124.2</t>
  </si>
  <si>
    <t>53.45</t>
  </si>
  <si>
    <t>993.026</t>
  </si>
  <si>
    <t>119.43</t>
  </si>
  <si>
    <t>54.35</t>
  </si>
  <si>
    <t>1021.711</t>
  </si>
  <si>
    <t>114.82</t>
  </si>
  <si>
    <t>55.21</t>
  </si>
  <si>
    <t>1049.984</t>
  </si>
  <si>
    <t>110.5</t>
  </si>
  <si>
    <t>56.11</t>
  </si>
  <si>
    <t>1079.463</t>
  </si>
  <si>
    <t>106.46</t>
  </si>
  <si>
    <t>57.06</t>
  </si>
  <si>
    <t>1110.145</t>
  </si>
  <si>
    <t>102.33</t>
  </si>
  <si>
    <t>57.79</t>
  </si>
  <si>
    <t>1136.364</t>
  </si>
  <si>
    <t>98.49</t>
  </si>
  <si>
    <t>58.56</t>
  </si>
  <si>
    <t>1163.734</t>
  </si>
  <si>
    <t>94.88</t>
  </si>
  <si>
    <t>59.37</t>
  </si>
  <si>
    <t>1192.223</t>
  </si>
  <si>
    <t>91.37</t>
  </si>
  <si>
    <t>60.14</t>
  </si>
  <si>
    <t>1219.835</t>
  </si>
  <si>
    <t>88.08</t>
  </si>
  <si>
    <t>60.94</t>
  </si>
  <si>
    <t>1248.659</t>
  </si>
  <si>
    <t>84.8</t>
  </si>
  <si>
    <t>61.57</t>
  </si>
  <si>
    <t>1273.703</t>
  </si>
  <si>
    <t>81.74</t>
  </si>
  <si>
    <t>62.25</t>
  </si>
  <si>
    <t>1299.81</t>
  </si>
  <si>
    <t>78.86</t>
  </si>
  <si>
    <t>62.96</t>
  </si>
  <si>
    <t>1326.934</t>
  </si>
  <si>
    <t>76.05</t>
  </si>
  <si>
    <t>63.62</t>
  </si>
  <si>
    <t>1352.929</t>
  </si>
  <si>
    <t>73.41</t>
  </si>
  <si>
    <t>64.32</t>
  </si>
  <si>
    <t>1380.046</t>
  </si>
  <si>
    <t>70.91</t>
  </si>
  <si>
    <t>1408.222</t>
  </si>
  <si>
    <t>68.58</t>
  </si>
  <si>
    <t>65.84</t>
  </si>
  <si>
    <t>1437.546</t>
  </si>
  <si>
    <t>66.39</t>
  </si>
  <si>
    <t>66.67</t>
  </si>
  <si>
    <t>1467.952</t>
  </si>
  <si>
    <t>64.23</t>
  </si>
  <si>
    <t>67.42</t>
  </si>
  <si>
    <t>1496.944</t>
  </si>
  <si>
    <t>62.03</t>
  </si>
  <si>
    <t>67.92</t>
  </si>
  <si>
    <t>1520.138</t>
  </si>
  <si>
    <t>59.97</t>
  </si>
  <si>
    <t>68.47</t>
  </si>
  <si>
    <t>1544.357</t>
  </si>
  <si>
    <t>58.01</t>
  </si>
  <si>
    <t>69.06</t>
  </si>
  <si>
    <t>1569.556</t>
  </si>
  <si>
    <t>56.18</t>
  </si>
  <si>
    <t>69.68</t>
  </si>
  <si>
    <t>1595.779</t>
  </si>
  <si>
    <t>54.46</t>
  </si>
  <si>
    <t>70.35</t>
  </si>
  <si>
    <t>1622.98</t>
  </si>
  <si>
    <t>Site Quality</t>
  </si>
  <si>
    <t>% of Normal</t>
  </si>
  <si>
    <t>Adjustment to Curves</t>
  </si>
  <si>
    <t>Poor</t>
  </si>
  <si>
    <t>Poor+</t>
  </si>
  <si>
    <t>Normal-</t>
  </si>
  <si>
    <t>Normal+</t>
  </si>
  <si>
    <t>Optimal-</t>
  </si>
  <si>
    <t>Optimal</t>
  </si>
  <si>
    <t>Ex Ante</t>
  </si>
  <si>
    <t>Quadratic DBH</t>
  </si>
  <si>
    <t xml:space="preserve">Ex Ante | Gmelina </t>
  </si>
  <si>
    <t>cm</t>
  </si>
  <si>
    <t>Ex Ante | Melia</t>
  </si>
  <si>
    <t>Ex Ante | Musizi</t>
  </si>
  <si>
    <t>Ex Ante | Boundary</t>
  </si>
  <si>
    <t>Ex Ante | Charcoal</t>
  </si>
  <si>
    <t>tCO2 / tree</t>
  </si>
  <si>
    <t>CO2/Tree</t>
  </si>
  <si>
    <t>tCO2</t>
  </si>
  <si>
    <t>Ex Post</t>
  </si>
  <si>
    <t xml:space="preserve">Ex Post | Gmelina </t>
  </si>
  <si>
    <t>Ex Post | Melia</t>
  </si>
  <si>
    <t>Ex Post | Musizi</t>
  </si>
  <si>
    <t>Ex Post | Boundary</t>
  </si>
  <si>
    <t>Ex Post | Charcoal</t>
  </si>
  <si>
    <t>Growth Curves</t>
  </si>
  <si>
    <t>Leaf</t>
  </si>
  <si>
    <t>Growth Biomass and Nutrients of Gmelina.pdf</t>
  </si>
  <si>
    <t>Stem</t>
  </si>
  <si>
    <t>Branch</t>
  </si>
  <si>
    <t>Root</t>
  </si>
  <si>
    <t>Total biomass Gmelina (tons)</t>
  </si>
  <si>
    <t>Ongono (AirImpact) per tree NORMAL SITE QUALITY</t>
  </si>
  <si>
    <t>Charcoal mix (AirImpact) per tree NORMAL SITE QUALITY</t>
  </si>
  <si>
    <t>id</t>
  </si>
  <si>
    <t>Farmer - C</t>
  </si>
  <si>
    <t>Farmers Ga</t>
  </si>
  <si>
    <t>Date of Pl</t>
  </si>
  <si>
    <t>District</t>
  </si>
  <si>
    <t>Sub-County</t>
  </si>
  <si>
    <t>area_ha</t>
  </si>
  <si>
    <t>IPCC-Soils</t>
  </si>
  <si>
    <t>IPCC-Clima</t>
  </si>
  <si>
    <t>fid</t>
  </si>
  <si>
    <t>GSOC (FAOref)</t>
  </si>
  <si>
    <t>area_FAOSOC</t>
  </si>
  <si>
    <t>GSOC * area_FAOSOC (tC)</t>
  </si>
  <si>
    <t>recBjVVC2mVxKOqgu</t>
  </si>
  <si>
    <t>Akello Rebecca - Agago | Lapono | Onen kuc Gardener</t>
  </si>
  <si>
    <t>Melia, Gmelina,</t>
  </si>
  <si>
    <t>Agago</t>
  </si>
  <si>
    <t>Lapono</t>
  </si>
  <si>
    <t>HAC Soils</t>
  </si>
  <si>
    <t>recYBxFvQU98iHCCY</t>
  </si>
  <si>
    <t>Ociti Justin Bongomin - Agago | | Individual Farmer Gardener</t>
  </si>
  <si>
    <t>Melia,</t>
  </si>
  <si>
    <t>Individual Farmer</t>
  </si>
  <si>
    <t>Area (ha)</t>
  </si>
  <si>
    <t>recrN6x3OC09ssP60</t>
  </si>
  <si>
    <t>Ociti Patrick - Agago | | Individual Farmer Gardener</t>
  </si>
  <si>
    <t>recofh41nlV1BzP3z</t>
  </si>
  <si>
    <t>Ojara Jogn - Agago | Kuywe | Rubanga tek ki lwak Cam badi Gardener</t>
  </si>
  <si>
    <t>Melia, Gmelina, Ongono,</t>
  </si>
  <si>
    <t>Kuywe</t>
  </si>
  <si>
    <t>recyMlYdXZvnlhUPG</t>
  </si>
  <si>
    <t>Okongo Charles - Agago | | Individual Farmer Gardener</t>
  </si>
  <si>
    <t>reca5goLV7gAoYtbz</t>
  </si>
  <si>
    <t>Olara Stephens - Agago | | Individual Farmer Gardener</t>
  </si>
  <si>
    <t>recUVUtxQDsMVgeZs</t>
  </si>
  <si>
    <t>Oling Ben Mutesa - Agago | | Individual Farmer Gardener</t>
  </si>
  <si>
    <t>Average SOC (t/ha) - FAO</t>
  </si>
  <si>
    <t>recnYocdCcIVS8Cab</t>
  </si>
  <si>
    <t>Opira George - Agago | | Individual Farmer Gardener</t>
  </si>
  <si>
    <t>recDjOOzSBAnmpKos</t>
  </si>
  <si>
    <t>Opoka geoffry - Agago | Paimol | Paco matek cung ki bulu - Gardener</t>
  </si>
  <si>
    <t>Paimol</t>
  </si>
  <si>
    <t>rec1wEj3Fhg7GUwTB</t>
  </si>
  <si>
    <t>Wokorach Solomon - Agago | | Individual Farmer Gardener</t>
  </si>
  <si>
    <t>rec7FmO0gmFn3fQ7y</t>
  </si>
  <si>
    <t>Abalo Grace - Omoro | Lalogi | Bed Inge B Gardener</t>
  </si>
  <si>
    <t>Melia, Musizi, Faidherbia,</t>
  </si>
  <si>
    <t>Omoro</t>
  </si>
  <si>
    <t>Lalogi</t>
  </si>
  <si>
    <t>recxUDfKPYiCFuba7</t>
  </si>
  <si>
    <t>Abalo magret - Kitgum | Orom East | Waryemo Can Gardener</t>
  </si>
  <si>
    <t>Melia, Musizi, Gmelina, Ongono, Faidherbia, Senna,</t>
  </si>
  <si>
    <t>Kitgum</t>
  </si>
  <si>
    <t>Orom East</t>
  </si>
  <si>
    <t>Row Labels</t>
  </si>
  <si>
    <t>Sum of GSOC * area_FAOSOC (tC)</t>
  </si>
  <si>
    <t>recPJ8YOQtuU1jNIN</t>
  </si>
  <si>
    <t>Abeja Milly - Omoro | Lalogi | Ogwete community Gardener</t>
  </si>
  <si>
    <t>Melia, Musizi,</t>
  </si>
  <si>
    <t>recLrwXB3LVXRVIlx</t>
  </si>
  <si>
    <t>Aber Sharon - Omoro | Lalogi | Rwot Ngeo Gardener</t>
  </si>
  <si>
    <t>Melia, Senna,</t>
  </si>
  <si>
    <t>recGI56M9sDxucHhh</t>
  </si>
  <si>
    <t>Aber Susan - Gulu | Paicho A | Waloko kwo Gardener</t>
  </si>
  <si>
    <t>Gmelina,</t>
  </si>
  <si>
    <t>Gulu</t>
  </si>
  <si>
    <t>Paicho A</t>
  </si>
  <si>
    <t>recIgv2jd1HebZzXk</t>
  </si>
  <si>
    <t>Abur agness - Agago | Kuywe | Ogen rwot Gardener</t>
  </si>
  <si>
    <t>reck85DcBzFdCWQgu</t>
  </si>
  <si>
    <t>Abur karla - Agago | Lapono | Peko ma poto atura - Gardener</t>
  </si>
  <si>
    <t>Melia, Gmelina, Faidherbia, Senna,</t>
  </si>
  <si>
    <t>LAC Soils</t>
  </si>
  <si>
    <t>recMElkHNrlTatWgZ</t>
  </si>
  <si>
    <t>Acan serina - Agago | Lira - Palwo | Tam piwa Gardener</t>
  </si>
  <si>
    <t>Lira - Palwo</t>
  </si>
  <si>
    <t>Grand Total</t>
  </si>
  <si>
    <t>recTDq5MXL6gJCmlw</t>
  </si>
  <si>
    <t>Acan winnie - Agago | Lira - Palwo | Rippe aye teko Gardener</t>
  </si>
  <si>
    <t>Melia, Musizi, Gmelina, Faidherbia, Lebbek</t>
  </si>
  <si>
    <t>rechwb4E1BRqBepC7</t>
  </si>
  <si>
    <t>Acaye jacob - Omoro | Lalogi | Bed Inge A - Gardener</t>
  </si>
  <si>
    <t>Ongono,</t>
  </si>
  <si>
    <t>recqdYzDfH2cY6Keq</t>
  </si>
  <si>
    <t>Acaye Jacob - Omoro | Lalogi | Bed Inge A Gardener</t>
  </si>
  <si>
    <t>Melia, Ongono, Senna,</t>
  </si>
  <si>
    <t>recWRxh8vjKAnjkI2</t>
  </si>
  <si>
    <t>Acayo Asther - Agago | Kuywe | Lobo cana Gardener</t>
  </si>
  <si>
    <t>recSbfc3ByVVLmQTs</t>
  </si>
  <si>
    <t>Acayo dorine - Agago | Lapono | Onen kuc Gardener</t>
  </si>
  <si>
    <t>recKp4aEAbnaXZBwv</t>
  </si>
  <si>
    <t>Acayo Esther olwoch - Agago | Lapono | Odong mon Gardener</t>
  </si>
  <si>
    <t>Gmelina, Opok, Senna, Lebbek</t>
  </si>
  <si>
    <t>recMuEjbbn0jEIsqL</t>
  </si>
  <si>
    <t>Acen grace - Agago | Lira - Palwo | Tam piwa Gardener</t>
  </si>
  <si>
    <t>recKfprOYwbh8Xw8I</t>
  </si>
  <si>
    <t>Acen Merry - Agago | Lapono | Onen kuc Gardener</t>
  </si>
  <si>
    <t>recLPWivRtN1CiZns</t>
  </si>
  <si>
    <t>Aciro Margret - Omoro | Lalogi | Bed Inge B - Gardener</t>
  </si>
  <si>
    <t>rec5rsd4fo89mRqYV</t>
  </si>
  <si>
    <t>Aciro hellen - Agago | Kuywe | Ogen rwot Gardener</t>
  </si>
  <si>
    <t>Melia, Musizi, Gmelina,</t>
  </si>
  <si>
    <t>recNXoMiMqk3yGiC0</t>
  </si>
  <si>
    <t>Aciro Holga - Onen kuc</t>
  </si>
  <si>
    <t>rec9lbNxYpX155qSR</t>
  </si>
  <si>
    <t>Aciro Margret - Omoro | Lalogi | Bed Inge B Gardener</t>
  </si>
  <si>
    <t>recnmgY4RfxaCD0Lb</t>
  </si>
  <si>
    <t>Adeno nighty - Agago | Lira - Palwo | Tam piwa Gardener</t>
  </si>
  <si>
    <t>Melia, Gmelina, Ongono, Faidherbia,</t>
  </si>
  <si>
    <t>recHiALzxywz3IKwl</t>
  </si>
  <si>
    <t>Adera Teresa - Individual</t>
  </si>
  <si>
    <t>recS5ykUfN8TrCTXs</t>
  </si>
  <si>
    <t>Adoc Shantin - Agago | Paimol | Amini ngo Gardener</t>
  </si>
  <si>
    <t>recMQ8NBFCauZwWvc</t>
  </si>
  <si>
    <t>Adokorach Kevin - Kitgum | Orom East | Waryemo Can Gardener</t>
  </si>
  <si>
    <t>Melia, Musizi, Gmelina, Ongono, Faidherbia, Opok, Senna,</t>
  </si>
  <si>
    <t>rectGCobIAmNeDU03</t>
  </si>
  <si>
    <t>Adokorach Nancy Rose - Agago | Kuywe | Ogen rwot Gardener</t>
  </si>
  <si>
    <t>Melia, Gmelina, Senna,</t>
  </si>
  <si>
    <t>recOPjpY06GcTZYJ2</t>
  </si>
  <si>
    <t>Adong christine - Agago | Paimol | Tem gumi - Gardener</t>
  </si>
  <si>
    <t>recySH5O5xMYydmk2</t>
  </si>
  <si>
    <t>Adong esta - Agago | Lira - Palwo | Tam piwa Gardener</t>
  </si>
  <si>
    <t>Melia, Gmelina, Ongono, Faidherbia, Senna,</t>
  </si>
  <si>
    <t>recVcLCPjwMZ4MaGs</t>
  </si>
  <si>
    <t>Adong Hada - Omoro | Lalogi | Bed Inge B Gardener</t>
  </si>
  <si>
    <t>Melia, Musizi, Ongono, Faidherbia,</t>
  </si>
  <si>
    <t>receDjACvqmfmnWx1</t>
  </si>
  <si>
    <t>Adong Kamila - Onen kuc</t>
  </si>
  <si>
    <t>reciYVRWCr01XG603</t>
  </si>
  <si>
    <t>Adong Kristen - Agago | Paimol | Rubanga tek women's group - Gardener</t>
  </si>
  <si>
    <t>rec6QDEhqHMaPBPoD</t>
  </si>
  <si>
    <t>Adong Marta - Agago | Lapono | Peko ma poto atura - Gardener</t>
  </si>
  <si>
    <t>Melia, Gmelina, Ongono, Senna,</t>
  </si>
  <si>
    <t>recgWCf5oMNgoFCCr</t>
  </si>
  <si>
    <t>Adong Scovia - Mak mukeme</t>
  </si>
  <si>
    <t>rec5GGBhkf8A3Hn9Z</t>
  </si>
  <si>
    <t>Agalo Jucilina - Agago | Paimol | Gen kweri young farmer's association - Gardener</t>
  </si>
  <si>
    <t>rec14LO7wUM3u72Po</t>
  </si>
  <si>
    <t>Agenorwot susan - Agago | Lira - Palwo | Waribu tam Gardener</t>
  </si>
  <si>
    <t>recJiF8Jut13R1lKA</t>
  </si>
  <si>
    <t>Ajok Bena - Omoro | Lalogi | Ogwete community Gardener</t>
  </si>
  <si>
    <t>recmoVyj1D7ryZeAz</t>
  </si>
  <si>
    <t>Ajok Evaline - Omoro | Lalogi | Mak mukemi Gardener</t>
  </si>
  <si>
    <t>rec92C3P7Rq3tDEta</t>
  </si>
  <si>
    <t>Ajok Grace - Omoro | Lalogi | Bed Inge B Gardener</t>
  </si>
  <si>
    <t>recuK4HHVAKnJG0z1</t>
  </si>
  <si>
    <t>Ajok janet - Agago | Lira - Palwo | Tam piwa Gardener</t>
  </si>
  <si>
    <t>recDB7AWSYQJlRaHo</t>
  </si>
  <si>
    <t>Ajok korina - Agago | Kuywe | Yub paco ni Gardener</t>
  </si>
  <si>
    <t>Melia, Musizi, Gmelina, Senna,</t>
  </si>
  <si>
    <t>recFjrOBOweg0usix</t>
  </si>
  <si>
    <t>Ajok Rose - Omoro | Lalogi | Rwot Ngeo Gardener</t>
  </si>
  <si>
    <t>Melia, Musizi, Senna,</t>
  </si>
  <si>
    <t>reckDtLdDLrT9jie0</t>
  </si>
  <si>
    <t>rec68nhagbzWOVTom</t>
  </si>
  <si>
    <t>Ajok Santina - Agago | Kuywe | Lobo cana Gardener</t>
  </si>
  <si>
    <t>recdKBpElJ4WBiVvF</t>
  </si>
  <si>
    <t>Ajok Vicky - Agago | Paimol | Tem gumi - Gardener</t>
  </si>
  <si>
    <t>Melia, Musizi, Gmelina, Ongono,</t>
  </si>
  <si>
    <t>recc8rr3y2h4MqrQE</t>
  </si>
  <si>
    <t>Akal John Akal - Agago | Lukole | Aloka loka Gardener</t>
  </si>
  <si>
    <t>Melia, Ongono,</t>
  </si>
  <si>
    <t>Lukole</t>
  </si>
  <si>
    <t>rec4i8OaXXuGeOyw2</t>
  </si>
  <si>
    <t>Akal Smon jildo - Agago | Lukole | Aloka loka Gardener</t>
  </si>
  <si>
    <t>recT5dsx4sFi1UYBE</t>
  </si>
  <si>
    <t>Akanyo ester - Agago | Kuywe | Ogen rwot - Gardener</t>
  </si>
  <si>
    <t>reckBLQyZ0VVU3tfz</t>
  </si>
  <si>
    <t>Akech Betty - Ot yelo Mon</t>
  </si>
  <si>
    <t>recc47rCSGD3qjrK5</t>
  </si>
  <si>
    <t>Akech Betty - Yot yelo Mon</t>
  </si>
  <si>
    <t>Gmelina, Senna,</t>
  </si>
  <si>
    <t>recfD7qsw6Q0uCC0p</t>
  </si>
  <si>
    <t>Akech scovia - Agago | Lira - Palwo | Nen ki wangi Gardener</t>
  </si>
  <si>
    <t>rec4unYuS7ZHUJgW0</t>
  </si>
  <si>
    <t>Akech Ventorina - Agago | Lapono | Onen kuc Gardener</t>
  </si>
  <si>
    <t>rec7vTkNHP8xJH3vf</t>
  </si>
  <si>
    <t>Akello Esther - Onen kuc</t>
  </si>
  <si>
    <t>recZQ3GJMM5L1r3Go</t>
  </si>
  <si>
    <t>Akello Nigthy - Onen kuc</t>
  </si>
  <si>
    <t>recc6eVZc5qfPvLtm</t>
  </si>
  <si>
    <t>Akello Agnes - Agago | Lira - Palwo | Tam piwa Gardener</t>
  </si>
  <si>
    <t>rec6tnrIFLrupwxvm</t>
  </si>
  <si>
    <t>Akello Alice - Agago | Kuywe | Yub paco ni Gardener</t>
  </si>
  <si>
    <t>recEiYWcnhdkVXxfW</t>
  </si>
  <si>
    <t>Akello Betty - Agago | Kuywe | Tam pi Anyim Gardener</t>
  </si>
  <si>
    <t>recbVJ09pVnBB3lib</t>
  </si>
  <si>
    <t>Akello Betty - Onen kuc</t>
  </si>
  <si>
    <t>recOYIIzZfExXOQyC</t>
  </si>
  <si>
    <t>Akello Concy - Omoro | Lalogi | Mak mukemi Gardener</t>
  </si>
  <si>
    <t>recIVsGq8wjPFMMfq</t>
  </si>
  <si>
    <t>Akello Florence - Omoro | Lalogi | Ogwete community Gardener</t>
  </si>
  <si>
    <t>recMjmhQq2ukGLGlh</t>
  </si>
  <si>
    <t>Akello gladish - Agago | | Individual Farmer Gardener</t>
  </si>
  <si>
    <t>Senna,</t>
  </si>
  <si>
    <t>recrDequhcWLO4Jqv</t>
  </si>
  <si>
    <t>Akello Grace - Agago | Kuywe | Rubanga tek ki lwak Cam badi Gardener</t>
  </si>
  <si>
    <t>recau0iZKndVmCuZh</t>
  </si>
  <si>
    <t>Akello Grace - Yot yelo Mon</t>
  </si>
  <si>
    <t>recx16IWsB7EzKTsP</t>
  </si>
  <si>
    <t>Akello Jennifer - Yot yelo Mon</t>
  </si>
  <si>
    <t>recy2pX4RpeYq3FCm</t>
  </si>
  <si>
    <t>Akello Joyce - Mak mukeme</t>
  </si>
  <si>
    <t>recMQNLCC3lkOGyKC</t>
  </si>
  <si>
    <t>Akello Kala - Agago | Lukole | Mat turo paco Gardener</t>
  </si>
  <si>
    <t>recsSS1qdKocr6aab</t>
  </si>
  <si>
    <t>Akello lilly - Agago | Kuywe | Yub paco ni Gardener</t>
  </si>
  <si>
    <t>recjJxsiJ75Kx2ePc</t>
  </si>
  <si>
    <t>Akello paska - Agago | Lapono | Onen kuc Gardener</t>
  </si>
  <si>
    <t>recrFi4lH1QHtR6IZ</t>
  </si>
  <si>
    <t>Akello santa - Agago | Lira - Palwo | Tam piwa Gardener</t>
  </si>
  <si>
    <t>Melia, Gmelina, Faidherbia,</t>
  </si>
  <si>
    <t>rec04tTQpxeRX71GV</t>
  </si>
  <si>
    <t>Akello Semmy - Omoro | Lalogi | Ogwete community Gardener</t>
  </si>
  <si>
    <t>recU1QHC88Xhbut0s</t>
  </si>
  <si>
    <t>Akello Stella - Omoro | Lalogi | Mak mukemi Gardener</t>
  </si>
  <si>
    <t>recd2uUu5DtklsT9N</t>
  </si>
  <si>
    <t>Aketo Gloria - Agago | Paimol | Tem gumi - Gardener</t>
  </si>
  <si>
    <t>rec0PCEytJEZWPcfn</t>
  </si>
  <si>
    <t>Akica Evelyn - Omoro | Lalogi | Ogwete community Gardener</t>
  </si>
  <si>
    <t>recBHRx2KJFxMu1Ua</t>
  </si>
  <si>
    <t>Akidi Alice - Agago | Adilang | Tam piwa Gardener</t>
  </si>
  <si>
    <t>Adilang</t>
  </si>
  <si>
    <t>recRUfjX8BFTkJico</t>
  </si>
  <si>
    <t>Akidi Santina - Individual</t>
  </si>
  <si>
    <t>recrer1xlkCOioupd</t>
  </si>
  <si>
    <t>Akidi betty - Agago | Kuywe | Ogen rwot Gardener</t>
  </si>
  <si>
    <t>recUwWb1tYJTXXVfm</t>
  </si>
  <si>
    <t>Akidi Betty - Omoro | Lalogi | Obed igen Gardener</t>
  </si>
  <si>
    <t>Musizi, Ongono, Faidherbia, Opok,</t>
  </si>
  <si>
    <t>rec8e7zVVWflO6SPC</t>
  </si>
  <si>
    <t>Akidi Carolina - Omoro | Lalogi | Kok kec ki kweri Gardener</t>
  </si>
  <si>
    <t>receqjtUbWVvMFWSf</t>
  </si>
  <si>
    <t>Akidi paska - Agago | Paimol | Rubanga tek women's group - Gardener</t>
  </si>
  <si>
    <t>recz2O66P7VceEREC</t>
  </si>
  <si>
    <t>Akidi Scovia - Omoro | Lalogi | Bedi igen Gardener</t>
  </si>
  <si>
    <t>Melia, Musizi, Ongono, Opok, Senna,</t>
  </si>
  <si>
    <t>recBNXaIAR5HXtIkm</t>
  </si>
  <si>
    <t>Akonyi Lilian - Agago | Kuywe | Tam pi Anyim Gardener</t>
  </si>
  <si>
    <t>rec766NtLJ9nKzrbX</t>
  </si>
  <si>
    <t>Akot Sophia - Agago | Adilang | Tam piwa Gardener</t>
  </si>
  <si>
    <t>recMB13epV8LFcZXJ</t>
  </si>
  <si>
    <t>Akot Anna - Omoro | Lalogi | Ogwete community Gardener</t>
  </si>
  <si>
    <t>recJ7m0T6V0lJ03Ae</t>
  </si>
  <si>
    <t>Akot Stella - Agago | Paimol | Amini ngo Gardener</t>
  </si>
  <si>
    <t>recB8ISpweSvVFUvQ</t>
  </si>
  <si>
    <t>Akoth hida - Agago | Lira - Palwo | Waribu tam Gardener</t>
  </si>
  <si>
    <t>recmKO80i7Vj8HJGI</t>
  </si>
  <si>
    <t>Akul Hellen - Agago | Lapono | Odong mon Gardener</t>
  </si>
  <si>
    <t>Melia, Gmelina, Opok, Senna,</t>
  </si>
  <si>
    <t>recr6DjwuY5UQGYNx</t>
  </si>
  <si>
    <t>Akulu betty - Agago | Lira - Palwo | Rippe aye teko Gardener</t>
  </si>
  <si>
    <t>recRWa7cseLFNhTmf</t>
  </si>
  <si>
    <t>Akun Hellen - Agago | Lira - Palwo | Tam piwa Gardener</t>
  </si>
  <si>
    <t>recYyCwmG30XMYFyu</t>
  </si>
  <si>
    <t>Akwaro janet - Agago | Kuywe | Ogen rwot Gardener</t>
  </si>
  <si>
    <t>rec0ltHofuP6OtQmq</t>
  </si>
  <si>
    <t>Alanyo Dorine - Peko ma poto atura</t>
  </si>
  <si>
    <t>recROaoBvMl9QDT3l</t>
  </si>
  <si>
    <t>Alimo Asther - Agago | Lapono | Onen kuc Gardener</t>
  </si>
  <si>
    <t>recFOFJs5Ojx5kPvf</t>
  </si>
  <si>
    <t>Alimo Esther - Onen kuc</t>
  </si>
  <si>
    <t>recSOg5HB8mGBsZHT</t>
  </si>
  <si>
    <t>Alimo Florence - Agago | Kuywe | Tam pi Anyim Gardener</t>
  </si>
  <si>
    <t>recHSIMjVhqepzeRw</t>
  </si>
  <si>
    <t>Alimo rose - Agago | Lira - Palwo | Tam piwa Gardener</t>
  </si>
  <si>
    <t>rec7pt5NG3ZIIGvOs</t>
  </si>
  <si>
    <t>Aling lilian - Agago | Kuywe | Cam badi Gardener</t>
  </si>
  <si>
    <t>recJUFKXcRGw8dqK1</t>
  </si>
  <si>
    <t>Alobo jenet - Omoro | Lalogi | Bed Inge B Gardener</t>
  </si>
  <si>
    <t>reciCjDZUSTZ6Gg5d</t>
  </si>
  <si>
    <t>Aloyo Janet - Agago | Lira - Palwo | Rippe aye teko Gardener</t>
  </si>
  <si>
    <t>recc6W5gxt46vhFpt</t>
  </si>
  <si>
    <t>Alum sisilia - Agago | Lira - Palwo | Tam piwa Gardener</t>
  </si>
  <si>
    <t>rec0WWos8szstQXEW</t>
  </si>
  <si>
    <t>Alwoc christine - Agago | Kuywe | Ogen rwot Gardener</t>
  </si>
  <si>
    <t>recBao5CrlBT42YHk</t>
  </si>
  <si>
    <t>Amarorwot Juliet - Omoro | Lalogi | Kok kec ki kweri Gardener</t>
  </si>
  <si>
    <t>rec1CgSbi3ak61vaV</t>
  </si>
  <si>
    <t>Amito Susan - Agago | Adilang | Tam piwa Gardener</t>
  </si>
  <si>
    <t>recjtqxG0Mqz1gucX</t>
  </si>
  <si>
    <t>Amolo Kamila - Peko ma poto atura</t>
  </si>
  <si>
    <t>recIPYsZgMLcYIacX</t>
  </si>
  <si>
    <t>Amolo Nighty - Agago | Paimol | Cing ki cing - Gardener</t>
  </si>
  <si>
    <t>recGE4malCayUeRcx</t>
  </si>
  <si>
    <t>Amono Chonsiantino - Omoro | Lalogi | Kok kec ki kweri Gardener</t>
  </si>
  <si>
    <t>recBpeWBPhOVBY7J8</t>
  </si>
  <si>
    <t>Amono Esther - Agago | Lukole | Mat turo paco Gardener</t>
  </si>
  <si>
    <t>recPA01LFbzHtd07S</t>
  </si>
  <si>
    <t>Amono helda - Agago | | Individual Farmer Gardener</t>
  </si>
  <si>
    <t>rec2DA7ZAt7eojiro</t>
  </si>
  <si>
    <t>Amono stella - Agago | Lira - Palwo | Waribu tam Gardener</t>
  </si>
  <si>
    <t>recMpjH3fl1crSfH5</t>
  </si>
  <si>
    <t>Amouny alice - Agago | Lira - Palwo | Rippe aye teko Gardener</t>
  </si>
  <si>
    <t>Musizi, Gmelina,</t>
  </si>
  <si>
    <t>recPE0fBU16PAUene</t>
  </si>
  <si>
    <t>Anek Sidonia - Onen kuc</t>
  </si>
  <si>
    <t>recHRTedYXFALUwoj</t>
  </si>
  <si>
    <t>Anek rose mary - Agago | Kuywe | Gum anywala Gardener</t>
  </si>
  <si>
    <t>Musizi, Gmelina, Senna,</t>
  </si>
  <si>
    <t>rec9de2XyuLI6xT9G</t>
  </si>
  <si>
    <t>Aneno Santa - Omoro | Lalogi | Mak mukemi Gardener</t>
  </si>
  <si>
    <t>Melia, Musizi, Opok,</t>
  </si>
  <si>
    <t>recK0Rqjzm1iBM2XE</t>
  </si>
  <si>
    <t>Angango Milly - Omoro | Lalogi | Obed igen Gardener</t>
  </si>
  <si>
    <t>rec28QnEDYbvdPuYS</t>
  </si>
  <si>
    <t>Angom dorine - Agago | Paimol | Rubanga tek women's group - Gardener</t>
  </si>
  <si>
    <t>rec0DhtEsYkEiKLi0</t>
  </si>
  <si>
    <t>Angom Esther - Kitgum | Orom East | Kipak rwot - Gardener</t>
  </si>
  <si>
    <t>Melia, Musizi, Gmelina, Ongono, Opok, Senna,</t>
  </si>
  <si>
    <t>rec6xzde8jAzhAyfz</t>
  </si>
  <si>
    <t>Angom Lilly - Agago | Lapono | Peko ma poto atura - Gardener</t>
  </si>
  <si>
    <t>recOMGNyHx3l8gxRt</t>
  </si>
  <si>
    <t>Anwar felex - Agago | Kuywe | Lobo cana Gardener</t>
  </si>
  <si>
    <t>recbxyXSzyMOZ0BV1</t>
  </si>
  <si>
    <t>Anyango Evaline - Kitgum | Orom East | Waryemo Can Gardener</t>
  </si>
  <si>
    <t>recWlBJLcmrSiJftn</t>
  </si>
  <si>
    <t>Anyango Hellen - Omoro | Lalogi | Kok kec ki kweri Gardener</t>
  </si>
  <si>
    <t>recVRJEgvcIYUo3gt</t>
  </si>
  <si>
    <t>Anyeko Santa - Yot yelo Mon</t>
  </si>
  <si>
    <t>recjJ9YW864FEfr8I</t>
  </si>
  <si>
    <t>Aol Hellen - Agago | Kuywe | Kica ber Gardener</t>
  </si>
  <si>
    <t>recRdXE3t6FtE786Q</t>
  </si>
  <si>
    <t>Aol jenifer - Agago | Kuywe | Ogen rwot Gardener</t>
  </si>
  <si>
    <t>rec1lQZIkaxnWVuM6</t>
  </si>
  <si>
    <t>Aparo Jennifer - Kitgum | Orom East | Waryemo Can Gardener</t>
  </si>
  <si>
    <t>Melia, Musizi, Gmelina, Opok, Senna,</t>
  </si>
  <si>
    <t>recoDLaxSiWZQGPdD</t>
  </si>
  <si>
    <t>Apiyo Gibinina - Odong Mon</t>
  </si>
  <si>
    <t>Melia, Senna, Lebbek</t>
  </si>
  <si>
    <t>reciJVitMFRGWSU0I</t>
  </si>
  <si>
    <t>Apiyo Jibinina - Agago | Lapono | Odong mon Gardener</t>
  </si>
  <si>
    <t>rec6ryFnQjL52gaR6</t>
  </si>
  <si>
    <t>Apiyo Regeter - Omoro | Lalogi | Rwot Ngeo Gardener</t>
  </si>
  <si>
    <t>rec6e98biSmZl7VkQ</t>
  </si>
  <si>
    <t>Apiyo Rose - Agago | Paimol | Cing ki cing - Gardener</t>
  </si>
  <si>
    <t>recvG6SvloF1ocoGM</t>
  </si>
  <si>
    <t>Aporo lily - Agago | Adilang | Labwo seeds community association Gardener</t>
  </si>
  <si>
    <t>recOYruHlAWlckIeD</t>
  </si>
  <si>
    <t>Arach George - Onen kuc</t>
  </si>
  <si>
    <t>recjCULnBciP0hfYt</t>
  </si>
  <si>
    <t>Arach Milly - Agago | Lapono | Odong mon Gardener</t>
  </si>
  <si>
    <t>Melia, Gmelina, Ongono, Senna, Lebbek</t>
  </si>
  <si>
    <t>recqCAmf7T3CubZtf</t>
  </si>
  <si>
    <t>Areni Margate - Acak ki kwene</t>
  </si>
  <si>
    <t>recK6fxzQHQe8Ez2Z</t>
  </si>
  <si>
    <t>Ario Samuel - Mak mukeme</t>
  </si>
  <si>
    <t>recf9AWxMIBAaqUwy</t>
  </si>
  <si>
    <t>Aryemo Madite - Peko ma poto atura</t>
  </si>
  <si>
    <t>reczHkgIICUTPMFbp</t>
  </si>
  <si>
    <t>Aryemo Sunday - Agago | Kuywe | Kica ber Gardener</t>
  </si>
  <si>
    <t>recp5CZngHr79xQUf</t>
  </si>
  <si>
    <t>Atek jenty - Agago | Lira - Palwo | Tam piwa Gardener</t>
  </si>
  <si>
    <t>Melia, Faidherbia, Senna,</t>
  </si>
  <si>
    <t>recpvO5keEphjrpD4</t>
  </si>
  <si>
    <t>Atek Mary - Omoro | Lalogi | Lok i tam Gardener</t>
  </si>
  <si>
    <t>reccKpJ9qQbGpozhl</t>
  </si>
  <si>
    <t>Atim rose - Agago | Lira - Palwo | Tam piwa Gardener</t>
  </si>
  <si>
    <t>recwpDCBeaxnpw1KV</t>
  </si>
  <si>
    <t>Atoo Paska - Agago | Kuywe | Kica ber Gardener</t>
  </si>
  <si>
    <t>recndDiFGGjzIPAVC</t>
  </si>
  <si>
    <t>Atto Catherine - Onen kuc</t>
  </si>
  <si>
    <t>recNzQWbAhL3KIPfl</t>
  </si>
  <si>
    <t>Atto Sidonia - Individual</t>
  </si>
  <si>
    <t>reclRFKIptgNyzqD0</t>
  </si>
  <si>
    <t>Atto Silvia - Onen kuc</t>
  </si>
  <si>
    <t>recRLTTXnSVDS10v9</t>
  </si>
  <si>
    <t>Auma irine - Agago | Kuywe | Yub paco ni Gardener</t>
  </si>
  <si>
    <t>recRb2rx0SfjmF8xz</t>
  </si>
  <si>
    <t>Auma Marina - Kitgum | Orom East | Waryemo Can Gardener</t>
  </si>
  <si>
    <t>Gmelina, Ongono, Faidherbia, Opok, Senna,</t>
  </si>
  <si>
    <t>reciZaVRxyz5njyGD</t>
  </si>
  <si>
    <t>Auma Paska - Agago | Lapono | Onen kuc Gardener</t>
  </si>
  <si>
    <t>recb55aKt0MQ7kEgo</t>
  </si>
  <si>
    <t>Auma Rose - Individual</t>
  </si>
  <si>
    <t>recPqFbcCVvP8a7cf</t>
  </si>
  <si>
    <t>Aunu Florence - Mak Mukemi</t>
  </si>
  <si>
    <t>recjpstNob6Oq5tla</t>
  </si>
  <si>
    <t>Awal Baptish - Agago | Kuywe | Gum anywala Gardener</t>
  </si>
  <si>
    <t>recdaMeBCSa4QUyIh</t>
  </si>
  <si>
    <t>Awany Peter - Omoro | Lalogi | Mak mukemi Gardener</t>
  </si>
  <si>
    <t>rec3OdK3hbESWdgvE</t>
  </si>
  <si>
    <t>Aweko Stella - Agago | Kuywe | Kica ber Gardener</t>
  </si>
  <si>
    <t>rec1ozlnVTzmP1k7w</t>
  </si>
  <si>
    <t>Awidi Purina - Peko ma poto atura</t>
  </si>
  <si>
    <t>recIAlptc23b6CQq6</t>
  </si>
  <si>
    <t>Awio Pirina - Omoro | Lalogi | Obed igen Gardener</t>
  </si>
  <si>
    <t>Melia, Musizi, Ongono, Senna,</t>
  </si>
  <si>
    <t>recp1OgeWrJ4Dqli8</t>
  </si>
  <si>
    <t>Awor Getto - Omoro | Lalogi | Bed Inge B Gardener</t>
  </si>
  <si>
    <t>Melia, Musizi, Ongono, Faidherbia, Opok, Senna,</t>
  </si>
  <si>
    <t>rec8riauUKv81z06q</t>
  </si>
  <si>
    <t>Awuma Alice - Agago | Lukole | Can rac Gardener</t>
  </si>
  <si>
    <t>recyOZdzpPXkTE1Wl</t>
  </si>
  <si>
    <t>Ayaa christine - Agago | Kuywe | Yub paco ni Gardener</t>
  </si>
  <si>
    <t>recnznNZgC4XhRebg</t>
  </si>
  <si>
    <t>Ayella Bonny - Omoro | Lalogi | Ogwete community Gardener</t>
  </si>
  <si>
    <t>rec9WCNI3XivWUZZ3</t>
  </si>
  <si>
    <t>Ayenyo camel - Kitgum | Orom East | Waryemo Can Gardener</t>
  </si>
  <si>
    <t>recHH2ibSQHgfYASj</t>
  </si>
  <si>
    <t>Ayero Vicky - Kitgum | Orom East | Waryemo Can Gardener</t>
  </si>
  <si>
    <t>Gmelina, Ongono, Faidherbia, Senna,</t>
  </si>
  <si>
    <t>recmEGPEF7o6Zy0PA</t>
  </si>
  <si>
    <t>Ayet Margret - Agago | Adilang | Tam piwa Gardener</t>
  </si>
  <si>
    <t>rec1ylVCuDD0bYSLm</t>
  </si>
  <si>
    <t>Ayiko Alican Torina - Omoro | Lalogi | Pee Icaa Gardener</t>
  </si>
  <si>
    <t>recUsLfESgCb9U8DN</t>
  </si>
  <si>
    <t>Ayo moses - Agago | Paimol | Tem gumi - Gardener</t>
  </si>
  <si>
    <t>recu5KtZDqxI3sHJO</t>
  </si>
  <si>
    <t>Ayoo florence - Agago | Lapono | Onen kuc Gardener</t>
  </si>
  <si>
    <t>recBKPjqP2484BXI1</t>
  </si>
  <si>
    <t>Baba Denis - Omoro | Lalogi | Ogwete community Gardener</t>
  </si>
  <si>
    <t>recnvq6Iq6Ls1U67M</t>
  </si>
  <si>
    <t>Bicenytino alanyo - Agago | Kuywe | Kica ber Gardener</t>
  </si>
  <si>
    <t>recNdlSvD4DLZsOAj</t>
  </si>
  <si>
    <t>Bongomin Patrick - Omoro | Lalogi | Kok kec ki kweri Gardener</t>
  </si>
  <si>
    <t>recJCTpXeaw6EgaMR</t>
  </si>
  <si>
    <t>Cal paul - Agago | Lapono | Onen kuc Gardener</t>
  </si>
  <si>
    <t>recKkyFmMctjhvo9W</t>
  </si>
  <si>
    <t>Cal Peter - Onen kuc</t>
  </si>
  <si>
    <t>recIfD0Sfz7Z6eOhf</t>
  </si>
  <si>
    <t>Canogura francis - Agago | Kuywe | Gum anywala Gardener</t>
  </si>
  <si>
    <t>Melia, Musizi, Gmelina, Faidherbia, Senna,</t>
  </si>
  <si>
    <t>recnTgyuvAI9v5oFF</t>
  </si>
  <si>
    <t>David Kidega - Agago | | Individual Farmer Gardener</t>
  </si>
  <si>
    <t>recLTLnUEIqOcm1JI</t>
  </si>
  <si>
    <t>David Komakech - Agago | | Individual Farmer Gardener</t>
  </si>
  <si>
    <t>recmMmV7mmhOyoutK</t>
  </si>
  <si>
    <t>Doletia okwir - Agago | Kuywe | Ogen rwot Gardener</t>
  </si>
  <si>
    <t>recpehP6tfK7YzYGi</t>
  </si>
  <si>
    <t>Free Olet paul - Agago | Kuywe | Cam badi Gardener</t>
  </si>
  <si>
    <t>recXmXuGbQDt6tPCg</t>
  </si>
  <si>
    <t>josephine - Agago | Lira - Palwo | Rippe aye teko Gardener</t>
  </si>
  <si>
    <t>reccMoq0PdAf9G3vE</t>
  </si>
  <si>
    <t>Josephine Akidi - Agago | Paimol | Gen kweri young farmer's association - Gardener</t>
  </si>
  <si>
    <t>recXfXfccq3Tnzs4r</t>
  </si>
  <si>
    <t>Kanyo esther - Agago | Lapono | Onen kuc Gardener</t>
  </si>
  <si>
    <t>recFzaHpXMnTbnluO</t>
  </si>
  <si>
    <t>Kilama Denise - Agago | Lukole | Ripe Gardener</t>
  </si>
  <si>
    <t>recBvAju0wDx3RHRz</t>
  </si>
  <si>
    <t>Kilama kenneth - Agago | Paimol | Lacwec konya - Gardener</t>
  </si>
  <si>
    <t>rec5zH98SbAGt6ivq</t>
  </si>
  <si>
    <t>Kinyera David - Agago | | Individual Farmer Gardener</t>
  </si>
  <si>
    <t>rec01eu94qmVyebWB</t>
  </si>
  <si>
    <t>Kitara john - Agago | Lira - Palwo | Konypacu Gardener</t>
  </si>
  <si>
    <t>recHMTNzvK6drPOUG</t>
  </si>
  <si>
    <t>Komakech Charles - Omoro | Lalogi | Bedi igen Gardener</t>
  </si>
  <si>
    <t>recVSAOhVsEhBhskY</t>
  </si>
  <si>
    <t>Komakech Micale - Agago | Lukole | Mat turo paco Gardener</t>
  </si>
  <si>
    <t>Melia, Musizi, Gmelina, Ongono, Senna,</t>
  </si>
  <si>
    <t>rec1qtKfrldN1d0tO</t>
  </si>
  <si>
    <t>Komakech Moses - Omoro | Lalogi | Ogwete community Gardener</t>
  </si>
  <si>
    <t>recy5NkhFPlELefGO</t>
  </si>
  <si>
    <t>Komakech Patrick - Agago | | Individual Farmer Gardener</t>
  </si>
  <si>
    <t>recqSFI5JGXjXbOSt</t>
  </si>
  <si>
    <t>Komakech Simon - Agago | | Individual Farmer Gardener</t>
  </si>
  <si>
    <t>recrkzvPBn1GGg4ae</t>
  </si>
  <si>
    <t>Labeja Babin - Omoro | Lalogi | Mak mukemi Gardener</t>
  </si>
  <si>
    <t>Musizi,</t>
  </si>
  <si>
    <t>recRXZdf1ysMofH1u</t>
  </si>
  <si>
    <t>Labol Margret - Omoro | Lalogi | Bed Inge A Gardener</t>
  </si>
  <si>
    <t>recquGPOg53tOJ6at</t>
  </si>
  <si>
    <t>Labong Nighty - Yot yelo Mon</t>
  </si>
  <si>
    <t>recPrRvChw71GVnbi</t>
  </si>
  <si>
    <t>Labwon Margaret - Omoro | Lalogi | Bed Inge A Gardener</t>
  </si>
  <si>
    <t>recyIZnNszhVB3Avp</t>
  </si>
  <si>
    <t>Labwot Margaret - Omoro | Lalogi | Bed Inge A Gardener</t>
  </si>
  <si>
    <t>recT5DjV8vZhgtEeM</t>
  </si>
  <si>
    <t>Ladur Balbina - Agago | Adilang | Tam piwa Gardener</t>
  </si>
  <si>
    <t>recYRM4ugHvD7OVdd</t>
  </si>
  <si>
    <t>Laker Josephine - Omoro | Lalogi | Bed Inge A Gardener</t>
  </si>
  <si>
    <t>recrPVrn6mFP37axP</t>
  </si>
  <si>
    <t>Lakica Everlyn - Omoro | Lalogi | Ogwete community Gardener</t>
  </si>
  <si>
    <t>rec04Wpazs5kthnbw</t>
  </si>
  <si>
    <t>Lakop Jusphine - Omoro | Lalogi | Ogwete community Gardener</t>
  </si>
  <si>
    <t>rec3y9XHTFDZ85fe8</t>
  </si>
  <si>
    <t>Lakot Alice - Agago | Kuywe | Rubanga tek ki lwak Cam badi Gardener</t>
  </si>
  <si>
    <t>recTuOWod1kZnWLPt</t>
  </si>
  <si>
    <t>Lakot Alice - Gulu | Paicho A | Waloko kwo Gardener</t>
  </si>
  <si>
    <t>recLqGYN6iRUnA5Tb</t>
  </si>
  <si>
    <t>Lakot Evaline - Kitgum | Orom East | Waryemo Can Gardener</t>
  </si>
  <si>
    <t>Melia, Gmelina, Ongono, Faidherbia, Opok, Senna,</t>
  </si>
  <si>
    <t>recYCWXhaMxHXEw0r</t>
  </si>
  <si>
    <t>Lakot gloria - Agago | Lira - Palwo | Rippe aye teko Gardener</t>
  </si>
  <si>
    <t>Melia, Musizi, Ongono,</t>
  </si>
  <si>
    <t>receEbSlTQtm6KMYP</t>
  </si>
  <si>
    <t>Lakot Margret - Omoro | Lalogi | Mak mukemi Gardener</t>
  </si>
  <si>
    <t>rec6uSAYZFhhCtqzH</t>
  </si>
  <si>
    <t>Lakot Rose - Agago | Kuywe | Tam pi Anyim Gardener</t>
  </si>
  <si>
    <t>rec1Y9OK3iP7mhcDw</t>
  </si>
  <si>
    <t>Lakoth filda - Agago | Lira - Palwo | Paitino Gardener</t>
  </si>
  <si>
    <t>Musizi, Senna,</t>
  </si>
  <si>
    <t>recm0BBQ9KtdC9k0N</t>
  </si>
  <si>
    <t>Lalam Christine - Agago | Lapono | Onen kuc Gardener</t>
  </si>
  <si>
    <t>recJoClJUaSlxn2d1</t>
  </si>
  <si>
    <t>Lalam Rose - Kitgum | Orom East | Waryemo Can Gardener</t>
  </si>
  <si>
    <t>recQIy3jEpeNUhZxe</t>
  </si>
  <si>
    <t>Lamuaka jenifer - Agago | Kuywe | Ogen rwot Gardener</t>
  </si>
  <si>
    <t>reczTUaucvntLr3o0</t>
  </si>
  <si>
    <t>Lamunu Jenifer - Agago | Adilang | Akem ki kweri Gardener</t>
  </si>
  <si>
    <t>recNrsWxYTO8Y3qzE</t>
  </si>
  <si>
    <t>Lanyero janet - Agago | Kuywe | Ogen rwot - Gardener</t>
  </si>
  <si>
    <t>recUus0qRwKeLGOYG</t>
  </si>
  <si>
    <t>Latabu sarah - Agago | Lira - Palwo | Rippe aye teko Gardener</t>
  </si>
  <si>
    <t>Melia, Musizi, Ongono, Opok, Senna, Lebbek</t>
  </si>
  <si>
    <t>recVQnLWFcg8mK2pw</t>
  </si>
  <si>
    <t>Latoo Teddy - Kitgum | Orom East | Waryemo Can Gardener</t>
  </si>
  <si>
    <t>recqnO1nUbpOqeLhy</t>
  </si>
  <si>
    <t>Lawino Sicilia - Onen kuc</t>
  </si>
  <si>
    <t>recq5xwGyoHRcYAqQ</t>
  </si>
  <si>
    <t>Lawino Jennifer - Omoro | Lalogi | Rwot Ngeo Gardener</t>
  </si>
  <si>
    <t>recDBBDYNhzWC2cKX</t>
  </si>
  <si>
    <t>Lawino Susan - Mak mukeme</t>
  </si>
  <si>
    <t>recVDWbPcB1bUTAoJ</t>
  </si>
  <si>
    <t>Lokwang David - Kitgum | Orom East | Waryemo Can Gardener</t>
  </si>
  <si>
    <t>Ongono, Faidherbia, Senna,</t>
  </si>
  <si>
    <t>recJO4q2py7ykxaBW</t>
  </si>
  <si>
    <t>Loum James - Agago | | Individual Farmer Gardener</t>
  </si>
  <si>
    <t>recbrPd67qUM6CJ6g</t>
  </si>
  <si>
    <t>Lujum bajilo - Agago | Kuywe | Rubanga tek ki lwak Cam badi Gardener</t>
  </si>
  <si>
    <t>recbIk9srg3sN0hlK</t>
  </si>
  <si>
    <t>Lukectra James Bwaya - Agago | Lira - Palwo | Waribu tam Gardener</t>
  </si>
  <si>
    <t>recwpbxMKF6a6j25o</t>
  </si>
  <si>
    <t>Makmot Santo - Agago | Lukole | Mat turo paco Gardener</t>
  </si>
  <si>
    <t>recdBpwDNJd1f512l</t>
  </si>
  <si>
    <t>Moro aldo - Agago | Lapono | Peko ma poto atura - Gardener</t>
  </si>
  <si>
    <t>recntxZqlED26oDZT</t>
  </si>
  <si>
    <t>Moro denish - Agago | Lira - Palwo | Tam piwa Gardener</t>
  </si>
  <si>
    <t>recI030E0psXOY70h</t>
  </si>
  <si>
    <t>Moro Moses - Omoro | Lalogi | Bed Inge A Gardener</t>
  </si>
  <si>
    <t>recFx45ZdpsZSW1fS</t>
  </si>
  <si>
    <t>Nanya Kevin - Kitgum | Orom East | Waryemo Can Gardener</t>
  </si>
  <si>
    <t>recLjjRzgFm8mbUsU</t>
  </si>
  <si>
    <t>Nyeko Simon peter - Agago | Lira - Palwo | Rippe aye teko Gardener</t>
  </si>
  <si>
    <t>Melia, Musizi, Gmelina, Ongono, Faidherbia,</t>
  </si>
  <si>
    <t>recvdYJVf1tUTQ8bS</t>
  </si>
  <si>
    <t>Nyenyjis semei - Agago | Lira - Palwo | Rippe aye teko Gardener</t>
  </si>
  <si>
    <t>recFfwRlr8SmMr56C</t>
  </si>
  <si>
    <t>Oboke Chelstino - Agago | Lukole | Atim ki koma Gardener</t>
  </si>
  <si>
    <t>recdgvLOlsgKRtZtg</t>
  </si>
  <si>
    <t>Obol Martine - Peko ma poto atura</t>
  </si>
  <si>
    <t>recofJKNfayGnCCzf</t>
  </si>
  <si>
    <t>Obol John Akal - Agago | Lukole | Aloka loka Gardener</t>
  </si>
  <si>
    <t>Gmelina, Ongono,</t>
  </si>
  <si>
    <t>recR1RUk4Pt9e01Ug</t>
  </si>
  <si>
    <t>Obua Lirno Michael - Omoro | Lalogi | Obed igen Gardener</t>
  </si>
  <si>
    <t>recfZQ5qCXzYwuS87</t>
  </si>
  <si>
    <t>Ocan Bosco - Agago | Lapono | Peko ma poto atura - Gardener</t>
  </si>
  <si>
    <t>recmDxoy1O34Wdo2b</t>
  </si>
  <si>
    <t>Ocan devid - Agago | Kuywe | Yub paco ni Gardener</t>
  </si>
  <si>
    <t>rec9tm34nmlQmAauK</t>
  </si>
  <si>
    <t>Ocan George - Omoro | Lalogi | Bed Inge A Gardener</t>
  </si>
  <si>
    <t>recJ8cIrR8yJQq40o</t>
  </si>
  <si>
    <t>Ocan godfrey - Agago | Lira - Palwo | Waribu tam Gardener</t>
  </si>
  <si>
    <t>recXIvCQQMrq17AWj</t>
  </si>
  <si>
    <t>Ocan Handra - Omoro | Lalogi | Rwot Ngeo Gardener</t>
  </si>
  <si>
    <t>recKQnUkQmJjWFHif</t>
  </si>
  <si>
    <t>Ocaya Geoffrey - Omoro | Lalogi | Ogwete community Gardener</t>
  </si>
  <si>
    <t>recHNrbemduBuNS5b</t>
  </si>
  <si>
    <t>Ocaya Johnson - Agago | Paimol | Tem gumi - Gardener</t>
  </si>
  <si>
    <t>recjeZmR5n14b1JPz</t>
  </si>
  <si>
    <t>Ocaya Keric - Omoro | Lalogi | Bedi igen Gardener</t>
  </si>
  <si>
    <t>rec8mwu7w4wkpxuw3</t>
  </si>
  <si>
    <t>Ocen Bosco - Agago | Paimol | Rubanga tek women's group - Gardener</t>
  </si>
  <si>
    <t>recEv1QvIYlAb9O3q</t>
  </si>
  <si>
    <t>Ocen Denise - Agago | Lukole | Alwee trees Gardener</t>
  </si>
  <si>
    <t>Melia, Musizi, Gmelina, Opok,</t>
  </si>
  <si>
    <t>recQuvV3fJ6sUcqiK</t>
  </si>
  <si>
    <t>Ocen Joseph Okello - Agago | Lukole | Alwee trees Gardener</t>
  </si>
  <si>
    <t>recxXGn6v0Gox2gZF</t>
  </si>
  <si>
    <t>Ocen Lamson - Omoro | Lalogi | Acek ki kwene Gardener</t>
  </si>
  <si>
    <t>receuPQ7ggXf8DGtP</t>
  </si>
  <si>
    <t>Ocen Moris - Agago | Paimol | Rubanga tek women's group - Gardener</t>
  </si>
  <si>
    <t>recAkbGO7MYOGhux0</t>
  </si>
  <si>
    <t>Ocen Moses - Agago | Paimol | Rubanga tek women's group - Gardener</t>
  </si>
  <si>
    <t>rec7GFy9aLtmqeokZ</t>
  </si>
  <si>
    <t>Oceng Simon - Agago | Paimol | Gen kweri young farmer's association - Gardener</t>
  </si>
  <si>
    <t>recGyNm3LpnH4b5WP</t>
  </si>
  <si>
    <t>Ochan Denish - Agago | Lukole | Aloka loka Gardener</t>
  </si>
  <si>
    <t>recmHDrRNtfvchRYg</t>
  </si>
  <si>
    <t>Ochola Mark - Agago | Kuywe | Kica ber Gardener</t>
  </si>
  <si>
    <t>recyc3nYoGaInq6eK</t>
  </si>
  <si>
    <t>Ociti charlse - Agago | Lira - Palwo | Rippe aye teko Gardener</t>
  </si>
  <si>
    <t>Melia, Musizi, Ongono, Faidherbia, Senna,</t>
  </si>
  <si>
    <t>rectwhph12Vz53PCJ</t>
  </si>
  <si>
    <t>Ociti Gilbert - Agago | | Individual Farmer Gardener</t>
  </si>
  <si>
    <t>recM38Pdhp5ISUnpE</t>
  </si>
  <si>
    <t>Odida Isaac - Agago | Kuywe | Kica ber Gardener</t>
  </si>
  <si>
    <t>recw9EmWiGw3SHL1z</t>
  </si>
  <si>
    <t>Odoch Tonny - Omoro | Lalogi | Bedi igen Gardener</t>
  </si>
  <si>
    <t>recXBBtvzrBBlTroL</t>
  </si>
  <si>
    <t>Odokon yero Bosco - Agago | Lapono | Onen kuc Gardener</t>
  </si>
  <si>
    <t>receranzgyT0SE5U1</t>
  </si>
  <si>
    <t>recAgsANIOYHAaG8T</t>
  </si>
  <si>
    <t>Odokorach Concy Lydia - Agago | Kuywe | Lobo cana Gardener</t>
  </si>
  <si>
    <t>recT0aepry51hBYhv</t>
  </si>
  <si>
    <t>Odong Aaipolo - Omoro | Lalogi | Mak mukemi Gardener</t>
  </si>
  <si>
    <t>recLvBD7xtwAZ6Uy1</t>
  </si>
  <si>
    <t>Odong Emmanuel - Agago | Lukole | Alwee trees Gardener</t>
  </si>
  <si>
    <t>recq5b1Ke4ssyoQsJ</t>
  </si>
  <si>
    <t>Odong Emmanuel Emmanuel - Agago | Lukole | Alwee trees - Gardener</t>
  </si>
  <si>
    <t>Musizi, Gmelina, Ongono,</t>
  </si>
  <si>
    <t>recAlg0RA7IwjJN5U</t>
  </si>
  <si>
    <t>Ogaba Charles - Omoro | Lalogi | Kok kec ki kweri Gardener</t>
  </si>
  <si>
    <t>recEpC021K0ZE0bX8</t>
  </si>
  <si>
    <t>Ogwang Charles - Agago | Lukole | Alwee trees Gardener</t>
  </si>
  <si>
    <t>recMImiIi1ERQV2ga</t>
  </si>
  <si>
    <t>Ogwang Ronal - Omoro | Lalogi | Ogwete community Gardener</t>
  </si>
  <si>
    <t>recA7g34e71KzocXv</t>
  </si>
  <si>
    <t>Ogweng Moses - Omoro | Lalogi | Bedi igen Gardener</t>
  </si>
  <si>
    <t>recYU0uq0osmqN2Yr</t>
  </si>
  <si>
    <t>Ohvoch Nelson Mandela - Agago | Lukole | Alwee trees Gardener</t>
  </si>
  <si>
    <t>recAcH0yK2GZwYbaj</t>
  </si>
  <si>
    <t>Ojara David - Onen kuc</t>
  </si>
  <si>
    <t>recwpE6Dtbe86YNFi</t>
  </si>
  <si>
    <t>Ojara Nelson - Omoro | Lalogi | Ogwete community Gardener</t>
  </si>
  <si>
    <t>rec5Bbt2b6d3cpbUB</t>
  </si>
  <si>
    <t>Ojera George - Yot yelo Mon</t>
  </si>
  <si>
    <t>recqLr7MrqrrhWyCa</t>
  </si>
  <si>
    <t>recg9UQNCK30FI3jR</t>
  </si>
  <si>
    <t>Ojok Anthony - Omoro | Lalogi | Bed Inge B Gardener</t>
  </si>
  <si>
    <t>recu3zWqoEuTvBBdO</t>
  </si>
  <si>
    <t>Ojok lago - Agago | Lapono | Akem kwene farmer's group Gardener</t>
  </si>
  <si>
    <t>recQ83phngutBIUAW</t>
  </si>
  <si>
    <t>Ojok Boniface - Omoro | Lalogi | Bedi igen Gardener</t>
  </si>
  <si>
    <t>rec97QoS8qHGMduYs</t>
  </si>
  <si>
    <t>Ojok patrick - Agago | Lira - Palwo | Tam piwa Gardener</t>
  </si>
  <si>
    <t>recTMPCz9XDQ0ZIk7</t>
  </si>
  <si>
    <t>Ojok Ronald - Agago | Lukole | Aloka loka Gardener</t>
  </si>
  <si>
    <t>Melia, Musizi, Gmelina, Ongono, Opok,</t>
  </si>
  <si>
    <t>rec4k5kZxIGJc9zPM</t>
  </si>
  <si>
    <t>Ojok Simon - Omoro | Lalogi | Rwot Ngeo Gardener</t>
  </si>
  <si>
    <t>recvg19OYgX994wWj</t>
  </si>
  <si>
    <t>Ojula Paska - Onen kuc</t>
  </si>
  <si>
    <t>recY7FDF6SgH9oAmW</t>
  </si>
  <si>
    <t>Okech david - Agago | Kuywe | Ogen rwot Gardener</t>
  </si>
  <si>
    <t>rectEs2pquCoAbJeR</t>
  </si>
  <si>
    <t>Okech Jackson - Kitgum | Orom East | Waryemo Can Gardener</t>
  </si>
  <si>
    <t>recAbYLMTmY5vwST4</t>
  </si>
  <si>
    <t>Okech Sanday - Agago | Lukole | Mat turo paco Gardener</t>
  </si>
  <si>
    <t>rectC1uCyhX2A87pA</t>
  </si>
  <si>
    <t>Okech Siqtoe - Agago | Kuywe | Lobo cana Gardener</t>
  </si>
  <si>
    <t>recbq9BCna10hw5HL</t>
  </si>
  <si>
    <t>Okello Francis - Onen</t>
  </si>
  <si>
    <t>recj5FLZ4T2dHbIl3</t>
  </si>
  <si>
    <t>Okello Bonny - Omoro | Lalogi | Lok i tam Gardener</t>
  </si>
  <si>
    <t>Melia, Ongono, Faidherbia,</t>
  </si>
  <si>
    <t>rec4Ru3z4BNFvnRfJ</t>
  </si>
  <si>
    <t>Okello Bosco - Agago | Kuywe | Cam badi Gardener</t>
  </si>
  <si>
    <t>recWhcIIxmsV2jR4E</t>
  </si>
  <si>
    <t>Okello Bosco - Agago | Lukole | Alwee trees Gardener</t>
  </si>
  <si>
    <t>recQN6UZ0UkAmwgl5</t>
  </si>
  <si>
    <t>Okello Bosco Ogang - Omoro | Lalogi | Bedi igen Gardener</t>
  </si>
  <si>
    <t>recAOwRsyi1EPq153</t>
  </si>
  <si>
    <t>Okello Francis - Omoro | Lalogi | Obed igen Gardener</t>
  </si>
  <si>
    <t>recEHgEZ4VNZh3898</t>
  </si>
  <si>
    <t>Okello fransis - Agago | Lira - Palwo | Rippe aye teko Gardener</t>
  </si>
  <si>
    <t>rec70Fi6xtITjKaNk</t>
  </si>
  <si>
    <t>Okello gaborel - Agago | Lapono | Peko ma poto atura - Gardener</t>
  </si>
  <si>
    <t>reclE7scyhBeonxUu</t>
  </si>
  <si>
    <t>Okello Genesis - Omoro | Lalogi | Mak mukemi Gardener</t>
  </si>
  <si>
    <t>recEH0FzTYBrHHTzW</t>
  </si>
  <si>
    <t>Okello geoffrey - Agago | Lira - Palwo | Paitino Gardener</t>
  </si>
  <si>
    <t>Musizi, Ongono, Senna,</t>
  </si>
  <si>
    <t>reckfoYOMDVhiSyq6</t>
  </si>
  <si>
    <t>Okello ismile angol - Agago | Kuywe | Kica ber Gardener</t>
  </si>
  <si>
    <t>reckjHmhFGimEERQS</t>
  </si>
  <si>
    <t>Okello Jimmy - Omoro | Lalogi | Mak mukemi Gardener</t>
  </si>
  <si>
    <t>recVXoIqkRzeJySc4</t>
  </si>
  <si>
    <t>Okello Jiponi - Agago | Lukole | Alwee trees Gardener</t>
  </si>
  <si>
    <t>recmsdfKVywLufcXz</t>
  </si>
  <si>
    <t>Okello John Kark - Omoro | Lalogi | Lok i tam Gardener</t>
  </si>
  <si>
    <t>recdKOYyZeMKB9awa</t>
  </si>
  <si>
    <t>Okello kenedy - Agago | Kuywe | Gum anywala Gardener</t>
  </si>
  <si>
    <t>rechxORC6nQicwG0I</t>
  </si>
  <si>
    <t>Okello Raymond - Agago | Kuywe | Rubanga tek ki lwak Cam badi Gardener</t>
  </si>
  <si>
    <t>recxSfWCTFstUyqcN</t>
  </si>
  <si>
    <t>Okello Richard Aluku - Omoro | Lalogi | Ogwete community Gardener</t>
  </si>
  <si>
    <t>recqdmFloy11VMzz5</t>
  </si>
  <si>
    <t>Okello Robert - Omoro | Lalogi | Rwot Ngeo Gardener</t>
  </si>
  <si>
    <t>rect5i3FWNfSFK9Wa</t>
  </si>
  <si>
    <t>Okello Simon Peter - Agago | Lira - Palwo | Rippe aye teko Gardener</t>
  </si>
  <si>
    <t>recoUVJXGjUf3tyiR</t>
  </si>
  <si>
    <t>Okello titus - Agago | Paimol | Rubanga tek women's group - Gardener</t>
  </si>
  <si>
    <t>recqBL0scdgolJpL0</t>
  </si>
  <si>
    <t>Okello Tom Samuel - Omoro | Lalogi | Bedi igen Gardener</t>
  </si>
  <si>
    <t>recrwH781p35ZStEo</t>
  </si>
  <si>
    <t>Okello tonny - Agago | Lapono | Wagwoko lim Gardener</t>
  </si>
  <si>
    <t>rec1SMSmNvNmQCbyl</t>
  </si>
  <si>
    <t>Okete madalen - Agago | Paimol | Rubanga tek women's group - Gardener</t>
  </si>
  <si>
    <t>rechfB3OTq2GQcmUP</t>
  </si>
  <si>
    <t>Okidi Francis - Agago | Lukole | Alwee trees Gardener</t>
  </si>
  <si>
    <t>rec12LqKb6CeFweX4</t>
  </si>
  <si>
    <t>Okidi geoffery - Agago | Lira - Palwo | Rippe aye teko Gardener</t>
  </si>
  <si>
    <t>recc9ZwssqjRQbSjP</t>
  </si>
  <si>
    <t>Okidi joseph - Agago | Kuywe | Cam badi Gardener</t>
  </si>
  <si>
    <t>recmEH6pk6AcdisE0</t>
  </si>
  <si>
    <t>Okidi Leoune - Omoro | Lalogi | Mak mukemi Gardener</t>
  </si>
  <si>
    <t>reclgualitZUlLRlx</t>
  </si>
  <si>
    <t>Okidi michel - Agago | Adilang | Nyiki Nyiki farmer's group Gardener</t>
  </si>
  <si>
    <t>rec21kqKPiwTOH2Uj</t>
  </si>
  <si>
    <t>Okidi regan - Agago | Lira - Palwo | Rippe aye teko Gardener</t>
  </si>
  <si>
    <t>recb6XPvf4xNnryVE</t>
  </si>
  <si>
    <t>Okol Florence - Omoro | Lalogi | Bed Inge B Gardener</t>
  </si>
  <si>
    <t>recTf6tUD7hqsTqZz</t>
  </si>
  <si>
    <t>Okore James - Omoro | Lalogi | Acek ki kwene Gardener</t>
  </si>
  <si>
    <t>rectsVDlTlTdrv2JA</t>
  </si>
  <si>
    <t>Okot Beatrice - Gulu | Paicho A | Waribu cing Gardener</t>
  </si>
  <si>
    <t>recrKmKaToKudpgmv</t>
  </si>
  <si>
    <t>Okot Bosco - Omoro | Lalogi | Ogwete community Gardener</t>
  </si>
  <si>
    <t>recVfdxNPBgqbXh87</t>
  </si>
  <si>
    <t>Okot Daniel - Omoro | Lalogi | Bedi igen Gardener</t>
  </si>
  <si>
    <t>recPWPmXaeuF7z0EA</t>
  </si>
  <si>
    <t>Okot galdino - Agago | Lira - Palwo | Tam piwa Gardener</t>
  </si>
  <si>
    <t>recsr4yaOxHDB2kip</t>
  </si>
  <si>
    <t>Okot James - Agago | Adilang | Akem ki kweri Gardener</t>
  </si>
  <si>
    <t>recth7u2mQPtYpMOS</t>
  </si>
  <si>
    <t>Okuli Wellborn - Agago | | Individual Farmer Gardener</t>
  </si>
  <si>
    <t>reciiX8Mc7jwVStK3</t>
  </si>
  <si>
    <t>Okwera Bension - Kipak Rwot</t>
  </si>
  <si>
    <t>recQnC2hmQg65scvj</t>
  </si>
  <si>
    <t>Okwera benson - Agago | Lira - Palwo | Rippe aye teko Gardener</t>
  </si>
  <si>
    <t>recJalNlsYrlgzPzF</t>
  </si>
  <si>
    <t>Okwera francis - Agago | Kuywe | Ogen rwot Gardener</t>
  </si>
  <si>
    <t>recg530QnftvWNn0S</t>
  </si>
  <si>
    <t>Olanga Joseph - Agago | Adilang | Tam piwa Gardener</t>
  </si>
  <si>
    <t>recW1gdTwvhmCggyf</t>
  </si>
  <si>
    <t>Olanya John Okello - Individual</t>
  </si>
  <si>
    <t>reckgbz2vRtrkhm58</t>
  </si>
  <si>
    <t>Olanya Baptist whisky - Agago | Lukole | Ripe Gardener</t>
  </si>
  <si>
    <t>recrRMe3ZsrCnRfFJ</t>
  </si>
  <si>
    <t>Olanya Baptist wishky - Agago | Lukole | Ripe - Gardener</t>
  </si>
  <si>
    <t>recIeI9HqHvnlbMwv</t>
  </si>
  <si>
    <t>Olanya Jaccob - Omoro | Lalogi | Mak mukemi Gardener</t>
  </si>
  <si>
    <t>recdIYDXD9eysCB4v</t>
  </si>
  <si>
    <t>Olara Jimmy - Agago | Lukole | Ripe Gardener</t>
  </si>
  <si>
    <t>recCicqtx3DbOe5yP</t>
  </si>
  <si>
    <t>Oloya joseph - Agago | Lira - Palwo | Rippe aye teko Gardener</t>
  </si>
  <si>
    <t>rec1X1WnvTtUI8Tbg</t>
  </si>
  <si>
    <t>Oloya Peter - Omoro | Lalogi | Lubanga Lonyo Gardener</t>
  </si>
  <si>
    <t>recTgXpTUMiQJzwo7</t>
  </si>
  <si>
    <t>Olweng Ceaser - Agago | Paimol | Gen kweri young farmer's association - Gardener</t>
  </si>
  <si>
    <t>recZzYiVBhE9YLDZQ</t>
  </si>
  <si>
    <t>Olweny David - Omoro | Lalogi | Ogwete community Gardener</t>
  </si>
  <si>
    <t>recQVmRJAZgNCTGal</t>
  </si>
  <si>
    <t>Olweny Patrick - Kitgum | Orom East | Waryemo Can Gardener</t>
  </si>
  <si>
    <t>recka6NBemLqQcNcU</t>
  </si>
  <si>
    <t>Olwoc balam - Agago | Paimol | Gen kweri young farmer's association - Gardener</t>
  </si>
  <si>
    <t>rectGLE1UHlnDlxIZ</t>
  </si>
  <si>
    <t>Olwoch Charles - Agago | | Individual Farmer Gardener</t>
  </si>
  <si>
    <t>recWPG2ZfKwW3yrGF</t>
  </si>
  <si>
    <t>Omara Denis - Omoro | Lalogi | Ogwete community Gardener</t>
  </si>
  <si>
    <t>recYkFSEkANxYoAlb</t>
  </si>
  <si>
    <t>Omara Francis - Omoro | Lalogi | Mak mukemi Gardener</t>
  </si>
  <si>
    <t>recQphlrjX8UWNK3R</t>
  </si>
  <si>
    <t>Omony Denish - Agago | Paimol | Paco matek cung ki bulu - Gardener</t>
  </si>
  <si>
    <t>reci61lnsXY89rS8R</t>
  </si>
  <si>
    <t>Omwony Geoffrey - Omoro | Lalogi | Bed Inge A Gardener</t>
  </si>
  <si>
    <t>recqXclYW0PT9DOZM</t>
  </si>
  <si>
    <t>Onek Pius - Omoro | Lalogi | Bedi igen Gardener</t>
  </si>
  <si>
    <t>Melia, Faidherbia,</t>
  </si>
  <si>
    <t>rec8PRBb11nBh6CuG</t>
  </si>
  <si>
    <t>Onekgio Richard - Omoro | Lalogi | Kok kec ki kweri Gardener</t>
  </si>
  <si>
    <t>recoQ3AOJbVxlqNkq</t>
  </si>
  <si>
    <t>Onen Brian - Omoro | Lalogi | Bedi igen Gardener</t>
  </si>
  <si>
    <t>recmOG3dsBRz6cGB9</t>
  </si>
  <si>
    <t>Onen-can Patrick - Omoro | Lalogi | Kok kec ki kweri Gardener</t>
  </si>
  <si>
    <t>recnRHWyLxRDaNvyT</t>
  </si>
  <si>
    <t>Onencan Patrick - Omoro | Lalogi | Kok kec ki kweri Gardener</t>
  </si>
  <si>
    <t>rechYN8VsvRHmtfg3</t>
  </si>
  <si>
    <t>Ongaya John - Agago | Lukole | Ripe Gardener</t>
  </si>
  <si>
    <t>reciWUMFB1xGvaAbK</t>
  </si>
  <si>
    <t>Ongom David - Agago | Paimol | Rubanga tek women's group - Gardener</t>
  </si>
  <si>
    <t>recNOw0nnNdtn6LZK</t>
  </si>
  <si>
    <t>Ongom Denish - Omoro | Lalogi | Ogwete community Gardener</t>
  </si>
  <si>
    <t>rechnIOHgoXc1Stxv</t>
  </si>
  <si>
    <t>Ongom john - Agago | Kuywe | Gum anywala Gardener</t>
  </si>
  <si>
    <t>rec6q6UZ6dE7zWEQr</t>
  </si>
  <si>
    <t>Onyango-Wat Jasper - Omoro | Lalogi | Ogwete community Gardener</t>
  </si>
  <si>
    <t>recMHJuFOs2LTTOTe</t>
  </si>
  <si>
    <t>Onying Silver - Agago | Lapono | Onen kuc Gardener</t>
  </si>
  <si>
    <t>recDpaljoE5coTi0I</t>
  </si>
  <si>
    <t>Oola Tense - Omoro | Lalogi | Bedi igen Gardener</t>
  </si>
  <si>
    <t>recGjnJKh2dUPTTHC</t>
  </si>
  <si>
    <t>Openy Albin Michael - Agago | Paimol | Gen kweri young farmer's association - Gardener</t>
  </si>
  <si>
    <t>recFfp97B6RVszyaM</t>
  </si>
  <si>
    <t>Opio Geoffrey - Omoro | Lalogi | Bedi igen Gardener</t>
  </si>
  <si>
    <t>recAyYqpmTfcWjG3q</t>
  </si>
  <si>
    <t>Opio john - Agago | Lapono | Peko ma poto atura - Gardener</t>
  </si>
  <si>
    <t>recV6zEwu1IzjubR2</t>
  </si>
  <si>
    <t>Opio John Bosco - Agago | Lukole | Ripe Gardener</t>
  </si>
  <si>
    <t>rec0iDjigG6wzAaaK</t>
  </si>
  <si>
    <t>Opio Nickolas - Omoro | Lalogi | Rwot Ngeo Gardener</t>
  </si>
  <si>
    <t>Melia, Musizi, Opok, Senna,</t>
  </si>
  <si>
    <t>recGPfpw7TDmV6ImC</t>
  </si>
  <si>
    <t>Opiyo Bosco - Omoro | Lalogi | Lubanga Twero Gardener</t>
  </si>
  <si>
    <t>recyBLMx6OKgzp78j</t>
  </si>
  <si>
    <t>Opiyo Denise - Agago | Lukole | Ripe Gardener</t>
  </si>
  <si>
    <t>recuzHO5ssii4tXfy</t>
  </si>
  <si>
    <t>Opiyo Geoffrey - Omoro | Lalogi | Ogwete community Gardener</t>
  </si>
  <si>
    <t>rec1wKbZTpuzL6gyT</t>
  </si>
  <si>
    <t>Opiyo Nack - Omoro | Lalogi | Mak mukemi Gardener</t>
  </si>
  <si>
    <t>recQtByGHmbRs05is</t>
  </si>
  <si>
    <t>Opiyo Samuel Baker - Individual</t>
  </si>
  <si>
    <t>recKsUJXhyNYN1FdF</t>
  </si>
  <si>
    <t>Orach george - Agago | Lapono | Onen kuc Gardener</t>
  </si>
  <si>
    <t>recPhmRqq5ILBTUqv</t>
  </si>
  <si>
    <t>Oringa Moses - Agago | | Individual Farmer Gardener</t>
  </si>
  <si>
    <t>recumqUx8CwO8JL9P</t>
  </si>
  <si>
    <t>Oroma Jenifer - Agago | Adilang | Tam piwa Gardener</t>
  </si>
  <si>
    <t>Melia, Gmelina, Lebbek</t>
  </si>
  <si>
    <t>recrqDMtG3mcb69Pp</t>
  </si>
  <si>
    <t>Oroma Jennifer - Acak ki kwene</t>
  </si>
  <si>
    <t>recGoEhnE6dUyrI95</t>
  </si>
  <si>
    <t>Oroma Rose - Omoro | Lalogi | Ogwete community Gardener</t>
  </si>
  <si>
    <t>recVOOSKfyddSMEjj</t>
  </si>
  <si>
    <t>Oryem john - Agago | Paimol | Anyim mito yele - Gardener</t>
  </si>
  <si>
    <t>recEDWRKni2F8xR8x</t>
  </si>
  <si>
    <t>Otema Denis - Omoro | Lalogi | Bed Inge B Gardener</t>
  </si>
  <si>
    <t>recm9xmXmofSTio51</t>
  </si>
  <si>
    <t>Otema Denis B - Omoro | Lalogi | Bed Inge B Gardener</t>
  </si>
  <si>
    <t>rec0UDLJkNgFFcrG4</t>
  </si>
  <si>
    <t>Otika john - Agago | Lira - Palwo | Rubanga ngeo Gardener</t>
  </si>
  <si>
    <t>recYuYXCQVAWqzcpI</t>
  </si>
  <si>
    <t>Otim bosco - Agago | Lira - Palwo | Rippe aye teko Gardener</t>
  </si>
  <si>
    <t>Melia, Gmelina, Ongono, Lebbek</t>
  </si>
  <si>
    <t>rec4cS1NkFn1C5SrU</t>
  </si>
  <si>
    <t>Otto Jeovien - Agago | Lapono | Onen kuc Gardener</t>
  </si>
  <si>
    <t>rec7W650pIrJaLqRp</t>
  </si>
  <si>
    <t>Otto Joseph Solomon - Agago | Lukole | Alwee trees Gardener</t>
  </si>
  <si>
    <t>rechvWHicI345UIgZ</t>
  </si>
  <si>
    <t>Otto Richard - Omoro | Lalogi | Ogwete community Gardener</t>
  </si>
  <si>
    <t>rec8nYSUa4FhvQ21U</t>
  </si>
  <si>
    <t>Owani thomas - Agago | Lira - Palwo | Rippe aye teko Gardener</t>
  </si>
  <si>
    <t>Melia, Musizi, Ongono, Lebbek</t>
  </si>
  <si>
    <t>rec3WnoaZvs9VFW9I</t>
  </si>
  <si>
    <t>Owani vincent - Agago | Adilang | Labwo seeds community association Gardener</t>
  </si>
  <si>
    <t>recRs2XoDDG5w9rgS</t>
  </si>
  <si>
    <t>Owili Sisto - Onen kuc</t>
  </si>
  <si>
    <t>reckY8wRFqHvLHPZc</t>
  </si>
  <si>
    <t>Owili David Oyat - Agago | Lapono | Onen kuc Gardener</t>
  </si>
  <si>
    <t>reciGt8yog2CxkYPy</t>
  </si>
  <si>
    <t>Owili Nekolina - Peko ma poto atura</t>
  </si>
  <si>
    <t>recfhONMx2Y72t4Yy</t>
  </si>
  <si>
    <t>Owiny Donino - Peko ma poto atura</t>
  </si>
  <si>
    <t>rec5GBJygH9q7SFwO</t>
  </si>
  <si>
    <t>Owon paul - Agago | Paimol | Lacwec konya - Gardener</t>
  </si>
  <si>
    <t>recORdz3lWv11sTh5</t>
  </si>
  <si>
    <t>Owuna James - Omoro | Lalogi | Bed Inge A Gardener</t>
  </si>
  <si>
    <t>recnCrenteKiPTj0d</t>
  </si>
  <si>
    <t>Oyaro Livingston - Omoro | Lalogi | Lok i tam Gardener</t>
  </si>
  <si>
    <t>Melia, Ongono, Faidherbia, Senna,</t>
  </si>
  <si>
    <t>recYIv5EW4W5eiDx7</t>
  </si>
  <si>
    <t>Oyela dorine - Agago | Kuywe | Ogen rwot Gardener</t>
  </si>
  <si>
    <t>recTO6Qy7kIUk5sIf</t>
  </si>
  <si>
    <t>Oyella Betty - Onen kuc</t>
  </si>
  <si>
    <t>recIRtIW5IDE5ZLSm</t>
  </si>
  <si>
    <t>Oyoo devit - Agago | Paimol | Paco matek cung ki bulu - Gardener</t>
  </si>
  <si>
    <t>recqhwJIJuPLID5MJ</t>
  </si>
  <si>
    <t>Oyoo Micheal - Kitgum | Orom East | Waryemo Can Gardener</t>
  </si>
  <si>
    <t>recruHRtisLrg162h</t>
  </si>
  <si>
    <t>Patrick Lumumba - Agago | | Individual Farmer Gardener</t>
  </si>
  <si>
    <t>recK09RmwQlNNcOln</t>
  </si>
  <si>
    <t>Rackarac Oscar - Omoro | Lalogi | Bed Inge A Gardener</t>
  </si>
  <si>
    <t>recI3AwyoR92ECwde</t>
  </si>
  <si>
    <t>Rubangakene Charles Leo - Omoro | Lalogi | Bed Inge A Gardener</t>
  </si>
  <si>
    <t>recoGjNfX2V2mZqEq</t>
  </si>
  <si>
    <t>Scan Rose - Agago | Paimol | Rubanga tek women's group - Gardener</t>
  </si>
  <si>
    <t>recOwAz9uVZxdz28b</t>
  </si>
  <si>
    <t>Too okema Wilson - Agago | Lapono | Odong mon Gardener</t>
  </si>
  <si>
    <t>rec7jX4JTv9ZFtyN5</t>
  </si>
  <si>
    <t>Too-okema Joseph - Agago | Lapono | Odong mon Gardener</t>
  </si>
  <si>
    <t>recWChTr4fLXFC542</t>
  </si>
  <si>
    <t>Abalo Beatrice - Kitgum | Orom East | Kipak rwot - Gardener</t>
  </si>
  <si>
    <t>recZBT1m6winz9piU</t>
  </si>
  <si>
    <t>Abalo Corina - Agago | Kuywe | Kica ber Gardener</t>
  </si>
  <si>
    <t>recwnMdRgn5p3k0kh</t>
  </si>
  <si>
    <t>Abalo rozina - Agago | Kuywe | Kica ber Gardener</t>
  </si>
  <si>
    <t>recwkk3t3LF7L2jKF</t>
  </si>
  <si>
    <t>Abalo Silverina - Agago | Kuywe | Lobo cana Gardener</t>
  </si>
  <si>
    <t>recAfFobvG6JTiyUW</t>
  </si>
  <si>
    <t>Abonyo christine - Agago | Kuywe | Lobo cana Gardener</t>
  </si>
  <si>
    <t>recX2t2B1fDRLdHA5</t>
  </si>
  <si>
    <t>Abonyo Esther - Karenga water user</t>
  </si>
  <si>
    <t>rec68QSSQFCbr1nqu</t>
  </si>
  <si>
    <t>Abonyo Rebecca - Kitgum | Orom East | Tim tek United Gardener</t>
  </si>
  <si>
    <t>recH5DTQD4wtNjcvC</t>
  </si>
  <si>
    <t>Abur Karla - Agago | Lukole | Gang ber ki mon Gardener</t>
  </si>
  <si>
    <t>rec1TNNTPMfmyJ1Pw</t>
  </si>
  <si>
    <t>ABWOL BETTY - DONGO LOBO BER</t>
  </si>
  <si>
    <t>recEg2gw6HvcsyCHN</t>
  </si>
  <si>
    <t>Abwola Stephen - Agago | Kuywe | Ogen rwot Gardener</t>
  </si>
  <si>
    <t>recYInL3x6AAqzpmb</t>
  </si>
  <si>
    <t>Acala jackine - Agago | Adilang | Can lit Gardener</t>
  </si>
  <si>
    <t>recj55XBPlW3aak9p</t>
  </si>
  <si>
    <t>Acalla Hellen - Akem kwene</t>
  </si>
  <si>
    <t>rec0FSP7YdE1zvVwp</t>
  </si>
  <si>
    <t>Acan berty - Agago | Adilang | Tam piwa Gardener</t>
  </si>
  <si>
    <t>reccu6hxKtYAEf8u4</t>
  </si>
  <si>
    <t>Acan Christine - Agago | Kuywe | Lobo cana Gardener</t>
  </si>
  <si>
    <t>recIgpVuTVG8PxMNf</t>
  </si>
  <si>
    <t>Acan Christine - Kitgum | Orom East | Tim tek United Gardener</t>
  </si>
  <si>
    <t>recEOZnc3IIPjlzj3</t>
  </si>
  <si>
    <t>Acan dorine - Agago | Kuywe | Rubanga tek ki lwak Cam badi Gardener</t>
  </si>
  <si>
    <t>rec3uCpX456Dr9c9O</t>
  </si>
  <si>
    <t>Acayo jusphine - Agago | Adilang | Tam piwa Gardener</t>
  </si>
  <si>
    <t>recTUVitMu7wsxRI5</t>
  </si>
  <si>
    <t>Acayo Alice - Agago | Kuywe | Yub paco ni Gardener</t>
  </si>
  <si>
    <t>recvLTL6iFNZF0awJ</t>
  </si>
  <si>
    <t>Acayo Anjuleta - Agago | Paimol | Cing ki cing - Gardener</t>
  </si>
  <si>
    <t>rectyvy1fGWxQSKkj</t>
  </si>
  <si>
    <t>Acayo anjuletta - Agago | Paimol | Cing ki cing - Gardener</t>
  </si>
  <si>
    <t>recF6A7QtpNbQJqk8</t>
  </si>
  <si>
    <t>Acayo fielder - Kitgum | Orom East | Watwero Gardener</t>
  </si>
  <si>
    <t>recfD5nD6oXL1O6Hm</t>
  </si>
  <si>
    <t>Acayo Fildar - Kitgum | Orom East | Watwero Gardener</t>
  </si>
  <si>
    <t>recMsDiOVBm9vkorP</t>
  </si>
  <si>
    <t>Acayo grace - Agago | Lapono | Wagwoko lim Gardener</t>
  </si>
  <si>
    <t>receuIV8GFSBHPpFV</t>
  </si>
  <si>
    <t>acayo Jennifer - Kitgum | Orom East | Atek ki lwak Gardener</t>
  </si>
  <si>
    <t>recfM8ZWlr5z9cZ17</t>
  </si>
  <si>
    <t>Acayo Margret - Agago | Adilang | Can lit Gardener</t>
  </si>
  <si>
    <t>recMHqkXBN0lbmW7Z</t>
  </si>
  <si>
    <t>Acayo Paul - Agago | Lapono | Wagwoko lim Gardener</t>
  </si>
  <si>
    <t>recqv9213xExChBjf</t>
  </si>
  <si>
    <t>Acen Alice - Agago | Paimol | Cing ki cing - Gardener</t>
  </si>
  <si>
    <t>recuRlpJ0hiNGqvSV</t>
  </si>
  <si>
    <t>Acen Catherine - Peko ma poto atura</t>
  </si>
  <si>
    <t>recMbt2Xy7cv5hlUQ</t>
  </si>
  <si>
    <t>Acen christine - Agago | Lapono | Peko ma poto atura - Gardener</t>
  </si>
  <si>
    <t>recL3AwHkY7ahwg55</t>
  </si>
  <si>
    <t>Acen Hellen - Agago | Lapono | Wagwoko lim Gardener</t>
  </si>
  <si>
    <t>recNK6h4XNL9Gi0EH</t>
  </si>
  <si>
    <t>Aceng Grace - Peko ma poto atura</t>
  </si>
  <si>
    <t>rec8vJAPapopZsgC3</t>
  </si>
  <si>
    <t>Aceng Irene - Kitgum | Orom East | Watwero Gardener</t>
  </si>
  <si>
    <t>rec4z4UymNIRAUjPH</t>
  </si>
  <si>
    <t>Aceng Stella - Agago | Patongo | God the provider Gardener</t>
  </si>
  <si>
    <t>Patongo</t>
  </si>
  <si>
    <t>recGQu3JPLxTZQgk0</t>
  </si>
  <si>
    <t>Acida Betty - Kitgum | Orom East | Waryemo Can Gardener</t>
  </si>
  <si>
    <t>recVUGJ6BQSK8xK8v</t>
  </si>
  <si>
    <t>Aciro Holgar - Agago | Lapono | Onen kuc Gardener</t>
  </si>
  <si>
    <t>reczi2eHdG81Z3sNE</t>
  </si>
  <si>
    <t>Aciro Vicky - Kitgum | Orom East | Atek ki lwak - Gardener</t>
  </si>
  <si>
    <t>reczCF7vEP9O6z36U</t>
  </si>
  <si>
    <t>Adiri Yakobo - Agago | Lukole | Ripe Gardener</t>
  </si>
  <si>
    <t>rec7TFE673H7DX8xr</t>
  </si>
  <si>
    <t>Adoc betty - Agago | Lira - Palwo | Nen ki wangi Gardener</t>
  </si>
  <si>
    <t>recIg2MBX7RNGN7Mg</t>
  </si>
  <si>
    <t>Adong Christine - Agago | Adilang | Tam piwa Gardener</t>
  </si>
  <si>
    <t>reclqiqZQDzA1zBrH</t>
  </si>
  <si>
    <t>Adong Camila - Agago | Lapono | Onen kuc Gardener</t>
  </si>
  <si>
    <t>recCsjrcR3JE8kwZU</t>
  </si>
  <si>
    <t>Adong Grace - Agago | Lapono | Akem kwene farmer's group Gardener</t>
  </si>
  <si>
    <t>recOCA7Im5odMgTyX</t>
  </si>
  <si>
    <t>Adong Grace - Agago | Lapono | Onen kuc Gardener</t>
  </si>
  <si>
    <t>recVg0TlN8HTqPpaE</t>
  </si>
  <si>
    <t>Adong Jennet - Agago | Lapono | Onen kuc Gardener</t>
  </si>
  <si>
    <t>recXvBiL4GNd7ZPf9</t>
  </si>
  <si>
    <t>Adong Lucy - Kitgum | Orom East | Watwero Gardener</t>
  </si>
  <si>
    <t>recOC5Il5vlublXLh</t>
  </si>
  <si>
    <t>Adong Nighty - Agago | Lapono | Onen kuc Gardener</t>
  </si>
  <si>
    <t>rec0jFyXQd0Zim0HF</t>
  </si>
  <si>
    <t>Adong Scovia - Omoro | Lalogi | Mak mukemi Gardener</t>
  </si>
  <si>
    <t>recT5iKFbPxf4ek3M</t>
  </si>
  <si>
    <t>Adong Vicky - Kitgum | Orom East | Dongo Lobo ber - Gardener</t>
  </si>
  <si>
    <t>Melia, Gmelina, Ongono, Faidherbia, Senna, Lebbek</t>
  </si>
  <si>
    <t>recM0sFwhoeXEyMCI</t>
  </si>
  <si>
    <t>Adongo stella - Agago | Patongo | God the provider Gardener</t>
  </si>
  <si>
    <t>recaPNGZBLFVaaJQY</t>
  </si>
  <si>
    <t>Adui James - Tim tek United</t>
  </si>
  <si>
    <t>rec49Td3FKSXp2TUG</t>
  </si>
  <si>
    <t>Adwar Josephine - Agago | Lapono | Karenga water user's association Gardener</t>
  </si>
  <si>
    <t>recPlpXJIUJX7iO17</t>
  </si>
  <si>
    <t>Agwate Williams - Kitgum | Orom East | Ribe aye lonyo - Gardener</t>
  </si>
  <si>
    <t>recWOqIBSXumGkG9p</t>
  </si>
  <si>
    <t>Agwec Paska - Agago | Kuywe | Tam pi Anyim Gardener</t>
  </si>
  <si>
    <t>recmXZQYnSQ7uhCMx</t>
  </si>
  <si>
    <t>Ajok Miriam - Karenga water user kaket</t>
  </si>
  <si>
    <t>recDn2WKGqmNqSw7B</t>
  </si>
  <si>
    <t>Ajok Rose Odong - Agago | Lira - Palwo | Nen ki wangi Gardener</t>
  </si>
  <si>
    <t>recDfTi2Q9fWk4RcH</t>
  </si>
  <si>
    <t>Akanyo estar - Agago | Kuywe | Ogen rwot Gardener</t>
  </si>
  <si>
    <t>recxcVezhoAgkf9Gh</t>
  </si>
  <si>
    <t>Akanyo Jennifer - Agago | Paimol | Rubanga tek women's group - Gardener</t>
  </si>
  <si>
    <t>Gmelina, Faidherbia,</t>
  </si>
  <si>
    <t>recO3Ybwe8JWK3M4N</t>
  </si>
  <si>
    <t>Akech Catherine - Akech Catherine</t>
  </si>
  <si>
    <t>rechXClGeRB0ttIES</t>
  </si>
  <si>
    <t>Akech Sunday - Karenga water user kaket</t>
  </si>
  <si>
    <t>recG47mbOyhHhkyXE</t>
  </si>
  <si>
    <t>Akech jasinta - Agago | Kuywe | Kica ber Gardener</t>
  </si>
  <si>
    <t>rechijIct1XlYkCxn</t>
  </si>
  <si>
    <t>Akech Silver - Karenga water user</t>
  </si>
  <si>
    <t>recjO7GL3ha1bYjsj</t>
  </si>
  <si>
    <t>recGnrhzRXbzc7hk7</t>
  </si>
  <si>
    <t>Akello allen - Agago | Adilang | Tam piwa Gardener</t>
  </si>
  <si>
    <t>rec7H9ymlwC3p5ans</t>
  </si>
  <si>
    <t>Akello Angness - Agago | Kuywe | Tam pi Anyim Gardener</t>
  </si>
  <si>
    <t>rec1PIMiBoqageEJT</t>
  </si>
  <si>
    <t>Akello Betty - Agago | Lapono | Onen kuc Gardener</t>
  </si>
  <si>
    <t>recB6OZXvtPHBtwC7</t>
  </si>
  <si>
    <t>Akello betty - Agago | Lukole | Alwee trees Gardener</t>
  </si>
  <si>
    <t>recZJMuT2qu5GvEPA</t>
  </si>
  <si>
    <t>Akello Florence - Odong Mon</t>
  </si>
  <si>
    <t>reckYbPHa1s8QlceL</t>
  </si>
  <si>
    <t>recUYaHFPmOnwLKGK</t>
  </si>
  <si>
    <t>Akello Margret - Agago | Kuywe | Lobo cana Gardener</t>
  </si>
  <si>
    <t>recUGJ1nO8JZOsJOR</t>
  </si>
  <si>
    <t>Akello Monica - Rwot ngeo</t>
  </si>
  <si>
    <t>Melia, Opok,</t>
  </si>
  <si>
    <t>rechyhQixh9LExhtY</t>
  </si>
  <si>
    <t>Akello Paska - Agago | Lira - Palwo | Rippe aye teko Gardener</t>
  </si>
  <si>
    <t>rechnyvXKEB85eYHS</t>
  </si>
  <si>
    <t>recrvtOdoMhcybeV8</t>
  </si>
  <si>
    <t>Akello silvia - Agago | Lapono | Akem kwene farmer's group Gardener</t>
  </si>
  <si>
    <t>rec3nNRMBU5MirIlY</t>
  </si>
  <si>
    <t>Akello Silvia Slivia - Omoro | Lalogi | Mak mukemi Gardener</t>
  </si>
  <si>
    <t>rec6iPoVUm8nGWP7L</t>
  </si>
  <si>
    <t>Akello Winnie - Kitgum | Orom East | Kipak rwot - Gardener</t>
  </si>
  <si>
    <t>receKcHfxq3NYGk6y</t>
  </si>
  <si>
    <t>Akidi Agnes - Agago | Adilang | Tam piwa Gardener</t>
  </si>
  <si>
    <t>Melia, Musizi, Gmelina, Ongono, Lebbek</t>
  </si>
  <si>
    <t>rec1y0OtPcR8rQs9m</t>
  </si>
  <si>
    <t>Akidi Monica - Agago | Adilang | Tam piwa Gardener</t>
  </si>
  <si>
    <t>recyEHYOqyFDFjSil</t>
  </si>
  <si>
    <t>Akidi bianka - Agago | Lapono | Wagwoko lim Gardener</t>
  </si>
  <si>
    <t>rec6xzAWKZ2Y0kDnz</t>
  </si>
  <si>
    <t>Akidi Brenda - Agago | Lukole | Ripe Gardener</t>
  </si>
  <si>
    <t>recoJzlNJVqiRlA7P</t>
  </si>
  <si>
    <t>Akidi Esther - Agago | Lapono | Karenga water user's association Gardener</t>
  </si>
  <si>
    <t>rec2NDOPupuxjagP8</t>
  </si>
  <si>
    <t>Akidi hellen - Agago | Lapono | Karenga water user's association Gardener</t>
  </si>
  <si>
    <t>recWL4oUsdfijFtmq</t>
  </si>
  <si>
    <t>Akidi Margret - Agago | Kuywe | Cam badi Gardener</t>
  </si>
  <si>
    <t>recXlLHkfALuOWP9m</t>
  </si>
  <si>
    <t>Akongo Ellie - Kitgum | Orom East | Dongo Lobo ber Gardener</t>
  </si>
  <si>
    <t>recpEwkTpWMCyKkrV</t>
  </si>
  <si>
    <t>Akongo Jennifer - Kitgum | Orom East | Kipak rwot - Gardener</t>
  </si>
  <si>
    <t>recpsHfLVtDWKoLDJ</t>
  </si>
  <si>
    <t>Akot Christine - Agago | Lapono | Onen kuc Gardener</t>
  </si>
  <si>
    <t>rec17hzf67cKcwM6S</t>
  </si>
  <si>
    <t>Akot Everline - Kitgum | Orom East | Ribe aye lonyo - Gardener</t>
  </si>
  <si>
    <t>recp8MKcTENlrs9gn</t>
  </si>
  <si>
    <t>Akot Polline - Kitgum | Orom East | Ribe aye lonyo - Gardener</t>
  </si>
  <si>
    <t>recPCVrLtdrdBjYUl</t>
  </si>
  <si>
    <t>Akot silvia - Kitgum | Orom East | Dongo Lobo ber Gardener</t>
  </si>
  <si>
    <t>rec5GwUvaRXL18nUz</t>
  </si>
  <si>
    <t>Akoth santina - Agago | Lira - Palwo | Nen ki wangi Gardener</t>
  </si>
  <si>
    <t>recukMspm2eMtfsFm</t>
  </si>
  <si>
    <t>Akullo Salima - Agago | Lukole | Nen anyim Gardener</t>
  </si>
  <si>
    <t>recgF47nzZDIcjPKl</t>
  </si>
  <si>
    <t>Akullu Brenda - Agago | Patongo | God the provider Gardener</t>
  </si>
  <si>
    <t>recQ0IVsiivBoYtMW</t>
  </si>
  <si>
    <t>Akulu Betty - Akem kwene</t>
  </si>
  <si>
    <t>recc83uAdqk4gIyZL</t>
  </si>
  <si>
    <t>AKUMU FILDA - KIPAKRWOT</t>
  </si>
  <si>
    <t>recISNzrMj67tUU5E</t>
  </si>
  <si>
    <t>Akumu rose - Agago | Kuywe | Gum anywala Gardener</t>
  </si>
  <si>
    <t>recrTfI2JOr3J4vjX</t>
  </si>
  <si>
    <t>Akwero Fildar - Kitgum | Orom East | Watwero - Gardener</t>
  </si>
  <si>
    <t>reccZrRBFGLtr8EHN</t>
  </si>
  <si>
    <t>Alanyo Josephine - Kitgum | Orom East | Kipak rwot Gardener</t>
  </si>
  <si>
    <t>recmQqTgsYtho3ibT</t>
  </si>
  <si>
    <t>Alaro Betty - Agago | Kuywe | Tam pi Anyim Gardener</t>
  </si>
  <si>
    <t>recVq3CTRiKqlZAhY</t>
  </si>
  <si>
    <t>Ali john - Agago | Paimol | Rubanga tek women's group - Gardener</t>
  </si>
  <si>
    <t>reco80GyWvUaNHkj8</t>
  </si>
  <si>
    <t>Alimo rose - Agago | Kuywe | Ogen rwot Gardener</t>
  </si>
  <si>
    <t>rec0lw1vHaPG4Ynlw</t>
  </si>
  <si>
    <t>Alimocan grace - Agago | Kuywe | Ogen rwot Gardener</t>
  </si>
  <si>
    <t>rec05wbXOR1UYxhWB</t>
  </si>
  <si>
    <t>Alok Nighty - Kitgum | Orom East | Watwero Gardener</t>
  </si>
  <si>
    <t>rec5G6ribQltmacVL</t>
  </si>
  <si>
    <t>Aloyo betrece - Agago | Kuywe | Gum anywala Gardener</t>
  </si>
  <si>
    <t>recJ3BvEZnN4FfWqG</t>
  </si>
  <si>
    <t>Alum Aster - Agago | Paimol | Amini ngo Gardener</t>
  </si>
  <si>
    <t>recEeyv165rsdr0XC</t>
  </si>
  <si>
    <t>Alum christine - Agago | Kuywe | Yub paco ni Gardener</t>
  </si>
  <si>
    <t>recRNbivuowk8Lv75</t>
  </si>
  <si>
    <t>Alum jusphine - Agago | Kuywe | Ogen rwot Gardener</t>
  </si>
  <si>
    <t>recHaL9NMAkpZzk9a</t>
  </si>
  <si>
    <t>Alur Vicky - Kitgum | Orom East | Dongo Lobo ber Gardener</t>
  </si>
  <si>
    <t>Melia, Ongono, Faidherbia, Senna, Lebbek</t>
  </si>
  <si>
    <t>recXjNiH8enf4NmdC</t>
  </si>
  <si>
    <t>Alwoc merry - Agago | Kuywe | Lobo cana Gardener</t>
  </si>
  <si>
    <t>recJkUDbEjZR3hkkj</t>
  </si>
  <si>
    <t>Amato Grace - Kitgum | Orom East | Kipak rwot - Gardener</t>
  </si>
  <si>
    <t>recjz9Bh8hUU8NAJG</t>
  </si>
  <si>
    <t>Amito Betty - Kitgum | Orom East | Tim tek United Gardener</t>
  </si>
  <si>
    <t>recvm1svdLL1VOz1C</t>
  </si>
  <si>
    <t>Amito Florence - Agago | Kuywe | Lobo cana Gardener</t>
  </si>
  <si>
    <t>recAdidmjtNUhlyHZ</t>
  </si>
  <si>
    <t>Amito scovia - Agago | Kuywe | Ogen rwot Gardener</t>
  </si>
  <si>
    <t>recfVP9Y0NnkNerM9</t>
  </si>
  <si>
    <t>Amolo santa - Agago | Paimol | Rubanga tek women's group - Gardener</t>
  </si>
  <si>
    <t>recESXy6yaGI3cpAL</t>
  </si>
  <si>
    <t>Amone Mathew - Kipak Rwot</t>
  </si>
  <si>
    <t>recyw5x7hJZYVrQgy</t>
  </si>
  <si>
    <t>Anek franka - Agago | Kuywe | Ogen rwot Gardener</t>
  </si>
  <si>
    <t>rechQyocANuBq2hxZ</t>
  </si>
  <si>
    <t>Anek grace - Agago | Paimol | Cing ki cing - Gardener</t>
  </si>
  <si>
    <t>recAJxWybIuWcmCkE</t>
  </si>
  <si>
    <t>Anek Grace - Kitgum | Orom East | Watwero Gardener</t>
  </si>
  <si>
    <t>recBKLGnzB6uomCeR</t>
  </si>
  <si>
    <t>Anek Irene pa yesu - Agago | Kuywe | Lobo cana Gardener</t>
  </si>
  <si>
    <t>rec0IP9qXJvkYpkHP</t>
  </si>
  <si>
    <t>Anek Jennet - Agago | Kuywe | Tam pi Anyim Gardener</t>
  </si>
  <si>
    <t>recgvnypamHq4vlVY</t>
  </si>
  <si>
    <t>Anena nighty - Agago | Lapono | Karenga water user's association Gardener</t>
  </si>
  <si>
    <t>recAzk7Uf6bFvlvyK</t>
  </si>
  <si>
    <t>Angom Grace - Kitgum | Orom East | Ribe aye lonyo Gardener</t>
  </si>
  <si>
    <t>recof38EkWo83NGJd</t>
  </si>
  <si>
    <t>Angom Rebecca - Kitgum | Orom East | Ribe aye lonyo Gardener</t>
  </si>
  <si>
    <t>rec1N7UeWKVdBvHQs</t>
  </si>
  <si>
    <t>Anyeko monica - Agago | Lapono | Wagwoko lim Gardener</t>
  </si>
  <si>
    <t>recALxchlQwKPuqtW</t>
  </si>
  <si>
    <t>Anying Sabina - Agago | Adilang | Tam piwa Gardener</t>
  </si>
  <si>
    <t>recwRMNZVif4N4HBP</t>
  </si>
  <si>
    <t>Anyon Susan - Agago | Adilang | Tam piwa Gardener</t>
  </si>
  <si>
    <t>recERItwxACV4gpD0</t>
  </si>
  <si>
    <t>Anyuwa PatrickOchido - Kitgum | Orom East | Tim tek United Gardener</t>
  </si>
  <si>
    <t>recSc3tCrWkNq4lAq</t>
  </si>
  <si>
    <t>Anywar Policap - Agago | Kuywe | Cam badi Gardener</t>
  </si>
  <si>
    <t>recEQ8jVBoUozmFcL</t>
  </si>
  <si>
    <t>Aol Janet - Agago | Kuywe | Ogen rwot Gardener</t>
  </si>
  <si>
    <t>rec3btbK6sqtM8QvK</t>
  </si>
  <si>
    <t>Apio Rose - Agago | Lapono | Odong mon Gardener</t>
  </si>
  <si>
    <t>recZhyIJp9JyfwbMD</t>
  </si>
  <si>
    <t>Apiyo christine - Agago | Adilang | Can lit Gardener</t>
  </si>
  <si>
    <t>recBdHPzDy8LxnjNF</t>
  </si>
  <si>
    <t>Apiyo Holgar - Kitgum | Orom East | Dongo Lobo ber Gardener</t>
  </si>
  <si>
    <t>reciWl8nOfmMLvrNY</t>
  </si>
  <si>
    <t>Apiyo Rose - Odong mon</t>
  </si>
  <si>
    <t>rechuQ9kgrUpXtSLc</t>
  </si>
  <si>
    <t>Apiyo Sicilia - Agago | Lapono | Onen kuc Gardener</t>
  </si>
  <si>
    <t>recRhwoDsTNnqDA1n</t>
  </si>
  <si>
    <t>Apollo Milton - Agago | Patongo | God the provider Gardener</t>
  </si>
  <si>
    <t>recImeDSSUNk7WFoG</t>
  </si>
  <si>
    <t>Apora hillary - Agago | Lapono | Peko ma poto atura - Gardener</t>
  </si>
  <si>
    <t>rec9rY2O8w5ycpyGf</t>
  </si>
  <si>
    <t>Apoto Elisuna - Agago | Kuywe | Kica ber Gardener</t>
  </si>
  <si>
    <t>rec7lCg18jRgvYCnL</t>
  </si>
  <si>
    <t>Arach Betty - Kitgum | Orom East | Atek ki lwak Gardener</t>
  </si>
  <si>
    <t>recNDrsEzd9eDVpjf</t>
  </si>
  <si>
    <t>Arach filda - Agago | Lapono | Karenga water user's association Gardener</t>
  </si>
  <si>
    <t>recyxKoFnoCDpI5V7</t>
  </si>
  <si>
    <t>Ario Sam Sam - Omoro | Lalogi | Mak mukemi Gardener</t>
  </si>
  <si>
    <t>recopvpGqHFJZUyOk</t>
  </si>
  <si>
    <t>Aromorach Kelvin - Agago | Kuywe | Kica ber Gardener</t>
  </si>
  <si>
    <t>recQmszmtjGHhYDyk</t>
  </si>
  <si>
    <t>AROMORACH NANCY - KIPAKRWOT</t>
  </si>
  <si>
    <t>recYXkuaQUgMMCdjq</t>
  </si>
  <si>
    <t>Aryemo Alice - Kitgum | Orom East | Watwero Gardener</t>
  </si>
  <si>
    <t>recxOzmWP7N8gsDUv</t>
  </si>
  <si>
    <t>Aryemo Madite - Agago | Lapono | Peko ma poto atura - Gardener</t>
  </si>
  <si>
    <t>recm5DmSZh6qVm5DY</t>
  </si>
  <si>
    <t>Aryemo santina - Agago | Lapono | Odong mon Gardener</t>
  </si>
  <si>
    <t>recBleGR0ugsdI0i8</t>
  </si>
  <si>
    <t>Ataro Silver - Agago | Lapono | Odong mon Gardener</t>
  </si>
  <si>
    <t>Gmelina, Senna, Lebbek</t>
  </si>
  <si>
    <t>recxjji1lDjh1NAtN</t>
  </si>
  <si>
    <t>Ateny David - Agago | Lapono | Onen kuc Gardener</t>
  </si>
  <si>
    <t>recPNqgnBMb9TL6Qw</t>
  </si>
  <si>
    <t>Atim Hellen - Dongolo Ber</t>
  </si>
  <si>
    <t>recTyHo7KL3jKb1e1</t>
  </si>
  <si>
    <t>Atimamgo Christine - Agago | Paimol | Rubanga tek women's group - Gardener</t>
  </si>
  <si>
    <t>rec8NN7nVMnYkgiVw</t>
  </si>
  <si>
    <t>Atoo Catherine - Agago | Lapono | Onen kuc Gardener</t>
  </si>
  <si>
    <t>rec4aSddrXE1ROMH1</t>
  </si>
  <si>
    <t>Atoo Nicholina - Kitgum | Orom East | Ribe aye lonyo - Gardener</t>
  </si>
  <si>
    <t>recqTqNvN2TmFIHNf</t>
  </si>
  <si>
    <t>Faidherbia,</t>
  </si>
  <si>
    <t>recIf492CQOCBDRqd</t>
  </si>
  <si>
    <t>Atoo Nicholina - Tim tek United</t>
  </si>
  <si>
    <t>recKBEngnpz7nGr0E</t>
  </si>
  <si>
    <t>Atto Anna Maria - Agago | Paimol | Tem gumi - Gardener</t>
  </si>
  <si>
    <t>recRF5pNi3H1lrxSZ</t>
  </si>
  <si>
    <t>Auma Juliana - Peko ma poto atura</t>
  </si>
  <si>
    <t>reckcpUKVeILAMvvE</t>
  </si>
  <si>
    <t>Auma Dorine - Odong Mon</t>
  </si>
  <si>
    <t>recmF92xdIdRsssWf</t>
  </si>
  <si>
    <t>Auma magrate - Agago | Kuywe | Gum anywala Gardener</t>
  </si>
  <si>
    <t>recWnVcKD3ITdnjvS</t>
  </si>
  <si>
    <t>Auma Magret - Tim tek United</t>
  </si>
  <si>
    <t>rec87iRtfJklozcFG</t>
  </si>
  <si>
    <t>Auma Mangorette - Kitgum | Orom East | Dongo Lobo ber Gardener</t>
  </si>
  <si>
    <t>reciM9fRhAdv3Qgyj</t>
  </si>
  <si>
    <t>Auma Mangorette Ekille - Kitgum | Orom East | Dongo Lobo ber Gardener</t>
  </si>
  <si>
    <t>rec3VcmimyDLNdyBK</t>
  </si>
  <si>
    <t>recKQnzmBGQjYEz0M</t>
  </si>
  <si>
    <t>Auma Rose - Agago | Lapono | Akem kwene farmer's group Gardener</t>
  </si>
  <si>
    <t>recbc2ZOzaSLZWjEF</t>
  </si>
  <si>
    <t>Auma scovia - Agago | Kuywe | Ogen rwot Gardener</t>
  </si>
  <si>
    <t>rec2W6KlJZ0Dma9qL</t>
  </si>
  <si>
    <t>Aunu Flo - Omoro | Lalogi | Mak mukemi Gardener</t>
  </si>
  <si>
    <t>rec9PSjQ5CQ37Bd5M</t>
  </si>
  <si>
    <t>Awongo Nelson - Agago | Patongo | God the provider Gardener</t>
  </si>
  <si>
    <t>recBXz1vZbTlAggyZ</t>
  </si>
  <si>
    <t>Awor Christine - Agago | | Individual Farmer Gardener</t>
  </si>
  <si>
    <t>rec3o4gbkJm8mqmVN</t>
  </si>
  <si>
    <t>Ayaa irine - Agago | Kuywe | Yub paco ni Gardener</t>
  </si>
  <si>
    <t>rec3eV8prO5lI8ZfZ</t>
  </si>
  <si>
    <t>AYAA VICKY - Kipakrwot</t>
  </si>
  <si>
    <t>reczCoVj0Dl1M7OIU</t>
  </si>
  <si>
    <t>Ayela grace - Agago | Adilang | Tam piwa Gardener</t>
  </si>
  <si>
    <t>reckC334DWhIlY5y7</t>
  </si>
  <si>
    <t>Ayela Patrick chua - Agago | Kuywe | Ogen rwot Gardener</t>
  </si>
  <si>
    <t>Melia, Musizi, Gmelina, Faidherbia, Senna, Lebbek</t>
  </si>
  <si>
    <t>rectAU6ihlsSDWCXv</t>
  </si>
  <si>
    <t>Ayella celsio - Agago | Lapono | Karenga water user's association Gardener</t>
  </si>
  <si>
    <t>recWJQnzAazpPFU3t</t>
  </si>
  <si>
    <t>Ayella Charles - Agago | Lukole | Ripe Gardener</t>
  </si>
  <si>
    <t>rec31hfxo2yXDNnMT</t>
  </si>
  <si>
    <t>Ayella Richard - Agago | | Individual Farmer Gardener</t>
  </si>
  <si>
    <t>Melia, Musizi, Gmelina, Faidherbia, Opok,</t>
  </si>
  <si>
    <t>recVlKnCKwSHZAW4z</t>
  </si>
  <si>
    <t>Ayo Betty - Agago | Adilang | Tam piwa Gardener</t>
  </si>
  <si>
    <t>recwEXjB3Yj3Tj7X2</t>
  </si>
  <si>
    <t>Ayo Maracella - Peko ma poto atura</t>
  </si>
  <si>
    <t>reccmNAoYNCBUOeGH</t>
  </si>
  <si>
    <t>Ayoo rose - Agago | Lapono | Peko ma poto atura - Gardener</t>
  </si>
  <si>
    <t>recCEkpQwvUqLMH3t</t>
  </si>
  <si>
    <t>Ayoo santa - Agago | Lapono | Akem kwene farmer's group Gardener</t>
  </si>
  <si>
    <t>recvbLDErCqkhKtF0</t>
  </si>
  <si>
    <t>recr8oJWeLvIBbwAh</t>
  </si>
  <si>
    <t>Ayoo sisilia - Agago | Lapono | Karenga water user's association Gardener</t>
  </si>
  <si>
    <t>recGNqmeNnwzdymN3</t>
  </si>
  <si>
    <t>Ayoo sofia - Agago | Paimol | Rubanga tek women's group - Gardener</t>
  </si>
  <si>
    <t>recrAPbCWSjpQY5fk</t>
  </si>
  <si>
    <t>Ayoo vicky - Agago | Adilang | Can lit Gardener</t>
  </si>
  <si>
    <t>recU5Z62wBem1cQjU</t>
  </si>
  <si>
    <t>Charles Okello - Karenga water user kaket</t>
  </si>
  <si>
    <t>rechApAO1gOmmesDX</t>
  </si>
  <si>
    <t>Clik Franco Denis - Agago | | Individual Farmer Gardener</t>
  </si>
  <si>
    <t>recNSWSeudxakB6hd</t>
  </si>
  <si>
    <t>Clips Francis Denis - Agago | | Individual Farmer Gardener</t>
  </si>
  <si>
    <t>recnm0FXSC4tzofwo</t>
  </si>
  <si>
    <t>Dhh Rhh - Omoro | Lalogi | Acek ki kwene - Gardener</t>
  </si>
  <si>
    <t>reccJ0M5DXh80IGhi</t>
  </si>
  <si>
    <t>Dorina okoda - Agago | Kuywe | Yub paco ni Gardener</t>
  </si>
  <si>
    <t>recIOKQbSsT2pRXb4</t>
  </si>
  <si>
    <t>Eddy Abiriga - Agago | Kuywe | Kica ber Gardener</t>
  </si>
  <si>
    <t>rec4wIdFTpyYqrYbo</t>
  </si>
  <si>
    <t>Etia lamson - Agago | Patongo | God the provider Gardener</t>
  </si>
  <si>
    <t>recstPsAcpJ08SOJI</t>
  </si>
  <si>
    <t>Ewai Gerald - Agago | Patongo | God the provider Gardener</t>
  </si>
  <si>
    <t>reckyKWpdpcINxayb</t>
  </si>
  <si>
    <t>Ewai John Bosco - Agago | Patongo | God the provider Gardener</t>
  </si>
  <si>
    <t>recd9kX2EkkpeqlzJ</t>
  </si>
  <si>
    <t>Ewoi Innocent - Agago | Patongo | God the provider Gardener</t>
  </si>
  <si>
    <t>recRqVuECtrsYEZ1c</t>
  </si>
  <si>
    <t>Hggg - Agago | Paimol | Paco matek cung ki bulu - Gardener</t>
  </si>
  <si>
    <t>rectQINFOVD5h1bsI</t>
  </si>
  <si>
    <t>Joyce Laker - Note ber</t>
  </si>
  <si>
    <t>Melia, Musizi, Gmelina, Ongono, Opok, Lebbek</t>
  </si>
  <si>
    <t>recb4N1DLVzQRu4j3</t>
  </si>
  <si>
    <t>Kiboto Malan Julius - Agago | Adilang | Labwo seeds community association Gardener</t>
  </si>
  <si>
    <t>rec9YCUXnQ35yNpcP</t>
  </si>
  <si>
    <t>Kilama Joseph - Agago | Lukole | Ripe Gardener</t>
  </si>
  <si>
    <t>recgK9X2YxIXlQ83S</t>
  </si>
  <si>
    <t>recaQNt145Kqj4eFo</t>
  </si>
  <si>
    <t>Kilama methew - Agago | Kuywe | Gum anywala Gardener</t>
  </si>
  <si>
    <t>recPSw76Lov7bkjXR</t>
  </si>
  <si>
    <t>Kinyera David - Agago | Lukole | Ripe Gardener</t>
  </si>
  <si>
    <t>recZXPcxs5IfAk7Je</t>
  </si>
  <si>
    <t>Kinyera ISSA - Agago | Lukole | Nen anyim Gardener</t>
  </si>
  <si>
    <t>recpie4xf4UJjhoNb</t>
  </si>
  <si>
    <t>Kinyera Paul - Kitgum | Orom East | Atek ki lwak - Gardener</t>
  </si>
  <si>
    <t>recebUbBghgXM7vaM</t>
  </si>
  <si>
    <t>Kiyera john - Agago | Adilang | Nyiki Nyiki farmer's group Gardener</t>
  </si>
  <si>
    <t>rec8bdtDIIbfjjTUC</t>
  </si>
  <si>
    <t>Komakech bosco - Agago | Lapono | Wagwoko lim Gardener</t>
  </si>
  <si>
    <t>recZwZpbTCMyBv5jJ</t>
  </si>
  <si>
    <t>Komakech moses - Kitgum | Orom East | Dongo Lobo ber Gardener</t>
  </si>
  <si>
    <t>recJOKYepJRuzgxgG</t>
  </si>
  <si>
    <t>Komakeh bosco - Agago | Lira - Palwo | Rippe aye teko Gardener</t>
  </si>
  <si>
    <t>recPO328qJnCRBAmc</t>
  </si>
  <si>
    <t>Labanya Ellen - Agago | Paimol | Cing ki cing - Gardener</t>
  </si>
  <si>
    <t>recFhcysIAu3GXVW7</t>
  </si>
  <si>
    <t>Labol Hellen - Agago | Kuywe | Rubanga tek ki lwak Cam badi Gardener</t>
  </si>
  <si>
    <t>recgCxm0wGhUFDsbQ</t>
  </si>
  <si>
    <t>Labol Nigthy - Akem kwene</t>
  </si>
  <si>
    <t>recgZcb5kl5Znqwmw</t>
  </si>
  <si>
    <t>Labong Patrick - Kitgum | Orom East | Ribe aye lonyo Gardener</t>
  </si>
  <si>
    <t>rectHtwW2c4ZNnpcu</t>
  </si>
  <si>
    <t>Labongo David - Agago | Lapono | Karenga water user's association Gardener</t>
  </si>
  <si>
    <t>recp9eGRcTo3v3I6L</t>
  </si>
  <si>
    <t>Laboye Christine - Kitgum | Orom East | Dongo Lobo ber Gardener</t>
  </si>
  <si>
    <t>recjb0LF1E53MA1Aw</t>
  </si>
  <si>
    <t>Laker Josphine - Kitgum | Orom East | Atek ki lwak Gardener</t>
  </si>
  <si>
    <t>recAEAmdkhXm8BD9d</t>
  </si>
  <si>
    <t>Laker Julius - Odong mon</t>
  </si>
  <si>
    <t>recZ42jSYMEQFO53T</t>
  </si>
  <si>
    <t>Lakot Betty - Kitgum | Orom East | Atek ki lwak Gardener</t>
  </si>
  <si>
    <t>receck6ZhdAgzYwH6</t>
  </si>
  <si>
    <t>Lakot Catherine - Kitgum | Orom East | Watwero Gardener</t>
  </si>
  <si>
    <t>recIPKmDGbqiLVrHX</t>
  </si>
  <si>
    <t>Lakot Christine - Kitgum | Orom East | Dongo Lobo ber Gardener</t>
  </si>
  <si>
    <t>recPIktqrp4vEWO1i</t>
  </si>
  <si>
    <t>Lakot Everline - Kitgum | Orom East | Tim tek United Gardener</t>
  </si>
  <si>
    <t>recG49HixWPkcqrCK</t>
  </si>
  <si>
    <t>Lakot Marta - Agago | Kuywe | Kica ber Gardener</t>
  </si>
  <si>
    <t>recqSn2lElGn2BD28</t>
  </si>
  <si>
    <t>Lakot poline - Agago | Lapono | Akem kwene farmer's group Gardener</t>
  </si>
  <si>
    <t>recNGNv62s0MKcml0</t>
  </si>
  <si>
    <t>Lakot Poline - Akem kwene</t>
  </si>
  <si>
    <t>recYzigc3hYl7eVpv</t>
  </si>
  <si>
    <t>Lakot rendeta - Kitgum | Orom East | Watwero Gardener</t>
  </si>
  <si>
    <t>rec0WQDm6PFN23jBe</t>
  </si>
  <si>
    <t>rec9qMDOBVoP9bETW</t>
  </si>
  <si>
    <t>Lalam florence - Agago | Kuywe | Ogen rwot Gardener</t>
  </si>
  <si>
    <t>reclLtwJxV2mm4Ewl</t>
  </si>
  <si>
    <t>Lalam ida - Agago | Lapono | Karenga water user's association Gardener</t>
  </si>
  <si>
    <t>rectpoFXkJbEzgBhY</t>
  </si>
  <si>
    <t>Lamunu Betty - Kitgum | Orom East | Dongo Lobo ber Gardener</t>
  </si>
  <si>
    <t>recn4Bt9KtTCyTSXo</t>
  </si>
  <si>
    <t>Lamunu Irine - Kitgum | Orom East | Ribe aye lonyo Gardener</t>
  </si>
  <si>
    <t>rectq6qFGdkqEs9vz</t>
  </si>
  <si>
    <t>Lamunu Rose - Kitgum | Orom East | Dongo Lobo ber Gardener</t>
  </si>
  <si>
    <t>recR621uebHcfL7Pa</t>
  </si>
  <si>
    <t>Lanyero jenet - Agago | Kuywe | Ogen rwot Gardener</t>
  </si>
  <si>
    <t>recUJzDY7pD1uKS1Z</t>
  </si>
  <si>
    <t>Lapica Grace - Kitgum | Orom East | Ribe aye lonyo Gardener</t>
  </si>
  <si>
    <t>recbwR1c0NfwmrHWY</t>
  </si>
  <si>
    <t>Lapogo nekosira - Agago | Lira - Palwo | Nen ki wangi Gardener</t>
  </si>
  <si>
    <t>recnEAXxdKGdbRhT9</t>
  </si>
  <si>
    <t>Latabu irene - Agago | Adilang | Tam piwa Gardener</t>
  </si>
  <si>
    <t>recIpJurGwLjYgC4c</t>
  </si>
  <si>
    <t>Latiya Paul okeny - Kitgum | Orom East | Tim tek United Gardener</t>
  </si>
  <si>
    <t>rec2X8xJXFNugMVLF</t>
  </si>
  <si>
    <t>Lawino sisilia - Agago | Lira - Palwo | Nen ki wangi Gardener</t>
  </si>
  <si>
    <t>recDePGyl9lrAUwKQ</t>
  </si>
  <si>
    <t>Layer Esther - Agago | Paimol | Rubanga tek women's group - Gardener</t>
  </si>
  <si>
    <t>rec5vnJNci6lNUbkp</t>
  </si>
  <si>
    <t>Layet Betty - Kitgum | Orom East | Dongo Lobo ber - Gardener</t>
  </si>
  <si>
    <t>rec0uzoSd6Oj2mI2C</t>
  </si>
  <si>
    <t>Layet Margret - Agago | Adilang | Can lit Gardener</t>
  </si>
  <si>
    <t>recSiikoOrb8VKe1H</t>
  </si>
  <si>
    <t>Maruru Joseph - Kitgum | Orom East | Tim tek United Gardener</t>
  </si>
  <si>
    <t>recwrAyZkVyMovZJm</t>
  </si>
  <si>
    <t>Menya Sam - Agago | Lukole | Nen anyim Gardener</t>
  </si>
  <si>
    <t>recnB7CjRjqlWAPk6</t>
  </si>
  <si>
    <t>Moto Jimmy - Agago | Lira - Palwo | Nen ki wangi Gardener</t>
  </si>
  <si>
    <t>recqUlEwev7zII9Mm</t>
  </si>
  <si>
    <t>Mweka Samuel - Agago | Kuywe | Cam badi Gardener</t>
  </si>
  <si>
    <t>rec1WOvjkGRxVimq8</t>
  </si>
  <si>
    <t>Nagombe Charles - Agago | Patongo | Gang ber ki yen Gardener</t>
  </si>
  <si>
    <t>recyTAaPxJtkECyIl</t>
  </si>
  <si>
    <t>Nyeko santo - Agago | Adilang | Nyiki Nyiki farmer's group Gardener</t>
  </si>
  <si>
    <t>rechMu2DympWahKtU</t>
  </si>
  <si>
    <t>Obonyo Richard Callwel - Agago | | Individual Farmer Gardener</t>
  </si>
  <si>
    <t>recRJiGztFe1AmnZE</t>
  </si>
  <si>
    <t>Obor Charles - Agago | Kuywe | Cam badi Gardener</t>
  </si>
  <si>
    <t>recUsbpEPuMOQsEWi</t>
  </si>
  <si>
    <t>Obu James - Agago | Lukole | Nen anyim Gardener</t>
  </si>
  <si>
    <t>recdAUh7OJ0RQflBE</t>
  </si>
  <si>
    <t>Obur James - Agago | Lukole | Nen anyim Gardener</t>
  </si>
  <si>
    <t>recvsKxnsX79vXfa0</t>
  </si>
  <si>
    <t>recwhi0ARAnA8oCxX</t>
  </si>
  <si>
    <t>Obwoch Bosco - Agago | Lukole | Adding trees Gardener</t>
  </si>
  <si>
    <t>Musizi, Ongono,</t>
  </si>
  <si>
    <t>recmTZPFixQaJ5wd1</t>
  </si>
  <si>
    <t>Obwona Charles - Agago | Kuywe | Rubanga tek ki lwak Cam badi Gardener</t>
  </si>
  <si>
    <t>reccDopvwNSB1UBie</t>
  </si>
  <si>
    <t>Obwona jhon - Agago | Kuywe | Lobo cana Gardener</t>
  </si>
  <si>
    <t>Melia, Musizi, Gmelina, Faidherbia,</t>
  </si>
  <si>
    <t>recr1BIcvN8wf5JRc</t>
  </si>
  <si>
    <t>Ocaya charles - Agago | Paimol | Anyim mito yele - Gardener</t>
  </si>
  <si>
    <t>recG0L2m6jH0NSLzE</t>
  </si>
  <si>
    <t>Ocaya Francis - Agago | Paimol | Rubanga tek women's group - Gardener</t>
  </si>
  <si>
    <t>recAd43reSiOdtqKq</t>
  </si>
  <si>
    <t>Ocean benon - Agago | Adilang | Can lit Gardener</t>
  </si>
  <si>
    <t>reccLFAzr3o92Voct</t>
  </si>
  <si>
    <t>Ocen Largo - Akem kwene</t>
  </si>
  <si>
    <t>recOE5CUVXV47M4Qp</t>
  </si>
  <si>
    <t>Ocen peter - Agago | Lapono | Odong mon Gardener</t>
  </si>
  <si>
    <t>reck3L4StJzChlk2c</t>
  </si>
  <si>
    <t>Ocen Peter - Odong Mon</t>
  </si>
  <si>
    <t>rec8DhzXzYAEb8bYY</t>
  </si>
  <si>
    <t>Oceng kasto laegn - Agago | Lapono | Karenga water user's association Gardener</t>
  </si>
  <si>
    <t>recCTw8wFN8ySAvdy</t>
  </si>
  <si>
    <t>Ochen Kamilo - Akem kwene</t>
  </si>
  <si>
    <t>reco7zqJPPNLfuwpx</t>
  </si>
  <si>
    <t>Ochen lazara - Agago | Paimol | Anyim mito yele - Gardener</t>
  </si>
  <si>
    <t>recQw7Q86c1RvfyAw</t>
  </si>
  <si>
    <t>Ocing Jovin - Agago | Paimol | Gen kweri young farmer's association - Gardener</t>
  </si>
  <si>
    <t>recYtjQGASiIcFX04</t>
  </si>
  <si>
    <t>Oding George - Agago | Kuywe | Cam badi Gardener</t>
  </si>
  <si>
    <t>rec45P7mAyCn6fWpw</t>
  </si>
  <si>
    <t>Odok Peter - Akem kwene</t>
  </si>
  <si>
    <t>recGVk7F3ZPQsscef</t>
  </si>
  <si>
    <t>recvUw62FD1zoEo6g</t>
  </si>
  <si>
    <t>Odong Alfons - Agago | | Individual Farmer Gardener</t>
  </si>
  <si>
    <t>rec2gMKeOPfImh6GD</t>
  </si>
  <si>
    <t>Odong Geoffrey - Agago | | Individual Farmer Gardener</t>
  </si>
  <si>
    <t>recCg2ZStba3nND1k</t>
  </si>
  <si>
    <t>Odong John Bosco - Agago | Adilang | Akem ki kweri Gardener</t>
  </si>
  <si>
    <t>recVoXYq6PLaOVQFX</t>
  </si>
  <si>
    <t>Odong jovine - Agago | Lira - Palwo | Nen ki wangi Gardener</t>
  </si>
  <si>
    <t>recIR8RfnJPaC2BKp</t>
  </si>
  <si>
    <t>Odong Richard - Agago | | Individual Farmer Gardener</t>
  </si>
  <si>
    <t>recrVoyYlKRbr6Tkl</t>
  </si>
  <si>
    <t>Odongkara geofry - Kitgum | Orom East | Watwero Gardener</t>
  </si>
  <si>
    <t>rec9RBdeIdN8IsOUY</t>
  </si>
  <si>
    <t>Odongo Bonny - Agago | | Individual Farmer Gardener</t>
  </si>
  <si>
    <t>recWoJoYATnJQiHCC</t>
  </si>
  <si>
    <t>Odongo Robert - Agago | Patongo | Ribbe ber Gardener</t>
  </si>
  <si>
    <t>recBnURDdymVE9FQo</t>
  </si>
  <si>
    <t>Odongo Samuel - Omoro | Lalogi | Ogwete community Gardener</t>
  </si>
  <si>
    <t>recQVJAOMehfUNZun</t>
  </si>
  <si>
    <t>Odora Risard - Agago | Paimol | Amini ngo Gardener</t>
  </si>
  <si>
    <t>recuG4pBfPbva8cpN</t>
  </si>
  <si>
    <t>Odur Bosco - Agago | | Individual Farmer Gardener</t>
  </si>
  <si>
    <t>recJ0bZgK3Ty6A0Im</t>
  </si>
  <si>
    <t>Ogenga john - Agago | Lira - Palwo | Waribu tam - Gardener</t>
  </si>
  <si>
    <t>recfGJXwQIy6RORpW</t>
  </si>
  <si>
    <t>Ojara Charles - Agago | Kuywe | Kica ber Gardener</t>
  </si>
  <si>
    <t>recwwIElWYDPjrU8m</t>
  </si>
  <si>
    <t>Ojara Dominic - Agago | | Individual Farmer Gardener</t>
  </si>
  <si>
    <t>recsucUyJWFZ36VV4</t>
  </si>
  <si>
    <t>Ojara Samuel Baker - Omoro | Lalogi | Pee Icaa Gardener</t>
  </si>
  <si>
    <t>rec7hXgojStGUQd98</t>
  </si>
  <si>
    <t>Ojera Alex - Agago | Paimol | Gen kweri young farmer's association - Gardener</t>
  </si>
  <si>
    <t>recEd9RRLEc7N9rld</t>
  </si>
  <si>
    <t>Ojok Charles - Agago | | Individual Farmer Gardener</t>
  </si>
  <si>
    <t>reclhaselXSXcryPV</t>
  </si>
  <si>
    <t>Ojok Francish - Agago | | Individual Farmer Gardener</t>
  </si>
  <si>
    <t>recxTS2zJYJhyD26I</t>
  </si>
  <si>
    <t>Ojok Lawrence - Agago | Paimol | Rubanga tek women's group - Gardener</t>
  </si>
  <si>
    <t>recn9WA6rcyQ4eusI</t>
  </si>
  <si>
    <t>Ojok mathew - Agago | Kuywe | Gum anywala Gardener</t>
  </si>
  <si>
    <t>recJNYNwWT2Cmx6jb</t>
  </si>
  <si>
    <t>Ojok peter - Agago | Kuywe | Rubanga tek ki lwak Cam badi Gardener</t>
  </si>
  <si>
    <t>rectIUkLgp584qI2y</t>
  </si>
  <si>
    <t>Ojok punto - Agago | Lapono | Akem kwene farmer's group Gardener</t>
  </si>
  <si>
    <t>recRwj9PgoYdpQQfH</t>
  </si>
  <si>
    <t>Ojok Robert - Agago | Lukole | Nen anyim Gardener</t>
  </si>
  <si>
    <t>recwmvXmhUlBBna4j</t>
  </si>
  <si>
    <t>Ojwea robert - Agago | Lapono | Karenga water user's association Gardener</t>
  </si>
  <si>
    <t>recojnJFdjbugxcOm</t>
  </si>
  <si>
    <t>Ojwiya Robert - Karenga water user</t>
  </si>
  <si>
    <t>recUSHpIviRKwxvBf</t>
  </si>
  <si>
    <t>Okech Bosco - Atek Ki Lwak</t>
  </si>
  <si>
    <t>Gmelina, Ongono, Senna,</t>
  </si>
  <si>
    <t>rec5TRWkLxtjqmb3k</t>
  </si>
  <si>
    <t>Okello baptise - Agago | Lapono | Odong mon Gardener</t>
  </si>
  <si>
    <t>recZ9TswyGzY6mZnJ</t>
  </si>
  <si>
    <t>Okello Bosco - Agago | Paimol | Gen kweri young farmer's association - Gardener</t>
  </si>
  <si>
    <t>recrv1TM4G91IERgE</t>
  </si>
  <si>
    <t>Okello Charles - Agago | Kuywe | Cam badi Gardener</t>
  </si>
  <si>
    <t>recpCDEIfkUngxWLT</t>
  </si>
  <si>
    <t>Okello Charles max - Agago | Lukole | Atim ki koma Gardener</t>
  </si>
  <si>
    <t>recxmiAmsSiZ0hJK4</t>
  </si>
  <si>
    <t>recydFgriYZFUVx29</t>
  </si>
  <si>
    <t>Okello cosmas - Agago | | Individual Farmer Gardener</t>
  </si>
  <si>
    <t>recUO8FbDNXwmoMf5</t>
  </si>
  <si>
    <t>Okello John - Agago | Lukole | Gang ber ki mon Gardener</t>
  </si>
  <si>
    <t>recV0Ky2XlqsuMpK6</t>
  </si>
  <si>
    <t>Okello Martin - Agago | Patongo | God the provider Gardener</t>
  </si>
  <si>
    <t>rec6QYCkz3V3VfEhf</t>
  </si>
  <si>
    <t>Okello namson - Agago | Lapono | Akem kwene farmer's group Gardener</t>
  </si>
  <si>
    <t>recMycuJlBBvAjEis</t>
  </si>
  <si>
    <t>Okello otim James - Agago | Patongo | Gang ber ki yen Gardener</t>
  </si>
  <si>
    <t>rec8cFzyADzoAQhEn</t>
  </si>
  <si>
    <t>Okello richard - Agago | Kuywe | Yub paco ni Gardener</t>
  </si>
  <si>
    <t>recEMWmOIJkoWWGVe</t>
  </si>
  <si>
    <t>Okello Robert - Agago | Lukole | Gang ber ki mon Gardener</t>
  </si>
  <si>
    <t>recQS8mxNZcUkP8kX</t>
  </si>
  <si>
    <t>Okello Sisto - Agago | Adilang | Can lit Gardener</t>
  </si>
  <si>
    <t>recDiguZPZHxnNt1w</t>
  </si>
  <si>
    <t>Okello Stephanie - Omoro | Lalogi | Lok i tam Gardener</t>
  </si>
  <si>
    <t>recQO4Fk1C4nqCmVK</t>
  </si>
  <si>
    <t>Okello willy - Agago | Kuywe | Gum anywala Gardener</t>
  </si>
  <si>
    <t>recRnj8PJNMEBinBB</t>
  </si>
  <si>
    <t>Okema Charles - Agago | Lukole | Can mito diro Gardener</t>
  </si>
  <si>
    <t>reczJan1LMCGwGiZI</t>
  </si>
  <si>
    <t>Okeng Moses - Agago | Patongo | God the provider Gardener</t>
  </si>
  <si>
    <t>recKGFhJ3K3PYmGxB</t>
  </si>
  <si>
    <t>Okeny Bosco - Kitgum | Orom East | Watwero Gardener</t>
  </si>
  <si>
    <t>reco5LwLwJrPU8icD</t>
  </si>
  <si>
    <t>Okeny Charles - Kitgum | Orom East | Atek ki lwak - Gardener</t>
  </si>
  <si>
    <t>rec11EdJOXaELoNUh</t>
  </si>
  <si>
    <t>Okeny Daniel - Kitgum | Orom East | Kipak rwot - Gardener</t>
  </si>
  <si>
    <t>recQq9ceiQN7U2cdA</t>
  </si>
  <si>
    <t>Okeny Ivan - Kitgum | Orom East | Waryemo Can Gardener</t>
  </si>
  <si>
    <t>recXgVn5f4S7ijnf9</t>
  </si>
  <si>
    <t>Okidi Charles - Agago | Adilang | Tam piwa Gardener</t>
  </si>
  <si>
    <t>rec45d7GZUISwZHnI</t>
  </si>
  <si>
    <t>Okidi Joseph - Agago | Adilang | Tam piwa Gardener</t>
  </si>
  <si>
    <t>recJnoaPYgFb8T0nO</t>
  </si>
  <si>
    <t>Okidi Charles - Agago | Paimol | Amini ngo Gardener</t>
  </si>
  <si>
    <t>recM4TKVOpEnx7SgH</t>
  </si>
  <si>
    <t>Okidi george - Agago | Adilang | Labwo seeds community association Gardener</t>
  </si>
  <si>
    <t>recY4LTEaAICgi5wP</t>
  </si>
  <si>
    <t>Okidi george - Agago | Adilang | Nyiki Nyiki farmer's group Gardener</t>
  </si>
  <si>
    <t>recQr4UApx32E53dB</t>
  </si>
  <si>
    <t>Okidi John - Agago | Lukole | Nen anyim Gardener</t>
  </si>
  <si>
    <t>reccp0jwAJRMODpcE</t>
  </si>
  <si>
    <t>Okidi joseph - Agago | Lukole | Alwee trees Gardener</t>
  </si>
  <si>
    <t>recxilGKxovHYzhYD</t>
  </si>
  <si>
    <t>Okidi keneth - Agago | Lira - Palwo | Nen ki wangi Gardener</t>
  </si>
  <si>
    <t>rec0tfV8mvtHwRlhJ</t>
  </si>
  <si>
    <t>Okidi santo - Agago | Lapono | Peko ma poto atura - Gardener</t>
  </si>
  <si>
    <t>recITe4nVNAdTwYyh</t>
  </si>
  <si>
    <t>rec1aYG17NVAlkI1f</t>
  </si>
  <si>
    <t>Okidi simon - Agago | Lapono | Karenga water user's association Gardener</t>
  </si>
  <si>
    <t>recx27ceTUY1199qF</t>
  </si>
  <si>
    <t>Okongo Jackson Otim - Kitgum | Orom East | Tim tek United Gardener</t>
  </si>
  <si>
    <t>recj7kcssaB4yMgEX</t>
  </si>
  <si>
    <t>Okot Charles - Agago | Lukole | Atim ki koma Gardener</t>
  </si>
  <si>
    <t>recbE1kdqnhz92koy</t>
  </si>
  <si>
    <t>Okot Denis - Agago | Kuywe | Kica ber Gardener</t>
  </si>
  <si>
    <t>recpGtIXtFmFMy7LP</t>
  </si>
  <si>
    <t>Okot Denise Denise - Agago | Lukole | Ripe Gardener</t>
  </si>
  <si>
    <t>recYX96jpL4DVTzcg</t>
  </si>
  <si>
    <t>Okot Geoffrey - Kitgum | Orom East | Kipak rwot - Gardener</t>
  </si>
  <si>
    <t>rechhWOKKcaQe13eM</t>
  </si>
  <si>
    <t>Okot jimmy - Agago | Paimol | Rubanga tek women's group - Gardener</t>
  </si>
  <si>
    <t>rec9m80CiQjsJ20yi</t>
  </si>
  <si>
    <t>Okot Patrick - Agago | Lapono | Odong mon Gardener</t>
  </si>
  <si>
    <t>recQnMHNe6McYntAj</t>
  </si>
  <si>
    <t>Okot richard - Agago | Kuywe | Cam badi Gardener</t>
  </si>
  <si>
    <t>recHZDv3qr8K1Isu7</t>
  </si>
  <si>
    <t>Okot richard - Agago | Kuywe | Rubanga tek ki lwak Cam badi Gardener</t>
  </si>
  <si>
    <t>recPCz3MSmGyozeaW</t>
  </si>
  <si>
    <t>Okot Santos - Agago | Kuywe | Kica ber Gardener</t>
  </si>
  <si>
    <t>reczFZje4cJfoO2aD</t>
  </si>
  <si>
    <t>Okot Simon - Agago | Kuywe | Lobo cana Gardener</t>
  </si>
  <si>
    <t>recxV4ifdFVnVKvVN</t>
  </si>
  <si>
    <t>Okullo morish - Agago | Kuywe | Gum anywala Gardener</t>
  </si>
  <si>
    <t>recPR1XdQW5QVlJZm</t>
  </si>
  <si>
    <t>Okullu sibirino - Agago | Adilang | Adilang community group Gardener</t>
  </si>
  <si>
    <t>reczGplYFmHENjdLb</t>
  </si>
  <si>
    <t>Okure Richard - Agago | Paimol | Rubanga tek women's group - Gardener</t>
  </si>
  <si>
    <t>reccKyhdLt9bjUGXo</t>
  </si>
  <si>
    <t>Okwa Teriza - Agago | Patongo | Nen Anyim Gardener</t>
  </si>
  <si>
    <t>recRQr3dsN0dQy45i</t>
  </si>
  <si>
    <t>Okwera Ankle - Agago | Lukole | Nen anyim Gardener</t>
  </si>
  <si>
    <t>recsdziaq6HBlTvzE</t>
  </si>
  <si>
    <t>Okwera francis - Agago | Adilang | Can lit Gardener</t>
  </si>
  <si>
    <t>rec9JXRmPBIceQq46</t>
  </si>
  <si>
    <t>Okwera Simon Peter - Agago | | Individual Farmer Gardener</t>
  </si>
  <si>
    <t>recROcIfIH117e0xA</t>
  </si>
  <si>
    <t>Olanya aldo - Agago | Adilang | Can lit Gardener</t>
  </si>
  <si>
    <t>recHkzY2ODz8kTQWg</t>
  </si>
  <si>
    <t>Olanya Alfred - Agago | Lukole | Nen anyim Gardener</t>
  </si>
  <si>
    <t>recIyGemCdgwqNUfK</t>
  </si>
  <si>
    <t>Olanya Paul Edmond - Kitgum | Orom East | Tim tek United Gardener</t>
  </si>
  <si>
    <t>rec06EPTaIKmh6cd2</t>
  </si>
  <si>
    <t>Oloya David - Kitgum | Orom East | Atek ki lwak Gardener</t>
  </si>
  <si>
    <t>recJX5EzPLZvJ9xsS</t>
  </si>
  <si>
    <t>Olwen y Joseph - Agago | Lukole | Adding trees Gardener</t>
  </si>
  <si>
    <t>recyvXKAjqPRRUu6S</t>
  </si>
  <si>
    <t>Olwoc philips - Agago | Lapono | Akem kwene farmer's group Gardener</t>
  </si>
  <si>
    <t>rec7dS7tGIaNqNJFn</t>
  </si>
  <si>
    <t>Olwoch pilice - Agago | Lapono | Akem kwene farmer's group Gardener</t>
  </si>
  <si>
    <t>reclxdobgSHoM0pxD</t>
  </si>
  <si>
    <t>Omara Alizeo - Agago | Patongo | Gang ber ki yen Gardener</t>
  </si>
  <si>
    <t>rec0p80xbpvQqq6lD</t>
  </si>
  <si>
    <t>Omara Deo - Agago | | Individual Farmer Gardener</t>
  </si>
  <si>
    <t>recF325JYF7jqcE6s</t>
  </si>
  <si>
    <t>Omony Robert - Kitgum | Orom East | Ribe aye lonyo Gardener</t>
  </si>
  <si>
    <t>recBYeu1Y1rYHFcCr</t>
  </si>
  <si>
    <t>Omoro Andrew - Agago | Kuywe | Tam pi Anyim Gardener</t>
  </si>
  <si>
    <t>reczEkYGNLypdzutk</t>
  </si>
  <si>
    <t>Omwony kwirino - Agago | Lapono | Akem kwene farmer's group Gardener</t>
  </si>
  <si>
    <t>recgNoBwj1zdh70k2</t>
  </si>
  <si>
    <t>Onek albino - Agago | Lira - Palwo | Nen ki wangi Gardener</t>
  </si>
  <si>
    <t>recHWHH9Bp3IE728x</t>
  </si>
  <si>
    <t>Onek Yoran - Kitgum | Orom East | Watwero Gardener</t>
  </si>
  <si>
    <t>recWOhLIVwxaXj3XY</t>
  </si>
  <si>
    <t>Onencan CHristopher - Agago | Kuywe | Gum anywala Gardener</t>
  </si>
  <si>
    <t>recM72ealeH2MNJQl</t>
  </si>
  <si>
    <t>Onencan jackob - Agago | | Individual Farmer Gardener</t>
  </si>
  <si>
    <t>recWq77gM3szvLLv4</t>
  </si>
  <si>
    <t>Ongwech James - Kitgum | Orom East | Watwero Gardener</t>
  </si>
  <si>
    <t>recJOZq8JbRnnZkBR</t>
  </si>
  <si>
    <t>Onying Josephine - Akem kwene</t>
  </si>
  <si>
    <t>recbn9sQOb3lByXBl</t>
  </si>
  <si>
    <t>Onying Korina - Agago | Paimol | Cing ki cing - Gardener</t>
  </si>
  <si>
    <t>recpTdqdTlFvpPSow</t>
  </si>
  <si>
    <t>Onyuk Bosco - Agago | Lapono | Akem kwene farmer's group Gardener</t>
  </si>
  <si>
    <t>recV23FpTah00byhp</t>
  </si>
  <si>
    <t>Oola Dickson Peter - Agago | Lira - Palwo | Rippe aye teko Gardener</t>
  </si>
  <si>
    <t>recXwKLTLzmdNOUhp</t>
  </si>
  <si>
    <t>Opio Charles - Agago | Lukole | Can mito diro Gardener</t>
  </si>
  <si>
    <t>rechMtcoth6yH6ObX</t>
  </si>
  <si>
    <t>recryr8GJmOs7RzZC</t>
  </si>
  <si>
    <t>Opio james - Agago | Paimol | Lacwec konya - Gardener</t>
  </si>
  <si>
    <t>recbsZwsh4iTQprk9</t>
  </si>
  <si>
    <t>Opio Joseph - Agago | Kuywe | Kica ber Gardener</t>
  </si>
  <si>
    <t>recIXXC0nJffB2qiz</t>
  </si>
  <si>
    <t>Opio matia - Agago | Lira - Palwo | Nen ki wangi Gardener</t>
  </si>
  <si>
    <t>recdtP4qxjNGKnIYk</t>
  </si>
  <si>
    <t>Opira bosco - Agago | Lapono | Wagwoko lim Gardener</t>
  </si>
  <si>
    <t>recxv9tAZfkWrMnYL</t>
  </si>
  <si>
    <t>Opira stephen - Agago | | Individual Farmer Gardener</t>
  </si>
  <si>
    <t>Melia, Lebbek</t>
  </si>
  <si>
    <t>recy7VZRs5IjRniQP</t>
  </si>
  <si>
    <t>Opobo methue - Agago | Paimol | Amini ngo Gardener</t>
  </si>
  <si>
    <t>recfxzEK5lNq9gVDq</t>
  </si>
  <si>
    <t>Opoka John - Onen kuc</t>
  </si>
  <si>
    <t>recNuopVI82YMOIDL</t>
  </si>
  <si>
    <t>Opoka John - Agago | Lapono | Onen kuc Gardener</t>
  </si>
  <si>
    <t>recEQ2YpV3swA6lJe</t>
  </si>
  <si>
    <t>Opwa Yoram - Atek Ki Lwak</t>
  </si>
  <si>
    <t>recLM0eJOTTzbmXDG</t>
  </si>
  <si>
    <t>Opwa Yuram - Kitgum | Orom East | Atek ki lwak - Gardener</t>
  </si>
  <si>
    <t>rectvKjHy3XvZEi7J</t>
  </si>
  <si>
    <t>Opwonya david - Agago | Lira - Palwo | Nen ki wangi Gardener</t>
  </si>
  <si>
    <t>recrAcN5hD0VXocxb</t>
  </si>
  <si>
    <t>Opwonya Denise - Agago | Kuywe | Rubanga tek ki lwak Cam badi Gardener</t>
  </si>
  <si>
    <t>recY0QAvBcMLVvBrj</t>
  </si>
  <si>
    <t>Oryem Bosco.L - Kitgum | Orom East | Atek ki lwak Gardener</t>
  </si>
  <si>
    <t>recMPDR5PhPkvm23p</t>
  </si>
  <si>
    <t>Oryem Charles - Agago | Kuywe | Cam badi Gardener</t>
  </si>
  <si>
    <t>recSnG5xN238ARZpe</t>
  </si>
  <si>
    <t>Oryem Devit - Agago | Paimol | Amini ngo Gardener</t>
  </si>
  <si>
    <t>rec0ma3OPB9d64oU5</t>
  </si>
  <si>
    <t>Oryem Samuel - Agago | Lukole | Gang ber ki mon Gardener</t>
  </si>
  <si>
    <t>receaZtZQTRFdJWxj</t>
  </si>
  <si>
    <t>Oteuma Bosco - Agago | Lukole | Nen anyim Gardener</t>
  </si>
  <si>
    <t>recngDEyHER4urM3d</t>
  </si>
  <si>
    <t>Otim james - Agago | Kuywe | Yub paco ni Gardener</t>
  </si>
  <si>
    <t>recl1TEpvwZdNcuVK</t>
  </si>
  <si>
    <t>Otoo Mathew - Agago | Lukole | Can mito diro Gardener</t>
  </si>
  <si>
    <t>recaaL1bT53SblevZ</t>
  </si>
  <si>
    <t>Otto Alfred - Agago | Lukole | Gang ber ki mon Gardener</t>
  </si>
  <si>
    <t>recX0BKbtpuSWViFm</t>
  </si>
  <si>
    <t>Otukene Simba - Agago | Lukole | Ripe Gardener</t>
  </si>
  <si>
    <t>recqb7Yr26snoncxs</t>
  </si>
  <si>
    <t>Owiny tonny - Agago | Patongo | Gang ber ki yen Gardener</t>
  </si>
  <si>
    <t>rec6Icvi3AMnCE1BH</t>
  </si>
  <si>
    <t>Owona Aldo - Akem kwene</t>
  </si>
  <si>
    <t>rec9OBMc0p5hPTeWL</t>
  </si>
  <si>
    <t>Oyela jusphine - Agago | Kuywe | Gum anywala Gardener</t>
  </si>
  <si>
    <t>recUp0oH1QhhWeMuH</t>
  </si>
  <si>
    <t>Oyela Nighty - Agago | Kuywe | Kica ber Gardener</t>
  </si>
  <si>
    <t>recyCouB6lk9RZQGc</t>
  </si>
  <si>
    <t>Oyela Scovia - Agago | Kuywe | Kica ber Gardener</t>
  </si>
  <si>
    <t>recOYNtNrmiOGlgT3</t>
  </si>
  <si>
    <t>Oyella Grace - Agago | Paimol | Cing ki cing - Gardener</t>
  </si>
  <si>
    <t>recFWP1niLoxdH06p</t>
  </si>
  <si>
    <t>Oyella Josephine - Agago | Kuywe | Gum anywala Gardener</t>
  </si>
  <si>
    <t>recINLzDNU48LR63R</t>
  </si>
  <si>
    <t>Oyella Josephine - Agago | Paimol | Cing ki cing - Gardener</t>
  </si>
  <si>
    <t>recSqbZbpvdNLdISy</t>
  </si>
  <si>
    <t>Oyet David - Agago | Paimol | Bedo abeda pe konye - Gardener</t>
  </si>
  <si>
    <t>recx6vcg5yvTEsFG9</t>
  </si>
  <si>
    <t>Oyet devit - Agago | Paimol | Bedo abeda pe konye - Gardener</t>
  </si>
  <si>
    <t>recq3evjDQh80tjOh</t>
  </si>
  <si>
    <t>Oyo Samuel Baker - Agago | Adilang | Tam piwa Gardener</t>
  </si>
  <si>
    <t>recUfzX99BEv5V46t</t>
  </si>
  <si>
    <t>Oyo joseph - Agago | Lapono | Karenga water user's association Gardener</t>
  </si>
  <si>
    <t>recl8R7URiwfhmtaz</t>
  </si>
  <si>
    <t>Oyugi Rafael - Agago | Lapono | Akem kwene farmer's group Gardener</t>
  </si>
  <si>
    <t>reciLbsgevTjywqaT</t>
  </si>
  <si>
    <t>Pandaliya Owiny - Agago | Lapono | Onen kuc Gardener</t>
  </si>
  <si>
    <t>rec2S5f3z2zldLWZ9</t>
  </si>
  <si>
    <t>Patrick Woko Raeh - Agago | Lukole | Gang ber ki mon Gardener</t>
  </si>
  <si>
    <t>rec5WVQxq3sKxraDL</t>
  </si>
  <si>
    <t>Plum baptis - Agago | Kuywe | Ogen rwot Gardener</t>
  </si>
  <si>
    <t>recKVGnWiCQRZA9v4</t>
  </si>
  <si>
    <t>Rabeca okulu - Agago | Adilang | Adilang community group Gardener</t>
  </si>
  <si>
    <t>rec9Y1p1Vq36Q6vNc</t>
  </si>
  <si>
    <t>Rwot oyera Jefa - Agago | | Individual Farmer Gardener</t>
  </si>
  <si>
    <t>recM0mMterjJbU9f6</t>
  </si>
  <si>
    <t>santa poline - Agago | Lapono | Akem kwene farmer's group Gardener</t>
  </si>
  <si>
    <t>recRtwAn6ldKRxTfl</t>
  </si>
  <si>
    <t>Sizitino Odoch - Agago | | Individual Farmer Gardener</t>
  </si>
  <si>
    <t>recov0xEO5fIOF1ME</t>
  </si>
  <si>
    <t>Tonano Joseph - Akem kwene</t>
  </si>
  <si>
    <t>rec8ppEkJAqdwgwP8</t>
  </si>
  <si>
    <t>Tookema France - Agago | Paimol | Cing ki cing - Gardener</t>
  </si>
  <si>
    <t>Measured 9/1/23</t>
  </si>
  <si>
    <t>Chave Et al</t>
  </si>
  <si>
    <t>Measured 2/1/24</t>
  </si>
  <si>
    <t>DBH2</t>
  </si>
  <si>
    <t>Speices</t>
  </si>
  <si>
    <t>Farmer Name</t>
  </si>
  <si>
    <t>Tree No</t>
  </si>
  <si>
    <t>DBH 1</t>
  </si>
  <si>
    <t>DBH 2</t>
  </si>
  <si>
    <t>DBH^2</t>
  </si>
  <si>
    <t>H</t>
  </si>
  <si>
    <t>AGB (kg/tree Mugasha)</t>
  </si>
  <si>
    <t>AGB (kg/tree Chave)</t>
  </si>
  <si>
    <t>Root to Shoot</t>
  </si>
  <si>
    <t>Total Biomass/Tree</t>
  </si>
  <si>
    <t>Kg CO2/Tree</t>
  </si>
  <si>
    <t>Root to Shoot Ratio</t>
  </si>
  <si>
    <t>DBH</t>
  </si>
  <si>
    <t>Biomass/Tree</t>
  </si>
  <si>
    <t>Biomass/Tree (t/tree)</t>
  </si>
  <si>
    <t>Ocan George</t>
  </si>
  <si>
    <t>Acaye Jacob</t>
  </si>
  <si>
    <t>Ajok Rose</t>
  </si>
  <si>
    <t>Ogweng Moses</t>
  </si>
  <si>
    <t>Ocan Krick</t>
  </si>
  <si>
    <t>Oceng Kasto Lagen</t>
  </si>
  <si>
    <t>Akidi Esther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</si>
</sst>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(* #,##0.00_);_(* \(#,##0.00\);_(* &quot;-&quot;??_);_(@_)"/>
    <numFmt numFmtId="164" formatCode="0.000"/>
    <numFmt numFmtId="165" formatCode="0.0"/>
    <numFmt numFmtId="166" formatCode="_(* #,##0_);_(* \(#,##0\);_(* &quot;-&quot;??_);_(@_)"/>
    <numFmt numFmtId="167" formatCode="0.0%"/>
    <numFmt numFmtId="168" formatCode="[$-C09]dd\-mmm\-yy;@"/>
    <numFmt numFmtId="169" formatCode="#,##0.000"/>
    <numFmt numFmtId="170" formatCode="0.0000"/>
    <numFmt numFmtId="171" formatCode="#,##0.0000"/>
    <numFmt numFmtId="172" formatCode="_(* #,##0.0000_);_(* \(#,##0.0000\);_(* &quot;-&quot;??_);_(@_)"/>
    <numFmt numFmtId="173" formatCode="_(* #,##0.000_);_(* \(#,##0.000\);_(* &quot;-&quot;??_);_(@_)"/>
  </numFmts>
  <fonts count="114">
    <font>
      <sz val="12"/>
      <color theme="1"/>
      <name val="Lato"/>
      <family val="2"/>
    </font>
    <font>
      <sz val="11"/>
      <color theme="1"/>
      <name val="Aptos Narrow"/>
      <family val="2"/>
      <scheme val="minor"/>
    </font>
    <font>
      <sz val="12"/>
      <color theme="1"/>
      <name val="Lato"/>
      <family val="2"/>
    </font>
    <font>
      <sz val="18"/>
      <color theme="3"/>
      <name val="Aptos Display"/>
      <family val="2"/>
      <scheme val="major"/>
    </font>
    <font>
      <b/>
      <sz val="15"/>
      <color theme="3"/>
      <name val="Lato"/>
      <family val="2"/>
    </font>
    <font>
      <b/>
      <sz val="13"/>
      <color theme="3"/>
      <name val="Lato"/>
      <family val="2"/>
    </font>
    <font>
      <b/>
      <sz val="11"/>
      <color theme="3"/>
      <name val="Lato"/>
      <family val="2"/>
    </font>
    <font>
      <sz val="12"/>
      <color rgb="FF006100"/>
      <name val="Lato"/>
      <family val="2"/>
    </font>
    <font>
      <sz val="12"/>
      <color rgb="FF9C0006"/>
      <name val="Lato"/>
      <family val="2"/>
    </font>
    <font>
      <sz val="12"/>
      <color rgb="FF9C5700"/>
      <name val="Lato"/>
      <family val="2"/>
    </font>
    <font>
      <sz val="12"/>
      <color rgb="FF3F3F76"/>
      <name val="Lato"/>
      <family val="2"/>
    </font>
    <font>
      <b/>
      <sz val="12"/>
      <color rgb="FF3F3F3F"/>
      <name val="Lato"/>
      <family val="2"/>
    </font>
    <font>
      <b/>
      <sz val="12"/>
      <color rgb="FFFA7D00"/>
      <name val="Lato"/>
      <family val="2"/>
    </font>
    <font>
      <sz val="12"/>
      <color rgb="FFFA7D00"/>
      <name val="Lato"/>
      <family val="2"/>
    </font>
    <font>
      <b/>
      <sz val="12"/>
      <color theme="0"/>
      <name val="Lato"/>
      <family val="2"/>
    </font>
    <font>
      <sz val="12"/>
      <color rgb="FFFF0000"/>
      <name val="Lato"/>
      <family val="2"/>
    </font>
    <font>
      <i/>
      <sz val="12"/>
      <color rgb="FF7F7F7F"/>
      <name val="Lato"/>
      <family val="2"/>
    </font>
    <font>
      <b/>
      <sz val="12"/>
      <color theme="1"/>
      <name val="Lato"/>
      <family val="2"/>
    </font>
    <font>
      <sz val="12"/>
      <color theme="0"/>
      <name val="Lato"/>
      <family val="2"/>
    </font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2"/>
      <color theme="1"/>
      <name val="Lato"/>
      <family val="2"/>
    </font>
    <font>
      <sz val="10"/>
      <color theme="1"/>
      <name val="Aptos Display"/>
      <family val="2"/>
      <scheme val="major"/>
    </font>
    <font>
      <sz val="10"/>
      <name val="Aptos Display"/>
      <family val="2"/>
      <scheme val="major"/>
    </font>
    <font>
      <i/>
      <sz val="10"/>
      <color theme="1"/>
      <name val="Aptos Display"/>
      <family val="2"/>
      <scheme val="major"/>
    </font>
    <font>
      <b/>
      <sz val="10"/>
      <color theme="1"/>
      <name val="Aptos Display"/>
      <family val="2"/>
      <scheme val="major"/>
    </font>
    <font>
      <b/>
      <sz val="10"/>
      <name val="Aptos Display"/>
      <family val="2"/>
      <scheme val="major"/>
    </font>
    <font>
      <sz val="9"/>
      <color theme="1"/>
      <name val="Aptos Display"/>
      <family val="2"/>
      <scheme val="major"/>
    </font>
    <font>
      <b/>
      <vertAlign val="subscript"/>
      <sz val="10"/>
      <color theme="1"/>
      <name val="Aptos Display"/>
      <family val="2"/>
      <scheme val="major"/>
    </font>
    <font>
      <b/>
      <sz val="9"/>
      <color theme="1"/>
      <name val="Aptos Display"/>
      <family val="2"/>
      <scheme val="major"/>
    </font>
    <font>
      <i/>
      <vertAlign val="subscript"/>
      <sz val="10"/>
      <color theme="1"/>
      <name val="Aptos Display"/>
      <family val="2"/>
      <scheme val="major"/>
    </font>
    <font>
      <b/>
      <i/>
      <sz val="10"/>
      <color theme="1"/>
      <name val="Aptos Display"/>
      <family val="2"/>
      <scheme val="major"/>
    </font>
    <font>
      <i/>
      <sz val="9"/>
      <color theme="1"/>
      <name val="Aptos Display"/>
      <family val="2"/>
      <scheme val="major"/>
    </font>
    <font>
      <b/>
      <i/>
      <sz val="9"/>
      <color theme="1"/>
      <name val="Aptos Display"/>
      <family val="2"/>
      <scheme val="major"/>
    </font>
    <font>
      <b/>
      <sz val="10"/>
      <color theme="2" tint="-0.749992370372631"/>
      <name val="Aptos Display"/>
      <family val="2"/>
      <scheme val="major"/>
    </font>
    <font>
      <sz val="11"/>
      <color theme="1"/>
      <name val="Aptos Display"/>
      <family val="2"/>
      <scheme val="major"/>
    </font>
    <font>
      <b/>
      <u/>
      <sz val="11"/>
      <color rgb="FFFF0000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b/>
      <sz val="11"/>
      <color rgb="FFFF0000"/>
      <name val="Aptos Display"/>
      <family val="2"/>
      <scheme val="major"/>
    </font>
    <font>
      <b/>
      <sz val="11"/>
      <name val="Aptos Display"/>
      <family val="2"/>
      <scheme val="major"/>
    </font>
    <font>
      <b/>
      <sz val="11"/>
      <color theme="0"/>
      <name val="Aptos Display"/>
      <family val="2"/>
      <scheme val="major"/>
    </font>
    <font>
      <sz val="12"/>
      <color theme="1"/>
      <name val="Trebuchet MS"/>
      <family val="2"/>
    </font>
    <font>
      <sz val="11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4"/>
      <color theme="1"/>
      <name val="Lato Regular"/>
    </font>
    <font>
      <b/>
      <sz val="14"/>
      <color theme="1"/>
      <name val="Lato Regular"/>
    </font>
    <font>
      <b/>
      <sz val="14"/>
      <color theme="0"/>
      <name val="Lato Regular"/>
    </font>
    <font>
      <b/>
      <sz val="22"/>
      <color theme="1"/>
      <name val="Lato Regular"/>
    </font>
    <font>
      <sz val="10"/>
      <color theme="1"/>
      <name val="Lato Regular"/>
    </font>
    <font>
      <sz val="10"/>
      <name val="Lato Regular"/>
    </font>
    <font>
      <b/>
      <sz val="10"/>
      <color theme="1"/>
      <name val="Lato Regular"/>
    </font>
    <font>
      <sz val="12"/>
      <color theme="1"/>
      <name val="Lato Regular"/>
    </font>
    <font>
      <sz val="12"/>
      <name val="Lato Regular"/>
    </font>
    <font>
      <b/>
      <u/>
      <sz val="12"/>
      <color theme="0"/>
      <name val="Lato Regular"/>
    </font>
    <font>
      <i/>
      <sz val="12"/>
      <color theme="1"/>
      <name val="Lato Regular"/>
    </font>
    <font>
      <b/>
      <sz val="12"/>
      <name val="Lato Regular"/>
    </font>
    <font>
      <b/>
      <sz val="12"/>
      <color theme="1"/>
      <name val="Lato Regular"/>
    </font>
    <font>
      <i/>
      <sz val="12"/>
      <name val="Lato Regular"/>
    </font>
    <font>
      <b/>
      <i/>
      <sz val="12"/>
      <name val="Lato Regular"/>
    </font>
    <font>
      <b/>
      <i/>
      <sz val="12"/>
      <color theme="1"/>
      <name val="Lato Regular"/>
    </font>
    <font>
      <sz val="12"/>
      <color theme="4"/>
      <name val="Lato Regular"/>
    </font>
    <font>
      <sz val="12"/>
      <color theme="0"/>
      <name val="Lato Regular"/>
    </font>
    <font>
      <b/>
      <sz val="10"/>
      <color theme="0"/>
      <name val="Arial"/>
      <family val="2"/>
    </font>
    <font>
      <b/>
      <sz val="10"/>
      <color theme="0"/>
      <name val="Lato Regular"/>
    </font>
    <font>
      <b/>
      <i/>
      <sz val="12"/>
      <color theme="0" tint="-0.499984740745262"/>
      <name val="Lato Regular"/>
    </font>
    <font>
      <b/>
      <sz val="12"/>
      <color theme="0"/>
      <name val="Lato Regular"/>
    </font>
    <font>
      <b/>
      <sz val="10"/>
      <color theme="2" tint="-0.499984740745262"/>
      <name val="Lato Regular"/>
    </font>
    <font>
      <b/>
      <sz val="12"/>
      <color rgb="FFFF0000"/>
      <name val="Lato Regular"/>
    </font>
    <font>
      <b/>
      <i/>
      <sz val="10"/>
      <color theme="0" tint="-0.499984740745262"/>
      <name val="Lato Regular"/>
    </font>
    <font>
      <sz val="10"/>
      <color theme="2" tint="-0.499984740745262"/>
      <name val="Lato Regular"/>
    </font>
    <font>
      <sz val="10"/>
      <color theme="0"/>
      <name val="Lato Regular"/>
    </font>
    <font>
      <sz val="10"/>
      <color theme="2" tint="-0.249977111117893"/>
      <name val="Lato Regular"/>
    </font>
    <font>
      <b/>
      <sz val="11"/>
      <color theme="1"/>
      <name val="Lato Regular"/>
    </font>
    <font>
      <sz val="11"/>
      <color theme="1"/>
      <name val="Lato"/>
      <family val="2"/>
    </font>
    <font>
      <b/>
      <sz val="11"/>
      <color theme="1"/>
      <name val="Lato"/>
      <family val="2"/>
    </font>
    <font>
      <b/>
      <sz val="11"/>
      <color rgb="FF000000"/>
      <name val="Lato"/>
      <family val="2"/>
    </font>
    <font>
      <sz val="8"/>
      <name val="Lato"/>
      <family val="2"/>
    </font>
    <font>
      <sz val="11"/>
      <color rgb="FFFF0000"/>
      <name val="Lato"/>
      <family val="2"/>
    </font>
    <font>
      <sz val="11"/>
      <color rgb="FFFF0000"/>
      <name val="Aptos Display"/>
      <family val="2"/>
      <scheme val="major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theme="0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1"/>
      <color rgb="FFFF0000"/>
      <name val="Calibri"/>
      <family val="2"/>
    </font>
    <font>
      <sz val="10"/>
      <color theme="0" tint="-0.249977111117893"/>
      <name val="Calibri"/>
      <family val="2"/>
    </font>
    <font>
      <sz val="11"/>
      <color theme="0" tint="-0.249977111117893"/>
      <name val="Calibri"/>
      <family val="2"/>
    </font>
    <font>
      <sz val="10"/>
      <color theme="0" tint="-0.14999847407452621"/>
      <name val="Calibri"/>
      <family val="2"/>
    </font>
    <font>
      <sz val="10"/>
      <color rgb="FFFF0000"/>
      <name val="Calibri"/>
      <family val="2"/>
    </font>
    <font>
      <sz val="10"/>
      <color theme="4" tint="-0.24994659260841701"/>
      <name val="Lato"/>
      <family val="2"/>
    </font>
    <font>
      <sz val="10"/>
      <color theme="1"/>
      <name val="Lato"/>
      <family val="2"/>
    </font>
    <font>
      <b/>
      <sz val="11"/>
      <color theme="1"/>
      <name val="Calibri"/>
      <family val="2"/>
    </font>
    <font>
      <b/>
      <sz val="11"/>
      <color theme="1"/>
      <name val="Lato"/>
    </font>
    <font>
      <sz val="12"/>
      <color rgb="FFFF0000"/>
      <name val="Lato Regular"/>
    </font>
    <font>
      <b/>
      <sz val="11"/>
      <color theme="0"/>
      <name val="Lato Regular"/>
    </font>
    <font>
      <sz val="11"/>
      <color theme="1"/>
      <name val="Lato Regular"/>
    </font>
    <font>
      <sz val="10"/>
      <color theme="0" tint="-0.249977111117893"/>
      <name val="Lato Regular"/>
    </font>
    <font>
      <sz val="11"/>
      <color theme="0" tint="-0.249977111117893"/>
      <name val="Lato Regular"/>
    </font>
    <font>
      <sz val="10"/>
      <color theme="0" tint="-0.14999847407452621"/>
      <name val="Lato Regular"/>
    </font>
    <font>
      <sz val="12"/>
      <color theme="0" tint="-0.249977111117893"/>
      <name val="Lato Regular"/>
    </font>
    <font>
      <b/>
      <sz val="11"/>
      <color theme="0"/>
      <name val="Lato"/>
      <family val="2"/>
    </font>
    <font>
      <sz val="11"/>
      <name val="Lato"/>
      <family val="2"/>
    </font>
    <font>
      <sz val="11"/>
      <color rgb="FFFF0000"/>
      <name val="Lato Regular"/>
    </font>
    <font>
      <b/>
      <sz val="11"/>
      <color theme="0" tint="-0.249977111117893"/>
      <name val="Lato Regular"/>
    </font>
    <font>
      <sz val="11"/>
      <color theme="0" tint="-0.14999847407452621"/>
      <name val="Lato Regular"/>
    </font>
    <font>
      <i/>
      <sz val="11"/>
      <color theme="2" tint="-0.499984740745262"/>
      <name val="Aptos Narrow"/>
      <family val="2"/>
      <scheme val="minor"/>
    </font>
    <font>
      <sz val="12"/>
      <color theme="1"/>
      <name val="Lato"/>
    </font>
    <font>
      <b/>
      <sz val="12"/>
      <color theme="1"/>
      <name val="Lato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45B3A"/>
        <bgColor indexed="64"/>
      </patternFill>
    </fill>
    <fill>
      <patternFill patternType="solid">
        <fgColor rgb="FF7397BC"/>
        <bgColor indexed="64"/>
      </patternFill>
    </fill>
    <fill>
      <patternFill patternType="solid">
        <fgColor rgb="FF7C3D1C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  <fill>
      <patternFill patternType="solid">
        <fgColor theme="5" tint="0.39997558519241921"/>
        <bgColor rgb="FF356854"/>
      </patternFill>
    </fill>
    <fill>
      <patternFill patternType="solid">
        <fgColor rgb="FFFFCC00"/>
        <bgColor indexed="64"/>
      </patternFill>
    </fill>
    <fill>
      <patternFill patternType="solid">
        <fgColor rgb="FFFFE5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35685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35685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1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9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66" fillId="55" borderId="0">
      <alignment horizontal="left" vertical="center"/>
    </xf>
    <xf numFmtId="3" fontId="95" fillId="52" borderId="11" applyNumberFormat="0" applyBorder="0" applyAlignment="0"/>
    <xf numFmtId="166" fontId="96" fillId="0" borderId="59"/>
  </cellStyleXfs>
  <cellXfs count="509">
    <xf numFmtId="0" fontId="0" fillId="0" borderId="0" xfId="0"/>
    <xf numFmtId="2" fontId="0" fillId="0" borderId="0" xfId="0" applyNumberFormat="1"/>
    <xf numFmtId="0" fontId="21" fillId="0" borderId="0" xfId="43" applyFont="1"/>
    <xf numFmtId="0" fontId="19" fillId="0" borderId="0" xfId="43"/>
    <xf numFmtId="0" fontId="22" fillId="0" borderId="0" xfId="43" applyFont="1"/>
    <xf numFmtId="0" fontId="23" fillId="0" borderId="0" xfId="43" applyFont="1"/>
    <xf numFmtId="0" fontId="21" fillId="34" borderId="0" xfId="43" applyFont="1" applyFill="1"/>
    <xf numFmtId="0" fontId="22" fillId="36" borderId="0" xfId="43" applyFont="1" applyFill="1"/>
    <xf numFmtId="0" fontId="23" fillId="36" borderId="0" xfId="43" applyFont="1" applyFill="1"/>
    <xf numFmtId="9" fontId="23" fillId="0" borderId="0" xfId="1" applyFont="1" applyFill="1"/>
    <xf numFmtId="164" fontId="19" fillId="0" borderId="0" xfId="43" applyNumberFormat="1"/>
    <xf numFmtId="0" fontId="1" fillId="0" borderId="0" xfId="43" applyFont="1"/>
    <xf numFmtId="0" fontId="25" fillId="0" borderId="0" xfId="0" applyFont="1"/>
    <xf numFmtId="0" fontId="0" fillId="37" borderId="0" xfId="0" applyFill="1" applyAlignment="1">
      <alignment wrapText="1"/>
    </xf>
    <xf numFmtId="0" fontId="0" fillId="39" borderId="0" xfId="0" applyFill="1" applyAlignment="1">
      <alignment wrapText="1"/>
    </xf>
    <xf numFmtId="0" fontId="0" fillId="0" borderId="0" xfId="0" applyAlignment="1">
      <alignment wrapText="1"/>
    </xf>
    <xf numFmtId="0" fontId="25" fillId="0" borderId="0" xfId="0" applyFont="1" applyAlignment="1">
      <alignment wrapText="1"/>
    </xf>
    <xf numFmtId="9" fontId="0" fillId="0" borderId="0" xfId="0" applyNumberFormat="1"/>
    <xf numFmtId="164" fontId="0" fillId="38" borderId="0" xfId="0" applyNumberFormat="1" applyFill="1" applyAlignment="1">
      <alignment wrapText="1"/>
    </xf>
    <xf numFmtId="165" fontId="0" fillId="0" borderId="0" xfId="0" applyNumberFormat="1"/>
    <xf numFmtId="0" fontId="26" fillId="0" borderId="0" xfId="44" applyFont="1"/>
    <xf numFmtId="0" fontId="28" fillId="0" borderId="0" xfId="44" applyFont="1"/>
    <xf numFmtId="0" fontId="30" fillId="44" borderId="11" xfId="44" applyFont="1" applyFill="1" applyBorder="1" applyAlignment="1">
      <alignment horizontal="center" vertical="center"/>
    </xf>
    <xf numFmtId="0" fontId="29" fillId="0" borderId="0" xfId="44" applyFont="1"/>
    <xf numFmtId="0" fontId="27" fillId="0" borderId="11" xfId="44" applyFont="1" applyBorder="1" applyAlignment="1">
      <alignment horizontal="center" vertical="center"/>
    </xf>
    <xf numFmtId="0" fontId="26" fillId="49" borderId="0" xfId="44" applyFont="1" applyFill="1"/>
    <xf numFmtId="0" fontId="31" fillId="49" borderId="0" xfId="44" applyFont="1" applyFill="1"/>
    <xf numFmtId="0" fontId="29" fillId="50" borderId="13" xfId="44" applyFont="1" applyFill="1" applyBorder="1"/>
    <xf numFmtId="0" fontId="26" fillId="50" borderId="14" xfId="44" applyFont="1" applyFill="1" applyBorder="1"/>
    <xf numFmtId="0" fontId="26" fillId="50" borderId="15" xfId="44" applyFont="1" applyFill="1" applyBorder="1"/>
    <xf numFmtId="0" fontId="29" fillId="49" borderId="0" xfId="44" applyFont="1" applyFill="1"/>
    <xf numFmtId="2" fontId="29" fillId="49" borderId="0" xfId="44" applyNumberFormat="1" applyFont="1" applyFill="1"/>
    <xf numFmtId="2" fontId="33" fillId="49" borderId="0" xfId="44" applyNumberFormat="1" applyFont="1" applyFill="1"/>
    <xf numFmtId="0" fontId="29" fillId="51" borderId="16" xfId="44" applyFont="1" applyFill="1" applyBorder="1"/>
    <xf numFmtId="2" fontId="29" fillId="0" borderId="17" xfId="44" applyNumberFormat="1" applyFont="1" applyBorder="1"/>
    <xf numFmtId="0" fontId="29" fillId="0" borderId="18" xfId="44" applyFont="1" applyBorder="1"/>
    <xf numFmtId="0" fontId="29" fillId="42" borderId="16" xfId="44" applyFont="1" applyFill="1" applyBorder="1"/>
    <xf numFmtId="0" fontId="29" fillId="42" borderId="17" xfId="44" applyFont="1" applyFill="1" applyBorder="1"/>
    <xf numFmtId="2" fontId="29" fillId="42" borderId="17" xfId="44" applyNumberFormat="1" applyFont="1" applyFill="1" applyBorder="1"/>
    <xf numFmtId="2" fontId="33" fillId="42" borderId="18" xfId="44" applyNumberFormat="1" applyFont="1" applyFill="1" applyBorder="1"/>
    <xf numFmtId="2" fontId="28" fillId="0" borderId="0" xfId="44" applyNumberFormat="1" applyFont="1"/>
    <xf numFmtId="0" fontId="35" fillId="0" borderId="0" xfId="44" applyFont="1"/>
    <xf numFmtId="0" fontId="36" fillId="49" borderId="0" xfId="44" applyFont="1" applyFill="1" applyAlignment="1">
      <alignment horizontal="left" indent="1"/>
    </xf>
    <xf numFmtId="0" fontId="36" fillId="49" borderId="0" xfId="44" applyFont="1" applyFill="1"/>
    <xf numFmtId="0" fontId="36" fillId="0" borderId="0" xfId="44" applyFont="1"/>
    <xf numFmtId="0" fontId="36" fillId="0" borderId="0" xfId="44" applyFont="1" applyAlignment="1">
      <alignment horizontal="left" indent="1"/>
    </xf>
    <xf numFmtId="2" fontId="36" fillId="0" borderId="0" xfId="44" applyNumberFormat="1" applyFont="1"/>
    <xf numFmtId="0" fontId="37" fillId="0" borderId="0" xfId="44" applyFont="1"/>
    <xf numFmtId="0" fontId="28" fillId="49" borderId="0" xfId="44" applyFont="1" applyFill="1"/>
    <xf numFmtId="2" fontId="28" fillId="49" borderId="0" xfId="44" applyNumberFormat="1" applyFont="1" applyFill="1"/>
    <xf numFmtId="2" fontId="36" fillId="49" borderId="0" xfId="44" applyNumberFormat="1" applyFont="1" applyFill="1"/>
    <xf numFmtId="2" fontId="26" fillId="49" borderId="0" xfId="44" applyNumberFormat="1" applyFont="1" applyFill="1"/>
    <xf numFmtId="0" fontId="29" fillId="50" borderId="14" xfId="44" applyFont="1" applyFill="1" applyBorder="1"/>
    <xf numFmtId="0" fontId="29" fillId="50" borderId="15" xfId="44" applyFont="1" applyFill="1" applyBorder="1"/>
    <xf numFmtId="165" fontId="38" fillId="0" borderId="17" xfId="44" applyNumberFormat="1" applyFont="1" applyBorder="1" applyAlignment="1">
      <alignment vertical="center"/>
    </xf>
    <xf numFmtId="3" fontId="28" fillId="49" borderId="0" xfId="44" applyNumberFormat="1" applyFont="1" applyFill="1"/>
    <xf numFmtId="2" fontId="29" fillId="0" borderId="0" xfId="44" applyNumberFormat="1" applyFont="1"/>
    <xf numFmtId="0" fontId="29" fillId="37" borderId="0" xfId="44" applyFont="1" applyFill="1"/>
    <xf numFmtId="2" fontId="29" fillId="37" borderId="0" xfId="44" applyNumberFormat="1" applyFont="1" applyFill="1"/>
    <xf numFmtId="2" fontId="26" fillId="0" borderId="0" xfId="44" applyNumberFormat="1" applyFont="1"/>
    <xf numFmtId="0" fontId="35" fillId="0" borderId="19" xfId="44" applyFont="1" applyBorder="1"/>
    <xf numFmtId="3" fontId="29" fillId="0" borderId="19" xfId="44" applyNumberFormat="1" applyFont="1" applyBorder="1"/>
    <xf numFmtId="166" fontId="29" fillId="0" borderId="19" xfId="45" applyNumberFormat="1" applyFont="1" applyFill="1" applyBorder="1"/>
    <xf numFmtId="0" fontId="29" fillId="0" borderId="19" xfId="44" applyFont="1" applyBorder="1"/>
    <xf numFmtId="3" fontId="26" fillId="0" borderId="0" xfId="44" applyNumberFormat="1" applyFont="1"/>
    <xf numFmtId="3" fontId="29" fillId="0" borderId="0" xfId="44" applyNumberFormat="1" applyFont="1"/>
    <xf numFmtId="0" fontId="26" fillId="0" borderId="19" xfId="44" applyFont="1" applyBorder="1"/>
    <xf numFmtId="0" fontId="39" fillId="0" borderId="0" xfId="44" applyFont="1"/>
    <xf numFmtId="0" fontId="39" fillId="0" borderId="0" xfId="44" applyFont="1" applyAlignment="1">
      <alignment horizontal="center"/>
    </xf>
    <xf numFmtId="0" fontId="40" fillId="0" borderId="0" xfId="44" applyFont="1"/>
    <xf numFmtId="0" fontId="41" fillId="45" borderId="12" xfId="44" applyFont="1" applyFill="1" applyBorder="1" applyAlignment="1">
      <alignment horizontal="center" vertical="center" wrapText="1"/>
    </xf>
    <xf numFmtId="0" fontId="41" fillId="0" borderId="11" xfId="44" applyFont="1" applyBorder="1" applyAlignment="1">
      <alignment vertical="center" wrapText="1"/>
    </xf>
    <xf numFmtId="0" fontId="41" fillId="0" borderId="16" xfId="44" applyFont="1" applyBorder="1" applyAlignment="1">
      <alignment horizontal="center" vertical="center" wrapText="1"/>
    </xf>
    <xf numFmtId="0" fontId="41" fillId="0" borderId="17" xfId="44" applyFont="1" applyBorder="1" applyAlignment="1">
      <alignment horizontal="center" vertical="center" wrapText="1"/>
    </xf>
    <xf numFmtId="0" fontId="41" fillId="0" borderId="18" xfId="44" applyFont="1" applyBorder="1" applyAlignment="1">
      <alignment horizontal="center" vertical="center" wrapText="1"/>
    </xf>
    <xf numFmtId="0" fontId="41" fillId="0" borderId="11" xfId="44" applyFont="1" applyBorder="1" applyAlignment="1">
      <alignment horizontal="center" vertical="center" wrapText="1"/>
    </xf>
    <xf numFmtId="0" fontId="39" fillId="0" borderId="0" xfId="44" applyFont="1" applyAlignment="1">
      <alignment vertical="center" wrapText="1"/>
    </xf>
    <xf numFmtId="0" fontId="41" fillId="0" borderId="12" xfId="44" applyFont="1" applyBorder="1" applyAlignment="1">
      <alignment horizontal="center" vertical="center" wrapText="1"/>
    </xf>
    <xf numFmtId="0" fontId="41" fillId="45" borderId="20" xfId="44" applyFont="1" applyFill="1" applyBorder="1" applyAlignment="1">
      <alignment horizontal="center" vertical="center" wrapText="1"/>
    </xf>
    <xf numFmtId="0" fontId="41" fillId="35" borderId="11" xfId="44" applyFont="1" applyFill="1" applyBorder="1" applyAlignment="1">
      <alignment horizontal="center" vertical="center" wrapText="1"/>
    </xf>
    <xf numFmtId="0" fontId="41" fillId="0" borderId="0" xfId="44" applyFont="1" applyAlignment="1">
      <alignment horizontal="center"/>
    </xf>
    <xf numFmtId="0" fontId="42" fillId="48" borderId="0" xfId="44" applyFont="1" applyFill="1" applyAlignment="1">
      <alignment horizontal="center"/>
    </xf>
    <xf numFmtId="0" fontId="41" fillId="0" borderId="0" xfId="44" applyFont="1"/>
    <xf numFmtId="3" fontId="39" fillId="45" borderId="21" xfId="44" applyNumberFormat="1" applyFont="1" applyFill="1" applyBorder="1" applyAlignment="1">
      <alignment horizontal="center"/>
    </xf>
    <xf numFmtId="0" fontId="41" fillId="0" borderId="20" xfId="44" applyFont="1" applyBorder="1"/>
    <xf numFmtId="3" fontId="39" fillId="0" borderId="22" xfId="44" applyNumberFormat="1" applyFont="1" applyBorder="1" applyAlignment="1">
      <alignment horizontal="center"/>
    </xf>
    <xf numFmtId="3" fontId="39" fillId="0" borderId="0" xfId="44" applyNumberFormat="1" applyFont="1" applyAlignment="1">
      <alignment horizontal="center"/>
    </xf>
    <xf numFmtId="3" fontId="39" fillId="0" borderId="23" xfId="44" applyNumberFormat="1" applyFont="1" applyBorder="1" applyAlignment="1">
      <alignment horizontal="center"/>
    </xf>
    <xf numFmtId="3" fontId="39" fillId="0" borderId="21" xfId="44" applyNumberFormat="1" applyFont="1" applyBorder="1" applyAlignment="1">
      <alignment horizontal="center"/>
    </xf>
    <xf numFmtId="0" fontId="41" fillId="0" borderId="21" xfId="44" applyFont="1" applyBorder="1"/>
    <xf numFmtId="3" fontId="39" fillId="45" borderId="0" xfId="44" applyNumberFormat="1" applyFont="1" applyFill="1" applyAlignment="1">
      <alignment horizontal="center"/>
    </xf>
    <xf numFmtId="3" fontId="39" fillId="35" borderId="21" xfId="44" applyNumberFormat="1" applyFont="1" applyFill="1" applyBorder="1" applyAlignment="1">
      <alignment horizontal="center"/>
    </xf>
    <xf numFmtId="3" fontId="39" fillId="0" borderId="0" xfId="44" applyNumberFormat="1" applyFont="1" applyAlignment="1">
      <alignment horizontal="right"/>
    </xf>
    <xf numFmtId="3" fontId="39" fillId="0" borderId="0" xfId="44" applyNumberFormat="1" applyFont="1"/>
    <xf numFmtId="14" fontId="39" fillId="0" borderId="0" xfId="44" applyNumberFormat="1" applyFont="1"/>
    <xf numFmtId="1" fontId="39" fillId="0" borderId="0" xfId="44" applyNumberFormat="1" applyFont="1" applyAlignment="1">
      <alignment horizontal="right"/>
    </xf>
    <xf numFmtId="3" fontId="39" fillId="0" borderId="11" xfId="44" applyNumberFormat="1" applyFont="1" applyBorder="1" applyAlignment="1">
      <alignment horizontal="center"/>
    </xf>
    <xf numFmtId="2" fontId="39" fillId="0" borderId="11" xfId="44" applyNumberFormat="1" applyFont="1" applyBorder="1"/>
    <xf numFmtId="167" fontId="39" fillId="0" borderId="11" xfId="46" applyNumberFormat="1" applyFont="1" applyFill="1" applyBorder="1"/>
    <xf numFmtId="167" fontId="39" fillId="0" borderId="0" xfId="46" applyNumberFormat="1" applyFont="1"/>
    <xf numFmtId="0" fontId="41" fillId="0" borderId="22" xfId="44" applyFont="1" applyBorder="1"/>
    <xf numFmtId="3" fontId="41" fillId="0" borderId="24" xfId="44" applyNumberFormat="1" applyFont="1" applyBorder="1" applyAlignment="1">
      <alignment horizontal="right"/>
    </xf>
    <xf numFmtId="0" fontId="39" fillId="0" borderId="0" xfId="44" applyFont="1" applyAlignment="1">
      <alignment horizontal="right"/>
    </xf>
    <xf numFmtId="14" fontId="39" fillId="0" borderId="0" xfId="44" applyNumberFormat="1" applyFont="1" applyAlignment="1">
      <alignment horizontal="right"/>
    </xf>
    <xf numFmtId="3" fontId="39" fillId="0" borderId="25" xfId="44" applyNumberFormat="1" applyFont="1" applyBorder="1" applyAlignment="1">
      <alignment horizontal="center"/>
    </xf>
    <xf numFmtId="3" fontId="39" fillId="0" borderId="19" xfId="44" applyNumberFormat="1" applyFont="1" applyBorder="1" applyAlignment="1">
      <alignment horizontal="center"/>
    </xf>
    <xf numFmtId="3" fontId="39" fillId="0" borderId="26" xfId="44" applyNumberFormat="1" applyFont="1" applyBorder="1" applyAlignment="1">
      <alignment horizontal="center"/>
    </xf>
    <xf numFmtId="3" fontId="39" fillId="0" borderId="27" xfId="44" applyNumberFormat="1" applyFont="1" applyBorder="1" applyAlignment="1">
      <alignment horizontal="center"/>
    </xf>
    <xf numFmtId="0" fontId="41" fillId="0" borderId="25" xfId="44" applyFont="1" applyBorder="1"/>
    <xf numFmtId="3" fontId="39" fillId="45" borderId="27" xfId="44" applyNumberFormat="1" applyFont="1" applyFill="1" applyBorder="1" applyAlignment="1">
      <alignment horizontal="center"/>
    </xf>
    <xf numFmtId="3" fontId="43" fillId="0" borderId="0" xfId="44" applyNumberFormat="1" applyFont="1" applyAlignment="1">
      <alignment horizontal="center"/>
    </xf>
    <xf numFmtId="3" fontId="44" fillId="0" borderId="0" xfId="44" applyNumberFormat="1" applyFont="1" applyAlignment="1">
      <alignment horizontal="center"/>
    </xf>
    <xf numFmtId="0" fontId="42" fillId="48" borderId="0" xfId="44" applyFont="1" applyFill="1" applyAlignment="1">
      <alignment horizontal="left"/>
    </xf>
    <xf numFmtId="3" fontId="42" fillId="48" borderId="28" xfId="44" applyNumberFormat="1" applyFont="1" applyFill="1" applyBorder="1" applyAlignment="1">
      <alignment horizontal="right"/>
    </xf>
    <xf numFmtId="3" fontId="42" fillId="48" borderId="28" xfId="44" applyNumberFormat="1" applyFont="1" applyFill="1" applyBorder="1" applyAlignment="1">
      <alignment horizontal="left"/>
    </xf>
    <xf numFmtId="3" fontId="41" fillId="0" borderId="0" xfId="44" applyNumberFormat="1" applyFont="1"/>
    <xf numFmtId="3" fontId="45" fillId="0" borderId="0" xfId="44" applyNumberFormat="1" applyFont="1"/>
    <xf numFmtId="0" fontId="1" fillId="0" borderId="0" xfId="44"/>
    <xf numFmtId="0" fontId="21" fillId="0" borderId="0" xfId="44" applyFont="1"/>
    <xf numFmtId="0" fontId="22" fillId="0" borderId="0" xfId="44" applyFont="1"/>
    <xf numFmtId="0" fontId="24" fillId="0" borderId="0" xfId="44" applyFont="1"/>
    <xf numFmtId="0" fontId="1" fillId="0" borderId="31" xfId="44" applyBorder="1" applyAlignment="1">
      <alignment vertical="center"/>
    </xf>
    <xf numFmtId="0" fontId="1" fillId="35" borderId="31" xfId="44" applyFill="1" applyBorder="1" applyAlignment="1">
      <alignment vertical="center"/>
    </xf>
    <xf numFmtId="0" fontId="1" fillId="35" borderId="32" xfId="44" applyFill="1" applyBorder="1" applyAlignment="1">
      <alignment vertical="center"/>
    </xf>
    <xf numFmtId="0" fontId="1" fillId="35" borderId="11" xfId="44" applyFill="1" applyBorder="1" applyAlignment="1">
      <alignment vertical="center"/>
    </xf>
    <xf numFmtId="15" fontId="1" fillId="0" borderId="31" xfId="44" applyNumberFormat="1" applyBorder="1" applyAlignment="1">
      <alignment vertical="center"/>
    </xf>
    <xf numFmtId="2" fontId="1" fillId="35" borderId="32" xfId="44" applyNumberFormat="1" applyFill="1" applyBorder="1" applyAlignment="1">
      <alignment vertical="center"/>
    </xf>
    <xf numFmtId="0" fontId="1" fillId="35" borderId="11" xfId="44" applyFill="1" applyBorder="1"/>
    <xf numFmtId="0" fontId="46" fillId="33" borderId="0" xfId="44" applyFont="1" applyFill="1"/>
    <xf numFmtId="0" fontId="1" fillId="53" borderId="0" xfId="44" applyFill="1"/>
    <xf numFmtId="0" fontId="1" fillId="53" borderId="0" xfId="44" applyFill="1" applyAlignment="1">
      <alignment horizontal="center"/>
    </xf>
    <xf numFmtId="164" fontId="1" fillId="53" borderId="0" xfId="44" applyNumberFormat="1" applyFill="1" applyAlignment="1">
      <alignment horizontal="center"/>
    </xf>
    <xf numFmtId="0" fontId="1" fillId="0" borderId="0" xfId="44" applyAlignment="1">
      <alignment horizontal="center"/>
    </xf>
    <xf numFmtId="0" fontId="47" fillId="33" borderId="33" xfId="44" applyFont="1" applyFill="1" applyBorder="1"/>
    <xf numFmtId="0" fontId="47" fillId="33" borderId="34" xfId="44" applyFont="1" applyFill="1" applyBorder="1" applyAlignment="1">
      <alignment horizontal="center"/>
    </xf>
    <xf numFmtId="0" fontId="47" fillId="33" borderId="35" xfId="44" applyFont="1" applyFill="1" applyBorder="1" applyAlignment="1">
      <alignment horizontal="center"/>
    </xf>
    <xf numFmtId="0" fontId="23" fillId="53" borderId="36" xfId="44" applyFont="1" applyFill="1" applyBorder="1"/>
    <xf numFmtId="0" fontId="23" fillId="53" borderId="0" xfId="44" applyFont="1" applyFill="1" applyAlignment="1">
      <alignment horizontal="center"/>
    </xf>
    <xf numFmtId="0" fontId="23" fillId="53" borderId="37" xfId="44" applyFont="1" applyFill="1" applyBorder="1" applyAlignment="1">
      <alignment horizontal="center"/>
    </xf>
    <xf numFmtId="2" fontId="23" fillId="53" borderId="0" xfId="44" applyNumberFormat="1" applyFont="1" applyFill="1" applyAlignment="1">
      <alignment horizontal="center"/>
    </xf>
    <xf numFmtId="2" fontId="23" fillId="53" borderId="37" xfId="44" applyNumberFormat="1" applyFont="1" applyFill="1" applyBorder="1" applyAlignment="1">
      <alignment horizontal="center"/>
    </xf>
    <xf numFmtId="0" fontId="23" fillId="53" borderId="38" xfId="44" applyFont="1" applyFill="1" applyBorder="1"/>
    <xf numFmtId="165" fontId="23" fillId="53" borderId="10" xfId="44" applyNumberFormat="1" applyFont="1" applyFill="1" applyBorder="1" applyAlignment="1">
      <alignment horizontal="center"/>
    </xf>
    <xf numFmtId="2" fontId="23" fillId="53" borderId="39" xfId="44" applyNumberFormat="1" applyFont="1" applyFill="1" applyBorder="1" applyAlignment="1">
      <alignment horizontal="center"/>
    </xf>
    <xf numFmtId="0" fontId="1" fillId="0" borderId="0" xfId="44" applyAlignment="1">
      <alignment horizontal="left"/>
    </xf>
    <xf numFmtId="0" fontId="1" fillId="0" borderId="0" xfId="44" applyAlignment="1">
      <alignment horizontal="left" indent="1"/>
    </xf>
    <xf numFmtId="0" fontId="48" fillId="0" borderId="0" xfId="43" applyFont="1"/>
    <xf numFmtId="3" fontId="48" fillId="0" borderId="0" xfId="43" applyNumberFormat="1" applyFont="1"/>
    <xf numFmtId="0" fontId="49" fillId="0" borderId="0" xfId="43" applyFont="1"/>
    <xf numFmtId="0" fontId="50" fillId="43" borderId="0" xfId="43" applyFont="1" applyFill="1"/>
    <xf numFmtId="164" fontId="48" fillId="0" borderId="0" xfId="43" applyNumberFormat="1" applyFont="1"/>
    <xf numFmtId="9" fontId="48" fillId="0" borderId="0" xfId="1" applyFont="1"/>
    <xf numFmtId="0" fontId="23" fillId="0" borderId="0" xfId="44" applyFont="1"/>
    <xf numFmtId="0" fontId="20" fillId="43" borderId="0" xfId="44" applyFont="1" applyFill="1"/>
    <xf numFmtId="0" fontId="22" fillId="43" borderId="0" xfId="44" applyFont="1" applyFill="1"/>
    <xf numFmtId="0" fontId="21" fillId="43" borderId="0" xfId="44" applyFont="1" applyFill="1"/>
    <xf numFmtId="0" fontId="1" fillId="43" borderId="0" xfId="44" applyFill="1"/>
    <xf numFmtId="0" fontId="30" fillId="36" borderId="11" xfId="44" applyFont="1" applyFill="1" applyBorder="1" applyAlignment="1">
      <alignment horizontal="left" vertical="center"/>
    </xf>
    <xf numFmtId="0" fontId="22" fillId="43" borderId="0" xfId="44" applyFont="1" applyFill="1" applyAlignment="1">
      <alignment horizontal="left"/>
    </xf>
    <xf numFmtId="0" fontId="21" fillId="43" borderId="0" xfId="44" applyFont="1" applyFill="1" applyAlignment="1">
      <alignment horizontal="left"/>
    </xf>
    <xf numFmtId="0" fontId="27" fillId="0" borderId="11" xfId="44" applyFont="1" applyBorder="1" applyAlignment="1">
      <alignment horizontal="left" vertical="center"/>
    </xf>
    <xf numFmtId="0" fontId="51" fillId="0" borderId="0" xfId="43" applyFont="1"/>
    <xf numFmtId="0" fontId="52" fillId="0" borderId="0" xfId="44" applyFont="1"/>
    <xf numFmtId="0" fontId="53" fillId="0" borderId="0" xfId="44" applyFont="1" applyAlignment="1">
      <alignment horizontal="center" vertical="center"/>
    </xf>
    <xf numFmtId="3" fontId="52" fillId="0" borderId="0" xfId="44" applyNumberFormat="1" applyFont="1"/>
    <xf numFmtId="0" fontId="52" fillId="0" borderId="19" xfId="44" applyFont="1" applyBorder="1"/>
    <xf numFmtId="0" fontId="55" fillId="0" borderId="0" xfId="44" applyFont="1"/>
    <xf numFmtId="0" fontId="56" fillId="44" borderId="11" xfId="44" applyFont="1" applyFill="1" applyBorder="1" applyAlignment="1">
      <alignment horizontal="center" vertical="center"/>
    </xf>
    <xf numFmtId="0" fontId="56" fillId="36" borderId="11" xfId="44" applyFont="1" applyFill="1" applyBorder="1" applyAlignment="1">
      <alignment horizontal="center" vertical="center"/>
    </xf>
    <xf numFmtId="0" fontId="56" fillId="45" borderId="11" xfId="44" applyFont="1" applyFill="1" applyBorder="1" applyAlignment="1">
      <alignment horizontal="center" vertical="center"/>
    </xf>
    <xf numFmtId="0" fontId="56" fillId="0" borderId="0" xfId="44" applyFont="1" applyAlignment="1">
      <alignment horizontal="center" vertical="center"/>
    </xf>
    <xf numFmtId="0" fontId="57" fillId="46" borderId="0" xfId="44" applyFont="1" applyFill="1"/>
    <xf numFmtId="0" fontId="58" fillId="0" borderId="0" xfId="44" applyFont="1"/>
    <xf numFmtId="0" fontId="60" fillId="44" borderId="11" xfId="44" applyFont="1" applyFill="1" applyBorder="1"/>
    <xf numFmtId="3" fontId="55" fillId="0" borderId="11" xfId="44" applyNumberFormat="1" applyFont="1" applyBorder="1"/>
    <xf numFmtId="0" fontId="55" fillId="0" borderId="11" xfId="44" applyFont="1" applyBorder="1"/>
    <xf numFmtId="3" fontId="60" fillId="41" borderId="11" xfId="44" applyNumberFormat="1" applyFont="1" applyFill="1" applyBorder="1"/>
    <xf numFmtId="0" fontId="60" fillId="41" borderId="11" xfId="44" applyFont="1" applyFill="1" applyBorder="1"/>
    <xf numFmtId="3" fontId="60" fillId="0" borderId="0" xfId="44" applyNumberFormat="1" applyFont="1"/>
    <xf numFmtId="0" fontId="60" fillId="0" borderId="0" xfId="44" applyFont="1"/>
    <xf numFmtId="3" fontId="58" fillId="41" borderId="11" xfId="44" applyNumberFormat="1" applyFont="1" applyFill="1" applyBorder="1"/>
    <xf numFmtId="3" fontId="58" fillId="0" borderId="0" xfId="44" applyNumberFormat="1" applyFont="1"/>
    <xf numFmtId="3" fontId="55" fillId="0" borderId="0" xfId="44" applyNumberFormat="1" applyFont="1"/>
    <xf numFmtId="0" fontId="59" fillId="36" borderId="11" xfId="44" applyFont="1" applyFill="1" applyBorder="1" applyAlignment="1">
      <alignment horizontal="center" vertical="center"/>
    </xf>
    <xf numFmtId="3" fontId="60" fillId="52" borderId="11" xfId="44" applyNumberFormat="1" applyFont="1" applyFill="1" applyBorder="1"/>
    <xf numFmtId="3" fontId="60" fillId="0" borderId="11" xfId="44" applyNumberFormat="1" applyFont="1" applyBorder="1"/>
    <xf numFmtId="3" fontId="60" fillId="0" borderId="12" xfId="44" applyNumberFormat="1" applyFont="1" applyBorder="1"/>
    <xf numFmtId="3" fontId="63" fillId="52" borderId="30" xfId="44" applyNumberFormat="1" applyFont="1" applyFill="1" applyBorder="1"/>
    <xf numFmtId="9" fontId="55" fillId="0" borderId="0" xfId="46" applyFont="1"/>
    <xf numFmtId="0" fontId="59" fillId="45" borderId="11" xfId="44" applyFont="1" applyFill="1" applyBorder="1" applyAlignment="1">
      <alignment horizontal="center" vertical="center"/>
    </xf>
    <xf numFmtId="3" fontId="60" fillId="38" borderId="11" xfId="44" applyNumberFormat="1" applyFont="1" applyFill="1" applyBorder="1"/>
    <xf numFmtId="3" fontId="58" fillId="38" borderId="11" xfId="44" applyNumberFormat="1" applyFont="1" applyFill="1" applyBorder="1"/>
    <xf numFmtId="9" fontId="64" fillId="0" borderId="0" xfId="46" applyFont="1" applyFill="1" applyBorder="1" applyAlignment="1">
      <alignment vertical="center"/>
    </xf>
    <xf numFmtId="3" fontId="58" fillId="0" borderId="19" xfId="44" applyNumberFormat="1" applyFont="1" applyBorder="1"/>
    <xf numFmtId="3" fontId="55" fillId="0" borderId="22" xfId="44" applyNumberFormat="1" applyFont="1" applyBorder="1"/>
    <xf numFmtId="3" fontId="55" fillId="0" borderId="25" xfId="44" applyNumberFormat="1" applyFont="1" applyBorder="1"/>
    <xf numFmtId="3" fontId="55" fillId="0" borderId="19" xfId="44" applyNumberFormat="1" applyFont="1" applyBorder="1"/>
    <xf numFmtId="0" fontId="55" fillId="0" borderId="19" xfId="44" applyFont="1" applyBorder="1"/>
    <xf numFmtId="0" fontId="55" fillId="0" borderId="0" xfId="44" applyFont="1" applyAlignment="1">
      <alignment horizontal="left"/>
    </xf>
    <xf numFmtId="0" fontId="56" fillId="0" borderId="0" xfId="44" applyFont="1" applyAlignment="1">
      <alignment horizontal="left" vertical="center"/>
    </xf>
    <xf numFmtId="0" fontId="57" fillId="46" borderId="0" xfId="44" applyFont="1" applyFill="1" applyAlignment="1">
      <alignment horizontal="left"/>
    </xf>
    <xf numFmtId="0" fontId="58" fillId="0" borderId="0" xfId="44" applyFont="1" applyAlignment="1">
      <alignment horizontal="left"/>
    </xf>
    <xf numFmtId="0" fontId="59" fillId="44" borderId="11" xfId="44" applyFont="1" applyFill="1" applyBorder="1" applyAlignment="1">
      <alignment horizontal="left" vertical="center"/>
    </xf>
    <xf numFmtId="0" fontId="56" fillId="0" borderId="11" xfId="44" applyFont="1" applyBorder="1" applyAlignment="1">
      <alignment horizontal="left" vertical="center"/>
    </xf>
    <xf numFmtId="0" fontId="61" fillId="44" borderId="11" xfId="44" applyFont="1" applyFill="1" applyBorder="1" applyAlignment="1">
      <alignment horizontal="left" vertical="center"/>
    </xf>
    <xf numFmtId="0" fontId="61" fillId="0" borderId="0" xfId="44" applyFont="1" applyAlignment="1">
      <alignment horizontal="left" vertical="center"/>
    </xf>
    <xf numFmtId="0" fontId="59" fillId="36" borderId="11" xfId="44" applyFont="1" applyFill="1" applyBorder="1" applyAlignment="1">
      <alignment horizontal="left" vertical="center"/>
    </xf>
    <xf numFmtId="0" fontId="59" fillId="0" borderId="11" xfId="44" applyFont="1" applyBorder="1" applyAlignment="1">
      <alignment horizontal="left" vertical="center"/>
    </xf>
    <xf numFmtId="0" fontId="56" fillId="0" borderId="12" xfId="44" applyFont="1" applyBorder="1" applyAlignment="1">
      <alignment horizontal="left" vertical="center"/>
    </xf>
    <xf numFmtId="0" fontId="62" fillId="36" borderId="29" xfId="44" applyFont="1" applyFill="1" applyBorder="1" applyAlignment="1">
      <alignment horizontal="left" vertical="center"/>
    </xf>
    <xf numFmtId="0" fontId="59" fillId="45" borderId="12" xfId="44" applyFont="1" applyFill="1" applyBorder="1" applyAlignment="1">
      <alignment horizontal="left" vertical="center"/>
    </xf>
    <xf numFmtId="0" fontId="59" fillId="0" borderId="12" xfId="44" applyFont="1" applyBorder="1" applyAlignment="1">
      <alignment horizontal="left" vertical="center"/>
    </xf>
    <xf numFmtId="0" fontId="58" fillId="45" borderId="11" xfId="44" applyFont="1" applyFill="1" applyBorder="1" applyAlignment="1">
      <alignment horizontal="left"/>
    </xf>
    <xf numFmtId="0" fontId="59" fillId="45" borderId="11" xfId="44" applyFont="1" applyFill="1" applyBorder="1" applyAlignment="1">
      <alignment horizontal="left" vertical="center"/>
    </xf>
    <xf numFmtId="0" fontId="62" fillId="0" borderId="0" xfId="44" applyFont="1" applyAlignment="1">
      <alignment horizontal="left" vertical="center"/>
    </xf>
    <xf numFmtId="0" fontId="65" fillId="54" borderId="0" xfId="47" applyFont="1" applyFill="1" applyAlignment="1">
      <alignment horizontal="center" vertical="center"/>
    </xf>
    <xf numFmtId="168" fontId="67" fillId="54" borderId="0" xfId="48" applyFont="1" applyFill="1">
      <alignment horizontal="left" vertical="center"/>
    </xf>
    <xf numFmtId="168" fontId="68" fillId="54" borderId="0" xfId="48" applyFont="1" applyFill="1" applyAlignment="1">
      <alignment horizontal="left" vertical="center" wrapText="1"/>
    </xf>
    <xf numFmtId="168" fontId="69" fillId="54" borderId="0" xfId="48" applyFont="1" applyFill="1">
      <alignment horizontal="left" vertical="center"/>
    </xf>
    <xf numFmtId="168" fontId="70" fillId="54" borderId="0" xfId="48" applyFont="1" applyFill="1" applyAlignment="1">
      <alignment horizontal="left" vertical="center" wrapText="1"/>
    </xf>
    <xf numFmtId="0" fontId="71" fillId="54" borderId="0" xfId="48" applyNumberFormat="1" applyFont="1" applyFill="1">
      <alignment horizontal="left" vertical="center"/>
    </xf>
    <xf numFmtId="0" fontId="69" fillId="54" borderId="0" xfId="48" applyNumberFormat="1" applyFont="1" applyFill="1">
      <alignment horizontal="left" vertical="center"/>
    </xf>
    <xf numFmtId="0" fontId="52" fillId="0" borderId="0" xfId="0" applyFont="1" applyAlignment="1">
      <alignment vertical="center"/>
    </xf>
    <xf numFmtId="0" fontId="67" fillId="56" borderId="0" xfId="0" applyFont="1" applyFill="1" applyAlignment="1">
      <alignment vertical="center"/>
    </xf>
    <xf numFmtId="0" fontId="72" fillId="56" borderId="0" xfId="0" applyFont="1" applyFill="1" applyAlignment="1">
      <alignment vertical="center" wrapText="1"/>
    </xf>
    <xf numFmtId="0" fontId="73" fillId="56" borderId="0" xfId="0" applyFont="1" applyFill="1" applyAlignment="1">
      <alignment vertical="center" wrapText="1"/>
    </xf>
    <xf numFmtId="0" fontId="52" fillId="56" borderId="0" xfId="0" applyFont="1" applyFill="1" applyAlignment="1">
      <alignment vertical="center"/>
    </xf>
    <xf numFmtId="0" fontId="52" fillId="0" borderId="0" xfId="44" applyFont="1" applyAlignment="1">
      <alignment horizontal="center"/>
    </xf>
    <xf numFmtId="3" fontId="52" fillId="0" borderId="11" xfId="44" applyNumberFormat="1" applyFont="1" applyBorder="1" applyAlignment="1">
      <alignment horizontal="center"/>
    </xf>
    <xf numFmtId="3" fontId="52" fillId="0" borderId="0" xfId="44" applyNumberFormat="1" applyFont="1" applyAlignment="1">
      <alignment horizontal="center"/>
    </xf>
    <xf numFmtId="0" fontId="74" fillId="47" borderId="0" xfId="44" applyFont="1" applyFill="1" applyAlignment="1">
      <alignment horizontal="center"/>
    </xf>
    <xf numFmtId="166" fontId="52" fillId="0" borderId="0" xfId="45" applyNumberFormat="1" applyFont="1" applyAlignment="1">
      <alignment horizontal="center"/>
    </xf>
    <xf numFmtId="3" fontId="54" fillId="0" borderId="0" xfId="44" applyNumberFormat="1" applyFont="1" applyAlignment="1">
      <alignment horizontal="center"/>
    </xf>
    <xf numFmtId="0" fontId="54" fillId="0" borderId="0" xfId="44" applyFont="1"/>
    <xf numFmtId="3" fontId="52" fillId="0" borderId="19" xfId="44" applyNumberFormat="1" applyFont="1" applyBorder="1" applyAlignment="1">
      <alignment horizontal="center"/>
    </xf>
    <xf numFmtId="0" fontId="75" fillId="0" borderId="0" xfId="44" applyFont="1"/>
    <xf numFmtId="0" fontId="75" fillId="0" borderId="19" xfId="44" applyFont="1" applyBorder="1"/>
    <xf numFmtId="0" fontId="52" fillId="0" borderId="0" xfId="44" applyFont="1" applyAlignment="1">
      <alignment horizontal="left" indent="1"/>
    </xf>
    <xf numFmtId="0" fontId="52" fillId="0" borderId="19" xfId="44" applyFont="1" applyBorder="1" applyAlignment="1">
      <alignment horizontal="left" indent="1"/>
    </xf>
    <xf numFmtId="0" fontId="53" fillId="0" borderId="0" xfId="44" applyFont="1" applyAlignment="1">
      <alignment horizontal="left" vertical="center" indent="1"/>
    </xf>
    <xf numFmtId="0" fontId="67" fillId="56" borderId="0" xfId="0" applyFont="1" applyFill="1" applyAlignment="1">
      <alignment horizontal="left" vertical="center"/>
    </xf>
    <xf numFmtId="0" fontId="52" fillId="0" borderId="0" xfId="44" applyFont="1" applyAlignment="1">
      <alignment horizontal="left"/>
    </xf>
    <xf numFmtId="2" fontId="52" fillId="0" borderId="0" xfId="44" applyNumberFormat="1" applyFont="1"/>
    <xf numFmtId="0" fontId="52" fillId="0" borderId="19" xfId="44" applyFont="1" applyBorder="1" applyAlignment="1">
      <alignment horizontal="left"/>
    </xf>
    <xf numFmtId="0" fontId="76" fillId="0" borderId="0" xfId="44" applyFont="1"/>
    <xf numFmtId="0" fontId="52" fillId="0" borderId="19" xfId="44" applyFont="1" applyBorder="1" applyAlignment="1">
      <alignment horizontal="center"/>
    </xf>
    <xf numFmtId="9" fontId="52" fillId="0" borderId="0" xfId="44" applyNumberFormat="1" applyFont="1"/>
    <xf numFmtId="169" fontId="52" fillId="0" borderId="0" xfId="44" applyNumberFormat="1" applyFont="1" applyAlignment="1">
      <alignment horizontal="center"/>
    </xf>
    <xf numFmtId="0" fontId="77" fillId="0" borderId="0" xfId="0" applyFont="1"/>
    <xf numFmtId="0" fontId="78" fillId="0" borderId="0" xfId="0" applyFont="1" applyAlignment="1">
      <alignment wrapText="1"/>
    </xf>
    <xf numFmtId="0" fontId="77" fillId="57" borderId="11" xfId="0" applyFont="1" applyFill="1" applyBorder="1" applyAlignment="1">
      <alignment horizontal="center" vertical="center"/>
    </xf>
    <xf numFmtId="0" fontId="77" fillId="57" borderId="11" xfId="0" quotePrefix="1" applyFont="1" applyFill="1" applyBorder="1" applyAlignment="1">
      <alignment horizontal="center" vertical="center"/>
    </xf>
    <xf numFmtId="0" fontId="77" fillId="0" borderId="11" xfId="0" applyFont="1" applyBorder="1" applyAlignment="1">
      <alignment vertical="center"/>
    </xf>
    <xf numFmtId="0" fontId="77" fillId="0" borderId="0" xfId="0" applyFont="1" applyAlignment="1">
      <alignment vertical="center"/>
    </xf>
    <xf numFmtId="0" fontId="78" fillId="0" borderId="0" xfId="0" applyFont="1" applyAlignment="1">
      <alignment vertical="center" wrapText="1"/>
    </xf>
    <xf numFmtId="0" fontId="79" fillId="60" borderId="52" xfId="0" applyFont="1" applyFill="1" applyBorder="1" applyAlignment="1">
      <alignment horizontal="center" vertical="center" wrapText="1"/>
    </xf>
    <xf numFmtId="169" fontId="78" fillId="61" borderId="11" xfId="0" applyNumberFormat="1" applyFont="1" applyFill="1" applyBorder="1" applyAlignment="1">
      <alignment horizontal="center" wrapText="1"/>
    </xf>
    <xf numFmtId="0" fontId="22" fillId="48" borderId="0" xfId="43" applyFont="1" applyFill="1"/>
    <xf numFmtId="0" fontId="77" fillId="0" borderId="27" xfId="0" applyFont="1" applyBorder="1" applyAlignment="1">
      <alignment vertical="center"/>
    </xf>
    <xf numFmtId="0" fontId="77" fillId="0" borderId="44" xfId="0" applyFont="1" applyBorder="1" applyAlignment="1">
      <alignment vertical="center"/>
    </xf>
    <xf numFmtId="0" fontId="77" fillId="0" borderId="10" xfId="0" applyFont="1" applyBorder="1"/>
    <xf numFmtId="0" fontId="81" fillId="0" borderId="0" xfId="0" applyFont="1"/>
    <xf numFmtId="169" fontId="82" fillId="0" borderId="0" xfId="0" applyNumberFormat="1" applyFont="1" applyAlignment="1">
      <alignment horizontal="center" vertical="center"/>
    </xf>
    <xf numFmtId="0" fontId="81" fillId="0" borderId="0" xfId="0" applyFont="1" applyAlignment="1">
      <alignment horizontal="center"/>
    </xf>
    <xf numFmtId="0" fontId="77" fillId="57" borderId="11" xfId="0" quotePrefix="1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 wrapText="1"/>
    </xf>
    <xf numFmtId="0" fontId="77" fillId="0" borderId="11" xfId="0" quotePrefix="1" applyFont="1" applyBorder="1" applyAlignment="1">
      <alignment horizontal="center" vertical="center" wrapText="1"/>
    </xf>
    <xf numFmtId="0" fontId="77" fillId="53" borderId="40" xfId="0" applyFont="1" applyFill="1" applyBorder="1" applyAlignment="1">
      <alignment horizontal="left" vertical="center"/>
    </xf>
    <xf numFmtId="0" fontId="83" fillId="0" borderId="0" xfId="0" applyFont="1" applyAlignment="1">
      <alignment horizontal="center"/>
    </xf>
    <xf numFmtId="0" fontId="83" fillId="0" borderId="0" xfId="0" applyFont="1"/>
    <xf numFmtId="0" fontId="87" fillId="53" borderId="49" xfId="0" applyFont="1" applyFill="1" applyBorder="1" applyAlignment="1">
      <alignment horizontal="center" vertical="center" wrapText="1"/>
    </xf>
    <xf numFmtId="0" fontId="87" fillId="53" borderId="55" xfId="0" applyFont="1" applyFill="1" applyBorder="1" applyAlignment="1">
      <alignment horizontal="center" vertical="center" wrapText="1"/>
    </xf>
    <xf numFmtId="169" fontId="89" fillId="0" borderId="27" xfId="0" quotePrefix="1" applyNumberFormat="1" applyFont="1" applyBorder="1" applyAlignment="1">
      <alignment horizontal="center" vertical="center"/>
    </xf>
    <xf numFmtId="169" fontId="84" fillId="61" borderId="48" xfId="0" applyNumberFormat="1" applyFont="1" applyFill="1" applyBorder="1" applyAlignment="1">
      <alignment horizontal="center"/>
    </xf>
    <xf numFmtId="169" fontId="90" fillId="0" borderId="41" xfId="0" applyNumberFormat="1" applyFont="1" applyBorder="1" applyAlignment="1">
      <alignment horizontal="center" vertical="center"/>
    </xf>
    <xf numFmtId="169" fontId="89" fillId="0" borderId="11" xfId="0" quotePrefix="1" applyNumberFormat="1" applyFont="1" applyBorder="1" applyAlignment="1">
      <alignment horizontal="center" vertical="center"/>
    </xf>
    <xf numFmtId="169" fontId="89" fillId="0" borderId="53" xfId="0" quotePrefix="1" applyNumberFormat="1" applyFont="1" applyBorder="1" applyAlignment="1">
      <alignment horizontal="center" vertical="center"/>
    </xf>
    <xf numFmtId="169" fontId="90" fillId="0" borderId="43" xfId="0" applyNumberFormat="1" applyFont="1" applyBorder="1" applyAlignment="1">
      <alignment horizontal="center" vertical="center"/>
    </xf>
    <xf numFmtId="169" fontId="84" fillId="61" borderId="45" xfId="0" applyNumberFormat="1" applyFont="1" applyFill="1" applyBorder="1" applyAlignment="1">
      <alignment horizontal="center"/>
    </xf>
    <xf numFmtId="169" fontId="92" fillId="0" borderId="47" xfId="0" applyNumberFormat="1" applyFont="1" applyBorder="1" applyAlignment="1">
      <alignment horizontal="center" vertical="center"/>
    </xf>
    <xf numFmtId="169" fontId="93" fillId="0" borderId="27" xfId="0" quotePrefix="1" applyNumberFormat="1" applyFont="1" applyBorder="1" applyAlignment="1">
      <alignment horizontal="center" vertical="center"/>
    </xf>
    <xf numFmtId="169" fontId="92" fillId="0" borderId="41" xfId="0" applyNumberFormat="1" applyFont="1" applyBorder="1" applyAlignment="1">
      <alignment horizontal="center" vertical="center"/>
    </xf>
    <xf numFmtId="169" fontId="92" fillId="0" borderId="43" xfId="0" applyNumberFormat="1" applyFont="1" applyBorder="1" applyAlignment="1">
      <alignment horizontal="center" vertical="center"/>
    </xf>
    <xf numFmtId="169" fontId="93" fillId="0" borderId="53" xfId="0" quotePrefix="1" applyNumberFormat="1" applyFont="1" applyBorder="1" applyAlignment="1">
      <alignment horizontal="center" vertical="center"/>
    </xf>
    <xf numFmtId="0" fontId="83" fillId="0" borderId="0" xfId="0" applyFont="1" applyAlignment="1">
      <alignment horizontal="center" vertical="center" wrapText="1"/>
    </xf>
    <xf numFmtId="0" fontId="84" fillId="0" borderId="0" xfId="0" applyFont="1"/>
    <xf numFmtId="0" fontId="83" fillId="0" borderId="0" xfId="0" applyFont="1" applyAlignment="1">
      <alignment vertical="center"/>
    </xf>
    <xf numFmtId="3" fontId="88" fillId="0" borderId="47" xfId="0" applyNumberFormat="1" applyFont="1" applyBorder="1" applyAlignment="1">
      <alignment vertical="center"/>
    </xf>
    <xf numFmtId="3" fontId="88" fillId="0" borderId="27" xfId="0" quotePrefix="1" applyNumberFormat="1" applyFont="1" applyBorder="1" applyAlignment="1">
      <alignment vertical="center"/>
    </xf>
    <xf numFmtId="169" fontId="88" fillId="0" borderId="27" xfId="0" quotePrefix="1" applyNumberFormat="1" applyFont="1" applyBorder="1" applyAlignment="1">
      <alignment vertical="center"/>
    </xf>
    <xf numFmtId="169" fontId="88" fillId="0" borderId="48" xfId="0" quotePrefix="1" applyNumberFormat="1" applyFont="1" applyBorder="1" applyAlignment="1">
      <alignment vertical="center"/>
    </xf>
    <xf numFmtId="169" fontId="84" fillId="61" borderId="52" xfId="0" applyNumberFormat="1" applyFont="1" applyFill="1" applyBorder="1" applyAlignment="1">
      <alignment horizontal="center"/>
    </xf>
    <xf numFmtId="3" fontId="88" fillId="0" borderId="41" xfId="0" applyNumberFormat="1" applyFont="1" applyBorder="1" applyAlignment="1">
      <alignment vertical="center"/>
    </xf>
    <xf numFmtId="3" fontId="88" fillId="0" borderId="11" xfId="0" quotePrefix="1" applyNumberFormat="1" applyFont="1" applyBorder="1" applyAlignment="1">
      <alignment vertical="center"/>
    </xf>
    <xf numFmtId="169" fontId="88" fillId="0" borderId="11" xfId="0" quotePrefix="1" applyNumberFormat="1" applyFont="1" applyBorder="1" applyAlignment="1">
      <alignment vertical="center"/>
    </xf>
    <xf numFmtId="169" fontId="88" fillId="0" borderId="42" xfId="0" quotePrefix="1" applyNumberFormat="1" applyFont="1" applyBorder="1" applyAlignment="1">
      <alignment vertical="center"/>
    </xf>
    <xf numFmtId="169" fontId="84" fillId="61" borderId="42" xfId="0" applyNumberFormat="1" applyFont="1" applyFill="1" applyBorder="1" applyAlignment="1">
      <alignment horizontal="center"/>
    </xf>
    <xf numFmtId="0" fontId="88" fillId="58" borderId="41" xfId="0" applyFont="1" applyFill="1" applyBorder="1" applyAlignment="1">
      <alignment vertical="center"/>
    </xf>
    <xf numFmtId="0" fontId="88" fillId="58" borderId="11" xfId="0" quotePrefix="1" applyFont="1" applyFill="1" applyBorder="1" applyAlignment="1">
      <alignment vertical="center"/>
    </xf>
    <xf numFmtId="0" fontId="88" fillId="58" borderId="42" xfId="0" quotePrefix="1" applyFont="1" applyFill="1" applyBorder="1" applyAlignment="1">
      <alignment vertical="center"/>
    </xf>
    <xf numFmtId="0" fontId="88" fillId="57" borderId="41" xfId="0" applyFont="1" applyFill="1" applyBorder="1" applyAlignment="1">
      <alignment vertical="center"/>
    </xf>
    <xf numFmtId="0" fontId="88" fillId="57" borderId="11" xfId="0" quotePrefix="1" applyFont="1" applyFill="1" applyBorder="1" applyAlignment="1">
      <alignment vertical="center"/>
    </xf>
    <xf numFmtId="0" fontId="88" fillId="57" borderId="42" xfId="0" quotePrefix="1" applyFont="1" applyFill="1" applyBorder="1" applyAlignment="1">
      <alignment vertical="center"/>
    </xf>
    <xf numFmtId="0" fontId="88" fillId="57" borderId="43" xfId="0" applyFont="1" applyFill="1" applyBorder="1" applyAlignment="1">
      <alignment vertical="center"/>
    </xf>
    <xf numFmtId="0" fontId="88" fillId="57" borderId="44" xfId="0" quotePrefix="1" applyFont="1" applyFill="1" applyBorder="1" applyAlignment="1">
      <alignment vertical="center"/>
    </xf>
    <xf numFmtId="0" fontId="88" fillId="57" borderId="45" xfId="0" quotePrefix="1" applyFont="1" applyFill="1" applyBorder="1" applyAlignment="1">
      <alignment vertical="center"/>
    </xf>
    <xf numFmtId="0" fontId="91" fillId="58" borderId="47" xfId="0" applyFont="1" applyFill="1" applyBorder="1" applyAlignment="1">
      <alignment vertical="center"/>
    </xf>
    <xf numFmtId="0" fontId="91" fillId="58" borderId="27" xfId="0" quotePrefix="1" applyFont="1" applyFill="1" applyBorder="1" applyAlignment="1">
      <alignment vertical="center"/>
    </xf>
    <xf numFmtId="0" fontId="91" fillId="58" borderId="27" xfId="0" quotePrefix="1" applyFont="1" applyFill="1" applyBorder="1" applyAlignment="1">
      <alignment horizontal="center" vertical="center"/>
    </xf>
    <xf numFmtId="0" fontId="91" fillId="58" borderId="48" xfId="0" quotePrefix="1" applyFont="1" applyFill="1" applyBorder="1" applyAlignment="1">
      <alignment vertical="center"/>
    </xf>
    <xf numFmtId="169" fontId="93" fillId="0" borderId="51" xfId="0" quotePrefix="1" applyNumberFormat="1" applyFont="1" applyBorder="1" applyAlignment="1">
      <alignment horizontal="center" vertical="center"/>
    </xf>
    <xf numFmtId="0" fontId="91" fillId="57" borderId="41" xfId="0" applyFont="1" applyFill="1" applyBorder="1" applyAlignment="1">
      <alignment vertical="center"/>
    </xf>
    <xf numFmtId="0" fontId="91" fillId="57" borderId="11" xfId="0" quotePrefix="1" applyFont="1" applyFill="1" applyBorder="1" applyAlignment="1">
      <alignment vertical="center"/>
    </xf>
    <xf numFmtId="0" fontId="91" fillId="57" borderId="11" xfId="0" quotePrefix="1" applyFont="1" applyFill="1" applyBorder="1" applyAlignment="1">
      <alignment horizontal="center" vertical="center"/>
    </xf>
    <xf numFmtId="0" fontId="91" fillId="57" borderId="42" xfId="0" quotePrefix="1" applyFont="1" applyFill="1" applyBorder="1" applyAlignment="1">
      <alignment vertical="center"/>
    </xf>
    <xf numFmtId="0" fontId="91" fillId="58" borderId="41" xfId="0" applyFont="1" applyFill="1" applyBorder="1" applyAlignment="1">
      <alignment vertical="center"/>
    </xf>
    <xf numFmtId="0" fontId="91" fillId="58" borderId="11" xfId="0" quotePrefix="1" applyFont="1" applyFill="1" applyBorder="1" applyAlignment="1">
      <alignment vertical="center"/>
    </xf>
    <xf numFmtId="0" fontId="91" fillId="58" borderId="11" xfId="0" quotePrefix="1" applyFont="1" applyFill="1" applyBorder="1" applyAlignment="1">
      <alignment horizontal="center" vertical="center"/>
    </xf>
    <xf numFmtId="0" fontId="91" fillId="58" borderId="42" xfId="0" quotePrefix="1" applyFont="1" applyFill="1" applyBorder="1" applyAlignment="1">
      <alignment vertical="center"/>
    </xf>
    <xf numFmtId="0" fontId="91" fillId="57" borderId="43" xfId="0" applyFont="1" applyFill="1" applyBorder="1" applyAlignment="1">
      <alignment vertical="center"/>
    </xf>
    <xf numFmtId="0" fontId="91" fillId="57" borderId="44" xfId="0" quotePrefix="1" applyFont="1" applyFill="1" applyBorder="1" applyAlignment="1">
      <alignment vertical="center"/>
    </xf>
    <xf numFmtId="0" fontId="91" fillId="57" borderId="44" xfId="0" quotePrefix="1" applyFont="1" applyFill="1" applyBorder="1" applyAlignment="1">
      <alignment horizontal="center" vertical="center"/>
    </xf>
    <xf numFmtId="0" fontId="91" fillId="57" borderId="45" xfId="0" quotePrefix="1" applyFont="1" applyFill="1" applyBorder="1" applyAlignment="1">
      <alignment vertical="center"/>
    </xf>
    <xf numFmtId="169" fontId="82" fillId="58" borderId="26" xfId="0" applyNumberFormat="1" applyFont="1" applyFill="1" applyBorder="1" applyAlignment="1">
      <alignment horizontal="center" vertical="center"/>
    </xf>
    <xf numFmtId="169" fontId="90" fillId="0" borderId="50" xfId="0" applyNumberFormat="1" applyFont="1" applyBorder="1" applyAlignment="1">
      <alignment horizontal="center" vertical="center"/>
    </xf>
    <xf numFmtId="169" fontId="94" fillId="0" borderId="27" xfId="0" quotePrefix="1" applyNumberFormat="1" applyFont="1" applyBorder="1" applyAlignment="1">
      <alignment horizontal="center" vertical="center"/>
    </xf>
    <xf numFmtId="169" fontId="94" fillId="0" borderId="44" xfId="0" quotePrefix="1" applyNumberFormat="1" applyFont="1" applyBorder="1" applyAlignment="1">
      <alignment horizontal="center" vertical="center"/>
    </xf>
    <xf numFmtId="9" fontId="19" fillId="0" borderId="0" xfId="43" applyNumberFormat="1"/>
    <xf numFmtId="0" fontId="75" fillId="61" borderId="0" xfId="44" applyFont="1" applyFill="1"/>
    <xf numFmtId="0" fontId="97" fillId="59" borderId="29" xfId="0" applyFont="1" applyFill="1" applyBorder="1" applyAlignment="1">
      <alignment horizontal="center" vertical="center" wrapText="1"/>
    </xf>
    <xf numFmtId="0" fontId="89" fillId="59" borderId="30" xfId="0" applyFont="1" applyFill="1" applyBorder="1" applyAlignment="1">
      <alignment horizontal="center" vertical="center" wrapText="1"/>
    </xf>
    <xf numFmtId="0" fontId="97" fillId="59" borderId="30" xfId="0" applyFont="1" applyFill="1" applyBorder="1" applyAlignment="1">
      <alignment horizontal="center" vertical="center" wrapText="1"/>
    </xf>
    <xf numFmtId="0" fontId="97" fillId="60" borderId="46" xfId="0" applyFont="1" applyFill="1" applyBorder="1" applyAlignment="1">
      <alignment horizontal="center" vertical="center" wrapText="1"/>
    </xf>
    <xf numFmtId="2" fontId="78" fillId="0" borderId="11" xfId="0" quotePrefix="1" applyNumberFormat="1" applyFont="1" applyBorder="1" applyAlignment="1">
      <alignment horizontal="center" vertical="center"/>
    </xf>
    <xf numFmtId="0" fontId="77" fillId="0" borderId="11" xfId="0" quotePrefix="1" applyFont="1" applyBorder="1" applyAlignment="1">
      <alignment horizontal="center" vertical="center"/>
    </xf>
    <xf numFmtId="0" fontId="77" fillId="0" borderId="44" xfId="0" quotePrefix="1" applyFont="1" applyBorder="1" applyAlignment="1">
      <alignment horizontal="center" vertical="center"/>
    </xf>
    <xf numFmtId="0" fontId="77" fillId="0" borderId="27" xfId="0" quotePrefix="1" applyFont="1" applyBorder="1" applyAlignment="1">
      <alignment horizontal="center" vertical="center"/>
    </xf>
    <xf numFmtId="0" fontId="77" fillId="0" borderId="0" xfId="0" applyFont="1" applyAlignment="1">
      <alignment horizontal="center"/>
    </xf>
    <xf numFmtId="0" fontId="77" fillId="0" borderId="0" xfId="0" applyFont="1" applyAlignment="1">
      <alignment wrapText="1"/>
    </xf>
    <xf numFmtId="169" fontId="77" fillId="57" borderId="27" xfId="0" applyNumberFormat="1" applyFont="1" applyFill="1" applyBorder="1" applyAlignment="1">
      <alignment horizontal="center" vertical="center"/>
    </xf>
    <xf numFmtId="170" fontId="77" fillId="0" borderId="11" xfId="0" applyNumberFormat="1" applyFont="1" applyBorder="1" applyAlignment="1">
      <alignment horizontal="center" vertical="center"/>
    </xf>
    <xf numFmtId="169" fontId="77" fillId="61" borderId="11" xfId="0" applyNumberFormat="1" applyFont="1" applyFill="1" applyBorder="1" applyAlignment="1">
      <alignment horizontal="center"/>
    </xf>
    <xf numFmtId="170" fontId="77" fillId="0" borderId="44" xfId="0" applyNumberFormat="1" applyFont="1" applyBorder="1" applyAlignment="1">
      <alignment horizontal="center" vertical="center"/>
    </xf>
    <xf numFmtId="170" fontId="77" fillId="0" borderId="27" xfId="0" applyNumberFormat="1" applyFont="1" applyBorder="1" applyAlignment="1">
      <alignment horizontal="center" vertical="center"/>
    </xf>
    <xf numFmtId="169" fontId="98" fillId="61" borderId="27" xfId="0" applyNumberFormat="1" applyFont="1" applyFill="1" applyBorder="1" applyAlignment="1">
      <alignment horizontal="center"/>
    </xf>
    <xf numFmtId="169" fontId="98" fillId="61" borderId="11" xfId="0" applyNumberFormat="1" applyFont="1" applyFill="1" applyBorder="1" applyAlignment="1">
      <alignment horizontal="center"/>
    </xf>
    <xf numFmtId="169" fontId="77" fillId="0" borderId="27" xfId="0" applyNumberFormat="1" applyFont="1" applyBorder="1" applyAlignment="1">
      <alignment horizontal="center" vertical="center" wrapText="1"/>
    </xf>
    <xf numFmtId="171" fontId="77" fillId="57" borderId="11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/>
    </xf>
    <xf numFmtId="0" fontId="99" fillId="0" borderId="0" xfId="0" applyFont="1" applyAlignment="1">
      <alignment horizontal="center"/>
    </xf>
    <xf numFmtId="0" fontId="55" fillId="0" borderId="0" xfId="0" applyFont="1"/>
    <xf numFmtId="0" fontId="101" fillId="53" borderId="49" xfId="0" applyFont="1" applyFill="1" applyBorder="1" applyAlignment="1">
      <alignment horizontal="center" vertical="center" wrapText="1"/>
    </xf>
    <xf numFmtId="0" fontId="101" fillId="53" borderId="55" xfId="0" applyFont="1" applyFill="1" applyBorder="1" applyAlignment="1">
      <alignment horizontal="center" vertical="center" wrapText="1"/>
    </xf>
    <xf numFmtId="0" fontId="76" fillId="59" borderId="29" xfId="0" applyFont="1" applyFill="1" applyBorder="1" applyAlignment="1">
      <alignment horizontal="center" vertical="center" wrapText="1"/>
    </xf>
    <xf numFmtId="0" fontId="54" fillId="59" borderId="30" xfId="0" applyFont="1" applyFill="1" applyBorder="1" applyAlignment="1">
      <alignment horizontal="center" vertical="center" wrapText="1"/>
    </xf>
    <xf numFmtId="0" fontId="76" fillId="59" borderId="30" xfId="0" applyFont="1" applyFill="1" applyBorder="1" applyAlignment="1">
      <alignment horizontal="center" vertical="center" wrapText="1"/>
    </xf>
    <xf numFmtId="0" fontId="76" fillId="60" borderId="46" xfId="0" applyFont="1" applyFill="1" applyBorder="1" applyAlignment="1">
      <alignment horizontal="center" vertical="center" wrapText="1"/>
    </xf>
    <xf numFmtId="0" fontId="55" fillId="0" borderId="0" xfId="0" applyFont="1" applyAlignment="1">
      <alignment wrapText="1"/>
    </xf>
    <xf numFmtId="3" fontId="52" fillId="0" borderId="47" xfId="0" applyNumberFormat="1" applyFont="1" applyBorder="1" applyAlignment="1">
      <alignment horizontal="center" vertical="center"/>
    </xf>
    <xf numFmtId="3" fontId="52" fillId="0" borderId="27" xfId="0" quotePrefix="1" applyNumberFormat="1" applyFont="1" applyBorder="1" applyAlignment="1">
      <alignment horizontal="center" vertical="center"/>
    </xf>
    <xf numFmtId="169" fontId="52" fillId="0" borderId="27" xfId="0" quotePrefix="1" applyNumberFormat="1" applyFont="1" applyBorder="1" applyAlignment="1">
      <alignment horizontal="center" vertical="center"/>
    </xf>
    <xf numFmtId="169" fontId="54" fillId="0" borderId="27" xfId="0" quotePrefix="1" applyNumberFormat="1" applyFont="1" applyBorder="1" applyAlignment="1">
      <alignment horizontal="center" vertical="center"/>
    </xf>
    <xf numFmtId="169" fontId="52" fillId="0" borderId="48" xfId="0" quotePrefix="1" applyNumberFormat="1" applyFont="1" applyBorder="1" applyAlignment="1">
      <alignment horizontal="center" vertical="center"/>
    </xf>
    <xf numFmtId="169" fontId="101" fillId="0" borderId="47" xfId="0" applyNumberFormat="1" applyFont="1" applyBorder="1" applyAlignment="1">
      <alignment horizontal="center" vertical="center"/>
    </xf>
    <xf numFmtId="169" fontId="101" fillId="0" borderId="27" xfId="0" applyNumberFormat="1" applyFont="1" applyBorder="1" applyAlignment="1">
      <alignment horizontal="center" vertical="center" wrapText="1"/>
    </xf>
    <xf numFmtId="169" fontId="101" fillId="61" borderId="48" xfId="0" applyNumberFormat="1" applyFont="1" applyFill="1" applyBorder="1" applyAlignment="1">
      <alignment horizontal="center"/>
    </xf>
    <xf numFmtId="3" fontId="52" fillId="0" borderId="41" xfId="0" applyNumberFormat="1" applyFont="1" applyBorder="1" applyAlignment="1">
      <alignment horizontal="center" vertical="center"/>
    </xf>
    <xf numFmtId="3" fontId="52" fillId="0" borderId="11" xfId="0" quotePrefix="1" applyNumberFormat="1" applyFont="1" applyBorder="1" applyAlignment="1">
      <alignment horizontal="center" vertical="center"/>
    </xf>
    <xf numFmtId="169" fontId="52" fillId="0" borderId="11" xfId="0" quotePrefix="1" applyNumberFormat="1" applyFont="1" applyBorder="1" applyAlignment="1">
      <alignment horizontal="center" vertical="center"/>
    </xf>
    <xf numFmtId="169" fontId="52" fillId="0" borderId="42" xfId="0" quotePrefix="1" applyNumberFormat="1" applyFont="1" applyBorder="1" applyAlignment="1">
      <alignment horizontal="center" vertical="center"/>
    </xf>
    <xf numFmtId="169" fontId="101" fillId="0" borderId="41" xfId="0" applyNumberFormat="1" applyFont="1" applyBorder="1" applyAlignment="1">
      <alignment horizontal="center" vertical="center"/>
    </xf>
    <xf numFmtId="169" fontId="54" fillId="0" borderId="11" xfId="0" quotePrefix="1" applyNumberFormat="1" applyFont="1" applyBorder="1" applyAlignment="1">
      <alignment horizontal="center" vertical="center"/>
    </xf>
    <xf numFmtId="169" fontId="101" fillId="0" borderId="11" xfId="0" applyNumberFormat="1" applyFont="1" applyBorder="1" applyAlignment="1">
      <alignment horizontal="center" vertical="center" wrapText="1"/>
    </xf>
    <xf numFmtId="169" fontId="101" fillId="61" borderId="42" xfId="0" applyNumberFormat="1" applyFont="1" applyFill="1" applyBorder="1" applyAlignment="1">
      <alignment horizontal="center"/>
    </xf>
    <xf numFmtId="3" fontId="52" fillId="0" borderId="43" xfId="0" applyNumberFormat="1" applyFont="1" applyBorder="1" applyAlignment="1">
      <alignment horizontal="center" vertical="center"/>
    </xf>
    <xf numFmtId="3" fontId="52" fillId="0" borderId="44" xfId="0" quotePrefix="1" applyNumberFormat="1" applyFont="1" applyBorder="1" applyAlignment="1">
      <alignment horizontal="center" vertical="center"/>
    </xf>
    <xf numFmtId="169" fontId="52" fillId="0" borderId="44" xfId="0" quotePrefix="1" applyNumberFormat="1" applyFont="1" applyBorder="1" applyAlignment="1">
      <alignment horizontal="center" vertical="center"/>
    </xf>
    <xf numFmtId="169" fontId="54" fillId="0" borderId="53" xfId="0" quotePrefix="1" applyNumberFormat="1" applyFont="1" applyBorder="1" applyAlignment="1">
      <alignment horizontal="center" vertical="center"/>
    </xf>
    <xf numFmtId="169" fontId="52" fillId="0" borderId="45" xfId="0" quotePrefix="1" applyNumberFormat="1" applyFont="1" applyBorder="1" applyAlignment="1">
      <alignment horizontal="center" vertical="center"/>
    </xf>
    <xf numFmtId="169" fontId="101" fillId="0" borderId="43" xfId="0" applyNumberFormat="1" applyFont="1" applyBorder="1" applyAlignment="1">
      <alignment horizontal="center" vertical="center"/>
    </xf>
    <xf numFmtId="169" fontId="101" fillId="0" borderId="44" xfId="0" applyNumberFormat="1" applyFont="1" applyBorder="1" applyAlignment="1">
      <alignment horizontal="center" vertical="center" wrapText="1"/>
    </xf>
    <xf numFmtId="169" fontId="101" fillId="61" borderId="45" xfId="0" applyNumberFormat="1" applyFont="1" applyFill="1" applyBorder="1" applyAlignment="1">
      <alignment horizontal="center"/>
    </xf>
    <xf numFmtId="3" fontId="102" fillId="0" borderId="47" xfId="0" applyNumberFormat="1" applyFont="1" applyBorder="1" applyAlignment="1">
      <alignment horizontal="center" vertical="center"/>
    </xf>
    <xf numFmtId="3" fontId="102" fillId="0" borderId="27" xfId="0" quotePrefix="1" applyNumberFormat="1" applyFont="1" applyBorder="1" applyAlignment="1">
      <alignment horizontal="center" vertical="center"/>
    </xf>
    <xf numFmtId="169" fontId="102" fillId="0" borderId="27" xfId="0" quotePrefix="1" applyNumberFormat="1" applyFont="1" applyBorder="1" applyAlignment="1">
      <alignment horizontal="center" vertical="center"/>
    </xf>
    <xf numFmtId="169" fontId="102" fillId="0" borderId="48" xfId="0" quotePrefix="1" applyNumberFormat="1" applyFont="1" applyBorder="1" applyAlignment="1">
      <alignment horizontal="center" vertical="center"/>
    </xf>
    <xf numFmtId="169" fontId="103" fillId="0" borderId="47" xfId="0" applyNumberFormat="1" applyFont="1" applyBorder="1" applyAlignment="1">
      <alignment horizontal="center" vertical="center"/>
    </xf>
    <xf numFmtId="169" fontId="104" fillId="0" borderId="27" xfId="0" quotePrefix="1" applyNumberFormat="1" applyFont="1" applyBorder="1" applyAlignment="1">
      <alignment horizontal="center" vertical="center"/>
    </xf>
    <xf numFmtId="169" fontId="105" fillId="61" borderId="48" xfId="0" applyNumberFormat="1" applyFont="1" applyFill="1" applyBorder="1" applyAlignment="1">
      <alignment horizontal="center"/>
    </xf>
    <xf numFmtId="3" fontId="102" fillId="0" borderId="41" xfId="0" applyNumberFormat="1" applyFont="1" applyBorder="1" applyAlignment="1">
      <alignment horizontal="center" vertical="center"/>
    </xf>
    <xf numFmtId="3" fontId="102" fillId="0" borderId="11" xfId="0" quotePrefix="1" applyNumberFormat="1" applyFont="1" applyBorder="1" applyAlignment="1">
      <alignment horizontal="center" vertical="center"/>
    </xf>
    <xf numFmtId="169" fontId="102" fillId="0" borderId="11" xfId="0" quotePrefix="1" applyNumberFormat="1" applyFont="1" applyBorder="1" applyAlignment="1">
      <alignment horizontal="center" vertical="center"/>
    </xf>
    <xf numFmtId="169" fontId="102" fillId="0" borderId="42" xfId="0" quotePrefix="1" applyNumberFormat="1" applyFont="1" applyBorder="1" applyAlignment="1">
      <alignment horizontal="center" vertical="center"/>
    </xf>
    <xf numFmtId="169" fontId="103" fillId="0" borderId="41" xfId="0" applyNumberFormat="1" applyFont="1" applyBorder="1" applyAlignment="1">
      <alignment horizontal="center" vertical="center"/>
    </xf>
    <xf numFmtId="3" fontId="102" fillId="0" borderId="43" xfId="0" applyNumberFormat="1" applyFont="1" applyBorder="1" applyAlignment="1">
      <alignment horizontal="center" vertical="center"/>
    </xf>
    <xf numFmtId="3" fontId="102" fillId="0" borderId="44" xfId="0" quotePrefix="1" applyNumberFormat="1" applyFont="1" applyBorder="1" applyAlignment="1">
      <alignment horizontal="center" vertical="center"/>
    </xf>
    <xf numFmtId="169" fontId="102" fillId="0" borderId="44" xfId="0" quotePrefix="1" applyNumberFormat="1" applyFont="1" applyBorder="1" applyAlignment="1">
      <alignment horizontal="center" vertical="center"/>
    </xf>
    <xf numFmtId="169" fontId="102" fillId="0" borderId="45" xfId="0" quotePrefix="1" applyNumberFormat="1" applyFont="1" applyBorder="1" applyAlignment="1">
      <alignment horizontal="center" vertical="center"/>
    </xf>
    <xf numFmtId="169" fontId="103" fillId="0" borderId="43" xfId="0" applyNumberFormat="1" applyFont="1" applyBorder="1" applyAlignment="1">
      <alignment horizontal="center" vertical="center"/>
    </xf>
    <xf numFmtId="169" fontId="104" fillId="0" borderId="53" xfId="0" quotePrefix="1" applyNumberFormat="1" applyFont="1" applyBorder="1" applyAlignment="1">
      <alignment horizontal="center" vertical="center"/>
    </xf>
    <xf numFmtId="0" fontId="60" fillId="0" borderId="0" xfId="0" applyFont="1" applyAlignment="1">
      <alignment horizontal="center"/>
    </xf>
    <xf numFmtId="0" fontId="78" fillId="40" borderId="0" xfId="0" applyFont="1" applyFill="1" applyAlignment="1">
      <alignment horizontal="center" vertical="center"/>
    </xf>
    <xf numFmtId="0" fontId="107" fillId="0" borderId="0" xfId="0" applyFont="1"/>
    <xf numFmtId="169" fontId="77" fillId="0" borderId="0" xfId="0" applyNumberFormat="1" applyFont="1"/>
    <xf numFmtId="0" fontId="1" fillId="0" borderId="0" xfId="0" applyFont="1" applyAlignment="1">
      <alignment vertical="center"/>
    </xf>
    <xf numFmtId="0" fontId="78" fillId="0" borderId="0" xfId="0" applyFont="1"/>
    <xf numFmtId="169" fontId="82" fillId="0" borderId="0" xfId="0" applyNumberFormat="1" applyFont="1"/>
    <xf numFmtId="169" fontId="81" fillId="0" borderId="0" xfId="0" applyNumberFormat="1" applyFont="1" applyAlignment="1">
      <alignment horizontal="center"/>
    </xf>
    <xf numFmtId="0" fontId="101" fillId="0" borderId="41" xfId="0" applyFont="1" applyBorder="1" applyAlignment="1">
      <alignment horizontal="center" vertical="center"/>
    </xf>
    <xf numFmtId="0" fontId="101" fillId="0" borderId="11" xfId="0" quotePrefix="1" applyFont="1" applyBorder="1" applyAlignment="1">
      <alignment horizontal="center" vertical="center"/>
    </xf>
    <xf numFmtId="164" fontId="76" fillId="0" borderId="11" xfId="0" quotePrefix="1" applyNumberFormat="1" applyFont="1" applyBorder="1" applyAlignment="1">
      <alignment horizontal="center" vertical="center"/>
    </xf>
    <xf numFmtId="169" fontId="108" fillId="0" borderId="56" xfId="0" applyNumberFormat="1" applyFont="1" applyBorder="1" applyAlignment="1">
      <alignment horizontal="center" vertical="center"/>
    </xf>
    <xf numFmtId="169" fontId="108" fillId="0" borderId="51" xfId="0" applyNumberFormat="1" applyFont="1" applyBorder="1" applyAlignment="1">
      <alignment horizontal="center" vertical="center"/>
    </xf>
    <xf numFmtId="169" fontId="108" fillId="0" borderId="26" xfId="0" applyNumberFormat="1" applyFont="1" applyBorder="1" applyAlignment="1">
      <alignment horizontal="center" vertical="center"/>
    </xf>
    <xf numFmtId="169" fontId="108" fillId="61" borderId="48" xfId="0" applyNumberFormat="1" applyFont="1" applyFill="1" applyBorder="1" applyAlignment="1">
      <alignment horizontal="center"/>
    </xf>
    <xf numFmtId="169" fontId="108" fillId="0" borderId="57" xfId="0" applyNumberFormat="1" applyFont="1" applyBorder="1" applyAlignment="1">
      <alignment horizontal="center" vertical="center"/>
    </xf>
    <xf numFmtId="169" fontId="108" fillId="0" borderId="11" xfId="0" applyNumberFormat="1" applyFont="1" applyBorder="1" applyAlignment="1">
      <alignment horizontal="center" vertical="center"/>
    </xf>
    <xf numFmtId="169" fontId="108" fillId="0" borderId="18" xfId="0" applyNumberFormat="1" applyFont="1" applyBorder="1" applyAlignment="1">
      <alignment horizontal="center" vertical="center"/>
    </xf>
    <xf numFmtId="0" fontId="101" fillId="0" borderId="43" xfId="0" applyFont="1" applyBorder="1" applyAlignment="1">
      <alignment horizontal="center" vertical="center"/>
    </xf>
    <xf numFmtId="0" fontId="101" fillId="0" borderId="44" xfId="0" quotePrefix="1" applyFont="1" applyBorder="1" applyAlignment="1">
      <alignment horizontal="center" vertical="center"/>
    </xf>
    <xf numFmtId="169" fontId="108" fillId="0" borderId="58" xfId="0" applyNumberFormat="1" applyFont="1" applyBorder="1" applyAlignment="1">
      <alignment horizontal="center" vertical="center"/>
    </xf>
    <xf numFmtId="169" fontId="108" fillId="0" borderId="44" xfId="0" applyNumberFormat="1" applyFont="1" applyBorder="1" applyAlignment="1">
      <alignment horizontal="center" vertical="center"/>
    </xf>
    <xf numFmtId="169" fontId="108" fillId="0" borderId="54" xfId="0" applyNumberFormat="1" applyFont="1" applyBorder="1" applyAlignment="1">
      <alignment horizontal="center" vertical="center"/>
    </xf>
    <xf numFmtId="169" fontId="108" fillId="61" borderId="45" xfId="0" applyNumberFormat="1" applyFont="1" applyFill="1" applyBorder="1" applyAlignment="1">
      <alignment horizontal="center"/>
    </xf>
    <xf numFmtId="0" fontId="103" fillId="0" borderId="47" xfId="0" applyFont="1" applyBorder="1" applyAlignment="1">
      <alignment horizontal="center" vertical="center"/>
    </xf>
    <xf numFmtId="0" fontId="103" fillId="0" borderId="27" xfId="0" quotePrefix="1" applyFont="1" applyBorder="1" applyAlignment="1">
      <alignment horizontal="center" vertical="center"/>
    </xf>
    <xf numFmtId="0" fontId="109" fillId="0" borderId="51" xfId="0" quotePrefix="1" applyFont="1" applyBorder="1" applyAlignment="1">
      <alignment horizontal="center" vertical="center"/>
    </xf>
    <xf numFmtId="169" fontId="110" fillId="0" borderId="56" xfId="0" applyNumberFormat="1" applyFont="1" applyBorder="1" applyAlignment="1">
      <alignment horizontal="center" vertical="center"/>
    </xf>
    <xf numFmtId="169" fontId="110" fillId="0" borderId="27" xfId="0" applyNumberFormat="1" applyFont="1" applyBorder="1" applyAlignment="1">
      <alignment horizontal="center" vertical="center"/>
    </xf>
    <xf numFmtId="169" fontId="110" fillId="0" borderId="26" xfId="0" applyNumberFormat="1" applyFont="1" applyBorder="1" applyAlignment="1">
      <alignment horizontal="center" vertical="center"/>
    </xf>
    <xf numFmtId="169" fontId="103" fillId="61" borderId="48" xfId="0" applyNumberFormat="1" applyFont="1" applyFill="1" applyBorder="1" applyAlignment="1">
      <alignment horizontal="center"/>
    </xf>
    <xf numFmtId="0" fontId="103" fillId="0" borderId="41" xfId="0" applyFont="1" applyBorder="1" applyAlignment="1">
      <alignment horizontal="center" vertical="center"/>
    </xf>
    <xf numFmtId="0" fontId="103" fillId="0" borderId="11" xfId="0" quotePrefix="1" applyFont="1" applyBorder="1" applyAlignment="1">
      <alignment horizontal="center" vertical="center"/>
    </xf>
    <xf numFmtId="0" fontId="109" fillId="0" borderId="11" xfId="0" quotePrefix="1" applyFont="1" applyBorder="1" applyAlignment="1">
      <alignment horizontal="center" vertical="center"/>
    </xf>
    <xf numFmtId="169" fontId="110" fillId="0" borderId="57" xfId="0" applyNumberFormat="1" applyFont="1" applyBorder="1" applyAlignment="1">
      <alignment horizontal="center" vertical="center"/>
    </xf>
    <xf numFmtId="169" fontId="110" fillId="0" borderId="11" xfId="0" applyNumberFormat="1" applyFont="1" applyBorder="1" applyAlignment="1">
      <alignment horizontal="center" vertical="center"/>
    </xf>
    <xf numFmtId="169" fontId="110" fillId="0" borderId="18" xfId="0" applyNumberFormat="1" applyFont="1" applyBorder="1" applyAlignment="1">
      <alignment horizontal="center" vertical="center"/>
    </xf>
    <xf numFmtId="0" fontId="103" fillId="0" borderId="43" xfId="0" applyFont="1" applyBorder="1" applyAlignment="1">
      <alignment horizontal="center" vertical="center"/>
    </xf>
    <xf numFmtId="0" fontId="103" fillId="0" borderId="44" xfId="0" quotePrefix="1" applyFont="1" applyBorder="1" applyAlignment="1">
      <alignment horizontal="center" vertical="center"/>
    </xf>
    <xf numFmtId="0" fontId="109" fillId="0" borderId="44" xfId="0" quotePrefix="1" applyFont="1" applyBorder="1" applyAlignment="1">
      <alignment horizontal="center" vertical="center"/>
    </xf>
    <xf numFmtId="169" fontId="110" fillId="0" borderId="58" xfId="0" applyNumberFormat="1" applyFont="1" applyBorder="1" applyAlignment="1">
      <alignment horizontal="center" vertical="center"/>
    </xf>
    <xf numFmtId="169" fontId="110" fillId="0" borderId="44" xfId="0" applyNumberFormat="1" applyFont="1" applyBorder="1" applyAlignment="1">
      <alignment horizontal="center" vertical="center"/>
    </xf>
    <xf numFmtId="169" fontId="110" fillId="0" borderId="54" xfId="0" applyNumberFormat="1" applyFont="1" applyBorder="1" applyAlignment="1">
      <alignment horizontal="center" vertical="center"/>
    </xf>
    <xf numFmtId="2" fontId="19" fillId="0" borderId="0" xfId="43" applyNumberFormat="1"/>
    <xf numFmtId="0" fontId="111" fillId="0" borderId="0" xfId="43" applyFont="1"/>
    <xf numFmtId="0" fontId="19" fillId="0" borderId="60" xfId="43" applyBorder="1"/>
    <xf numFmtId="0" fontId="1" fillId="0" borderId="60" xfId="43" applyFont="1" applyBorder="1"/>
    <xf numFmtId="0" fontId="111" fillId="0" borderId="60" xfId="43" applyFont="1" applyBorder="1"/>
    <xf numFmtId="2" fontId="19" fillId="0" borderId="60" xfId="43" applyNumberFormat="1" applyBorder="1"/>
    <xf numFmtId="14" fontId="19" fillId="0" borderId="0" xfId="43" applyNumberFormat="1"/>
    <xf numFmtId="0" fontId="112" fillId="0" borderId="0" xfId="0" applyFont="1"/>
    <xf numFmtId="0" fontId="0" fillId="0" borderId="0" xfId="0" quotePrefix="1"/>
    <xf numFmtId="0" fontId="0" fillId="51" borderId="20" xfId="0" applyFill="1" applyBorder="1" applyAlignment="1">
      <alignment horizontal="center" wrapText="1"/>
    </xf>
    <xf numFmtId="0" fontId="0" fillId="51" borderId="60" xfId="0" applyFill="1" applyBorder="1" applyAlignment="1">
      <alignment horizontal="center" wrapText="1"/>
    </xf>
    <xf numFmtId="0" fontId="0" fillId="51" borderId="61" xfId="0" applyFill="1" applyBorder="1" applyAlignment="1">
      <alignment horizontal="center" wrapText="1"/>
    </xf>
    <xf numFmtId="0" fontId="0" fillId="64" borderId="20" xfId="0" applyFill="1" applyBorder="1" applyAlignment="1">
      <alignment wrapText="1"/>
    </xf>
    <xf numFmtId="0" fontId="0" fillId="64" borderId="60" xfId="0" applyFill="1" applyBorder="1" applyAlignment="1">
      <alignment wrapText="1"/>
    </xf>
    <xf numFmtId="0" fontId="0" fillId="64" borderId="61" xfId="0" applyFill="1" applyBorder="1" applyAlignment="1">
      <alignment wrapText="1"/>
    </xf>
    <xf numFmtId="0" fontId="0" fillId="64" borderId="0" xfId="0" applyFill="1" applyAlignment="1">
      <alignment horizontal="center" wrapText="1"/>
    </xf>
    <xf numFmtId="0" fontId="0" fillId="0" borderId="19" xfId="0" applyBorder="1" applyAlignment="1">
      <alignment wrapText="1"/>
    </xf>
    <xf numFmtId="0" fontId="0" fillId="0" borderId="25" xfId="0" applyBorder="1" applyAlignment="1">
      <alignment wrapText="1"/>
    </xf>
    <xf numFmtId="0" fontId="112" fillId="0" borderId="26" xfId="0" applyFont="1" applyBorder="1" applyAlignment="1">
      <alignment wrapText="1"/>
    </xf>
    <xf numFmtId="0" fontId="0" fillId="0" borderId="22" xfId="0" applyBorder="1" applyAlignment="1">
      <alignment wrapText="1"/>
    </xf>
    <xf numFmtId="0" fontId="112" fillId="0" borderId="23" xfId="0" applyFont="1" applyBorder="1" applyAlignment="1">
      <alignment wrapText="1"/>
    </xf>
    <xf numFmtId="0" fontId="17" fillId="0" borderId="0" xfId="0" applyFont="1" applyAlignment="1">
      <alignment wrapText="1"/>
    </xf>
    <xf numFmtId="0" fontId="0" fillId="0" borderId="22" xfId="0" applyBorder="1"/>
    <xf numFmtId="2" fontId="112" fillId="0" borderId="23" xfId="0" applyNumberFormat="1" applyFont="1" applyBorder="1"/>
    <xf numFmtId="2" fontId="112" fillId="0" borderId="0" xfId="0" applyNumberFormat="1" applyFont="1"/>
    <xf numFmtId="172" fontId="0" fillId="0" borderId="0" xfId="0" applyNumberFormat="1"/>
    <xf numFmtId="9" fontId="0" fillId="0" borderId="0" xfId="1" applyFont="1"/>
    <xf numFmtId="43" fontId="0" fillId="0" borderId="0" xfId="0" applyNumberFormat="1"/>
    <xf numFmtId="0" fontId="0" fillId="0" borderId="19" xfId="0" applyBorder="1"/>
    <xf numFmtId="0" fontId="0" fillId="0" borderId="25" xfId="0" applyBorder="1"/>
    <xf numFmtId="2" fontId="0" fillId="0" borderId="19" xfId="0" applyNumberFormat="1" applyBorder="1"/>
    <xf numFmtId="2" fontId="112" fillId="0" borderId="26" xfId="0" applyNumberFormat="1" applyFont="1" applyBorder="1"/>
    <xf numFmtId="2" fontId="112" fillId="0" borderId="19" xfId="0" applyNumberFormat="1" applyFont="1" applyBorder="1"/>
    <xf numFmtId="165" fontId="0" fillId="0" borderId="19" xfId="0" applyNumberFormat="1" applyBorder="1"/>
    <xf numFmtId="9" fontId="17" fillId="0" borderId="0" xfId="1" applyFont="1"/>
    <xf numFmtId="43" fontId="113" fillId="0" borderId="60" xfId="0" applyNumberFormat="1" applyFont="1" applyBorder="1"/>
    <xf numFmtId="43" fontId="113" fillId="0" borderId="0" xfId="0" applyNumberFormat="1" applyFont="1" applyAlignment="1">
      <alignment horizontal="right"/>
    </xf>
    <xf numFmtId="173" fontId="0" fillId="0" borderId="0" xfId="0" applyNumberFormat="1"/>
    <xf numFmtId="173" fontId="113" fillId="0" borderId="60" xfId="0" applyNumberFormat="1" applyFont="1" applyBorder="1"/>
    <xf numFmtId="0" fontId="0" fillId="51" borderId="20" xfId="0" applyFill="1" applyBorder="1" applyAlignment="1">
      <alignment wrapText="1"/>
    </xf>
    <xf numFmtId="0" fontId="0" fillId="51" borderId="60" xfId="0" applyFill="1" applyBorder="1" applyAlignment="1">
      <alignment wrapText="1"/>
    </xf>
    <xf numFmtId="0" fontId="0" fillId="51" borderId="61" xfId="0" applyFill="1" applyBorder="1" applyAlignment="1">
      <alignment wrapText="1"/>
    </xf>
    <xf numFmtId="164" fontId="19" fillId="0" borderId="60" xfId="43" applyNumberFormat="1" applyBorder="1"/>
    <xf numFmtId="2" fontId="19" fillId="65" borderId="60" xfId="43" applyNumberFormat="1" applyFill="1" applyBorder="1"/>
    <xf numFmtId="0" fontId="67" fillId="0" borderId="0" xfId="0" applyFont="1" applyAlignment="1">
      <alignment horizontal="left" vertical="center"/>
    </xf>
    <xf numFmtId="0" fontId="14" fillId="63" borderId="0" xfId="0" applyFont="1" applyFill="1" applyAlignment="1">
      <alignment horizontal="center" vertical="center"/>
    </xf>
    <xf numFmtId="0" fontId="78" fillId="62" borderId="0" xfId="0" applyFont="1" applyFill="1" applyAlignment="1">
      <alignment horizontal="center"/>
    </xf>
    <xf numFmtId="0" fontId="47" fillId="42" borderId="10" xfId="0" applyFont="1" applyFill="1" applyBorder="1" applyAlignment="1">
      <alignment horizontal="center" vertical="center"/>
    </xf>
    <xf numFmtId="0" fontId="69" fillId="63" borderId="0" xfId="0" applyFont="1" applyFill="1" applyAlignment="1">
      <alignment horizontal="center" vertical="center"/>
    </xf>
    <xf numFmtId="0" fontId="100" fillId="42" borderId="10" xfId="0" applyFont="1" applyFill="1" applyBorder="1" applyAlignment="1">
      <alignment horizontal="center" vertical="center"/>
    </xf>
    <xf numFmtId="0" fontId="106" fillId="63" borderId="0" xfId="0" applyFont="1" applyFill="1" applyAlignment="1">
      <alignment horizontal="center" vertical="center"/>
    </xf>
    <xf numFmtId="0" fontId="85" fillId="63" borderId="0" xfId="0" applyFont="1" applyFill="1" applyAlignment="1">
      <alignment horizontal="center" vertical="center"/>
    </xf>
    <xf numFmtId="0" fontId="86" fillId="42" borderId="10" xfId="0" applyFont="1" applyFill="1" applyBorder="1" applyAlignment="1">
      <alignment horizontal="center" vertical="center"/>
    </xf>
    <xf numFmtId="0" fontId="0" fillId="51" borderId="20" xfId="0" applyFill="1" applyBorder="1" applyAlignment="1">
      <alignment horizontal="center" wrapText="1"/>
    </xf>
    <xf numFmtId="0" fontId="0" fillId="51" borderId="60" xfId="0" applyFill="1" applyBorder="1" applyAlignment="1">
      <alignment horizontal="center" wrapText="1"/>
    </xf>
    <xf numFmtId="0" fontId="17" fillId="37" borderId="0" xfId="0" applyFont="1" applyFill="1" applyAlignment="1">
      <alignment wrapText="1"/>
    </xf>
    <xf numFmtId="0" fontId="17" fillId="42" borderId="0" xfId="0" applyFont="1" applyFill="1" applyAlignment="1">
      <alignment wrapText="1"/>
    </xf>
    <xf numFmtId="164" fontId="17" fillId="38" borderId="0" xfId="0" applyNumberFormat="1" applyFont="1" applyFill="1" applyAlignment="1">
      <alignment wrapText="1"/>
    </xf>
    <xf numFmtId="164" fontId="17" fillId="40" borderId="0" xfId="0" applyNumberFormat="1" applyFont="1" applyFill="1" applyAlignment="1">
      <alignment wrapText="1"/>
    </xf>
    <xf numFmtId="0" fontId="17" fillId="41" borderId="0" xfId="0" applyFont="1" applyFill="1"/>
    <xf numFmtId="0" fontId="17" fillId="0" borderId="0" xfId="44" applyFont="1"/>
    <xf numFmtId="0" fontId="23" fillId="0" borderId="0" xfId="43" applyFont="1" applyAlignment="1">
      <alignment wrapText="1"/>
    </xf>
    <xf numFmtId="9" fontId="1" fillId="0" borderId="0" xfId="1" applyFont="1"/>
    <xf numFmtId="0" fontId="1" fillId="0" borderId="60" xfId="43" applyFont="1" applyBorder="1" applyAlignment="1">
      <alignment horizontal="left" indent="1"/>
    </xf>
    <xf numFmtId="0" fontId="1" fillId="0" borderId="0" xfId="43" applyFont="1" applyAlignment="1">
      <alignment horizontal="left" indent="1"/>
    </xf>
    <xf numFmtId="164" fontId="1" fillId="0" borderId="0" xfId="43" applyNumberFormat="1" applyFont="1"/>
  </cellXfs>
  <cellStyles count="51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Assumption" xfId="49" xr:uid="{27B26F07-182C-8C4C-8AA7-8F27E45E7789}"/>
    <cellStyle name="Bad" xfId="8" builtinId="27" customBuiltin="1"/>
    <cellStyle name="Calculation" xfId="12" builtinId="22" customBuiltin="1"/>
    <cellStyle name="Check Cell" xfId="14" builtinId="23" customBuiltin="1"/>
    <cellStyle name="Comma 2" xfId="45" xr:uid="{D8544DC1-2625-D44D-BC3C-DF83935E7CE9}"/>
    <cellStyle name="Explanatory Text" xfId="17" builtinId="53" customBuiltin="1"/>
    <cellStyle name="Formula" xfId="50" xr:uid="{F313C6FD-BD32-C947-A405-8748A862F5AE}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eading Level 2" xfId="48" xr:uid="{E897F331-361A-6F43-9CF9-3E557D409164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79612B79-4E66-8844-A810-06FF8B6DB0C9}"/>
    <cellStyle name="Normal 3" xfId="44" xr:uid="{39C012A2-D752-154A-914D-FF1F8F061F3D}"/>
    <cellStyle name="Normal 7" xfId="47" xr:uid="{5582E3F0-3D00-754F-896A-0EBFCFB7E3C0}"/>
    <cellStyle name="Note" xfId="16" builtinId="10" customBuiltin="1"/>
    <cellStyle name="Output" xfId="11" builtinId="21" customBuiltin="1"/>
    <cellStyle name="Percent" xfId="1" builtinId="5"/>
    <cellStyle name="Percent 2" xfId="46" xr:uid="{C22D2889-7C55-CC47-A9FC-8FAADC0D0D59}"/>
    <cellStyle name="Title" xfId="2" builtinId="15" customBuiltin="1"/>
    <cellStyle name="Total" xfId="18" builtinId="25" customBuiltin="1"/>
    <cellStyle name="Warning Text" xfId="15" builtinId="11" customBuiltin="1"/>
  </cellStyles>
  <dxfs count="18">
    <dxf>
      <font>
        <strike val="0"/>
        <outline val="0"/>
        <shadow val="0"/>
        <u val="none"/>
        <vertAlign val="baseline"/>
        <sz val="11"/>
        <color rgb="FFFF0000"/>
      </font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</font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</font>
    </dxf>
    <dxf>
      <font>
        <strike val="0"/>
        <outline val="0"/>
        <shadow val="0"/>
        <u val="none"/>
        <vertAlign val="baseline"/>
        <sz val="11"/>
        <color rgb="FFFF0000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b/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ont>
        <strike val="0"/>
        <outline val="0"/>
        <shadow val="0"/>
        <u val="none"/>
        <vertAlign val="baseline"/>
        <sz val="11"/>
      </font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 defaultTableStyle="TableStyleMedium2" defaultPivotStyle="PivotStyleLight16">
    <tableStyle name="Senegalia polyacantha 2x2 Fores-style" pivot="0" count="3" xr9:uid="{7287C792-80B5-4B97-BB5B-EAB03CA02D9B}">
      <tableStyleElement type="headerRow" dxfId="17"/>
      <tableStyleElement type="firstRowStripe" dxfId="16"/>
      <tableStyleElement type="secondRowStripe" dxfId="15"/>
    </tableStyle>
  </tableStyles>
  <colors>
    <mruColors>
      <color rgb="FFFFE585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tCO2</a:t>
            </a:r>
            <a:r>
              <a:rPr lang="en-US" b="1" baseline="0"/>
              <a:t> per tree </a:t>
            </a:r>
          </a:p>
          <a:p>
            <a:pPr>
              <a:defRPr b="1"/>
            </a:pPr>
            <a:r>
              <a:rPr lang="en-US" b="1"/>
              <a:t>Ex Ante</a:t>
            </a:r>
            <a:r>
              <a:rPr lang="en-US" b="1" baseline="0"/>
              <a:t> vs Ex Post</a:t>
            </a:r>
            <a:endParaRPr lang="en-US" b="1"/>
          </a:p>
        </c:rich>
      </c:tx>
      <c:layout>
        <c:manualLayout>
          <c:xMode val="edge"/>
          <c:yMode val="edge"/>
          <c:x val="0.11697545526524149"/>
          <c:y val="6.50195454291617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1574242055847535E-2"/>
          <c:y val="4.3355263157894737E-2"/>
          <c:w val="0.8873964626155697"/>
          <c:h val="0.8444058189534818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'Curve Comparison'!$B$23:$C$23</c:f>
              <c:strCache>
                <c:ptCount val="2"/>
                <c:pt idx="0">
                  <c:v>Ex Ante | Melia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Comparison'!$F$23:$H$23</c:f>
              <c:numCache>
                <c:formatCode>0.00</c:formatCode>
                <c:ptCount val="3"/>
                <c:pt idx="0" formatCode="0.000">
                  <c:v>1.8613310245223038E-3</c:v>
                </c:pt>
                <c:pt idx="1">
                  <c:v>1.0729354460064183E-2</c:v>
                </c:pt>
                <c:pt idx="2">
                  <c:v>2.4761821046176361E-2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D3E-074E-88B5-3F16C9B3F066}"/>
            </c:ext>
          </c:extLst>
        </c:ser>
        <c:ser>
          <c:idx val="6"/>
          <c:order val="1"/>
          <c:tx>
            <c:strRef>
              <c:f>'Curve Comparison'!$B$40</c:f>
              <c:strCache>
                <c:ptCount val="1"/>
                <c:pt idx="0">
                  <c:v>Ex Post | Melia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Comparison'!$F$40:$G$40</c:f>
              <c:numCache>
                <c:formatCode>0.000</c:formatCode>
                <c:ptCount val="2"/>
                <c:pt idx="0">
                  <c:v>3.2150779037195677E-3</c:v>
                </c:pt>
                <c:pt idx="1">
                  <c:v>1.0147638824430254E-2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D3E-074E-88B5-3F16C9B3F066}"/>
            </c:ext>
          </c:extLst>
        </c:ser>
        <c:ser>
          <c:idx val="3"/>
          <c:order val="2"/>
          <c:tx>
            <c:strRef>
              <c:f>'Curve Comparison'!$B$25:$C$25</c:f>
              <c:strCache>
                <c:ptCount val="2"/>
                <c:pt idx="0">
                  <c:v>Ex Ante | Boundary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Comparison'!$F$25:$H$25</c:f>
              <c:numCache>
                <c:formatCode>0.00</c:formatCode>
                <c:ptCount val="3"/>
                <c:pt idx="0">
                  <c:v>1.0321464225419271E-3</c:v>
                </c:pt>
                <c:pt idx="1">
                  <c:v>6.0115270203998138E-3</c:v>
                </c:pt>
                <c:pt idx="2">
                  <c:v>1.2624529676011353E-2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D3E-074E-88B5-3F16C9B3F066}"/>
            </c:ext>
          </c:extLst>
        </c:ser>
        <c:ser>
          <c:idx val="7"/>
          <c:order val="3"/>
          <c:tx>
            <c:strRef>
              <c:f>'Curve Comparison'!$B$42</c:f>
              <c:strCache>
                <c:ptCount val="1"/>
                <c:pt idx="0">
                  <c:v>Ex Post | Boundary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2225">
                <a:solidFill>
                  <a:srgbClr val="00B0F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Comparison'!$F$42:$G$42</c:f>
              <c:numCache>
                <c:formatCode>0.000</c:formatCode>
                <c:ptCount val="2"/>
                <c:pt idx="0">
                  <c:v>5.847358546714847E-4</c:v>
                </c:pt>
                <c:pt idx="1">
                  <c:v>3.9033481358431649E-3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D3E-074E-88B5-3F16C9B3F066}"/>
            </c:ext>
          </c:extLst>
        </c:ser>
        <c:ser>
          <c:idx val="4"/>
          <c:order val="4"/>
          <c:tx>
            <c:strRef>
              <c:f>'Curve Comparison'!$B$26:$C$26</c:f>
              <c:strCache>
                <c:ptCount val="2"/>
                <c:pt idx="0">
                  <c:v>Ex Ante | Charcoal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Comparison'!$F$26:$H$26</c:f>
              <c:numCache>
                <c:formatCode>0.00</c:formatCode>
                <c:ptCount val="3"/>
                <c:pt idx="0">
                  <c:v>6.7540053225408081E-4</c:v>
                </c:pt>
                <c:pt idx="1">
                  <c:v>3.9156285619804986E-3</c:v>
                </c:pt>
                <c:pt idx="2">
                  <c:v>8.644414151686243E-3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D3E-074E-88B5-3F16C9B3F066}"/>
            </c:ext>
          </c:extLst>
        </c:ser>
        <c:ser>
          <c:idx val="8"/>
          <c:order val="5"/>
          <c:tx>
            <c:strRef>
              <c:f>'Curve Comparison'!$B$43</c:f>
              <c:strCache>
                <c:ptCount val="1"/>
                <c:pt idx="0">
                  <c:v>Ex Post | Charcoal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19050">
                <a:solidFill>
                  <a:srgbClr val="7030A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Comparison'!$F$43:$G$43</c:f>
              <c:numCache>
                <c:formatCode>0.000</c:formatCode>
                <c:ptCount val="2"/>
                <c:pt idx="0">
                  <c:v>7.6843062786634351E-4</c:v>
                </c:pt>
                <c:pt idx="1">
                  <c:v>2.0791733731194053E-3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D3E-074E-88B5-3F16C9B3F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2441872"/>
        <c:axId val="1742443584"/>
      </c:scatterChart>
      <c:valAx>
        <c:axId val="1742441872"/>
        <c:scaling>
          <c:orientation val="minMax"/>
          <c:max val="2"/>
          <c:min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Years after Planting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3584"/>
        <c:crosses val="autoZero"/>
        <c:crossBetween val="midCat"/>
        <c:majorUnit val="0.2"/>
      </c:valAx>
      <c:valAx>
        <c:axId val="1742443584"/>
        <c:scaling>
          <c:orientation val="minMax"/>
          <c:max val="1.4999999999999999E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tCO2 per Tree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1872"/>
        <c:crosses val="autoZero"/>
        <c:crossBetween val="midCat"/>
        <c:majorUnit val="5.0000000000000001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0317254879957105"/>
          <c:y val="5.9311442452672142E-2"/>
          <c:w val="0.35264144238502254"/>
          <c:h val="0.25379516390238449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Lato" panose="020F0502020204030203" pitchFamily="34" charset="0"/>
              <a:ea typeface="Lato" panose="020F0502020204030203" pitchFamily="34" charset="0"/>
              <a:cs typeface="Lato" panose="020F0502020204030203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CHARCOAL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'Growth-rates'!$F$32:$AS$32</c:f>
              <c:numCache>
                <c:formatCode>General</c:formatCode>
                <c:ptCount val="40"/>
                <c:pt idx="0">
                  <c:v>6.7540053225408081E-4</c:v>
                </c:pt>
                <c:pt idx="1">
                  <c:v>3.9156285619804986E-3</c:v>
                </c:pt>
                <c:pt idx="2">
                  <c:v>8.644414151686243E-3</c:v>
                </c:pt>
                <c:pt idx="3">
                  <c:v>1.5260138761026016E-2</c:v>
                </c:pt>
                <c:pt idx="4">
                  <c:v>1.2208111008820813E-2</c:v>
                </c:pt>
                <c:pt idx="5">
                  <c:v>1.9648155217542117E-2</c:v>
                </c:pt>
                <c:pt idx="6">
                  <c:v>2.9335647517018927E-2</c:v>
                </c:pt>
                <c:pt idx="7">
                  <c:v>1.5260138761026016E-2</c:v>
                </c:pt>
                <c:pt idx="8">
                  <c:v>2.4560194021927644E-2</c:v>
                </c:pt>
                <c:pt idx="9">
                  <c:v>3.6669559396273657E-2</c:v>
                </c:pt>
                <c:pt idx="10">
                  <c:v>1.5260138761026016E-2</c:v>
                </c:pt>
                <c:pt idx="11">
                  <c:v>2.4560194021927644E-2</c:v>
                </c:pt>
                <c:pt idx="12">
                  <c:v>3.6669559396273657E-2</c:v>
                </c:pt>
                <c:pt idx="13">
                  <c:v>1.5260138761026016E-2</c:v>
                </c:pt>
                <c:pt idx="14">
                  <c:v>2.4560194021927644E-2</c:v>
                </c:pt>
                <c:pt idx="15">
                  <c:v>3.6669559396273657E-2</c:v>
                </c:pt>
                <c:pt idx="16">
                  <c:v>1.5260138761026016E-2</c:v>
                </c:pt>
                <c:pt idx="17">
                  <c:v>2.4560194021927644E-2</c:v>
                </c:pt>
                <c:pt idx="18">
                  <c:v>3.6669559396273657E-2</c:v>
                </c:pt>
                <c:pt idx="19">
                  <c:v>1.5260138761026016E-2</c:v>
                </c:pt>
                <c:pt idx="20">
                  <c:v>6.7540053225408081E-4</c:v>
                </c:pt>
                <c:pt idx="21">
                  <c:v>3.9156285619804986E-3</c:v>
                </c:pt>
                <c:pt idx="22">
                  <c:v>8.644414151686243E-3</c:v>
                </c:pt>
                <c:pt idx="23">
                  <c:v>1.5260138761026016E-2</c:v>
                </c:pt>
                <c:pt idx="24">
                  <c:v>1.2208111008820813E-2</c:v>
                </c:pt>
                <c:pt idx="25">
                  <c:v>1.9648155217542117E-2</c:v>
                </c:pt>
                <c:pt idx="26">
                  <c:v>2.9335647517018927E-2</c:v>
                </c:pt>
                <c:pt idx="27">
                  <c:v>1.5260138761026016E-2</c:v>
                </c:pt>
                <c:pt idx="28">
                  <c:v>2.4560194021927644E-2</c:v>
                </c:pt>
                <c:pt idx="29">
                  <c:v>3.6669559396273657E-2</c:v>
                </c:pt>
                <c:pt idx="30">
                  <c:v>1.5260138761026016E-2</c:v>
                </c:pt>
                <c:pt idx="31">
                  <c:v>2.4560194021927644E-2</c:v>
                </c:pt>
                <c:pt idx="32">
                  <c:v>3.6669559396273657E-2</c:v>
                </c:pt>
                <c:pt idx="33">
                  <c:v>1.5260138761026016E-2</c:v>
                </c:pt>
                <c:pt idx="34">
                  <c:v>2.4560194021927644E-2</c:v>
                </c:pt>
                <c:pt idx="35">
                  <c:v>3.6669559396273657E-2</c:v>
                </c:pt>
                <c:pt idx="36">
                  <c:v>1.5260138761026016E-2</c:v>
                </c:pt>
                <c:pt idx="37">
                  <c:v>2.4560194021927644E-2</c:v>
                </c:pt>
                <c:pt idx="38">
                  <c:v>3.6669559396273657E-2</c:v>
                </c:pt>
                <c:pt idx="39">
                  <c:v>1.5260138761026016E-2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3E-2648-A092-FD76A4CD3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8746063"/>
        <c:axId val="650402351"/>
      </c:lineChart>
      <c:catAx>
        <c:axId val="6487460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UY"/>
                  <a:t>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UY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0402351"/>
        <c:crosses val="autoZero"/>
        <c:auto val="1"/>
        <c:lblAlgn val="ctr"/>
        <c:lblOffset val="100"/>
        <c:noMultiLvlLbl val="0"/>
      </c:catAx>
      <c:valAx>
        <c:axId val="65040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UY"/>
                  <a:t>t/tree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UY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48746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BOUNDARY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'Growth-rates'!$F$26:$AS$26</c:f>
              <c:numCache>
                <c:formatCode>General</c:formatCode>
                <c:ptCount val="40"/>
                <c:pt idx="0">
                  <c:v>1.0321464225419271E-3</c:v>
                </c:pt>
                <c:pt idx="1">
                  <c:v>6.0115270203998138E-3</c:v>
                </c:pt>
                <c:pt idx="2">
                  <c:v>1.2624529676011353E-2</c:v>
                </c:pt>
                <c:pt idx="3">
                  <c:v>2.2486877793298381E-2</c:v>
                </c:pt>
                <c:pt idx="4">
                  <c:v>3.6929456729391061E-2</c:v>
                </c:pt>
                <c:pt idx="5">
                  <c:v>5.5735041105005399E-2</c:v>
                </c:pt>
                <c:pt idx="6">
                  <c:v>5.5735041105005399E-2</c:v>
                </c:pt>
                <c:pt idx="7">
                  <c:v>5.5735041105005399E-2</c:v>
                </c:pt>
                <c:pt idx="8">
                  <c:v>5.5735041105005399E-2</c:v>
                </c:pt>
                <c:pt idx="9">
                  <c:v>5.5735041105005399E-2</c:v>
                </c:pt>
                <c:pt idx="10">
                  <c:v>5.5735041105005399E-2</c:v>
                </c:pt>
                <c:pt idx="11">
                  <c:v>5.5735041105005399E-2</c:v>
                </c:pt>
                <c:pt idx="12">
                  <c:v>5.5735041105005399E-2</c:v>
                </c:pt>
                <c:pt idx="13">
                  <c:v>5.5735041105005399E-2</c:v>
                </c:pt>
                <c:pt idx="14">
                  <c:v>5.5735041105005399E-2</c:v>
                </c:pt>
                <c:pt idx="15">
                  <c:v>5.5735041105005399E-2</c:v>
                </c:pt>
                <c:pt idx="16">
                  <c:v>5.5735041105005399E-2</c:v>
                </c:pt>
                <c:pt idx="17">
                  <c:v>5.5735041105005399E-2</c:v>
                </c:pt>
                <c:pt idx="18">
                  <c:v>5.5735041105005399E-2</c:v>
                </c:pt>
                <c:pt idx="19">
                  <c:v>5.5735041105005399E-2</c:v>
                </c:pt>
                <c:pt idx="20">
                  <c:v>5.5735041105005399E-2</c:v>
                </c:pt>
                <c:pt idx="21">
                  <c:v>5.5735041105005399E-2</c:v>
                </c:pt>
                <c:pt idx="22">
                  <c:v>5.5735041105005399E-2</c:v>
                </c:pt>
                <c:pt idx="23">
                  <c:v>5.5735041105005399E-2</c:v>
                </c:pt>
                <c:pt idx="24">
                  <c:v>5.5735041105005399E-2</c:v>
                </c:pt>
                <c:pt idx="25">
                  <c:v>5.5735041105005399E-2</c:v>
                </c:pt>
                <c:pt idx="26">
                  <c:v>5.5735041105005399E-2</c:v>
                </c:pt>
                <c:pt idx="27">
                  <c:v>5.5735041105005399E-2</c:v>
                </c:pt>
                <c:pt idx="28">
                  <c:v>5.5735041105005399E-2</c:v>
                </c:pt>
                <c:pt idx="29">
                  <c:v>5.5735041105005399E-2</c:v>
                </c:pt>
                <c:pt idx="30">
                  <c:v>5.5735041105005399E-2</c:v>
                </c:pt>
                <c:pt idx="31">
                  <c:v>5.5735041105005399E-2</c:v>
                </c:pt>
                <c:pt idx="32">
                  <c:v>5.5735041105005399E-2</c:v>
                </c:pt>
                <c:pt idx="33">
                  <c:v>5.5735041105005399E-2</c:v>
                </c:pt>
                <c:pt idx="34">
                  <c:v>5.5735041105005399E-2</c:v>
                </c:pt>
                <c:pt idx="35">
                  <c:v>5.5735041105005399E-2</c:v>
                </c:pt>
                <c:pt idx="36">
                  <c:v>5.5735041105005399E-2</c:v>
                </c:pt>
                <c:pt idx="37">
                  <c:v>5.5735041105005399E-2</c:v>
                </c:pt>
                <c:pt idx="38">
                  <c:v>5.5735041105005399E-2</c:v>
                </c:pt>
                <c:pt idx="39">
                  <c:v>5.5735041105005399E-2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96-0F49-A3C0-DF6E971E8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5807791"/>
        <c:axId val="650409551"/>
      </c:lineChart>
      <c:catAx>
        <c:axId val="6558077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0409551"/>
        <c:crosses val="autoZero"/>
        <c:auto val="1"/>
        <c:lblAlgn val="ctr"/>
        <c:lblOffset val="100"/>
        <c:noMultiLvlLbl val="0"/>
      </c:catAx>
      <c:valAx>
        <c:axId val="65040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58077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TIMBER</a:t>
            </a:r>
            <a:r>
              <a:rPr lang="es-UY" baseline="0"/>
              <a:t> - Muzisi</a:t>
            </a:r>
            <a:endParaRPr lang="es-UY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'Growth-rates'!$F$19:$AS$19</c:f>
              <c:numCache>
                <c:formatCode>General</c:formatCode>
                <c:ptCount val="40"/>
                <c:pt idx="0">
                  <c:v>3.0424305838419696E-3</c:v>
                </c:pt>
                <c:pt idx="1">
                  <c:v>1.7733488643563812E-2</c:v>
                </c:pt>
                <c:pt idx="2">
                  <c:v>4.031407695233348E-2</c:v>
                </c:pt>
                <c:pt idx="3">
                  <c:v>7.2387966132038822E-2</c:v>
                </c:pt>
                <c:pt idx="4">
                  <c:v>0.11667541327347526</c:v>
                </c:pt>
                <c:pt idx="5">
                  <c:v>0.17259988866951723</c:v>
                </c:pt>
                <c:pt idx="6">
                  <c:v>0.23805453939324267</c:v>
                </c:pt>
                <c:pt idx="7">
                  <c:v>0.32475378247498388</c:v>
                </c:pt>
                <c:pt idx="8">
                  <c:v>0.4287694636940993</c:v>
                </c:pt>
                <c:pt idx="9">
                  <c:v>0.54907295246839283</c:v>
                </c:pt>
                <c:pt idx="10">
                  <c:v>0.68512768190617646</c:v>
                </c:pt>
                <c:pt idx="11">
                  <c:v>0.83035492647679388</c:v>
                </c:pt>
                <c:pt idx="12">
                  <c:v>0.97983187735160149</c:v>
                </c:pt>
                <c:pt idx="13">
                  <c:v>1.1404464420195264</c:v>
                </c:pt>
                <c:pt idx="14">
                  <c:v>1.3129332224879684</c:v>
                </c:pt>
                <c:pt idx="15">
                  <c:v>3.0424305838419696E-3</c:v>
                </c:pt>
                <c:pt idx="16">
                  <c:v>1.7733488643563812E-2</c:v>
                </c:pt>
                <c:pt idx="17">
                  <c:v>4.031407695233348E-2</c:v>
                </c:pt>
                <c:pt idx="18">
                  <c:v>7.2387966132038822E-2</c:v>
                </c:pt>
                <c:pt idx="19">
                  <c:v>0.11667541327347526</c:v>
                </c:pt>
                <c:pt idx="20">
                  <c:v>0.17259988866951723</c:v>
                </c:pt>
                <c:pt idx="21">
                  <c:v>0.23805453939324267</c:v>
                </c:pt>
                <c:pt idx="22">
                  <c:v>0.32475378247498388</c:v>
                </c:pt>
                <c:pt idx="23">
                  <c:v>0.4287694636940993</c:v>
                </c:pt>
                <c:pt idx="24">
                  <c:v>0.54907295246839283</c:v>
                </c:pt>
                <c:pt idx="25">
                  <c:v>0.68512768190617646</c:v>
                </c:pt>
                <c:pt idx="26">
                  <c:v>0.83035492647679388</c:v>
                </c:pt>
                <c:pt idx="27">
                  <c:v>0.97983187735160149</c:v>
                </c:pt>
                <c:pt idx="28">
                  <c:v>1.1404464420195264</c:v>
                </c:pt>
                <c:pt idx="29">
                  <c:v>1.3129332224879684</c:v>
                </c:pt>
                <c:pt idx="30">
                  <c:v>3.0424305838419696E-3</c:v>
                </c:pt>
                <c:pt idx="31">
                  <c:v>1.7733488643563812E-2</c:v>
                </c:pt>
                <c:pt idx="32">
                  <c:v>4.031407695233348E-2</c:v>
                </c:pt>
                <c:pt idx="33">
                  <c:v>7.2387966132038822E-2</c:v>
                </c:pt>
                <c:pt idx="34">
                  <c:v>0.11667541327347526</c:v>
                </c:pt>
                <c:pt idx="35">
                  <c:v>0.17259988866951723</c:v>
                </c:pt>
                <c:pt idx="36">
                  <c:v>0.23805453939324267</c:v>
                </c:pt>
                <c:pt idx="37">
                  <c:v>0.32475378247498388</c:v>
                </c:pt>
                <c:pt idx="38">
                  <c:v>0.4287694636940993</c:v>
                </c:pt>
                <c:pt idx="39">
                  <c:v>0.54907295246839283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84-514C-9F0D-8BC00D9D1C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7960799"/>
        <c:axId val="650398031"/>
      </c:lineChart>
      <c:catAx>
        <c:axId val="6779607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0398031"/>
        <c:crosses val="autoZero"/>
        <c:auto val="1"/>
        <c:lblAlgn val="ctr"/>
        <c:lblOffset val="100"/>
        <c:noMultiLvlLbl val="0"/>
      </c:catAx>
      <c:valAx>
        <c:axId val="650398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779607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TIMBER -</a:t>
            </a:r>
            <a:r>
              <a:rPr lang="es-UY" baseline="0"/>
              <a:t>  Melia</a:t>
            </a:r>
            <a:endParaRPr lang="es-UY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'Growth-rates'!$F$13:$AS$13</c:f>
              <c:numCache>
                <c:formatCode>General</c:formatCode>
                <c:ptCount val="40"/>
                <c:pt idx="0">
                  <c:v>1.8613310245223038E-3</c:v>
                </c:pt>
                <c:pt idx="1">
                  <c:v>1.0729354460064183E-2</c:v>
                </c:pt>
                <c:pt idx="2">
                  <c:v>2.4761821046176361E-2</c:v>
                </c:pt>
                <c:pt idx="3">
                  <c:v>4.4308104571972047E-2</c:v>
                </c:pt>
                <c:pt idx="4">
                  <c:v>7.0881254571550617E-2</c:v>
                </c:pt>
                <c:pt idx="5">
                  <c:v>0.10509494283876561</c:v>
                </c:pt>
                <c:pt idx="6">
                  <c:v>0.14600063151862577</c:v>
                </c:pt>
                <c:pt idx="7">
                  <c:v>0.19234777400272074</c:v>
                </c:pt>
                <c:pt idx="8">
                  <c:v>0.24437196668468711</c:v>
                </c:pt>
                <c:pt idx="9">
                  <c:v>0.30147679746424594</c:v>
                </c:pt>
                <c:pt idx="10">
                  <c:v>0.37097670183301612</c:v>
                </c:pt>
                <c:pt idx="11">
                  <c:v>1.8613310245223038E-3</c:v>
                </c:pt>
                <c:pt idx="12">
                  <c:v>1.0729354460064183E-2</c:v>
                </c:pt>
                <c:pt idx="13">
                  <c:v>2.4761821046176361E-2</c:v>
                </c:pt>
                <c:pt idx="14">
                  <c:v>4.4308104571972047E-2</c:v>
                </c:pt>
                <c:pt idx="15">
                  <c:v>7.0881254571550617E-2</c:v>
                </c:pt>
                <c:pt idx="16">
                  <c:v>0.10509494283876561</c:v>
                </c:pt>
                <c:pt idx="17">
                  <c:v>0.14600063151862577</c:v>
                </c:pt>
                <c:pt idx="18">
                  <c:v>0.19234777400272074</c:v>
                </c:pt>
                <c:pt idx="19">
                  <c:v>0.24437196668468711</c:v>
                </c:pt>
                <c:pt idx="20">
                  <c:v>0.30147679746424594</c:v>
                </c:pt>
                <c:pt idx="21">
                  <c:v>0.37097670183301612</c:v>
                </c:pt>
                <c:pt idx="22">
                  <c:v>1.8613310245223038E-3</c:v>
                </c:pt>
                <c:pt idx="23">
                  <c:v>1.0729354460064183E-2</c:v>
                </c:pt>
                <c:pt idx="24">
                  <c:v>2.4761821046176361E-2</c:v>
                </c:pt>
                <c:pt idx="25">
                  <c:v>4.4308104571972047E-2</c:v>
                </c:pt>
                <c:pt idx="26">
                  <c:v>7.0881254571550617E-2</c:v>
                </c:pt>
                <c:pt idx="27">
                  <c:v>0.10509494283876561</c:v>
                </c:pt>
                <c:pt idx="28">
                  <c:v>0.14600063151862577</c:v>
                </c:pt>
                <c:pt idx="29">
                  <c:v>0.19234777400272074</c:v>
                </c:pt>
                <c:pt idx="30">
                  <c:v>0.24437196668468711</c:v>
                </c:pt>
                <c:pt idx="31">
                  <c:v>0.30147679746424594</c:v>
                </c:pt>
                <c:pt idx="32">
                  <c:v>0.37097670183301612</c:v>
                </c:pt>
                <c:pt idx="33">
                  <c:v>1.8613310245223038E-3</c:v>
                </c:pt>
                <c:pt idx="34">
                  <c:v>1.0729354460064183E-2</c:v>
                </c:pt>
                <c:pt idx="35">
                  <c:v>2.4761821046176361E-2</c:v>
                </c:pt>
                <c:pt idx="36">
                  <c:v>4.4308104571972047E-2</c:v>
                </c:pt>
                <c:pt idx="37">
                  <c:v>7.0881254571550617E-2</c:v>
                </c:pt>
                <c:pt idx="38">
                  <c:v>0.10509494283876561</c:v>
                </c:pt>
                <c:pt idx="39">
                  <c:v>0.14600063151862577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7B-2547-9BB2-C382C3C9A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310511"/>
        <c:axId val="169502735"/>
      </c:lineChart>
      <c:catAx>
        <c:axId val="84631051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169502735"/>
        <c:crosses val="autoZero"/>
        <c:auto val="1"/>
        <c:lblAlgn val="ctr"/>
        <c:lblOffset val="100"/>
        <c:noMultiLvlLbl val="0"/>
      </c:catAx>
      <c:valAx>
        <c:axId val="169502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846310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TIMBER</a:t>
            </a:r>
            <a:r>
              <a:rPr lang="es-UY" baseline="0"/>
              <a:t> - Gmelina</a:t>
            </a:r>
            <a:endParaRPr lang="es-UY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'Growth-rates'!$B$7</c:f>
              <c:strCache>
                <c:ptCount val="1"/>
                <c:pt idx="0">
                  <c:v>Total biomass Gmelina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'Growth-rates'!$C$7:$AS$7</c:f>
              <c:numCache>
                <c:formatCode>General</c:formatCode>
                <c:ptCount val="43"/>
                <c:pt idx="3">
                  <c:v>4.7280000000000004E-3</c:v>
                </c:pt>
                <c:pt idx="4">
                  <c:v>7.9080000000000001E-3</c:v>
                </c:pt>
                <c:pt idx="5">
                  <c:v>1.2168E-2</c:v>
                </c:pt>
                <c:pt idx="6">
                  <c:v>1.9584000000000001E-2</c:v>
                </c:pt>
                <c:pt idx="7">
                  <c:v>3.6527999999999998E-2</c:v>
                </c:pt>
                <c:pt idx="8">
                  <c:v>6.4416000000000001E-2</c:v>
                </c:pt>
                <c:pt idx="9">
                  <c:v>9.2303999999999997E-2</c:v>
                </c:pt>
                <c:pt idx="10">
                  <c:v>0.12019199999999999</c:v>
                </c:pt>
                <c:pt idx="11">
                  <c:v>0.14807999999999999</c:v>
                </c:pt>
                <c:pt idx="12">
                  <c:v>0.17596799999999999</c:v>
                </c:pt>
                <c:pt idx="13">
                  <c:v>0.20385599999999998</c:v>
                </c:pt>
                <c:pt idx="14">
                  <c:v>4.7280000000000004E-3</c:v>
                </c:pt>
                <c:pt idx="15">
                  <c:v>7.9080000000000001E-3</c:v>
                </c:pt>
                <c:pt idx="16">
                  <c:v>1.2168E-2</c:v>
                </c:pt>
                <c:pt idx="17">
                  <c:v>1.9584000000000001E-2</c:v>
                </c:pt>
                <c:pt idx="18">
                  <c:v>3.6527999999999998E-2</c:v>
                </c:pt>
                <c:pt idx="19">
                  <c:v>6.4416000000000001E-2</c:v>
                </c:pt>
                <c:pt idx="20">
                  <c:v>9.2303999999999997E-2</c:v>
                </c:pt>
                <c:pt idx="21">
                  <c:v>0.12019199999999999</c:v>
                </c:pt>
                <c:pt idx="22">
                  <c:v>0.14807999999999999</c:v>
                </c:pt>
                <c:pt idx="23">
                  <c:v>0.17596799999999999</c:v>
                </c:pt>
                <c:pt idx="24">
                  <c:v>0.20385599999999998</c:v>
                </c:pt>
                <c:pt idx="25">
                  <c:v>4.7280000000000004E-3</c:v>
                </c:pt>
                <c:pt idx="26">
                  <c:v>7.9080000000000001E-3</c:v>
                </c:pt>
                <c:pt idx="27">
                  <c:v>1.2168E-2</c:v>
                </c:pt>
                <c:pt idx="28">
                  <c:v>1.9584000000000001E-2</c:v>
                </c:pt>
                <c:pt idx="29">
                  <c:v>3.6527999999999998E-2</c:v>
                </c:pt>
                <c:pt idx="30">
                  <c:v>6.4416000000000001E-2</c:v>
                </c:pt>
                <c:pt idx="31">
                  <c:v>9.2303999999999997E-2</c:v>
                </c:pt>
                <c:pt idx="32">
                  <c:v>0.12019199999999999</c:v>
                </c:pt>
                <c:pt idx="33">
                  <c:v>0.14807999999999999</c:v>
                </c:pt>
                <c:pt idx="34">
                  <c:v>0.17596799999999999</c:v>
                </c:pt>
                <c:pt idx="35">
                  <c:v>0.20385599999999998</c:v>
                </c:pt>
                <c:pt idx="36">
                  <c:v>4.7280000000000004E-3</c:v>
                </c:pt>
                <c:pt idx="37">
                  <c:v>7.9080000000000001E-3</c:v>
                </c:pt>
                <c:pt idx="38">
                  <c:v>1.2168E-2</c:v>
                </c:pt>
                <c:pt idx="39">
                  <c:v>1.9584000000000001E-2</c:v>
                </c:pt>
                <c:pt idx="40">
                  <c:v>3.6527999999999998E-2</c:v>
                </c:pt>
                <c:pt idx="41">
                  <c:v>6.4416000000000001E-2</c:v>
                </c:pt>
                <c:pt idx="42">
                  <c:v>9.2303999999999997E-2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86-4649-BC12-D099511FF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304479"/>
        <c:axId val="169197743"/>
      </c:lineChart>
      <c:catAx>
        <c:axId val="84630447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169197743"/>
        <c:crosses val="autoZero"/>
        <c:auto val="1"/>
        <c:lblAlgn val="ctr"/>
        <c:lblOffset val="100"/>
        <c:noMultiLvlLbl val="0"/>
      </c:catAx>
      <c:valAx>
        <c:axId val="169197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8463044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'Growth-rates'!$F$32:$AT$32</c:f>
              <c:numCache>
                <c:formatCode>General</c:formatCode>
                <c:ptCount val="41"/>
                <c:pt idx="0">
                  <c:v>6.7540053225408081E-4</c:v>
                </c:pt>
                <c:pt idx="1">
                  <c:v>3.9156285619804986E-3</c:v>
                </c:pt>
                <c:pt idx="2">
                  <c:v>8.644414151686243E-3</c:v>
                </c:pt>
                <c:pt idx="3">
                  <c:v>1.5260138761026016E-2</c:v>
                </c:pt>
                <c:pt idx="4">
                  <c:v>1.2208111008820813E-2</c:v>
                </c:pt>
                <c:pt idx="5">
                  <c:v>1.9648155217542117E-2</c:v>
                </c:pt>
                <c:pt idx="6">
                  <c:v>2.9335647517018927E-2</c:v>
                </c:pt>
                <c:pt idx="7">
                  <c:v>1.5260138761026016E-2</c:v>
                </c:pt>
                <c:pt idx="8">
                  <c:v>2.4560194021927644E-2</c:v>
                </c:pt>
                <c:pt idx="9">
                  <c:v>3.6669559396273657E-2</c:v>
                </c:pt>
                <c:pt idx="10">
                  <c:v>1.5260138761026016E-2</c:v>
                </c:pt>
                <c:pt idx="11">
                  <c:v>2.4560194021927644E-2</c:v>
                </c:pt>
                <c:pt idx="12">
                  <c:v>3.6669559396273657E-2</c:v>
                </c:pt>
                <c:pt idx="13">
                  <c:v>1.5260138761026016E-2</c:v>
                </c:pt>
                <c:pt idx="14">
                  <c:v>2.4560194021927644E-2</c:v>
                </c:pt>
                <c:pt idx="15">
                  <c:v>3.6669559396273657E-2</c:v>
                </c:pt>
                <c:pt idx="16">
                  <c:v>1.5260138761026016E-2</c:v>
                </c:pt>
                <c:pt idx="17">
                  <c:v>2.4560194021927644E-2</c:v>
                </c:pt>
                <c:pt idx="18">
                  <c:v>3.6669559396273657E-2</c:v>
                </c:pt>
                <c:pt idx="19">
                  <c:v>1.5260138761026016E-2</c:v>
                </c:pt>
                <c:pt idx="20">
                  <c:v>6.7540053225408081E-4</c:v>
                </c:pt>
                <c:pt idx="21">
                  <c:v>3.9156285619804986E-3</c:v>
                </c:pt>
                <c:pt idx="22">
                  <c:v>8.644414151686243E-3</c:v>
                </c:pt>
                <c:pt idx="23">
                  <c:v>1.5260138761026016E-2</c:v>
                </c:pt>
                <c:pt idx="24">
                  <c:v>1.2208111008820813E-2</c:v>
                </c:pt>
                <c:pt idx="25">
                  <c:v>1.9648155217542117E-2</c:v>
                </c:pt>
                <c:pt idx="26">
                  <c:v>2.9335647517018927E-2</c:v>
                </c:pt>
                <c:pt idx="27">
                  <c:v>1.5260138761026016E-2</c:v>
                </c:pt>
                <c:pt idx="28">
                  <c:v>2.4560194021927644E-2</c:v>
                </c:pt>
                <c:pt idx="29">
                  <c:v>3.6669559396273657E-2</c:v>
                </c:pt>
                <c:pt idx="30">
                  <c:v>1.5260138761026016E-2</c:v>
                </c:pt>
                <c:pt idx="31">
                  <c:v>2.4560194021927644E-2</c:v>
                </c:pt>
                <c:pt idx="32">
                  <c:v>3.6669559396273657E-2</c:v>
                </c:pt>
                <c:pt idx="33">
                  <c:v>1.5260138761026016E-2</c:v>
                </c:pt>
                <c:pt idx="34">
                  <c:v>2.4560194021927644E-2</c:v>
                </c:pt>
                <c:pt idx="35">
                  <c:v>3.6669559396273657E-2</c:v>
                </c:pt>
                <c:pt idx="36">
                  <c:v>1.5260138761026016E-2</c:v>
                </c:pt>
                <c:pt idx="37">
                  <c:v>2.4560194021927644E-2</c:v>
                </c:pt>
                <c:pt idx="38">
                  <c:v>3.6669559396273657E-2</c:v>
                </c:pt>
                <c:pt idx="39">
                  <c:v>1.5260138761026016E-2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87-EE4A-A2E6-ACE3DF649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5039160"/>
        <c:axId val="795036280"/>
      </c:lineChart>
      <c:catAx>
        <c:axId val="7950391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795036280"/>
        <c:crosses val="autoZero"/>
        <c:auto val="1"/>
        <c:lblAlgn val="ctr"/>
        <c:lblOffset val="100"/>
        <c:noMultiLvlLbl val="0"/>
      </c:catAx>
      <c:valAx>
        <c:axId val="795036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795039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'Growth-rates'!$F$13:$AT$13</c:f>
              <c:numCache>
                <c:formatCode>General</c:formatCode>
                <c:ptCount val="41"/>
                <c:pt idx="0">
                  <c:v>1.8613310245223038E-3</c:v>
                </c:pt>
                <c:pt idx="1">
                  <c:v>1.0729354460064183E-2</c:v>
                </c:pt>
                <c:pt idx="2">
                  <c:v>2.4761821046176361E-2</c:v>
                </c:pt>
                <c:pt idx="3">
                  <c:v>4.4308104571972047E-2</c:v>
                </c:pt>
                <c:pt idx="4">
                  <c:v>7.0881254571550617E-2</c:v>
                </c:pt>
                <c:pt idx="5">
                  <c:v>0.10509494283876561</c:v>
                </c:pt>
                <c:pt idx="6">
                  <c:v>0.14600063151862577</c:v>
                </c:pt>
                <c:pt idx="7">
                  <c:v>0.19234777400272074</c:v>
                </c:pt>
                <c:pt idx="8">
                  <c:v>0.24437196668468711</c:v>
                </c:pt>
                <c:pt idx="9">
                  <c:v>0.30147679746424594</c:v>
                </c:pt>
                <c:pt idx="10">
                  <c:v>0.37097670183301612</c:v>
                </c:pt>
                <c:pt idx="11">
                  <c:v>1.8613310245223038E-3</c:v>
                </c:pt>
                <c:pt idx="12">
                  <c:v>1.0729354460064183E-2</c:v>
                </c:pt>
                <c:pt idx="13">
                  <c:v>2.4761821046176361E-2</c:v>
                </c:pt>
                <c:pt idx="14">
                  <c:v>4.4308104571972047E-2</c:v>
                </c:pt>
                <c:pt idx="15">
                  <c:v>7.0881254571550617E-2</c:v>
                </c:pt>
                <c:pt idx="16">
                  <c:v>0.10509494283876561</c:v>
                </c:pt>
                <c:pt idx="17">
                  <c:v>0.14600063151862577</c:v>
                </c:pt>
                <c:pt idx="18">
                  <c:v>0.19234777400272074</c:v>
                </c:pt>
                <c:pt idx="19">
                  <c:v>0.24437196668468711</c:v>
                </c:pt>
                <c:pt idx="20">
                  <c:v>0.30147679746424594</c:v>
                </c:pt>
                <c:pt idx="21">
                  <c:v>0.37097670183301612</c:v>
                </c:pt>
                <c:pt idx="22">
                  <c:v>1.8613310245223038E-3</c:v>
                </c:pt>
                <c:pt idx="23">
                  <c:v>1.0729354460064183E-2</c:v>
                </c:pt>
                <c:pt idx="24">
                  <c:v>2.4761821046176361E-2</c:v>
                </c:pt>
                <c:pt idx="25">
                  <c:v>4.4308104571972047E-2</c:v>
                </c:pt>
                <c:pt idx="26">
                  <c:v>7.0881254571550617E-2</c:v>
                </c:pt>
                <c:pt idx="27">
                  <c:v>0.10509494283876561</c:v>
                </c:pt>
                <c:pt idx="28">
                  <c:v>0.14600063151862577</c:v>
                </c:pt>
                <c:pt idx="29">
                  <c:v>0.19234777400272074</c:v>
                </c:pt>
                <c:pt idx="30">
                  <c:v>0.24437196668468711</c:v>
                </c:pt>
                <c:pt idx="31">
                  <c:v>0.30147679746424594</c:v>
                </c:pt>
                <c:pt idx="32">
                  <c:v>0.37097670183301612</c:v>
                </c:pt>
                <c:pt idx="33">
                  <c:v>1.8613310245223038E-3</c:v>
                </c:pt>
                <c:pt idx="34">
                  <c:v>1.0729354460064183E-2</c:v>
                </c:pt>
                <c:pt idx="35">
                  <c:v>2.4761821046176361E-2</c:v>
                </c:pt>
                <c:pt idx="36">
                  <c:v>4.4308104571972047E-2</c:v>
                </c:pt>
                <c:pt idx="37">
                  <c:v>7.0881254571550617E-2</c:v>
                </c:pt>
                <c:pt idx="38">
                  <c:v>0.10509494283876561</c:v>
                </c:pt>
                <c:pt idx="39">
                  <c:v>0.14600063151862577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D6-8A41-8FC6-93500717F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4538080"/>
        <c:axId val="644539520"/>
      </c:lineChart>
      <c:catAx>
        <c:axId val="6445380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44539520"/>
        <c:crosses val="autoZero"/>
        <c:auto val="1"/>
        <c:lblAlgn val="ctr"/>
        <c:lblOffset val="100"/>
        <c:noMultiLvlLbl val="0"/>
      </c:catAx>
      <c:valAx>
        <c:axId val="6445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4453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tCO2</a:t>
            </a:r>
            <a:r>
              <a:rPr lang="en-US" b="1" baseline="0"/>
              <a:t> per tree </a:t>
            </a:r>
          </a:p>
          <a:p>
            <a:pPr>
              <a:defRPr b="1"/>
            </a:pPr>
            <a:r>
              <a:rPr lang="en-US" b="1"/>
              <a:t>Ex Ante</a:t>
            </a:r>
            <a:r>
              <a:rPr lang="en-US" b="1" baseline="0"/>
              <a:t> vs Ex Post</a:t>
            </a:r>
            <a:endParaRPr lang="en-US" b="1"/>
          </a:p>
        </c:rich>
      </c:tx>
      <c:layout>
        <c:manualLayout>
          <c:xMode val="edge"/>
          <c:yMode val="edge"/>
          <c:x val="0.11697545526524149"/>
          <c:y val="6.50195454291617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1574242055847535E-2"/>
          <c:y val="4.3355263157894737E-2"/>
          <c:w val="0.8873964626155697"/>
          <c:h val="0.8444058189534818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'Curve Comparison'!$B$22:$C$22</c:f>
              <c:strCache>
                <c:ptCount val="2"/>
                <c:pt idx="0">
                  <c:v>Ex Ante | Gmelina 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Comparison'!$F$22:$H$22</c:f>
              <c:numCache>
                <c:formatCode>0.000</c:formatCode>
                <c:ptCount val="3"/>
                <c:pt idx="0">
                  <c:v>4.7280000000000004E-3</c:v>
                </c:pt>
                <c:pt idx="1">
                  <c:v>7.9080000000000001E-3</c:v>
                </c:pt>
                <c:pt idx="2">
                  <c:v>1.2168E-2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3D-A84D-90DA-F50BBF872B6F}"/>
            </c:ext>
          </c:extLst>
        </c:ser>
        <c:ser>
          <c:idx val="5"/>
          <c:order val="1"/>
          <c:tx>
            <c:strRef>
              <c:f>'Curve Comparison'!$B$39</c:f>
              <c:strCache>
                <c:ptCount val="1"/>
                <c:pt idx="0">
                  <c:v>Ex Post | Gmelina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19050">
                <a:solidFill>
                  <a:schemeClr val="accent6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Comparison'!$F$39:$G$39</c:f>
              <c:numCache>
                <c:formatCode>0.000</c:formatCode>
                <c:ptCount val="2"/>
                <c:pt idx="0">
                  <c:v>7.294267701346643E-4</c:v>
                </c:pt>
                <c:pt idx="1">
                  <c:v>1.5223853384419652E-3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3D-A84D-90DA-F50BBF872B6F}"/>
            </c:ext>
          </c:extLst>
        </c:ser>
        <c:ser>
          <c:idx val="1"/>
          <c:order val="2"/>
          <c:tx>
            <c:strRef>
              <c:f>'Curve Comparison'!$B$23:$C$23</c:f>
              <c:strCache>
                <c:ptCount val="2"/>
                <c:pt idx="0">
                  <c:v>Ex Ante | Melia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Comparison'!$F$23:$H$23</c:f>
              <c:numCache>
                <c:formatCode>0.00</c:formatCode>
                <c:ptCount val="3"/>
                <c:pt idx="0" formatCode="0.000">
                  <c:v>1.8613310245223038E-3</c:v>
                </c:pt>
                <c:pt idx="1">
                  <c:v>1.0729354460064183E-2</c:v>
                </c:pt>
                <c:pt idx="2">
                  <c:v>2.4761821046176361E-2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3D-A84D-90DA-F50BBF872B6F}"/>
            </c:ext>
          </c:extLst>
        </c:ser>
        <c:ser>
          <c:idx val="6"/>
          <c:order val="3"/>
          <c:tx>
            <c:strRef>
              <c:f>'Curve Comparison'!$B$40</c:f>
              <c:strCache>
                <c:ptCount val="1"/>
                <c:pt idx="0">
                  <c:v>Ex Post | Melia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Comparison'!$F$40:$G$40</c:f>
              <c:numCache>
                <c:formatCode>0.000</c:formatCode>
                <c:ptCount val="2"/>
                <c:pt idx="0">
                  <c:v>3.2150779037195677E-3</c:v>
                </c:pt>
                <c:pt idx="1">
                  <c:v>1.0147638824430254E-2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3D-A84D-90DA-F50BBF872B6F}"/>
            </c:ext>
          </c:extLst>
        </c:ser>
        <c:ser>
          <c:idx val="3"/>
          <c:order val="4"/>
          <c:tx>
            <c:strRef>
              <c:f>'Curve Comparison'!$B$25:$C$25</c:f>
              <c:strCache>
                <c:ptCount val="2"/>
                <c:pt idx="0">
                  <c:v>Ex Ante | Boundary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Comparison'!$F$25:$H$25</c:f>
              <c:numCache>
                <c:formatCode>0.00</c:formatCode>
                <c:ptCount val="3"/>
                <c:pt idx="0">
                  <c:v>1.0321464225419271E-3</c:v>
                </c:pt>
                <c:pt idx="1">
                  <c:v>6.0115270203998138E-3</c:v>
                </c:pt>
                <c:pt idx="2">
                  <c:v>1.2624529676011353E-2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3D-A84D-90DA-F50BBF872B6F}"/>
            </c:ext>
          </c:extLst>
        </c:ser>
        <c:ser>
          <c:idx val="7"/>
          <c:order val="5"/>
          <c:tx>
            <c:strRef>
              <c:f>'Curve Comparison'!$B$42</c:f>
              <c:strCache>
                <c:ptCount val="1"/>
                <c:pt idx="0">
                  <c:v>Ex Post | Boundary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2225">
                <a:solidFill>
                  <a:srgbClr val="00B0F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Comparison'!$F$42:$G$42</c:f>
              <c:numCache>
                <c:formatCode>0.000</c:formatCode>
                <c:ptCount val="2"/>
                <c:pt idx="0">
                  <c:v>5.847358546714847E-4</c:v>
                </c:pt>
                <c:pt idx="1">
                  <c:v>3.9033481358431649E-3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3D-A84D-90DA-F50BBF872B6F}"/>
            </c:ext>
          </c:extLst>
        </c:ser>
        <c:ser>
          <c:idx val="4"/>
          <c:order val="6"/>
          <c:tx>
            <c:strRef>
              <c:f>'Curve Comparison'!$B$26:$C$26</c:f>
              <c:strCache>
                <c:ptCount val="2"/>
                <c:pt idx="0">
                  <c:v>Ex Ante | Charcoal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Comparison'!$F$26:$H$26</c:f>
              <c:numCache>
                <c:formatCode>0.00</c:formatCode>
                <c:ptCount val="3"/>
                <c:pt idx="0">
                  <c:v>6.7540053225408081E-4</c:v>
                </c:pt>
                <c:pt idx="1">
                  <c:v>3.9156285619804986E-3</c:v>
                </c:pt>
                <c:pt idx="2">
                  <c:v>8.644414151686243E-3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3D-A84D-90DA-F50BBF872B6F}"/>
            </c:ext>
          </c:extLst>
        </c:ser>
        <c:ser>
          <c:idx val="8"/>
          <c:order val="7"/>
          <c:tx>
            <c:strRef>
              <c:f>'Curve Comparison'!$B$43</c:f>
              <c:strCache>
                <c:ptCount val="1"/>
                <c:pt idx="0">
                  <c:v>Ex Post | Charcoal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19050">
                <a:solidFill>
                  <a:srgbClr val="7030A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Comparison'!$F$43:$G$43</c:f>
              <c:numCache>
                <c:formatCode>0.000</c:formatCode>
                <c:ptCount val="2"/>
                <c:pt idx="0">
                  <c:v>7.6843062786634351E-4</c:v>
                </c:pt>
                <c:pt idx="1">
                  <c:v>2.0791733731194053E-3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3D-A84D-90DA-F50BBF872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2441872"/>
        <c:axId val="1742443584"/>
      </c:scatterChart>
      <c:valAx>
        <c:axId val="1742441872"/>
        <c:scaling>
          <c:orientation val="minMax"/>
          <c:max val="2"/>
          <c:min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Years after Planting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3584"/>
        <c:crosses val="autoZero"/>
        <c:crossBetween val="midCat"/>
        <c:majorUnit val="0.2"/>
      </c:valAx>
      <c:valAx>
        <c:axId val="1742443584"/>
        <c:scaling>
          <c:orientation val="minMax"/>
          <c:max val="1.4999999999999999E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tCO2 per Tree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1872"/>
        <c:crosses val="autoZero"/>
        <c:crossBetween val="midCat"/>
        <c:majorUnit val="5.0000000000000001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0317254879957105"/>
          <c:y val="5.9311442452672142E-2"/>
          <c:w val="0.35264144238502254"/>
          <c:h val="0.25379516390238449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Lato" panose="020F0502020204030203" pitchFamily="34" charset="0"/>
              <a:ea typeface="Lato" panose="020F0502020204030203" pitchFamily="34" charset="0"/>
              <a:cs typeface="Lato" panose="020F0502020204030203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baseline="0"/>
              <a:t>DBH per tree </a:t>
            </a:r>
          </a:p>
          <a:p>
            <a:pPr>
              <a:defRPr b="1"/>
            </a:pPr>
            <a:r>
              <a:rPr lang="en-US" b="1"/>
              <a:t>Ex Ante</a:t>
            </a:r>
            <a:r>
              <a:rPr lang="en-US" b="1" baseline="0"/>
              <a:t> vs Ex Post</a:t>
            </a:r>
            <a:endParaRPr lang="en-US" b="1"/>
          </a:p>
        </c:rich>
      </c:tx>
      <c:layout>
        <c:manualLayout>
          <c:xMode val="edge"/>
          <c:yMode val="edge"/>
          <c:x val="7.8970704671417258E-2"/>
          <c:y val="7.56578947368421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8818897637795275E-2"/>
          <c:y val="0.24902915061149272"/>
          <c:w val="0.93015180703362199"/>
          <c:h val="0.6387320600882336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'Curve Comparison'!$B$22:$C$22</c:f>
              <c:strCache>
                <c:ptCount val="2"/>
                <c:pt idx="0">
                  <c:v>Ex Ante | Gmelina 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Comparison'!$F$15:$H$15</c:f>
              <c:numCache>
                <c:formatCode>0.00</c:formatCode>
                <c:ptCount val="3"/>
                <c:pt idx="0">
                  <c:v>3.24</c:v>
                </c:pt>
                <c:pt idx="1">
                  <c:v>4.71</c:v>
                </c:pt>
                <c:pt idx="2">
                  <c:v>5.93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83-8341-A7D7-B71E39D8DC56}"/>
            </c:ext>
          </c:extLst>
        </c:ser>
        <c:ser>
          <c:idx val="5"/>
          <c:order val="1"/>
          <c:tx>
            <c:strRef>
              <c:f>'Curve Comparison'!$B$31</c:f>
              <c:strCache>
                <c:ptCount val="1"/>
                <c:pt idx="0">
                  <c:v>Ex Post | Gmelina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19050">
                <a:solidFill>
                  <a:schemeClr val="accent6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Comparison'!$F$31:$G$31</c:f>
              <c:numCache>
                <c:formatCode>0.00</c:formatCode>
                <c:ptCount val="2"/>
                <c:pt idx="0">
                  <c:v>2.5203174403237387</c:v>
                </c:pt>
                <c:pt idx="1">
                  <c:v>3.3217841591530295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83-8341-A7D7-B71E39D8DC56}"/>
            </c:ext>
          </c:extLst>
        </c:ser>
        <c:ser>
          <c:idx val="1"/>
          <c:order val="2"/>
          <c:tx>
            <c:strRef>
              <c:f>'Curve Comparison'!$B$23:$C$23</c:f>
              <c:strCache>
                <c:ptCount val="2"/>
                <c:pt idx="0">
                  <c:v>Ex Ante | Melia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Comparison'!$F$16:$H$16</c:f>
              <c:numCache>
                <c:formatCode>0.00</c:formatCode>
                <c:ptCount val="3"/>
                <c:pt idx="0">
                  <c:v>2.6846153846153844</c:v>
                </c:pt>
                <c:pt idx="1">
                  <c:v>5.3615384615384611</c:v>
                </c:pt>
                <c:pt idx="2">
                  <c:v>7.4999999999999991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83-8341-A7D7-B71E39D8DC56}"/>
            </c:ext>
          </c:extLst>
        </c:ser>
        <c:ser>
          <c:idx val="6"/>
          <c:order val="3"/>
          <c:tx>
            <c:strRef>
              <c:f>'Curve Comparison'!$B$32</c:f>
              <c:strCache>
                <c:ptCount val="1"/>
                <c:pt idx="0">
                  <c:v>Ex Post | Melia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Comparison'!$F$32:$G$32</c:f>
              <c:numCache>
                <c:formatCode>0.00</c:formatCode>
                <c:ptCount val="2"/>
                <c:pt idx="0">
                  <c:v>3.8516323070318417</c:v>
                </c:pt>
                <c:pt idx="1">
                  <c:v>5.9703254278377251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83-8341-A7D7-B71E39D8DC56}"/>
            </c:ext>
          </c:extLst>
        </c:ser>
        <c:ser>
          <c:idx val="3"/>
          <c:order val="4"/>
          <c:tx>
            <c:strRef>
              <c:f>'Curve Comparison'!$B$25:$C$25</c:f>
              <c:strCache>
                <c:ptCount val="2"/>
                <c:pt idx="0">
                  <c:v>Ex Ante | Boundary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Comparison'!$F$18:$H$18</c:f>
              <c:numCache>
                <c:formatCode>0.00</c:formatCode>
                <c:ptCount val="3"/>
                <c:pt idx="0">
                  <c:v>2.069230769230769</c:v>
                </c:pt>
                <c:pt idx="1">
                  <c:v>4.138461538461538</c:v>
                </c:pt>
                <c:pt idx="2">
                  <c:v>5.4384615384615378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83-8341-A7D7-B71E39D8DC56}"/>
            </c:ext>
          </c:extLst>
        </c:ser>
        <c:ser>
          <c:idx val="7"/>
          <c:order val="5"/>
          <c:tx>
            <c:strRef>
              <c:f>'Curve Comparison'!$B$34</c:f>
              <c:strCache>
                <c:ptCount val="1"/>
                <c:pt idx="0">
                  <c:v>Ex Post | Boundary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2225">
                <a:solidFill>
                  <a:srgbClr val="00B0F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Comparison'!$F$34:$G$34</c:f>
              <c:numCache>
                <c:formatCode>0.00</c:formatCode>
                <c:ptCount val="2"/>
                <c:pt idx="0">
                  <c:v>2.0350675664458908</c:v>
                </c:pt>
                <c:pt idx="1">
                  <c:v>4.480903926664797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83-8341-A7D7-B71E39D8DC56}"/>
            </c:ext>
          </c:extLst>
        </c:ser>
        <c:ser>
          <c:idx val="4"/>
          <c:order val="6"/>
          <c:tx>
            <c:strRef>
              <c:f>'Curve Comparison'!$B$26:$C$26</c:f>
              <c:strCache>
                <c:ptCount val="2"/>
                <c:pt idx="0">
                  <c:v>Ex Ante | Charcoal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Comparison'!$F$19:$H$19</c:f>
              <c:numCache>
                <c:formatCode>0.00</c:formatCode>
                <c:ptCount val="3"/>
                <c:pt idx="0">
                  <c:v>1.6807692307692306</c:v>
                </c:pt>
                <c:pt idx="1">
                  <c:v>3.3576923076923073</c:v>
                </c:pt>
                <c:pt idx="2">
                  <c:v>4.6076923076923073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483-8341-A7D7-B71E39D8DC56}"/>
            </c:ext>
          </c:extLst>
        </c:ser>
        <c:ser>
          <c:idx val="8"/>
          <c:order val="7"/>
          <c:tx>
            <c:strRef>
              <c:f>'Curve Comparison'!$B$35</c:f>
              <c:strCache>
                <c:ptCount val="1"/>
                <c:pt idx="0">
                  <c:v>Ex Post | Charcoal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19050">
                <a:solidFill>
                  <a:srgbClr val="7030A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Comparison'!$F$35:$G$35</c:f>
              <c:numCache>
                <c:formatCode>0.00</c:formatCode>
                <c:ptCount val="2"/>
                <c:pt idx="0">
                  <c:v>2.0930440352112361</c:v>
                </c:pt>
                <c:pt idx="1">
                  <c:v>3.0074629396442005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483-8341-A7D7-B71E39D8D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2441872"/>
        <c:axId val="1742443584"/>
      </c:scatterChart>
      <c:valAx>
        <c:axId val="1742441872"/>
        <c:scaling>
          <c:orientation val="minMax"/>
          <c:max val="2"/>
          <c:min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Years after Planting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3584"/>
        <c:crosses val="autoZero"/>
        <c:crossBetween val="midCat"/>
        <c:majorUnit val="0.2"/>
      </c:valAx>
      <c:valAx>
        <c:axId val="1742443584"/>
        <c:scaling>
          <c:orientation val="minMax"/>
          <c:max val="6.5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D.B.H.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187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778360484036883"/>
          <c:y val="4.8673144580331715E-2"/>
          <c:w val="0.39856384935256017"/>
          <c:h val="0.25379516390238449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Lato" panose="020F0502020204030203" pitchFamily="34" charset="0"/>
              <a:ea typeface="Lato" panose="020F0502020204030203" pitchFamily="34" charset="0"/>
              <a:cs typeface="Lato" panose="020F0502020204030203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baseline="0">
                <a:latin typeface="Lato" panose="020F0502020204030203" pitchFamily="34" charset="0"/>
                <a:ea typeface="Lato" panose="020F0502020204030203" pitchFamily="34" charset="0"/>
                <a:cs typeface="Lato" panose="020F0502020204030203" pitchFamily="34" charset="0"/>
              </a:rPr>
              <a:t>DBH per tree </a:t>
            </a: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Lato" panose="020F0502020204030203" pitchFamily="34" charset="0"/>
                <a:ea typeface="Lato" panose="020F0502020204030203" pitchFamily="34" charset="0"/>
                <a:cs typeface="Lato" panose="020F0502020204030203" pitchFamily="34" charset="0"/>
              </a:rPr>
              <a:t>using MYRLIN Parameters</a:t>
            </a:r>
            <a:endParaRPr lang="en-US" sz="1400" b="1" baseline="0">
              <a:latin typeface="Lato" panose="020F0502020204030203" pitchFamily="34" charset="0"/>
              <a:ea typeface="Lato" panose="020F0502020204030203" pitchFamily="34" charset="0"/>
              <a:cs typeface="Lato" panose="020F0502020204030203" pitchFamily="34" charset="0"/>
            </a:endParaRPr>
          </a:p>
          <a:p>
            <a:pPr>
              <a:defRPr b="1"/>
            </a:pPr>
            <a:r>
              <a:rPr lang="en-US" sz="1400" b="1">
                <a:latin typeface="Lato" panose="020F0502020204030203" pitchFamily="34" charset="0"/>
                <a:ea typeface="Lato" panose="020F0502020204030203" pitchFamily="34" charset="0"/>
                <a:cs typeface="Lato" panose="020F0502020204030203" pitchFamily="34" charset="0"/>
              </a:rPr>
              <a:t>Ex Ante</a:t>
            </a:r>
            <a:r>
              <a:rPr lang="en-US" sz="1400" b="1" baseline="0">
                <a:latin typeface="Lato" panose="020F0502020204030203" pitchFamily="34" charset="0"/>
                <a:ea typeface="Lato" panose="020F0502020204030203" pitchFamily="34" charset="0"/>
                <a:cs typeface="Lato" panose="020F0502020204030203" pitchFamily="34" charset="0"/>
              </a:rPr>
              <a:t> vs Ex Post</a:t>
            </a:r>
          </a:p>
        </c:rich>
      </c:tx>
      <c:layout>
        <c:manualLayout>
          <c:xMode val="edge"/>
          <c:yMode val="edge"/>
          <c:x val="7.8970704671417258E-2"/>
          <c:y val="7.56578947368421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8818897637795275E-2"/>
          <c:y val="0.24902915061149272"/>
          <c:w val="0.93015180703362199"/>
          <c:h val="0.63873206008823369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'Curve Comparison'!$B$23:$C$23</c:f>
              <c:strCache>
                <c:ptCount val="2"/>
                <c:pt idx="0">
                  <c:v>Ex Ante | Melia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Comparison'!$F$16:$H$16</c:f>
              <c:numCache>
                <c:formatCode>0.00</c:formatCode>
                <c:ptCount val="3"/>
                <c:pt idx="0">
                  <c:v>2.6846153846153844</c:v>
                </c:pt>
                <c:pt idx="1">
                  <c:v>5.3615384615384611</c:v>
                </c:pt>
                <c:pt idx="2">
                  <c:v>7.4999999999999991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87-EE42-9514-59349CB0B3CC}"/>
            </c:ext>
          </c:extLst>
        </c:ser>
        <c:ser>
          <c:idx val="6"/>
          <c:order val="1"/>
          <c:tx>
            <c:strRef>
              <c:f>'Curve Comparison'!$B$32</c:f>
              <c:strCache>
                <c:ptCount val="1"/>
                <c:pt idx="0">
                  <c:v>Ex Post | Melia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5400">
                <a:solidFill>
                  <a:schemeClr val="accent2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Comparison'!$F$32:$G$32</c:f>
              <c:numCache>
                <c:formatCode>0.00</c:formatCode>
                <c:ptCount val="2"/>
                <c:pt idx="0">
                  <c:v>3.8516323070318417</c:v>
                </c:pt>
                <c:pt idx="1">
                  <c:v>5.9703254278377251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87-EE42-9514-59349CB0B3CC}"/>
            </c:ext>
          </c:extLst>
        </c:ser>
        <c:ser>
          <c:idx val="3"/>
          <c:order val="2"/>
          <c:tx>
            <c:strRef>
              <c:f>'Curve Comparison'!$B$25:$C$25</c:f>
              <c:strCache>
                <c:ptCount val="2"/>
                <c:pt idx="0">
                  <c:v>Ex Ante | Boundary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Comparison'!$F$18:$H$18</c:f>
              <c:numCache>
                <c:formatCode>0.00</c:formatCode>
                <c:ptCount val="3"/>
                <c:pt idx="0">
                  <c:v>2.069230769230769</c:v>
                </c:pt>
                <c:pt idx="1">
                  <c:v>4.138461538461538</c:v>
                </c:pt>
                <c:pt idx="2">
                  <c:v>5.4384615384615378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87-EE42-9514-59349CB0B3CC}"/>
            </c:ext>
          </c:extLst>
        </c:ser>
        <c:ser>
          <c:idx val="7"/>
          <c:order val="3"/>
          <c:tx>
            <c:strRef>
              <c:f>'Curve Comparison'!$B$34</c:f>
              <c:strCache>
                <c:ptCount val="1"/>
                <c:pt idx="0">
                  <c:v>Ex Post | Boundary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22225">
                <a:solidFill>
                  <a:srgbClr val="00B0F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Comparison'!$F$34:$G$34</c:f>
              <c:numCache>
                <c:formatCode>0.00</c:formatCode>
                <c:ptCount val="2"/>
                <c:pt idx="0">
                  <c:v>2.0350675664458908</c:v>
                </c:pt>
                <c:pt idx="1">
                  <c:v>4.480903926664797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87-EE42-9514-59349CB0B3CC}"/>
            </c:ext>
          </c:extLst>
        </c:ser>
        <c:ser>
          <c:idx val="4"/>
          <c:order val="4"/>
          <c:tx>
            <c:strRef>
              <c:f>'Curve Comparison'!$B$26:$C$26</c:f>
              <c:strCache>
                <c:ptCount val="2"/>
                <c:pt idx="0">
                  <c:v>Ex Ante | Charcoal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'Curve Comparison'!$F$21:$H$21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'Curve Comparison'!$F$19:$H$19</c:f>
              <c:numCache>
                <c:formatCode>0.00</c:formatCode>
                <c:ptCount val="3"/>
                <c:pt idx="0">
                  <c:v>1.6807692307692306</c:v>
                </c:pt>
                <c:pt idx="1">
                  <c:v>3.3576923076923073</c:v>
                </c:pt>
                <c:pt idx="2">
                  <c:v>4.6076923076923073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87-EE42-9514-59349CB0B3CC}"/>
            </c:ext>
          </c:extLst>
        </c:ser>
        <c:ser>
          <c:idx val="8"/>
          <c:order val="5"/>
          <c:tx>
            <c:strRef>
              <c:f>'Curve Comparison'!$B$35</c:f>
              <c:strCache>
                <c:ptCount val="1"/>
                <c:pt idx="0">
                  <c:v>Ex Post | Charcoal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10"/>
            <c:spPr>
              <a:noFill/>
              <a:ln w="19050">
                <a:solidFill>
                  <a:srgbClr val="7030A0"/>
                </a:solidFill>
              </a:ln>
              <a:effectLst/>
            </c:spPr>
          </c:marker>
          <c:xVal>
            <c:numRef>
              <c:f>'Curve Comparison'!$F$38:$G$38</c:f>
              <c:numCache>
                <c:formatCode>0.000</c:formatCode>
                <c:ptCount val="2"/>
                <c:pt idx="0">
                  <c:v>1.0249999999999999</c:v>
                </c:pt>
                <c:pt idx="1">
                  <c:v>1.4416666666666667</c:v>
                </c:pt>
              </c:numCache>
            </c:numRef>
          </c:xVal>
          <c:yVal>
            <c:numRef>
              <c:f>'Curve Comparison'!$F$35:$G$35</c:f>
              <c:numCache>
                <c:formatCode>0.00</c:formatCode>
                <c:ptCount val="2"/>
                <c:pt idx="0">
                  <c:v>2.0930440352112361</c:v>
                </c:pt>
                <c:pt idx="1">
                  <c:v>3.0074629396442005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87-EE42-9514-59349CB0B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2441872"/>
        <c:axId val="1742443584"/>
      </c:scatterChart>
      <c:valAx>
        <c:axId val="1742441872"/>
        <c:scaling>
          <c:orientation val="minMax"/>
          <c:max val="2"/>
          <c:min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Years after Planting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3584"/>
        <c:crosses val="autoZero"/>
        <c:crossBetween val="midCat"/>
        <c:majorUnit val="0.2"/>
      </c:valAx>
      <c:valAx>
        <c:axId val="1742443584"/>
        <c:scaling>
          <c:orientation val="minMax"/>
          <c:max val="6.5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D.B.H.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244187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778360484036883"/>
          <c:y val="4.8673144580331715E-2"/>
          <c:w val="0.39856384935256017"/>
          <c:h val="0.25379516390238449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Lato" panose="020F0502020204030203" pitchFamily="34" charset="0"/>
              <a:ea typeface="Lato" panose="020F0502020204030203" pitchFamily="34" charset="0"/>
              <a:cs typeface="Lato" panose="020F0502020204030203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CHARCOAL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 Rates'!$F$11:$AT$11</c:f>
              <c:numCache>
                <c:formatCode>0.000</c:formatCode>
                <c:ptCount val="41"/>
                <c:pt idx="0">
                  <c:v>6.7540053225408081E-4</c:v>
                </c:pt>
                <c:pt idx="1">
                  <c:v>3.9156285619804986E-3</c:v>
                </c:pt>
                <c:pt idx="2">
                  <c:v>8.644414151686243E-3</c:v>
                </c:pt>
                <c:pt idx="3">
                  <c:v>1.5260138761026016E-2</c:v>
                </c:pt>
                <c:pt idx="4">
                  <c:v>1.2208111008820813E-2</c:v>
                </c:pt>
                <c:pt idx="5">
                  <c:v>1.9648155217542117E-2</c:v>
                </c:pt>
                <c:pt idx="6">
                  <c:v>2.9335647517018927E-2</c:v>
                </c:pt>
                <c:pt idx="7">
                  <c:v>1.5260138761026016E-2</c:v>
                </c:pt>
                <c:pt idx="8">
                  <c:v>2.4560194021927644E-2</c:v>
                </c:pt>
                <c:pt idx="9">
                  <c:v>3.6669559396273657E-2</c:v>
                </c:pt>
                <c:pt idx="10">
                  <c:v>1.5260138761026016E-2</c:v>
                </c:pt>
                <c:pt idx="11">
                  <c:v>2.4560194021927644E-2</c:v>
                </c:pt>
                <c:pt idx="12">
                  <c:v>3.6669559396273657E-2</c:v>
                </c:pt>
                <c:pt idx="13">
                  <c:v>1.5260138761026016E-2</c:v>
                </c:pt>
                <c:pt idx="14">
                  <c:v>2.4560194021927644E-2</c:v>
                </c:pt>
                <c:pt idx="15">
                  <c:v>3.6669559396273657E-2</c:v>
                </c:pt>
                <c:pt idx="16">
                  <c:v>1.5260138761026016E-2</c:v>
                </c:pt>
                <c:pt idx="17">
                  <c:v>2.4560194021927644E-2</c:v>
                </c:pt>
                <c:pt idx="18">
                  <c:v>3.6669559396273657E-2</c:v>
                </c:pt>
                <c:pt idx="19">
                  <c:v>1.5260138761026016E-2</c:v>
                </c:pt>
                <c:pt idx="20">
                  <c:v>6.7540053225408081E-4</c:v>
                </c:pt>
                <c:pt idx="21">
                  <c:v>3.9156285619804986E-3</c:v>
                </c:pt>
                <c:pt idx="22">
                  <c:v>8.644414151686243E-3</c:v>
                </c:pt>
                <c:pt idx="23">
                  <c:v>1.5260138761026016E-2</c:v>
                </c:pt>
                <c:pt idx="24">
                  <c:v>1.2208111008820813E-2</c:v>
                </c:pt>
                <c:pt idx="25">
                  <c:v>1.9648155217542117E-2</c:v>
                </c:pt>
                <c:pt idx="26">
                  <c:v>2.9335647517018927E-2</c:v>
                </c:pt>
                <c:pt idx="27">
                  <c:v>1.5260138761026016E-2</c:v>
                </c:pt>
                <c:pt idx="28">
                  <c:v>2.4560194021927644E-2</c:v>
                </c:pt>
                <c:pt idx="29">
                  <c:v>3.6669559396273657E-2</c:v>
                </c:pt>
                <c:pt idx="30">
                  <c:v>1.5260138761026016E-2</c:v>
                </c:pt>
                <c:pt idx="31">
                  <c:v>2.4560194021927644E-2</c:v>
                </c:pt>
                <c:pt idx="32">
                  <c:v>3.6669559396273657E-2</c:v>
                </c:pt>
                <c:pt idx="33">
                  <c:v>1.5260138761026016E-2</c:v>
                </c:pt>
                <c:pt idx="34">
                  <c:v>2.4560194021927644E-2</c:v>
                </c:pt>
                <c:pt idx="35">
                  <c:v>3.6669559396273657E-2</c:v>
                </c:pt>
                <c:pt idx="36">
                  <c:v>1.5260138761026016E-2</c:v>
                </c:pt>
                <c:pt idx="37">
                  <c:v>2.4560194021927644E-2</c:v>
                </c:pt>
                <c:pt idx="38">
                  <c:v>3.6669559396273657E-2</c:v>
                </c:pt>
                <c:pt idx="39">
                  <c:v>1.5260138761026016E-2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0-2D47-82D9-8F3DA69A54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8746063"/>
        <c:axId val="650402351"/>
      </c:lineChart>
      <c:catAx>
        <c:axId val="6487460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0402351"/>
        <c:crosses val="autoZero"/>
        <c:auto val="1"/>
        <c:lblAlgn val="ctr"/>
        <c:lblOffset val="100"/>
        <c:noMultiLvlLbl val="0"/>
      </c:catAx>
      <c:valAx>
        <c:axId val="65040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48746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Boundary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 Rates'!$F$10:$AT$10</c:f>
              <c:numCache>
                <c:formatCode>0.000</c:formatCode>
                <c:ptCount val="41"/>
                <c:pt idx="0">
                  <c:v>1.0321464225419271E-3</c:v>
                </c:pt>
                <c:pt idx="1">
                  <c:v>6.0115270203998138E-3</c:v>
                </c:pt>
                <c:pt idx="2">
                  <c:v>1.2624529676011353E-2</c:v>
                </c:pt>
                <c:pt idx="3">
                  <c:v>2.2486877793298381E-2</c:v>
                </c:pt>
                <c:pt idx="4">
                  <c:v>3.6929456729391061E-2</c:v>
                </c:pt>
                <c:pt idx="5">
                  <c:v>5.5735041105005399E-2</c:v>
                </c:pt>
                <c:pt idx="6">
                  <c:v>5.5735041105005399E-2</c:v>
                </c:pt>
                <c:pt idx="7">
                  <c:v>5.5735041105005399E-2</c:v>
                </c:pt>
                <c:pt idx="8">
                  <c:v>5.5735041105005399E-2</c:v>
                </c:pt>
                <c:pt idx="9">
                  <c:v>5.5735041105005399E-2</c:v>
                </c:pt>
                <c:pt idx="10">
                  <c:v>5.5735041105005399E-2</c:v>
                </c:pt>
                <c:pt idx="11">
                  <c:v>5.5735041105005399E-2</c:v>
                </c:pt>
                <c:pt idx="12">
                  <c:v>5.5735041105005399E-2</c:v>
                </c:pt>
                <c:pt idx="13">
                  <c:v>5.5735041105005399E-2</c:v>
                </c:pt>
                <c:pt idx="14">
                  <c:v>5.5735041105005399E-2</c:v>
                </c:pt>
                <c:pt idx="15">
                  <c:v>5.5735041105005399E-2</c:v>
                </c:pt>
                <c:pt idx="16">
                  <c:v>5.5735041105005399E-2</c:v>
                </c:pt>
                <c:pt idx="17">
                  <c:v>5.5735041105005399E-2</c:v>
                </c:pt>
                <c:pt idx="18">
                  <c:v>5.5735041105005399E-2</c:v>
                </c:pt>
                <c:pt idx="19">
                  <c:v>5.5735041105005399E-2</c:v>
                </c:pt>
                <c:pt idx="20">
                  <c:v>5.5735041105005399E-2</c:v>
                </c:pt>
                <c:pt idx="21">
                  <c:v>5.5735041105005399E-2</c:v>
                </c:pt>
                <c:pt idx="22">
                  <c:v>5.5735041105005399E-2</c:v>
                </c:pt>
                <c:pt idx="23">
                  <c:v>5.5735041105005399E-2</c:v>
                </c:pt>
                <c:pt idx="24">
                  <c:v>5.5735041105005399E-2</c:v>
                </c:pt>
                <c:pt idx="25">
                  <c:v>5.5735041105005399E-2</c:v>
                </c:pt>
                <c:pt idx="26">
                  <c:v>5.5735041105005399E-2</c:v>
                </c:pt>
                <c:pt idx="27">
                  <c:v>5.5735041105005399E-2</c:v>
                </c:pt>
                <c:pt idx="28">
                  <c:v>5.5735041105005399E-2</c:v>
                </c:pt>
                <c:pt idx="29">
                  <c:v>5.5735041105005399E-2</c:v>
                </c:pt>
                <c:pt idx="30">
                  <c:v>5.5735041105005399E-2</c:v>
                </c:pt>
                <c:pt idx="31">
                  <c:v>5.5735041105005399E-2</c:v>
                </c:pt>
                <c:pt idx="32">
                  <c:v>5.5735041105005399E-2</c:v>
                </c:pt>
                <c:pt idx="33">
                  <c:v>5.5735041105005399E-2</c:v>
                </c:pt>
                <c:pt idx="34">
                  <c:v>5.5735041105005399E-2</c:v>
                </c:pt>
                <c:pt idx="35">
                  <c:v>5.5735041105005399E-2</c:v>
                </c:pt>
                <c:pt idx="36">
                  <c:v>5.5735041105005399E-2</c:v>
                </c:pt>
                <c:pt idx="37">
                  <c:v>5.5735041105005399E-2</c:v>
                </c:pt>
                <c:pt idx="38">
                  <c:v>5.5735041105005399E-2</c:v>
                </c:pt>
                <c:pt idx="39">
                  <c:v>5.5735041105005399E-2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CE-A44D-AF94-208820312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5807791"/>
        <c:axId val="650409551"/>
      </c:lineChart>
      <c:catAx>
        <c:axId val="6558077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0409551"/>
        <c:crosses val="autoZero"/>
        <c:auto val="1"/>
        <c:lblAlgn val="ctr"/>
        <c:lblOffset val="100"/>
        <c:noMultiLvlLbl val="0"/>
      </c:catAx>
      <c:valAx>
        <c:axId val="65040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58077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Timber</a:t>
            </a:r>
            <a:r>
              <a:rPr lang="es-UY" baseline="0"/>
              <a:t> - Muzisi</a:t>
            </a:r>
            <a:endParaRPr lang="es-UY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 Rates'!$F$9:$AT$9</c:f>
              <c:numCache>
                <c:formatCode>0.000</c:formatCode>
                <c:ptCount val="41"/>
                <c:pt idx="0">
                  <c:v>3.0424305838419696E-3</c:v>
                </c:pt>
                <c:pt idx="1">
                  <c:v>1.7733488643563812E-2</c:v>
                </c:pt>
                <c:pt idx="2">
                  <c:v>4.031407695233348E-2</c:v>
                </c:pt>
                <c:pt idx="3">
                  <c:v>7.2387966132038822E-2</c:v>
                </c:pt>
                <c:pt idx="4">
                  <c:v>0.11667541327347526</c:v>
                </c:pt>
                <c:pt idx="5">
                  <c:v>0.17259988866951723</c:v>
                </c:pt>
                <c:pt idx="6">
                  <c:v>0.23805453939324267</c:v>
                </c:pt>
                <c:pt idx="7">
                  <c:v>0.32475378247498388</c:v>
                </c:pt>
                <c:pt idx="8">
                  <c:v>0.4287694636940993</c:v>
                </c:pt>
                <c:pt idx="9">
                  <c:v>0.54907295246839283</c:v>
                </c:pt>
                <c:pt idx="10">
                  <c:v>0.68512768190617646</c:v>
                </c:pt>
                <c:pt idx="11">
                  <c:v>0.83035492647679388</c:v>
                </c:pt>
                <c:pt idx="12">
                  <c:v>0.97983187735160149</c:v>
                </c:pt>
                <c:pt idx="13">
                  <c:v>1.1404464420195264</c:v>
                </c:pt>
                <c:pt idx="14">
                  <c:v>1.3129332224879684</c:v>
                </c:pt>
                <c:pt idx="15">
                  <c:v>3.0424305838419696E-3</c:v>
                </c:pt>
                <c:pt idx="16">
                  <c:v>1.7733488643563812E-2</c:v>
                </c:pt>
                <c:pt idx="17">
                  <c:v>4.031407695233348E-2</c:v>
                </c:pt>
                <c:pt idx="18">
                  <c:v>7.2387966132038822E-2</c:v>
                </c:pt>
                <c:pt idx="19">
                  <c:v>0.11667541327347526</c:v>
                </c:pt>
                <c:pt idx="20">
                  <c:v>0.17259988866951723</c:v>
                </c:pt>
                <c:pt idx="21">
                  <c:v>0.23805453939324267</c:v>
                </c:pt>
                <c:pt idx="22">
                  <c:v>0.32475378247498388</c:v>
                </c:pt>
                <c:pt idx="23">
                  <c:v>0.4287694636940993</c:v>
                </c:pt>
                <c:pt idx="24">
                  <c:v>0.54907295246839283</c:v>
                </c:pt>
                <c:pt idx="25">
                  <c:v>0.68512768190617646</c:v>
                </c:pt>
                <c:pt idx="26">
                  <c:v>0.83035492647679388</c:v>
                </c:pt>
                <c:pt idx="27">
                  <c:v>0.97983187735160149</c:v>
                </c:pt>
                <c:pt idx="28">
                  <c:v>1.1404464420195264</c:v>
                </c:pt>
                <c:pt idx="29">
                  <c:v>1.3129332224879684</c:v>
                </c:pt>
                <c:pt idx="30">
                  <c:v>3.0424305838419696E-3</c:v>
                </c:pt>
                <c:pt idx="31">
                  <c:v>1.7733488643563812E-2</c:v>
                </c:pt>
                <c:pt idx="32">
                  <c:v>4.031407695233348E-2</c:v>
                </c:pt>
                <c:pt idx="33">
                  <c:v>7.2387966132038822E-2</c:v>
                </c:pt>
                <c:pt idx="34">
                  <c:v>0.11667541327347526</c:v>
                </c:pt>
                <c:pt idx="35">
                  <c:v>0.17259988866951723</c:v>
                </c:pt>
                <c:pt idx="36">
                  <c:v>0.23805453939324267</c:v>
                </c:pt>
                <c:pt idx="37">
                  <c:v>0.32475378247498388</c:v>
                </c:pt>
                <c:pt idx="38">
                  <c:v>0.4287694636940993</c:v>
                </c:pt>
                <c:pt idx="39">
                  <c:v>0.54907295246839283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AC-C14B-8D81-77709398B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7960799"/>
        <c:axId val="650398031"/>
      </c:lineChart>
      <c:catAx>
        <c:axId val="6779607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50398031"/>
        <c:crosses val="autoZero"/>
        <c:auto val="1"/>
        <c:lblAlgn val="ctr"/>
        <c:lblOffset val="100"/>
        <c:noMultiLvlLbl val="0"/>
      </c:catAx>
      <c:valAx>
        <c:axId val="650398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6779607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Timber -</a:t>
            </a:r>
            <a:r>
              <a:rPr lang="es-UY" baseline="0"/>
              <a:t>  Melia</a:t>
            </a:r>
            <a:endParaRPr lang="es-UY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 Rates'!$F$8:$AT$8</c:f>
              <c:numCache>
                <c:formatCode>0.000</c:formatCode>
                <c:ptCount val="41"/>
                <c:pt idx="0">
                  <c:v>1.8613310245223038E-3</c:v>
                </c:pt>
                <c:pt idx="1">
                  <c:v>1.0729354460064183E-2</c:v>
                </c:pt>
                <c:pt idx="2">
                  <c:v>2.4761821046176361E-2</c:v>
                </c:pt>
                <c:pt idx="3">
                  <c:v>4.4308104571972047E-2</c:v>
                </c:pt>
                <c:pt idx="4">
                  <c:v>7.0881254571550617E-2</c:v>
                </c:pt>
                <c:pt idx="5">
                  <c:v>0.10509494283876561</c:v>
                </c:pt>
                <c:pt idx="6">
                  <c:v>0.14600063151862577</c:v>
                </c:pt>
                <c:pt idx="7">
                  <c:v>0.19234777400272074</c:v>
                </c:pt>
                <c:pt idx="8">
                  <c:v>0.24437196668468711</c:v>
                </c:pt>
                <c:pt idx="9">
                  <c:v>0.30147679746424594</c:v>
                </c:pt>
                <c:pt idx="10">
                  <c:v>0.37097670183301612</c:v>
                </c:pt>
                <c:pt idx="11">
                  <c:v>1.8613310245223038E-3</c:v>
                </c:pt>
                <c:pt idx="12">
                  <c:v>1.0729354460064183E-2</c:v>
                </c:pt>
                <c:pt idx="13">
                  <c:v>2.4761821046176361E-2</c:v>
                </c:pt>
                <c:pt idx="14">
                  <c:v>4.4308104571972047E-2</c:v>
                </c:pt>
                <c:pt idx="15">
                  <c:v>7.0881254571550617E-2</c:v>
                </c:pt>
                <c:pt idx="16">
                  <c:v>0.10509494283876561</c:v>
                </c:pt>
                <c:pt idx="17">
                  <c:v>0.14600063151862577</c:v>
                </c:pt>
                <c:pt idx="18">
                  <c:v>0.19234777400272074</c:v>
                </c:pt>
                <c:pt idx="19">
                  <c:v>0.24437196668468711</c:v>
                </c:pt>
                <c:pt idx="20">
                  <c:v>0.30147679746424594</c:v>
                </c:pt>
                <c:pt idx="21">
                  <c:v>0.37097670183301612</c:v>
                </c:pt>
                <c:pt idx="22">
                  <c:v>1.8613310245223038E-3</c:v>
                </c:pt>
                <c:pt idx="23">
                  <c:v>1.0729354460064183E-2</c:v>
                </c:pt>
                <c:pt idx="24">
                  <c:v>2.4761821046176361E-2</c:v>
                </c:pt>
                <c:pt idx="25">
                  <c:v>4.4308104571972047E-2</c:v>
                </c:pt>
                <c:pt idx="26">
                  <c:v>7.0881254571550617E-2</c:v>
                </c:pt>
                <c:pt idx="27">
                  <c:v>0.10509494283876561</c:v>
                </c:pt>
                <c:pt idx="28">
                  <c:v>0.14600063151862577</c:v>
                </c:pt>
                <c:pt idx="29">
                  <c:v>0.19234777400272074</c:v>
                </c:pt>
                <c:pt idx="30">
                  <c:v>0.24437196668468711</c:v>
                </c:pt>
                <c:pt idx="31">
                  <c:v>0.30147679746424594</c:v>
                </c:pt>
                <c:pt idx="32">
                  <c:v>0.37097670183301612</c:v>
                </c:pt>
                <c:pt idx="33">
                  <c:v>1.8613310245223038E-3</c:v>
                </c:pt>
                <c:pt idx="34">
                  <c:v>1.0729354460064183E-2</c:v>
                </c:pt>
                <c:pt idx="35">
                  <c:v>2.4761821046176361E-2</c:v>
                </c:pt>
                <c:pt idx="36">
                  <c:v>4.4308104571972047E-2</c:v>
                </c:pt>
                <c:pt idx="37">
                  <c:v>7.0881254571550617E-2</c:v>
                </c:pt>
                <c:pt idx="38">
                  <c:v>0.10509494283876561</c:v>
                </c:pt>
                <c:pt idx="39">
                  <c:v>0.14600063151862577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D4-2C44-A377-E3723E057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310511"/>
        <c:axId val="169502735"/>
      </c:lineChart>
      <c:catAx>
        <c:axId val="84631051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169502735"/>
        <c:crosses val="autoZero"/>
        <c:auto val="1"/>
        <c:lblAlgn val="ctr"/>
        <c:lblOffset val="100"/>
        <c:noMultiLvlLbl val="0"/>
      </c:catAx>
      <c:valAx>
        <c:axId val="169502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846310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UY"/>
              <a:t>Timber</a:t>
            </a:r>
            <a:r>
              <a:rPr lang="es-UY" baseline="0"/>
              <a:t> - Gmelina</a:t>
            </a:r>
            <a:endParaRPr lang="es-UY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'Growth Rates'!$F$6:$AT$6</c:f>
              <c:numCache>
                <c:formatCode>0.000</c:formatCode>
                <c:ptCount val="41"/>
                <c:pt idx="0">
                  <c:v>4.7280000000000004E-3</c:v>
                </c:pt>
                <c:pt idx="1">
                  <c:v>7.9080000000000001E-3</c:v>
                </c:pt>
                <c:pt idx="2">
                  <c:v>1.2168E-2</c:v>
                </c:pt>
                <c:pt idx="3">
                  <c:v>1.9584000000000001E-2</c:v>
                </c:pt>
                <c:pt idx="4">
                  <c:v>3.6527999999999998E-2</c:v>
                </c:pt>
                <c:pt idx="5">
                  <c:v>6.4416000000000001E-2</c:v>
                </c:pt>
                <c:pt idx="6">
                  <c:v>9.2303999999999997E-2</c:v>
                </c:pt>
                <c:pt idx="7">
                  <c:v>0.12019199999999999</c:v>
                </c:pt>
                <c:pt idx="8">
                  <c:v>0.14807999999999999</c:v>
                </c:pt>
                <c:pt idx="9">
                  <c:v>0.17596799999999999</c:v>
                </c:pt>
                <c:pt idx="10">
                  <c:v>0.20385599999999998</c:v>
                </c:pt>
                <c:pt idx="11">
                  <c:v>4.7280000000000004E-3</c:v>
                </c:pt>
                <c:pt idx="12">
                  <c:v>7.9080000000000001E-3</c:v>
                </c:pt>
                <c:pt idx="13">
                  <c:v>1.2168E-2</c:v>
                </c:pt>
                <c:pt idx="14">
                  <c:v>1.9584000000000001E-2</c:v>
                </c:pt>
                <c:pt idx="15">
                  <c:v>3.6527999999999998E-2</c:v>
                </c:pt>
                <c:pt idx="16">
                  <c:v>6.4416000000000001E-2</c:v>
                </c:pt>
                <c:pt idx="17">
                  <c:v>9.2303999999999997E-2</c:v>
                </c:pt>
                <c:pt idx="18">
                  <c:v>0.12019199999999999</c:v>
                </c:pt>
                <c:pt idx="19">
                  <c:v>0.14807999999999999</c:v>
                </c:pt>
                <c:pt idx="20">
                  <c:v>0.17596799999999999</c:v>
                </c:pt>
                <c:pt idx="21">
                  <c:v>0.20385599999999998</c:v>
                </c:pt>
                <c:pt idx="22">
                  <c:v>4.7280000000000004E-3</c:v>
                </c:pt>
                <c:pt idx="23">
                  <c:v>7.9080000000000001E-3</c:v>
                </c:pt>
                <c:pt idx="24">
                  <c:v>1.2168E-2</c:v>
                </c:pt>
                <c:pt idx="25">
                  <c:v>1.9584000000000001E-2</c:v>
                </c:pt>
                <c:pt idx="26">
                  <c:v>3.6527999999999998E-2</c:v>
                </c:pt>
                <c:pt idx="27">
                  <c:v>6.4416000000000001E-2</c:v>
                </c:pt>
                <c:pt idx="28">
                  <c:v>9.2303999999999997E-2</c:v>
                </c:pt>
                <c:pt idx="29">
                  <c:v>0.12019199999999999</c:v>
                </c:pt>
                <c:pt idx="30">
                  <c:v>0.14807999999999999</c:v>
                </c:pt>
                <c:pt idx="31">
                  <c:v>0.17596799999999999</c:v>
                </c:pt>
                <c:pt idx="32">
                  <c:v>0.20385599999999998</c:v>
                </c:pt>
                <c:pt idx="33">
                  <c:v>4.7280000000000004E-3</c:v>
                </c:pt>
                <c:pt idx="34">
                  <c:v>7.9080000000000001E-3</c:v>
                </c:pt>
                <c:pt idx="35">
                  <c:v>1.2168E-2</c:v>
                </c:pt>
                <c:pt idx="36">
                  <c:v>1.9584000000000001E-2</c:v>
                </c:pt>
                <c:pt idx="37">
                  <c:v>3.6527999999999998E-2</c:v>
                </c:pt>
                <c:pt idx="38">
                  <c:v>6.4416000000000001E-2</c:v>
                </c:pt>
                <c:pt idx="39">
                  <c:v>9.2303999999999997E-2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A6-2F4F-80CF-ACBF47BF7C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304479"/>
        <c:axId val="169197743"/>
      </c:lineChart>
      <c:catAx>
        <c:axId val="84630447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169197743"/>
        <c:crosses val="autoZero"/>
        <c:auto val="1"/>
        <c:lblAlgn val="ctr"/>
        <c:lblOffset val="100"/>
        <c:noMultiLvlLbl val="0"/>
      </c:catAx>
      <c:valAx>
        <c:axId val="169197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8463044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'Total CO2'!$R$3</c:f>
              <c:strCache>
                <c:ptCount val="1"/>
                <c:pt idx="0">
                  <c:v>Long term Average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'Total CO2'!$C$4:$C$43</c:f>
              <c:numCache>
                <c:formatCode>General</c:formatCode>
                <c:ptCount val="4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  <c:pt idx="29">
                  <c:v>2051</c:v>
                </c:pt>
                <c:pt idx="30">
                  <c:v>2052</c:v>
                </c:pt>
                <c:pt idx="31">
                  <c:v>2053</c:v>
                </c:pt>
                <c:pt idx="32">
                  <c:v>2054</c:v>
                </c:pt>
                <c:pt idx="33">
                  <c:v>2055</c:v>
                </c:pt>
                <c:pt idx="34">
                  <c:v>2056</c:v>
                </c:pt>
                <c:pt idx="35">
                  <c:v>2057</c:v>
                </c:pt>
                <c:pt idx="36">
                  <c:v>2058</c:v>
                </c:pt>
                <c:pt idx="37">
                  <c:v>2059</c:v>
                </c:pt>
                <c:pt idx="38">
                  <c:v>2060</c:v>
                </c:pt>
                <c:pt idx="39">
                  <c:v>2061</c:v>
                </c:pt>
              </c:numCache>
            </c:numRef>
          </c:xVal>
          <c:yVal>
            <c:numRef>
              <c:f>'Total CO2'!$S$4:$S$43</c:f>
              <c:numCache>
                <c:formatCode>#,##0</c:formatCode>
                <c:ptCount val="40"/>
                <c:pt idx="0">
                  <c:v>19829984.384646896</c:v>
                </c:pt>
                <c:pt idx="1">
                  <c:v>19829984.384646896</c:v>
                </c:pt>
                <c:pt idx="2">
                  <c:v>19829984.384646896</c:v>
                </c:pt>
                <c:pt idx="3">
                  <c:v>19829984.384646896</c:v>
                </c:pt>
                <c:pt idx="4">
                  <c:v>19829984.384646896</c:v>
                </c:pt>
                <c:pt idx="5">
                  <c:v>19829984.384646896</c:v>
                </c:pt>
                <c:pt idx="6">
                  <c:v>19829984.384646896</c:v>
                </c:pt>
                <c:pt idx="7">
                  <c:v>19829984.384646896</c:v>
                </c:pt>
                <c:pt idx="8">
                  <c:v>19829984.384646896</c:v>
                </c:pt>
                <c:pt idx="9">
                  <c:v>19829984.384646896</c:v>
                </c:pt>
                <c:pt idx="10">
                  <c:v>19829984.384646896</c:v>
                </c:pt>
                <c:pt idx="11">
                  <c:v>19829984.384646896</c:v>
                </c:pt>
                <c:pt idx="12">
                  <c:v>19829984.384646896</c:v>
                </c:pt>
                <c:pt idx="13">
                  <c:v>19829984.384646896</c:v>
                </c:pt>
                <c:pt idx="14">
                  <c:v>19829984.384646896</c:v>
                </c:pt>
                <c:pt idx="15">
                  <c:v>19829984.384646896</c:v>
                </c:pt>
                <c:pt idx="16">
                  <c:v>19829984.384646896</c:v>
                </c:pt>
                <c:pt idx="17">
                  <c:v>19829984.384646896</c:v>
                </c:pt>
                <c:pt idx="18">
                  <c:v>19829984.384646896</c:v>
                </c:pt>
                <c:pt idx="19">
                  <c:v>19829984.384646896</c:v>
                </c:pt>
                <c:pt idx="20">
                  <c:v>19829984.384646896</c:v>
                </c:pt>
                <c:pt idx="21">
                  <c:v>19829984.384646896</c:v>
                </c:pt>
                <c:pt idx="22">
                  <c:v>19829984.384646896</c:v>
                </c:pt>
                <c:pt idx="23">
                  <c:v>19829984.384646896</c:v>
                </c:pt>
                <c:pt idx="24">
                  <c:v>19829984.384646896</c:v>
                </c:pt>
                <c:pt idx="25">
                  <c:v>19829984.384646896</c:v>
                </c:pt>
                <c:pt idx="26">
                  <c:v>19829984.384646896</c:v>
                </c:pt>
                <c:pt idx="27">
                  <c:v>19829984.384646896</c:v>
                </c:pt>
                <c:pt idx="28">
                  <c:v>19829984.384646896</c:v>
                </c:pt>
                <c:pt idx="29">
                  <c:v>19829984.384646896</c:v>
                </c:pt>
                <c:pt idx="30">
                  <c:v>19829984.384646896</c:v>
                </c:pt>
                <c:pt idx="31">
                  <c:v>19829984.384646896</c:v>
                </c:pt>
                <c:pt idx="32">
                  <c:v>19829984.384646896</c:v>
                </c:pt>
                <c:pt idx="33">
                  <c:v>19829984.384646896</c:v>
                </c:pt>
                <c:pt idx="34">
                  <c:v>19829984.384646896</c:v>
                </c:pt>
                <c:pt idx="35">
                  <c:v>19829984.384646896</c:v>
                </c:pt>
                <c:pt idx="36">
                  <c:v>19829984.384646896</c:v>
                </c:pt>
                <c:pt idx="37">
                  <c:v>19829984.384646896</c:v>
                </c:pt>
                <c:pt idx="38">
                  <c:v>19829984.384646896</c:v>
                </c:pt>
                <c:pt idx="39">
                  <c:v>19829984.384646896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BC-1142-BFDB-C7C16C05E536}"/>
            </c:ext>
          </c:extLst>
        </c:ser>
        <c:ser>
          <c:idx val="1"/>
          <c:order val="1"/>
          <c:tx>
            <c:strRef>
              <c:f>'Total CO2'!$N$3</c:f>
              <c:strCache>
                <c:ptCount val="1"/>
                <c:pt idx="0">
                  <c:v>Expected total GHG benefit to date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'Total CO2'!$C$4:$C$43</c:f>
              <c:numCache>
                <c:formatCode>General</c:formatCode>
                <c:ptCount val="4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  <c:pt idx="29">
                  <c:v>2051</c:v>
                </c:pt>
                <c:pt idx="30">
                  <c:v>2052</c:v>
                </c:pt>
                <c:pt idx="31">
                  <c:v>2053</c:v>
                </c:pt>
                <c:pt idx="32">
                  <c:v>2054</c:v>
                </c:pt>
                <c:pt idx="33">
                  <c:v>2055</c:v>
                </c:pt>
                <c:pt idx="34">
                  <c:v>2056</c:v>
                </c:pt>
                <c:pt idx="35">
                  <c:v>2057</c:v>
                </c:pt>
                <c:pt idx="36">
                  <c:v>2058</c:v>
                </c:pt>
                <c:pt idx="37">
                  <c:v>2059</c:v>
                </c:pt>
                <c:pt idx="38">
                  <c:v>2060</c:v>
                </c:pt>
                <c:pt idx="39">
                  <c:v>2061</c:v>
                </c:pt>
              </c:numCache>
            </c:numRef>
          </c:xVal>
          <c:yVal>
            <c:numRef>
              <c:f>'Total CO2'!$N$4:$N$43</c:f>
              <c:numCache>
                <c:formatCode>#,##0</c:formatCode>
                <c:ptCount val="40"/>
                <c:pt idx="0">
                  <c:v>361.98253651722695</c:v>
                </c:pt>
                <c:pt idx="1">
                  <c:v>17676.517094222443</c:v>
                </c:pt>
                <c:pt idx="2">
                  <c:v>108708.68823875271</c:v>
                </c:pt>
                <c:pt idx="3">
                  <c:v>343266.60993865144</c:v>
                </c:pt>
                <c:pt idx="4">
                  <c:v>805163.69424007251</c:v>
                </c:pt>
                <c:pt idx="5">
                  <c:v>1615411.9684055164</c:v>
                </c:pt>
                <c:pt idx="6">
                  <c:v>2916295.8457323881</c:v>
                </c:pt>
                <c:pt idx="7">
                  <c:v>4898759.2638701182</c:v>
                </c:pt>
                <c:pt idx="8">
                  <c:v>7605641.8918778645</c:v>
                </c:pt>
                <c:pt idx="9">
                  <c:v>10883373.152328162</c:v>
                </c:pt>
                <c:pt idx="10">
                  <c:v>14781548.554554328</c:v>
                </c:pt>
                <c:pt idx="11">
                  <c:v>19177463.317067191</c:v>
                </c:pt>
                <c:pt idx="12">
                  <c:v>23464450.941052362</c:v>
                </c:pt>
                <c:pt idx="13">
                  <c:v>26465925.818525765</c:v>
                </c:pt>
                <c:pt idx="14">
                  <c:v>28403665.853911549</c:v>
                </c:pt>
                <c:pt idx="15">
                  <c:v>29156179.532113738</c:v>
                </c:pt>
                <c:pt idx="16">
                  <c:v>28893844.402189575</c:v>
                </c:pt>
                <c:pt idx="17">
                  <c:v>27025158.825829953</c:v>
                </c:pt>
                <c:pt idx="18">
                  <c:v>24186904.591548644</c:v>
                </c:pt>
                <c:pt idx="19">
                  <c:v>21014360.996112369</c:v>
                </c:pt>
                <c:pt idx="20">
                  <c:v>21993101.285308525</c:v>
                </c:pt>
                <c:pt idx="21">
                  <c:v>22732801.390297726</c:v>
                </c:pt>
                <c:pt idx="22">
                  <c:v>23941342.185691629</c:v>
                </c:pt>
                <c:pt idx="23">
                  <c:v>24822720.61132063</c:v>
                </c:pt>
                <c:pt idx="24">
                  <c:v>26388465.570396569</c:v>
                </c:pt>
                <c:pt idx="25">
                  <c:v>27421093.873316452</c:v>
                </c:pt>
                <c:pt idx="26">
                  <c:v>27419335.475286309</c:v>
                </c:pt>
                <c:pt idx="27">
                  <c:v>26104484.425789777</c:v>
                </c:pt>
                <c:pt idx="28">
                  <c:v>24442431.303496558</c:v>
                </c:pt>
                <c:pt idx="29">
                  <c:v>22833751.655614831</c:v>
                </c:pt>
                <c:pt idx="30">
                  <c:v>21009650.522067346</c:v>
                </c:pt>
                <c:pt idx="31">
                  <c:v>24040938.240377679</c:v>
                </c:pt>
                <c:pt idx="32">
                  <c:v>26699360.725864261</c:v>
                </c:pt>
                <c:pt idx="33">
                  <c:v>29498530.57895346</c:v>
                </c:pt>
                <c:pt idx="34">
                  <c:v>31848055.820427869</c:v>
                </c:pt>
                <c:pt idx="35">
                  <c:v>32018051.901397504</c:v>
                </c:pt>
                <c:pt idx="36">
                  <c:v>31129707.987163331</c:v>
                </c:pt>
                <c:pt idx="37">
                  <c:v>28987689.931995746</c:v>
                </c:pt>
                <c:pt idx="38">
                  <c:v>25090727.060787294</c:v>
                </c:pt>
                <c:pt idx="39">
                  <c:v>23012972.393154502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BC-1142-BFDB-C7C16C05E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9144944"/>
        <c:axId val="759145304"/>
      </c:scatterChart>
      <c:valAx>
        <c:axId val="759144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759145304"/>
        <c:crosses val="autoZero"/>
        <c:crossBetween val="midCat"/>
      </c:valAx>
      <c:valAx>
        <c:axId val="75914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759144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Annual Sequestered</a:t>
            </a:r>
            <a:r>
              <a:rPr lang="en-US" baseline="0"/>
              <a:t> Carbon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'Total CO2'!$E$3</c:f>
              <c:strCache>
                <c:ptCount val="1"/>
                <c:pt idx="0">
                  <c:v>SOC</c:v>
                </c:pt>
              </c:strCache>
            </c:strRef>
          </c:tx>
          <c:spPr>
            <a:solidFill>
              <a:srgbClr val="7C3D1C"/>
            </a:solidFill>
            <a:ln>
              <a:noFill/>
            </a:ln>
            <a:effectLst/>
          </c:spPr>
          <c:invertIfNegative val="0"/>
          <c:cat>
            <c:numRef>
              <c:f>'Total CO2'!$C$4:$C$43</c:f>
              <c:numCache>
                <c:formatCode>General</c:formatCode>
                <c:ptCount val="4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  <c:pt idx="29">
                  <c:v>2051</c:v>
                </c:pt>
                <c:pt idx="30">
                  <c:v>2052</c:v>
                </c:pt>
                <c:pt idx="31">
                  <c:v>2053</c:v>
                </c:pt>
                <c:pt idx="32">
                  <c:v>2054</c:v>
                </c:pt>
                <c:pt idx="33">
                  <c:v>2055</c:v>
                </c:pt>
                <c:pt idx="34">
                  <c:v>2056</c:v>
                </c:pt>
                <c:pt idx="35">
                  <c:v>2057</c:v>
                </c:pt>
                <c:pt idx="36">
                  <c:v>2058</c:v>
                </c:pt>
                <c:pt idx="37">
                  <c:v>2059</c:v>
                </c:pt>
                <c:pt idx="38">
                  <c:v>2060</c:v>
                </c:pt>
                <c:pt idx="39">
                  <c:v>2061</c:v>
                </c:pt>
              </c:numCache>
            </c:numRef>
          </c:cat>
          <c:val>
            <c:numRef>
              <c:f>'Total CO2'!$E$4:$E$43</c:f>
              <c:numCache>
                <c:formatCode>#,##0</c:formatCode>
                <c:ptCount val="40"/>
                <c:pt idx="0">
                  <c:v>200.09297769139064</c:v>
                </c:pt>
                <c:pt idx="1">
                  <c:v>5156.0411245467694</c:v>
                </c:pt>
                <c:pt idx="2">
                  <c:v>30494.225710676379</c:v>
                </c:pt>
                <c:pt idx="3">
                  <c:v>86405.764955717343</c:v>
                </c:pt>
                <c:pt idx="4">
                  <c:v>181228.84649391819</c:v>
                </c:pt>
                <c:pt idx="5">
                  <c:v>326081.05383761035</c:v>
                </c:pt>
                <c:pt idx="6">
                  <c:v>526521.17874295951</c:v>
                </c:pt>
                <c:pt idx="7">
                  <c:v>782549.22120996553</c:v>
                </c:pt>
                <c:pt idx="8">
                  <c:v>1094165.1812386287</c:v>
                </c:pt>
                <c:pt idx="9">
                  <c:v>1405781.1412672917</c:v>
                </c:pt>
                <c:pt idx="10">
                  <c:v>1717397.1012959545</c:v>
                </c:pt>
                <c:pt idx="11">
                  <c:v>2029013.0613246178</c:v>
                </c:pt>
                <c:pt idx="12">
                  <c:v>2340629.0213532811</c:v>
                </c:pt>
                <c:pt idx="13">
                  <c:v>2652244.9813819444</c:v>
                </c:pt>
                <c:pt idx="14">
                  <c:v>2963860.9414106072</c:v>
                </c:pt>
                <c:pt idx="15">
                  <c:v>3275476.9014392705</c:v>
                </c:pt>
                <c:pt idx="16">
                  <c:v>3587092.8614679333</c:v>
                </c:pt>
                <c:pt idx="17">
                  <c:v>3898708.8214965966</c:v>
                </c:pt>
                <c:pt idx="18">
                  <c:v>4210324.7815252598</c:v>
                </c:pt>
                <c:pt idx="19">
                  <c:v>4521940.7415539231</c:v>
                </c:pt>
                <c:pt idx="20">
                  <c:v>4833356.608604895</c:v>
                </c:pt>
                <c:pt idx="21">
                  <c:v>5140016.6204867018</c:v>
                </c:pt>
                <c:pt idx="22">
                  <c:v>5426294.395929235</c:v>
                </c:pt>
                <c:pt idx="23">
                  <c:v>5681998.8167128572</c:v>
                </c:pt>
                <c:pt idx="24">
                  <c:v>5898791.6952033192</c:v>
                </c:pt>
                <c:pt idx="25">
                  <c:v>6065555.4478882905</c:v>
                </c:pt>
                <c:pt idx="26">
                  <c:v>6176731.283011605</c:v>
                </c:pt>
                <c:pt idx="27">
                  <c:v>6232319.2005732618</c:v>
                </c:pt>
                <c:pt idx="28">
                  <c:v>6232319.2005732618</c:v>
                </c:pt>
                <c:pt idx="29">
                  <c:v>6232319.2005732618</c:v>
                </c:pt>
                <c:pt idx="30">
                  <c:v>6232319.2005732618</c:v>
                </c:pt>
                <c:pt idx="31">
                  <c:v>6232319.2005732618</c:v>
                </c:pt>
                <c:pt idx="32">
                  <c:v>6232319.2005732618</c:v>
                </c:pt>
                <c:pt idx="33">
                  <c:v>6232319.2005732618</c:v>
                </c:pt>
                <c:pt idx="34">
                  <c:v>6232319.2005732618</c:v>
                </c:pt>
                <c:pt idx="35">
                  <c:v>6232319.2005732618</c:v>
                </c:pt>
                <c:pt idx="36">
                  <c:v>6232319.2005732618</c:v>
                </c:pt>
                <c:pt idx="37">
                  <c:v>6232319.2005732618</c:v>
                </c:pt>
                <c:pt idx="38">
                  <c:v>6232319.2005732618</c:v>
                </c:pt>
                <c:pt idx="39">
                  <c:v>6232319.2005732618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4-5043-AABB-BAA9EBB2D026}"/>
            </c:ext>
          </c:extLst>
        </c:ser>
        <c:ser>
          <c:idx val="3"/>
          <c:order val="1"/>
          <c:tx>
            <c:strRef>
              <c:f>'Total CO2'!$F$3</c:f>
              <c:strCache>
                <c:ptCount val="1"/>
                <c:pt idx="0">
                  <c:v>DW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'Total CO2'!$C$4:$C$43</c:f>
              <c:numCache>
                <c:formatCode>General</c:formatCode>
                <c:ptCount val="4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  <c:pt idx="29">
                  <c:v>2051</c:v>
                </c:pt>
                <c:pt idx="30">
                  <c:v>2052</c:v>
                </c:pt>
                <c:pt idx="31">
                  <c:v>2053</c:v>
                </c:pt>
                <c:pt idx="32">
                  <c:v>2054</c:v>
                </c:pt>
                <c:pt idx="33">
                  <c:v>2055</c:v>
                </c:pt>
                <c:pt idx="34">
                  <c:v>2056</c:v>
                </c:pt>
                <c:pt idx="35">
                  <c:v>2057</c:v>
                </c:pt>
                <c:pt idx="36">
                  <c:v>2058</c:v>
                </c:pt>
                <c:pt idx="37">
                  <c:v>2059</c:v>
                </c:pt>
                <c:pt idx="38">
                  <c:v>2060</c:v>
                </c:pt>
                <c:pt idx="39">
                  <c:v>2061</c:v>
                </c:pt>
              </c:numCache>
            </c:numRef>
          </c:cat>
          <c:val>
            <c:numRef>
              <c:f>'Total CO2'!$F$4:$F$43</c:f>
              <c:numCache>
                <c:formatCode>#,##0</c:formatCode>
                <c:ptCount val="40"/>
                <c:pt idx="0">
                  <c:v>7.926316850113432</c:v>
                </c:pt>
                <c:pt idx="1">
                  <c:v>122.74976440858504</c:v>
                </c:pt>
                <c:pt idx="2">
                  <c:v>766.8084561576112</c:v>
                </c:pt>
                <c:pt idx="3">
                  <c:v>2518.2435782640596</c:v>
                </c:pt>
                <c:pt idx="4">
                  <c:v>6117.0083112368056</c:v>
                </c:pt>
                <c:pt idx="5">
                  <c:v>12640.499162430451</c:v>
                </c:pt>
                <c:pt idx="6">
                  <c:v>23429.163401857146</c:v>
                </c:pt>
                <c:pt idx="7">
                  <c:v>40355.000418236799</c:v>
                </c:pt>
                <c:pt idx="8">
                  <c:v>63838.00696705134</c:v>
                </c:pt>
                <c:pt idx="9">
                  <c:v>92917.568735890891</c:v>
                </c:pt>
                <c:pt idx="10">
                  <c:v>128079.91620841541</c:v>
                </c:pt>
                <c:pt idx="11">
                  <c:v>168122.06133080952</c:v>
                </c:pt>
                <c:pt idx="12">
                  <c:v>207096.29333038317</c:v>
                </c:pt>
                <c:pt idx="13">
                  <c:v>233467.45918768455</c:v>
                </c:pt>
                <c:pt idx="14">
                  <c:v>249409.85208334253</c:v>
                </c:pt>
                <c:pt idx="15">
                  <c:v>253732.3787321026</c:v>
                </c:pt>
                <c:pt idx="16">
                  <c:v>248105.40726197694</c:v>
                </c:pt>
                <c:pt idx="17">
                  <c:v>226729.90200326816</c:v>
                </c:pt>
                <c:pt idx="18">
                  <c:v>195848.82166689594</c:v>
                </c:pt>
                <c:pt idx="19">
                  <c:v>161690.39465253375</c:v>
                </c:pt>
                <c:pt idx="20">
                  <c:v>168232.79094807483</c:v>
                </c:pt>
                <c:pt idx="21">
                  <c:v>172478.28205697078</c:v>
                </c:pt>
                <c:pt idx="22">
                  <c:v>181520.07637021953</c:v>
                </c:pt>
                <c:pt idx="23">
                  <c:v>187654.13524125272</c:v>
                </c:pt>
                <c:pt idx="24">
                  <c:v>200879.15563914951</c:v>
                </c:pt>
                <c:pt idx="25">
                  <c:v>209368.02377870749</c:v>
                </c:pt>
                <c:pt idx="26">
                  <c:v>208260.82541445791</c:v>
                </c:pt>
                <c:pt idx="27">
                  <c:v>194825.14926682861</c:v>
                </c:pt>
                <c:pt idx="28">
                  <c:v>178530.51081297355</c:v>
                </c:pt>
                <c:pt idx="29">
                  <c:v>162759.14171609384</c:v>
                </c:pt>
                <c:pt idx="30">
                  <c:v>144875.79726954986</c:v>
                </c:pt>
                <c:pt idx="31">
                  <c:v>174594.30431180802</c:v>
                </c:pt>
                <c:pt idx="32">
                  <c:v>200657.26985579412</c:v>
                </c:pt>
                <c:pt idx="33">
                  <c:v>228100.111552747</c:v>
                </c:pt>
                <c:pt idx="34">
                  <c:v>251134.67274367259</c:v>
                </c:pt>
                <c:pt idx="35">
                  <c:v>252801.30098847297</c:v>
                </c:pt>
                <c:pt idx="36">
                  <c:v>244092.0469273536</c:v>
                </c:pt>
                <c:pt idx="37">
                  <c:v>223091.86991590672</c:v>
                </c:pt>
                <c:pt idx="38">
                  <c:v>184886.35157072582</c:v>
                </c:pt>
                <c:pt idx="39">
                  <c:v>164516.20777040435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14-5043-AABB-BAA9EBB2D026}"/>
            </c:ext>
          </c:extLst>
        </c:ser>
        <c:ser>
          <c:idx val="4"/>
          <c:order val="2"/>
          <c:tx>
            <c:strRef>
              <c:f>'Total CO2'!$G$3</c:f>
              <c:strCache>
                <c:ptCount val="1"/>
                <c:pt idx="0">
                  <c:v>LI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'Total CO2'!$C$4:$C$43</c:f>
              <c:numCache>
                <c:formatCode>General</c:formatCode>
                <c:ptCount val="4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  <c:pt idx="29">
                  <c:v>2051</c:v>
                </c:pt>
                <c:pt idx="30">
                  <c:v>2052</c:v>
                </c:pt>
                <c:pt idx="31">
                  <c:v>2053</c:v>
                </c:pt>
                <c:pt idx="32">
                  <c:v>2054</c:v>
                </c:pt>
                <c:pt idx="33">
                  <c:v>2055</c:v>
                </c:pt>
                <c:pt idx="34">
                  <c:v>2056</c:v>
                </c:pt>
                <c:pt idx="35">
                  <c:v>2057</c:v>
                </c:pt>
                <c:pt idx="36">
                  <c:v>2058</c:v>
                </c:pt>
                <c:pt idx="37">
                  <c:v>2059</c:v>
                </c:pt>
                <c:pt idx="38">
                  <c:v>2060</c:v>
                </c:pt>
                <c:pt idx="39">
                  <c:v>2061</c:v>
                </c:pt>
              </c:numCache>
            </c:numRef>
          </c:cat>
          <c:val>
            <c:numRef>
              <c:f>'Total CO2'!$G$4:$G$43</c:f>
              <c:numCache>
                <c:formatCode>#,##0</c:formatCode>
                <c:ptCount val="40"/>
                <c:pt idx="0">
                  <c:v>7.926316850113432</c:v>
                </c:pt>
                <c:pt idx="1">
                  <c:v>122.74976440858504</c:v>
                </c:pt>
                <c:pt idx="2">
                  <c:v>766.8084561576112</c:v>
                </c:pt>
                <c:pt idx="3">
                  <c:v>2518.2435782640596</c:v>
                </c:pt>
                <c:pt idx="4">
                  <c:v>6117.0083112368056</c:v>
                </c:pt>
                <c:pt idx="5">
                  <c:v>12640.499162430451</c:v>
                </c:pt>
                <c:pt idx="6">
                  <c:v>23429.163401857146</c:v>
                </c:pt>
                <c:pt idx="7">
                  <c:v>40355.000418236799</c:v>
                </c:pt>
                <c:pt idx="8">
                  <c:v>63838.00696705134</c:v>
                </c:pt>
                <c:pt idx="9">
                  <c:v>92917.568735890891</c:v>
                </c:pt>
                <c:pt idx="10">
                  <c:v>128079.91620841541</c:v>
                </c:pt>
                <c:pt idx="11">
                  <c:v>168122.06133080952</c:v>
                </c:pt>
                <c:pt idx="12">
                  <c:v>207096.29333038317</c:v>
                </c:pt>
                <c:pt idx="13">
                  <c:v>233467.45918768455</c:v>
                </c:pt>
                <c:pt idx="14">
                  <c:v>249409.85208334253</c:v>
                </c:pt>
                <c:pt idx="15">
                  <c:v>253732.3787321026</c:v>
                </c:pt>
                <c:pt idx="16">
                  <c:v>248105.40726197694</c:v>
                </c:pt>
                <c:pt idx="17">
                  <c:v>226729.90200326816</c:v>
                </c:pt>
                <c:pt idx="18">
                  <c:v>195848.82166689594</c:v>
                </c:pt>
                <c:pt idx="19">
                  <c:v>161690.39465253375</c:v>
                </c:pt>
                <c:pt idx="20">
                  <c:v>168232.79094807483</c:v>
                </c:pt>
                <c:pt idx="21">
                  <c:v>172478.28205697078</c:v>
                </c:pt>
                <c:pt idx="22">
                  <c:v>181520.07637021953</c:v>
                </c:pt>
                <c:pt idx="23">
                  <c:v>187654.13524125272</c:v>
                </c:pt>
                <c:pt idx="24">
                  <c:v>200879.15563914951</c:v>
                </c:pt>
                <c:pt idx="25">
                  <c:v>209368.02377870749</c:v>
                </c:pt>
                <c:pt idx="26">
                  <c:v>208260.82541445791</c:v>
                </c:pt>
                <c:pt idx="27">
                  <c:v>194825.14926682861</c:v>
                </c:pt>
                <c:pt idx="28">
                  <c:v>178530.51081297355</c:v>
                </c:pt>
                <c:pt idx="29">
                  <c:v>162759.14171609384</c:v>
                </c:pt>
                <c:pt idx="30">
                  <c:v>144875.79726954986</c:v>
                </c:pt>
                <c:pt idx="31">
                  <c:v>174594.30431180802</c:v>
                </c:pt>
                <c:pt idx="32">
                  <c:v>200657.26985579412</c:v>
                </c:pt>
                <c:pt idx="33">
                  <c:v>228100.111552747</c:v>
                </c:pt>
                <c:pt idx="34">
                  <c:v>251134.67274367259</c:v>
                </c:pt>
                <c:pt idx="35">
                  <c:v>252801.30098847297</c:v>
                </c:pt>
                <c:pt idx="36">
                  <c:v>244092.0469273536</c:v>
                </c:pt>
                <c:pt idx="37">
                  <c:v>223091.86991590672</c:v>
                </c:pt>
                <c:pt idx="38">
                  <c:v>184886.35157072582</c:v>
                </c:pt>
                <c:pt idx="39">
                  <c:v>164516.20777040435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4-5043-AABB-BAA9EBB2D026}"/>
            </c:ext>
          </c:extLst>
        </c:ser>
        <c:ser>
          <c:idx val="1"/>
          <c:order val="3"/>
          <c:tx>
            <c:strRef>
              <c:f>'Total CO2'!$D$3</c:f>
              <c:strCache>
                <c:ptCount val="1"/>
                <c:pt idx="0">
                  <c:v>Ctree</c:v>
                </c:pt>
              </c:strCache>
            </c:strRef>
          </c:tx>
          <c:spPr>
            <a:solidFill>
              <a:srgbClr val="265E3C"/>
            </a:solidFill>
            <a:ln>
              <a:noFill/>
            </a:ln>
            <a:effectLst/>
          </c:spPr>
          <c:invertIfNegative val="0"/>
          <c:cat>
            <c:numRef>
              <c:f>'Total CO2'!$C$4:$C$43</c:f>
              <c:numCache>
                <c:formatCode>General</c:formatCode>
                <c:ptCount val="4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  <c:pt idx="29">
                  <c:v>2051</c:v>
                </c:pt>
                <c:pt idx="30">
                  <c:v>2052</c:v>
                </c:pt>
                <c:pt idx="31">
                  <c:v>2053</c:v>
                </c:pt>
                <c:pt idx="32">
                  <c:v>2054</c:v>
                </c:pt>
                <c:pt idx="33">
                  <c:v>2055</c:v>
                </c:pt>
                <c:pt idx="34">
                  <c:v>2056</c:v>
                </c:pt>
                <c:pt idx="35">
                  <c:v>2057</c:v>
                </c:pt>
                <c:pt idx="36">
                  <c:v>2058</c:v>
                </c:pt>
                <c:pt idx="37">
                  <c:v>2059</c:v>
                </c:pt>
                <c:pt idx="38">
                  <c:v>2060</c:v>
                </c:pt>
                <c:pt idx="39">
                  <c:v>2061</c:v>
                </c:pt>
              </c:numCache>
            </c:numRef>
          </c:cat>
          <c:val>
            <c:numRef>
              <c:f>'Total CO2'!$D$4:$D$43</c:f>
              <c:numCache>
                <c:formatCode>#,##0</c:formatCode>
                <c:ptCount val="40"/>
                <c:pt idx="0">
                  <c:v>792.63168501134317</c:v>
                </c:pt>
                <c:pt idx="1">
                  <c:v>12274.976440858503</c:v>
                </c:pt>
                <c:pt idx="2">
                  <c:v>76680.845615761122</c:v>
                </c:pt>
                <c:pt idx="3">
                  <c:v>251824.35782640596</c:v>
                </c:pt>
                <c:pt idx="4">
                  <c:v>611700.83112368057</c:v>
                </c:pt>
                <c:pt idx="5">
                  <c:v>1264049.9162430451</c:v>
                </c:pt>
                <c:pt idx="6">
                  <c:v>2342916.3401857144</c:v>
                </c:pt>
                <c:pt idx="7">
                  <c:v>4035500.04182368</c:v>
                </c:pt>
                <c:pt idx="8">
                  <c:v>6383800.6967051337</c:v>
                </c:pt>
                <c:pt idx="9">
                  <c:v>9291756.8735890891</c:v>
                </c:pt>
                <c:pt idx="10">
                  <c:v>12807991.62084154</c:v>
                </c:pt>
                <c:pt idx="11">
                  <c:v>16812206.133080952</c:v>
                </c:pt>
                <c:pt idx="12">
                  <c:v>20709629.333038315</c:v>
                </c:pt>
                <c:pt idx="13">
                  <c:v>23346745.918768454</c:v>
                </c:pt>
                <c:pt idx="14">
                  <c:v>24940985.208334252</c:v>
                </c:pt>
                <c:pt idx="15">
                  <c:v>25373237.873210259</c:v>
                </c:pt>
                <c:pt idx="16">
                  <c:v>24810540.726197693</c:v>
                </c:pt>
                <c:pt idx="17">
                  <c:v>22672990.200326815</c:v>
                </c:pt>
                <c:pt idx="18">
                  <c:v>19584882.166689593</c:v>
                </c:pt>
                <c:pt idx="19">
                  <c:v>16169039.465253375</c:v>
                </c:pt>
                <c:pt idx="20">
                  <c:v>16823279.094807483</c:v>
                </c:pt>
                <c:pt idx="21">
                  <c:v>17247828.205697078</c:v>
                </c:pt>
                <c:pt idx="22">
                  <c:v>18152007.637021951</c:v>
                </c:pt>
                <c:pt idx="23">
                  <c:v>18765413.524125271</c:v>
                </c:pt>
                <c:pt idx="24">
                  <c:v>20087915.563914951</c:v>
                </c:pt>
                <c:pt idx="25">
                  <c:v>20936802.37787075</c:v>
                </c:pt>
                <c:pt idx="26">
                  <c:v>20826082.541445792</c:v>
                </c:pt>
                <c:pt idx="27">
                  <c:v>19482514.92668286</c:v>
                </c:pt>
                <c:pt idx="28">
                  <c:v>17853051.081297353</c:v>
                </c:pt>
                <c:pt idx="29">
                  <c:v>16275914.171609383</c:v>
                </c:pt>
                <c:pt idx="30">
                  <c:v>14487579.726954985</c:v>
                </c:pt>
                <c:pt idx="31">
                  <c:v>17459430.431180801</c:v>
                </c:pt>
                <c:pt idx="32">
                  <c:v>20065726.985579412</c:v>
                </c:pt>
                <c:pt idx="33">
                  <c:v>22810011.1552747</c:v>
                </c:pt>
                <c:pt idx="34">
                  <c:v>25113467.274367258</c:v>
                </c:pt>
                <c:pt idx="35">
                  <c:v>25280130.098847296</c:v>
                </c:pt>
                <c:pt idx="36">
                  <c:v>24409204.692735359</c:v>
                </c:pt>
                <c:pt idx="37">
                  <c:v>22309186.991590671</c:v>
                </c:pt>
                <c:pt idx="38">
                  <c:v>18488635.157072581</c:v>
                </c:pt>
                <c:pt idx="39">
                  <c:v>16451620.777040433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14-5043-AABB-BAA9EBB2D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701086688"/>
        <c:axId val="1865867424"/>
      </c:barChart>
      <c:catAx>
        <c:axId val="17010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1865867424"/>
        <c:crosses val="autoZero"/>
        <c:auto val="1"/>
        <c:lblAlgn val="ctr"/>
        <c:lblOffset val="100"/>
        <c:tickLblSkip val="2"/>
        <c:noMultiLvlLbl val="0"/>
      </c:catAx>
      <c:valAx>
        <c:axId val="186586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Y"/>
          </a:p>
        </c:txPr>
        <c:crossAx val="17010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Y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Y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1676400</xdr:colOff>
      <xdr:row>324</xdr:row>
      <xdr:rowOff>139700</xdr:rowOff>
    </xdr:from>
    <xdr:to>
      <xdr:col>8</xdr:col>
      <xdr:colOff>501650</xdr:colOff>
      <xdr:row>346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943F63-9AB4-5649-AD01-177309572E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325</xdr:row>
      <xdr:rowOff>0</xdr:rowOff>
    </xdr:from>
    <xdr:to>
      <xdr:col>16</xdr:col>
      <xdr:colOff>285750</xdr:colOff>
      <xdr:row>346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5D593F-4C1A-0E42-A837-D8E1258B08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746831</xdr:colOff>
      <xdr:row>44</xdr:row>
      <xdr:rowOff>63940</xdr:rowOff>
    </xdr:from>
    <xdr:to>
      <xdr:col>13</xdr:col>
      <xdr:colOff>726018</xdr:colOff>
      <xdr:row>58</xdr:row>
      <xdr:rowOff>23440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AB5B9F7-3B4E-D246-BF47-04CA65A5F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1539876</xdr:colOff>
      <xdr:row>15</xdr:row>
      <xdr:rowOff>76330</xdr:rowOff>
    </xdr:from>
    <xdr:to>
      <xdr:col>10</xdr:col>
      <xdr:colOff>130001</xdr:colOff>
      <xdr:row>29</xdr:row>
      <xdr:rowOff>35830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B41C590C-A971-694D-9C78-1B4B64DB76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279795</xdr:colOff>
      <xdr:row>15</xdr:row>
      <xdr:rowOff>82945</xdr:rowOff>
    </xdr:from>
    <xdr:to>
      <xdr:col>17</xdr:col>
      <xdr:colOff>203420</xdr:colOff>
      <xdr:row>29</xdr:row>
      <xdr:rowOff>42445</xdr:rowOff>
    </xdr:to>
    <xdr:graphicFrame macro="">
      <xdr:nvGraphicFramePr>
        <xdr:cNvPr id="4" name="Gráfico 4">
          <a:extLst>
            <a:ext uri="{FF2B5EF4-FFF2-40B4-BE49-F238E27FC236}">
              <a16:creationId xmlns:a16="http://schemas.microsoft.com/office/drawing/2014/main" id="{21E8E60A-8EB2-4544-96FE-3173139875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1557733</xdr:colOff>
      <xdr:row>29</xdr:row>
      <xdr:rowOff>225821</xdr:rowOff>
    </xdr:from>
    <xdr:to>
      <xdr:col>10</xdr:col>
      <xdr:colOff>147858</xdr:colOff>
      <xdr:row>43</xdr:row>
      <xdr:rowOff>185321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126E09AE-3F44-3A4B-AA13-88070CFB92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255984</xdr:colOff>
      <xdr:row>29</xdr:row>
      <xdr:rowOff>209946</xdr:rowOff>
    </xdr:from>
    <xdr:to>
      <xdr:col>17</xdr:col>
      <xdr:colOff>179609</xdr:colOff>
      <xdr:row>43</xdr:row>
      <xdr:rowOff>169446</xdr:rowOff>
    </xdr:to>
    <xdr:graphicFrame macro="">
      <xdr:nvGraphicFramePr>
        <xdr:cNvPr id="6" name="Gráfico 6">
          <a:extLst>
            <a:ext uri="{FF2B5EF4-FFF2-40B4-BE49-F238E27FC236}">
              <a16:creationId xmlns:a16="http://schemas.microsoft.com/office/drawing/2014/main" id="{B88AA622-F89B-9548-B9CD-3DA60E439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114300</xdr:colOff>
      <xdr:row>1</xdr:row>
      <xdr:rowOff>104775</xdr:rowOff>
    </xdr:from>
    <xdr:to>
      <xdr:col>30</xdr:col>
      <xdr:colOff>742300</xdr:colOff>
      <xdr:row>35</xdr:row>
      <xdr:rowOff>98450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A3CC7D-CB25-FB4F-B9BB-60FCDA5AE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25400" y="295275"/>
          <a:ext cx="5885800" cy="7054875"/>
        </a:xfrm>
        <a:prstGeom prst="rect">
          <a:avLst/>
        </a:prstGeom>
      </xdr:spPr>
    </xdr:pic>
    <xdr:clientData/>
  </xdr:twoCellAnchor>
  <xdr:twoCellAnchor>
    <xdr:from>
      <xdr:col>10</xdr:col>
      <xdr:colOff>1174881</xdr:colOff>
      <xdr:row>63</xdr:row>
      <xdr:rowOff>0</xdr:rowOff>
    </xdr:from>
    <xdr:to>
      <xdr:col>13</xdr:col>
      <xdr:colOff>389936</xdr:colOff>
      <xdr:row>77</xdr:row>
      <xdr:rowOff>42582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0096D1F-829E-624C-B74B-A8F2B1C46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1149305</xdr:colOff>
      <xdr:row>63</xdr:row>
      <xdr:rowOff>76294</xdr:rowOff>
    </xdr:from>
    <xdr:to>
      <xdr:col>18</xdr:col>
      <xdr:colOff>1058583</xdr:colOff>
      <xdr:row>87</xdr:row>
      <xdr:rowOff>80777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E01A4C4-B7E7-A64F-AF4F-11FD77806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797218</xdr:colOff>
      <xdr:row>34</xdr:row>
      <xdr:rowOff>107155</xdr:rowOff>
    </xdr:from>
    <xdr:to>
      <xdr:col>9</xdr:col>
      <xdr:colOff>16330</xdr:colOff>
      <xdr:row>48</xdr:row>
      <xdr:rowOff>145676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3D9CB7E-8211-104C-8910-7E75A0C58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66224</xdr:colOff>
      <xdr:row>34</xdr:row>
      <xdr:rowOff>124333</xdr:rowOff>
    </xdr:from>
    <xdr:to>
      <xdr:col>14</xdr:col>
      <xdr:colOff>216224</xdr:colOff>
      <xdr:row>48</xdr:row>
      <xdr:rowOff>164533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6710BF81-0C8C-2C40-BD06-BD640A04DF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291353</xdr:colOff>
      <xdr:row>49</xdr:row>
      <xdr:rowOff>31585</xdr:rowOff>
    </xdr:from>
    <xdr:to>
      <xdr:col>5</xdr:col>
      <xdr:colOff>721500</xdr:colOff>
      <xdr:row>63</xdr:row>
      <xdr:rowOff>71785</xdr:rowOff>
    </xdr:to>
    <xdr:graphicFrame macro="">
      <xdr:nvGraphicFramePr>
        <xdr:cNvPr id="4" name="Gráfico 4">
          <a:extLst>
            <a:ext uri="{FF2B5EF4-FFF2-40B4-BE49-F238E27FC236}">
              <a16:creationId xmlns:a16="http://schemas.microsoft.com/office/drawing/2014/main" id="{78C99F9F-0B1D-AB44-A96C-E153E5F09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34666</xdr:colOff>
      <xdr:row>49</xdr:row>
      <xdr:rowOff>31585</xdr:rowOff>
    </xdr:from>
    <xdr:to>
      <xdr:col>11</xdr:col>
      <xdr:colOff>184666</xdr:colOff>
      <xdr:row>63</xdr:row>
      <xdr:rowOff>71785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24A3CEDE-7820-F443-8286-622B74950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241977</xdr:colOff>
      <xdr:row>49</xdr:row>
      <xdr:rowOff>32985</xdr:rowOff>
    </xdr:from>
    <xdr:to>
      <xdr:col>16</xdr:col>
      <xdr:colOff>391977</xdr:colOff>
      <xdr:row>63</xdr:row>
      <xdr:rowOff>73185</xdr:rowOff>
    </xdr:to>
    <xdr:graphicFrame macro="">
      <xdr:nvGraphicFramePr>
        <xdr:cNvPr id="6" name="Gráfico 6">
          <a:extLst>
            <a:ext uri="{FF2B5EF4-FFF2-40B4-BE49-F238E27FC236}">
              <a16:creationId xmlns:a16="http://schemas.microsoft.com/office/drawing/2014/main" id="{F9EE48EB-BFB8-D748-822A-132698CBD0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35</xdr:col>
      <xdr:colOff>339377</xdr:colOff>
      <xdr:row>34</xdr:row>
      <xdr:rowOff>26733</xdr:rowOff>
    </xdr:from>
    <xdr:to>
      <xdr:col>41</xdr:col>
      <xdr:colOff>339377</xdr:colOff>
      <xdr:row>44</xdr:row>
      <xdr:rowOff>189378</xdr:rowOff>
    </xdr:to>
    <xdr:graphicFrame macro="">
      <xdr:nvGraphicFramePr>
        <xdr:cNvPr id="7" name="Gráfico 2">
          <a:extLst>
            <a:ext uri="{FF2B5EF4-FFF2-40B4-BE49-F238E27FC236}">
              <a16:creationId xmlns:a16="http://schemas.microsoft.com/office/drawing/2014/main" id="{B33CC378-4E41-C645-8864-40FE915D2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47</xdr:col>
      <xdr:colOff>72838</xdr:colOff>
      <xdr:row>7</xdr:row>
      <xdr:rowOff>135590</xdr:rowOff>
    </xdr:from>
    <xdr:to>
      <xdr:col>53</xdr:col>
      <xdr:colOff>72838</xdr:colOff>
      <xdr:row>17</xdr:row>
      <xdr:rowOff>21290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2D00F324-1D13-6947-923C-D382189CC0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44</xdr:row>
      <xdr:rowOff>63500</xdr:rowOff>
    </xdr:from>
    <xdr:to>
      <xdr:col>9</xdr:col>
      <xdr:colOff>266700</xdr:colOff>
      <xdr:row>63</xdr:row>
      <xdr:rowOff>25400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7A2E837-077E-491E-5EA6-8409AF2EDB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927100</xdr:colOff>
      <xdr:row>44</xdr:row>
      <xdr:rowOff>50800</xdr:rowOff>
    </xdr:from>
    <xdr:to>
      <xdr:col>18</xdr:col>
      <xdr:colOff>374650</xdr:colOff>
      <xdr:row>63</xdr:row>
      <xdr:rowOff>12700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62A9001-BB7E-4D43-BB75-2DB978AE62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Nepolion Borah" id="{4D4DAD06-DE8C-304C-9E21-6866A4C86C31}" userId="a5ff2623815bafec" providerId="Windows Live"/>
  <person displayName="Ines Arocena" id="{3A8DA550-A89F-244F-91BB-AA4C766ED5C7}" userId="S::ines.arocena@climit.net::ca4f559a-3eef-4c5f-a498-3f6af93c0819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eau/Library/CloudStorage/GoogleDrive-beau@kijaniforestry.com/Shared%20drives/Kijani%20Forestry/Carbon/Ex%20Ante%20Projections/MYRLIN/MYRLIN%20Ex%20Ante%202/Ex-Ante-ERR_Kijani_20250205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au Milliken" refreshedDate="45587.559564351854" createdVersion="8" refreshedVersion="8" minRefreshableVersion="3" recordCount="841" xr:uid="{0623D8EB-16F5-CF4B-B0CA-AA2257F6894C}">
  <cacheSource type="worksheet">
    <worksheetSource ref="A1:N842" sheet="SOC Stock" r:id="rId2"/>
  </cacheSource>
  <cacheFields count="23">
    <cacheField name="id" numFmtId="0">
      <sharedItems/>
    </cacheField>
    <cacheField name="Farmer - C" numFmtId="0">
      <sharedItems/>
    </cacheField>
    <cacheField name="Farmers Ga" numFmtId="0">
      <sharedItems containsSemiMixedTypes="0" containsString="0" containsNumber="1" containsInteger="1" minValue="1" maxValue="1"/>
    </cacheField>
    <cacheField name="Species" numFmtId="0">
      <sharedItems containsBlank="1"/>
    </cacheField>
    <cacheField name="Date of Pl" numFmtId="15">
      <sharedItems containsSemiMixedTypes="0" containsNonDate="0" containsDate="1" containsString="0" minDate="1944-11-17T00:00:00" maxDate="2023-09-04T00:00:00"/>
    </cacheField>
    <cacheField name="District" numFmtId="0">
      <sharedItems/>
    </cacheField>
    <cacheField name="Sub-County" numFmtId="0">
      <sharedItems/>
    </cacheField>
    <cacheField name="Total Tree" numFmtId="0">
      <sharedItems containsSemiMixedTypes="0" containsString="0" containsNumber="1" containsInteger="1" minValue="0" maxValue="1752"/>
    </cacheField>
    <cacheField name="Melia Tree" numFmtId="0">
      <sharedItems containsSemiMixedTypes="0" containsString="0" containsNumber="1" containsInteger="1" minValue="0" maxValue="1000"/>
    </cacheField>
    <cacheField name="Musizi Tre" numFmtId="0">
      <sharedItems containsSemiMixedTypes="0" containsString="0" containsNumber="1" containsInteger="1" minValue="0" maxValue="400"/>
    </cacheField>
    <cacheField name="Gmelina Tr" numFmtId="0">
      <sharedItems containsSemiMixedTypes="0" containsString="0" containsNumber="1" containsInteger="1" minValue="0" maxValue="1470"/>
    </cacheField>
    <cacheField name="Ongono Tre" numFmtId="0">
      <sharedItems containsSemiMixedTypes="0" containsString="0" containsNumber="1" containsInteger="1" minValue="0" maxValue="1028"/>
    </cacheField>
    <cacheField name="Faidherbia" numFmtId="0">
      <sharedItems containsSemiMixedTypes="0" containsString="0" containsNumber="1" containsInteger="1" minValue="0" maxValue="1502"/>
    </cacheField>
    <cacheField name="Opok Trees" numFmtId="0">
      <sharedItems containsSemiMixedTypes="0" containsString="0" containsNumber="1" containsInteger="1" minValue="0" maxValue="64"/>
    </cacheField>
    <cacheField name="Senna Tree" numFmtId="0">
      <sharedItems containsSemiMixedTypes="0" containsString="0" containsNumber="1" containsInteger="1" minValue="0" maxValue="461"/>
    </cacheField>
    <cacheField name="Lebbek Tre" numFmtId="0">
      <sharedItems containsSemiMixedTypes="0" containsString="0" containsNumber="1" containsInteger="1" minValue="0" maxValue="150"/>
    </cacheField>
    <cacheField name="area_ha" numFmtId="0">
      <sharedItems containsSemiMixedTypes="0" containsString="0" containsNumber="1" minValue="0" maxValue="1.6446000000000001"/>
    </cacheField>
    <cacheField name="IPCC-Soils" numFmtId="0">
      <sharedItems count="2">
        <s v="HAC Soils"/>
        <s v="LAC Soils"/>
      </sharedItems>
    </cacheField>
    <cacheField name="IPCC-Clima" numFmtId="0">
      <sharedItems count="2">
        <s v="Tropical moist"/>
        <s v="Tropical montane"/>
      </sharedItems>
    </cacheField>
    <cacheField name="fid" numFmtId="0">
      <sharedItems containsSemiMixedTypes="0" containsString="0" containsNumber="1" containsInteger="1" minValue="3945" maxValue="42088"/>
    </cacheField>
    <cacheField name="GSOC (FAOref)" numFmtId="0">
      <sharedItems containsSemiMixedTypes="0" containsString="0" containsNumber="1" containsInteger="1" minValue="21" maxValue="63"/>
    </cacheField>
    <cacheField name="area_FAOSOC" numFmtId="2">
      <sharedItems containsSemiMixedTypes="0" containsString="0" containsNumber="1" minValue="0" maxValue="1.4878"/>
    </cacheField>
    <cacheField name="GSOC * area_FAOSOC (tC)" numFmtId="0">
      <sharedItems containsSemiMixedTypes="0" containsString="0" containsNumber="1" minValue="0" maxValue="55.840199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1">
  <r>
    <s v="recBjVVC2mVxKOqgu"/>
    <s v="Akello Rebecca - Agago | Lapono | Onen kuc Gardener"/>
    <n v="1"/>
    <s v="Melia, Gmelina,"/>
    <d v="2022-09-23T00:00:00"/>
    <s v="Agago"/>
    <s v="Lapono"/>
    <n v="30"/>
    <n v="15"/>
    <n v="0"/>
    <n v="15"/>
    <n v="0"/>
    <n v="0"/>
    <n v="0"/>
    <n v="0"/>
    <n v="0"/>
    <n v="0.30399999999999999"/>
    <x v="0"/>
    <x v="0"/>
    <n v="15479"/>
    <n v="35"/>
    <n v="0.30399999999999999"/>
    <n v="10.64"/>
  </r>
  <r>
    <s v="recYBxFvQU98iHCCY"/>
    <s v="Ociti Justin Bongomin - Agago | | Individual Farmer Gardener"/>
    <n v="1"/>
    <s v="Melia,"/>
    <d v="2022-10-13T00:00:00"/>
    <s v="Agago"/>
    <s v="Individual Farmer"/>
    <n v="200"/>
    <n v="200"/>
    <n v="0"/>
    <n v="0"/>
    <n v="0"/>
    <n v="0"/>
    <n v="0"/>
    <n v="0"/>
    <n v="0"/>
    <n v="0.1328"/>
    <x v="0"/>
    <x v="0"/>
    <n v="15302"/>
    <n v="39"/>
    <n v="0.1328"/>
    <n v="5.1791999999999998"/>
  </r>
  <r>
    <s v="recrN6x3OC09ssP60"/>
    <s v="Ociti Patrick - Agago | | Individual Farmer Gardener"/>
    <n v="1"/>
    <s v="Melia,"/>
    <d v="2022-10-04T00:00:00"/>
    <s v="Agago"/>
    <s v="Individual Farmer"/>
    <n v="450"/>
    <n v="450"/>
    <n v="0"/>
    <n v="0"/>
    <n v="0"/>
    <n v="0"/>
    <n v="0"/>
    <n v="0"/>
    <n v="0"/>
    <n v="6.8000000000000005E-2"/>
    <x v="0"/>
    <x v="0"/>
    <n v="15125"/>
    <n v="40"/>
    <n v="6.8000000000000005E-2"/>
    <n v="2.72"/>
  </r>
  <r>
    <s v="recofh41nlV1BzP3z"/>
    <s v="Ojara Jogn - Agago | Kuywe | Rubanga tek ki lwak Cam badi Gardener"/>
    <n v="1"/>
    <s v="Melia, Gmelina, Ongono,"/>
    <d v="2022-08-16T00:00:00"/>
    <s v="Agago"/>
    <s v="Kuywe"/>
    <n v="390"/>
    <n v="60"/>
    <n v="0"/>
    <n v="30"/>
    <n v="300"/>
    <n v="0"/>
    <n v="0"/>
    <n v="0"/>
    <n v="0"/>
    <n v="0.44750000000000001"/>
    <x v="0"/>
    <x v="0"/>
    <n v="15125"/>
    <n v="40"/>
    <n v="0.44750000000000001"/>
    <n v="17.899999999999999"/>
  </r>
  <r>
    <s v="recyMlYdXZvnlhUPG"/>
    <s v="Okongo Charles - Agago | | Individual Farmer Gardener"/>
    <n v="1"/>
    <s v="Melia,"/>
    <d v="2022-10-11T00:00:00"/>
    <s v="Agago"/>
    <s v="Individual Farmer"/>
    <n v="200"/>
    <n v="200"/>
    <n v="0"/>
    <n v="0"/>
    <n v="0"/>
    <n v="0"/>
    <n v="0"/>
    <n v="0"/>
    <n v="0"/>
    <n v="0.18229999999999999"/>
    <x v="0"/>
    <x v="0"/>
    <n v="15125"/>
    <n v="40"/>
    <n v="0.18240000000000001"/>
    <n v="7.2960000000000003"/>
  </r>
  <r>
    <s v="reca5goLV7gAoYtbz"/>
    <s v="Olara Stephens - Agago | | Individual Farmer Gardener"/>
    <n v="1"/>
    <s v="Melia,"/>
    <d v="2022-10-04T00:00:00"/>
    <s v="Agago"/>
    <s v="Individual Farmer"/>
    <n v="675"/>
    <n v="675"/>
    <n v="0"/>
    <n v="0"/>
    <n v="0"/>
    <n v="0"/>
    <n v="0"/>
    <n v="0"/>
    <n v="0"/>
    <n v="0.36259999999999998"/>
    <x v="0"/>
    <x v="0"/>
    <n v="15479"/>
    <n v="35"/>
    <n v="0.36259999999999998"/>
    <n v="12.690999999999999"/>
  </r>
  <r>
    <s v="recUVUtxQDsMVgeZs"/>
    <s v="Oling Ben Mutesa - Agago | | Individual Farmer Gardener"/>
    <n v="1"/>
    <s v="Melia,"/>
    <d v="2022-10-13T00:00:00"/>
    <s v="Agago"/>
    <s v="Individual Farmer"/>
    <n v="420"/>
    <n v="420"/>
    <n v="0"/>
    <n v="0"/>
    <n v="0"/>
    <n v="0"/>
    <n v="0"/>
    <n v="0"/>
    <n v="0"/>
    <n v="0.13719999999999999"/>
    <x v="0"/>
    <x v="0"/>
    <n v="15125"/>
    <n v="40"/>
    <n v="0.13719999999999999"/>
    <n v="5.4879999999999995"/>
  </r>
  <r>
    <s v="recnYocdCcIVS8Cab"/>
    <s v="Opira George - Agago | | Individual Farmer Gardener"/>
    <n v="1"/>
    <s v="Melia,"/>
    <d v="2022-10-03T00:00:00"/>
    <s v="Agago"/>
    <s v="Individual Farmer"/>
    <n v="1000"/>
    <n v="1000"/>
    <n v="0"/>
    <n v="0"/>
    <n v="0"/>
    <n v="0"/>
    <n v="0"/>
    <n v="0"/>
    <n v="0"/>
    <n v="0.74739999999999995"/>
    <x v="0"/>
    <x v="0"/>
    <n v="15481"/>
    <n v="37"/>
    <n v="0.74739999999999995"/>
    <n v="27.653799999999997"/>
  </r>
  <r>
    <s v="recDjOOzSBAnmpKos"/>
    <s v="Opoka geoffry - Agago | Paimol | Paco matek cung ki bulu - Gardener"/>
    <n v="1"/>
    <s v="Melia,"/>
    <d v="2022-08-11T00:00:00"/>
    <s v="Agago"/>
    <s v="Paimol"/>
    <n v="86"/>
    <n v="86"/>
    <n v="0"/>
    <n v="0"/>
    <n v="0"/>
    <n v="0"/>
    <n v="0"/>
    <n v="0"/>
    <n v="0"/>
    <n v="1.17E-2"/>
    <x v="0"/>
    <x v="0"/>
    <n v="14758"/>
    <n v="41"/>
    <n v="1.17E-2"/>
    <n v="0.47970000000000002"/>
  </r>
  <r>
    <s v="rec1wEj3Fhg7GUwTB"/>
    <s v="Wokorach Solomon - Agago | | Individual Farmer Gardener"/>
    <n v="1"/>
    <s v="Melia,"/>
    <d v="2022-10-21T00:00:00"/>
    <s v="Agago"/>
    <s v="Individual Farmer"/>
    <n v="450"/>
    <n v="450"/>
    <n v="0"/>
    <n v="0"/>
    <n v="0"/>
    <n v="0"/>
    <n v="0"/>
    <n v="0"/>
    <n v="0"/>
    <n v="9.3899999999999997E-2"/>
    <x v="0"/>
    <x v="0"/>
    <n v="15125"/>
    <n v="40"/>
    <n v="9.3899999999999997E-2"/>
    <n v="3.7559999999999998"/>
  </r>
  <r>
    <s v="rec7FmO0gmFn3fQ7y"/>
    <s v="Abalo Grace - Omoro | Lalogi | Bed Inge B Gardener"/>
    <n v="1"/>
    <s v="Melia, Musizi, Faidherbia,"/>
    <d v="2022-08-22T00:00:00"/>
    <s v="Omoro"/>
    <s v="Lalogi"/>
    <n v="1411"/>
    <n v="494"/>
    <n v="50"/>
    <n v="0"/>
    <n v="0"/>
    <n v="867"/>
    <n v="0"/>
    <n v="0"/>
    <n v="0"/>
    <n v="1.1348"/>
    <x v="0"/>
    <x v="1"/>
    <n v="24256"/>
    <n v="45"/>
    <n v="0.81940000000000002"/>
    <n v="36.872999999999998"/>
  </r>
  <r>
    <s v="rec7FmO0gmFn3fQ7y"/>
    <s v="Abalo Grace - Omoro | Lalogi | Bed Inge B Gardener"/>
    <n v="1"/>
    <s v="Melia, Musizi, Faidherbia,"/>
    <d v="2022-08-22T00:00:00"/>
    <s v="Omoro"/>
    <s v="Lalogi"/>
    <n v="1411"/>
    <n v="494"/>
    <n v="50"/>
    <n v="0"/>
    <n v="0"/>
    <n v="867"/>
    <n v="0"/>
    <n v="0"/>
    <n v="0"/>
    <n v="1.1348"/>
    <x v="0"/>
    <x v="1"/>
    <n v="24439"/>
    <n v="42"/>
    <n v="0.31530000000000002"/>
    <n v="13.242600000000001"/>
  </r>
  <r>
    <s v="recxUDfKPYiCFuba7"/>
    <s v="Abalo magret - Kitgum | Orom East | Waryemo Can Gardener"/>
    <n v="1"/>
    <s v="Melia, Musizi, Gmelina, Ongono, Faidherbia, Senna,"/>
    <d v="2022-07-07T00:00:00"/>
    <s v="Kitgum"/>
    <s v="Orom East"/>
    <n v="340"/>
    <n v="30"/>
    <n v="50"/>
    <n v="80"/>
    <n v="50"/>
    <n v="50"/>
    <n v="0"/>
    <n v="80"/>
    <n v="0"/>
    <n v="0.40129999999999999"/>
    <x v="0"/>
    <x v="1"/>
    <n v="5652"/>
    <n v="41"/>
    <n v="0.40129999999999999"/>
    <n v="16.453299999999999"/>
  </r>
  <r>
    <s v="recPJ8YOQtuU1jNIN"/>
    <s v="Abeja Milly - Omoro | Lalogi | Ogwete community Gardener"/>
    <n v="1"/>
    <s v="Melia, Musizi,"/>
    <d v="2022-08-22T00:00:00"/>
    <s v="Omoro"/>
    <s v="Lalogi"/>
    <n v="135"/>
    <n v="85"/>
    <n v="50"/>
    <n v="0"/>
    <n v="0"/>
    <n v="0"/>
    <n v="0"/>
    <n v="0"/>
    <n v="0"/>
    <n v="8.7400000000000005E-2"/>
    <x v="0"/>
    <x v="1"/>
    <n v="24621"/>
    <n v="43"/>
    <n v="8.7400000000000005E-2"/>
    <n v="3.7582000000000004"/>
  </r>
  <r>
    <s v="recLrwXB3LVXRVIlx"/>
    <s v="Aber Sharon - Omoro | Lalogi | Rwot Ngeo Gardener"/>
    <n v="1"/>
    <s v="Melia, Senna,"/>
    <d v="2022-08-22T00:00:00"/>
    <s v="Omoro"/>
    <s v="Lalogi"/>
    <n v="72"/>
    <n v="53"/>
    <n v="0"/>
    <n v="0"/>
    <n v="0"/>
    <n v="0"/>
    <n v="0"/>
    <n v="19"/>
    <n v="0"/>
    <n v="0.1633"/>
    <x v="0"/>
    <x v="1"/>
    <n v="21312"/>
    <n v="44"/>
    <n v="0.1633"/>
    <n v="7.1852"/>
  </r>
  <r>
    <s v="recGI56M9sDxucHhh"/>
    <s v="Aber Susan - Gulu | Paicho A | Waloko kwo Gardener"/>
    <n v="1"/>
    <s v="Gmelina,"/>
    <d v="2022-09-06T00:00:00"/>
    <s v="Gulu"/>
    <s v="Paicho A"/>
    <n v="1470"/>
    <n v="0"/>
    <n v="0"/>
    <n v="1470"/>
    <n v="0"/>
    <n v="0"/>
    <n v="0"/>
    <n v="0"/>
    <n v="0"/>
    <n v="0.34860000000000002"/>
    <x v="0"/>
    <x v="1"/>
    <n v="15764"/>
    <n v="34"/>
    <n v="0.34860000000000002"/>
    <n v="11.852400000000001"/>
  </r>
  <r>
    <s v="recIgv2jd1HebZzXk"/>
    <s v="Abur agness - Agago | Kuywe | Ogen rwot Gardener"/>
    <n v="1"/>
    <s v="Gmelina,"/>
    <d v="2022-07-20T00:00:00"/>
    <s v="Agago"/>
    <s v="Kuywe"/>
    <n v="15"/>
    <n v="0"/>
    <n v="0"/>
    <n v="15"/>
    <n v="0"/>
    <n v="0"/>
    <n v="0"/>
    <n v="0"/>
    <n v="0"/>
    <n v="3.32E-2"/>
    <x v="0"/>
    <x v="1"/>
    <n v="26238"/>
    <n v="32"/>
    <n v="3.32E-2"/>
    <n v="1.0624"/>
  </r>
  <r>
    <s v="reck85DcBzFdCWQgu"/>
    <s v="Abur karla - Agago | Lapono | Peko ma poto atura - Gardener"/>
    <n v="1"/>
    <s v="Melia, Gmelina, Faidherbia, Senna,"/>
    <d v="2022-08-22T00:00:00"/>
    <s v="Agago"/>
    <s v="Lapono"/>
    <n v="60"/>
    <n v="6"/>
    <n v="0"/>
    <n v="15"/>
    <n v="0"/>
    <n v="25"/>
    <n v="0"/>
    <n v="14"/>
    <n v="0"/>
    <n v="9.5899999999999999E-2"/>
    <x v="0"/>
    <x v="1"/>
    <n v="17308"/>
    <n v="43"/>
    <n v="9.5899999999999999E-2"/>
    <n v="4.1237000000000004"/>
  </r>
  <r>
    <s v="recMElkHNrlTatWgZ"/>
    <s v="Acan serina - Agago | Lira - Palwo | Tam piwa Gardener"/>
    <n v="1"/>
    <s v="Melia, Gmelina,"/>
    <d v="2022-08-22T00:00:00"/>
    <s v="Agago"/>
    <s v="Lira - Palwo"/>
    <n v="94"/>
    <n v="84"/>
    <n v="0"/>
    <n v="10"/>
    <n v="0"/>
    <n v="0"/>
    <n v="0"/>
    <n v="0"/>
    <n v="0"/>
    <n v="0.34429999999999999"/>
    <x v="0"/>
    <x v="1"/>
    <n v="21547"/>
    <n v="40"/>
    <n v="0.34429999999999999"/>
    <n v="13.772"/>
  </r>
  <r>
    <s v="recTDq5MXL6gJCmlw"/>
    <s v="Acan winnie - Agago | Lira - Palwo | Rippe aye teko Gardener"/>
    <n v="1"/>
    <s v="Melia, Musizi, Gmelina, Faidherbia, Lebbek"/>
    <d v="2022-08-03T00:00:00"/>
    <s v="Agago"/>
    <s v="Lira - Palwo"/>
    <n v="249"/>
    <n v="100"/>
    <n v="30"/>
    <n v="23"/>
    <n v="0"/>
    <n v="84"/>
    <n v="0"/>
    <n v="0"/>
    <n v="12"/>
    <n v="0.45419999999999999"/>
    <x v="0"/>
    <x v="1"/>
    <n v="20392"/>
    <n v="40"/>
    <n v="0.45419999999999999"/>
    <n v="18.167999999999999"/>
  </r>
  <r>
    <s v="rechwb4E1BRqBepC7"/>
    <s v="Acaye jacob - Omoro | Lalogi | Bed Inge A - Gardener"/>
    <n v="1"/>
    <s v="Ongono,"/>
    <d v="2022-08-22T00:00:00"/>
    <s v="Individual Farmer"/>
    <s v="Individual Farmer"/>
    <n v="61"/>
    <n v="0"/>
    <n v="0"/>
    <n v="0"/>
    <n v="61"/>
    <n v="0"/>
    <n v="0"/>
    <n v="0"/>
    <n v="0"/>
    <n v="4.87E-2"/>
    <x v="0"/>
    <x v="1"/>
    <n v="24254"/>
    <n v="50"/>
    <n v="4.87E-2"/>
    <n v="2.4350000000000001"/>
  </r>
  <r>
    <s v="recqdYzDfH2cY6Keq"/>
    <s v="Acaye Jacob - Omoro | Lalogi | Bed Inge A Gardener"/>
    <n v="1"/>
    <s v="Melia, Ongono, Senna,"/>
    <d v="2022-06-21T00:00:00"/>
    <s v="Omoro"/>
    <s v="Lalogi"/>
    <n v="1184"/>
    <n v="324"/>
    <n v="0"/>
    <n v="0"/>
    <n v="665"/>
    <n v="0"/>
    <n v="0"/>
    <n v="195"/>
    <n v="0"/>
    <n v="0.60409999999999997"/>
    <x v="0"/>
    <x v="1"/>
    <n v="24254"/>
    <n v="50"/>
    <n v="0.60409999999999997"/>
    <n v="30.204999999999998"/>
  </r>
  <r>
    <s v="recWRxh8vjKAnjkI2"/>
    <s v="Acayo Asther - Agago | Kuywe | Lobo cana Gardener"/>
    <n v="1"/>
    <s v="Melia, Gmelina,"/>
    <d v="2022-05-14T00:00:00"/>
    <s v="Agago"/>
    <s v="Kuywe"/>
    <n v="250"/>
    <n v="220"/>
    <n v="0"/>
    <n v="30"/>
    <n v="0"/>
    <n v="0"/>
    <n v="0"/>
    <n v="0"/>
    <n v="0"/>
    <n v="4.0000000000000002E-4"/>
    <x v="0"/>
    <x v="1"/>
    <n v="14826"/>
    <n v="39"/>
    <n v="8.0000000000000004E-4"/>
    <n v="3.1200000000000002E-2"/>
  </r>
  <r>
    <s v="recSbfc3ByVVLmQTs"/>
    <s v="Acayo dorine - Agago | Lapono | Onen kuc Gardener"/>
    <n v="1"/>
    <s v="Melia, Gmelina,"/>
    <d v="2022-08-22T00:00:00"/>
    <s v="Agago"/>
    <s v="Lapono"/>
    <n v="85"/>
    <n v="55"/>
    <n v="0"/>
    <n v="30"/>
    <n v="0"/>
    <n v="0"/>
    <n v="0"/>
    <n v="0"/>
    <n v="0"/>
    <n v="0.1105"/>
    <x v="0"/>
    <x v="1"/>
    <n v="17308"/>
    <n v="43"/>
    <n v="0.1105"/>
    <n v="4.7515000000000001"/>
  </r>
  <r>
    <s v="recKp4aEAbnaXZBwv"/>
    <s v="Acayo Esther olwoch - Agago | Lapono | Odong mon Gardener"/>
    <n v="1"/>
    <s v="Gmelina, Opok, Senna, Lebbek"/>
    <d v="2022-09-30T00:00:00"/>
    <s v="Agago"/>
    <s v="Lapono"/>
    <n v="18"/>
    <n v="0"/>
    <n v="0"/>
    <n v="2"/>
    <n v="0"/>
    <n v="0"/>
    <n v="4"/>
    <n v="10"/>
    <n v="2"/>
    <n v="1.6299999999999999E-2"/>
    <x v="0"/>
    <x v="1"/>
    <n v="16519"/>
    <n v="49"/>
    <n v="1.6299999999999999E-2"/>
    <n v="0.79869999999999997"/>
  </r>
  <r>
    <s v="recMuEjbbn0jEIsqL"/>
    <s v="Acen grace - Agago | Lira - Palwo | Tam piwa Gardener"/>
    <n v="1"/>
    <s v="Melia,"/>
    <d v="2022-08-22T00:00:00"/>
    <s v="Agago"/>
    <s v="Lira - Palwo"/>
    <n v="58"/>
    <n v="58"/>
    <n v="0"/>
    <n v="0"/>
    <n v="0"/>
    <n v="0"/>
    <n v="0"/>
    <n v="0"/>
    <n v="0"/>
    <n v="2.6100000000000002E-2"/>
    <x v="0"/>
    <x v="1"/>
    <n v="21547"/>
    <n v="40"/>
    <n v="2.6100000000000002E-2"/>
    <n v="1.044"/>
  </r>
  <r>
    <s v="recKfprOYwbh8Xw8I"/>
    <s v="Acen Merry - Agago | Lapono | Onen kuc Gardener"/>
    <n v="1"/>
    <s v="Melia, Gmelina,"/>
    <d v="2022-08-12T00:00:00"/>
    <s v="Agago"/>
    <s v="Lapono"/>
    <n v="30"/>
    <n v="15"/>
    <n v="0"/>
    <n v="15"/>
    <n v="0"/>
    <n v="0"/>
    <n v="0"/>
    <n v="0"/>
    <n v="0"/>
    <n v="2.6700000000000002E-2"/>
    <x v="0"/>
    <x v="1"/>
    <n v="17308"/>
    <n v="43"/>
    <n v="2.6700000000000002E-2"/>
    <n v="1.1481000000000001"/>
  </r>
  <r>
    <s v="recLPWivRtN1CiZns"/>
    <s v="Aciro Margret - Omoro | Lalogi | Bed Inge B - Gardener"/>
    <n v="1"/>
    <s v="Melia,"/>
    <d v="2022-08-22T00:00:00"/>
    <s v="Individual Farmer"/>
    <s v="Individual Farmer"/>
    <n v="40"/>
    <n v="40"/>
    <n v="0"/>
    <n v="0"/>
    <n v="0"/>
    <n v="0"/>
    <n v="0"/>
    <n v="0"/>
    <n v="0"/>
    <n v="3.5200000000000002E-2"/>
    <x v="0"/>
    <x v="1"/>
    <n v="24254"/>
    <n v="50"/>
    <n v="3.5200000000000002E-2"/>
    <n v="1.76"/>
  </r>
  <r>
    <s v="rec5rsd4fo89mRqYV"/>
    <s v="Aciro hellen - Agago | Kuywe | Ogen rwot Gardener"/>
    <n v="1"/>
    <s v="Melia, Musizi, Gmelina,"/>
    <d v="1945-02-21T00:00:00"/>
    <s v="Agago"/>
    <s v="Kuywe"/>
    <n v="205"/>
    <n v="85"/>
    <n v="5"/>
    <n v="115"/>
    <n v="0"/>
    <n v="0"/>
    <n v="0"/>
    <n v="0"/>
    <n v="0"/>
    <n v="5.2400000000000002E-2"/>
    <x v="0"/>
    <x v="1"/>
    <n v="26623"/>
    <n v="40"/>
    <n v="5.2400000000000002E-2"/>
    <n v="2.0960000000000001"/>
  </r>
  <r>
    <s v="recNXoMiMqk3yGiC0"/>
    <s v="Aciro Holga - Onen kuc"/>
    <n v="1"/>
    <s v="Melia, Gmelina,"/>
    <d v="2022-08-22T00:00:00"/>
    <s v="Individual Farmer"/>
    <s v="Individual Farmer"/>
    <n v="11"/>
    <n v="6"/>
    <n v="0"/>
    <n v="5"/>
    <n v="0"/>
    <n v="0"/>
    <n v="0"/>
    <n v="0"/>
    <n v="0"/>
    <n v="2.76E-2"/>
    <x v="0"/>
    <x v="1"/>
    <n v="17308"/>
    <n v="43"/>
    <n v="2.76E-2"/>
    <n v="1.1868000000000001"/>
  </r>
  <r>
    <s v="rec9lbNxYpX155qSR"/>
    <s v="Aciro Margret - Omoro | Lalogi | Bed Inge B Gardener"/>
    <n v="1"/>
    <s v="Melia, Senna,"/>
    <d v="2022-08-22T00:00:00"/>
    <s v="Omoro"/>
    <s v="Lalogi"/>
    <n v="90"/>
    <n v="75"/>
    <n v="0"/>
    <n v="0"/>
    <n v="0"/>
    <n v="0"/>
    <n v="0"/>
    <n v="15"/>
    <n v="0"/>
    <n v="9.8900000000000002E-2"/>
    <x v="0"/>
    <x v="1"/>
    <n v="24254"/>
    <n v="50"/>
    <n v="9.8900000000000002E-2"/>
    <n v="4.9450000000000003"/>
  </r>
  <r>
    <s v="recnmgY4RfxaCD0Lb"/>
    <s v="Adeno nighty - Agago | Lira - Palwo | Tam piwa Gardener"/>
    <n v="1"/>
    <s v="Melia, Gmelina, Ongono, Faidherbia,"/>
    <d v="2022-08-22T00:00:00"/>
    <s v="Agago"/>
    <s v="Lira - Palwo"/>
    <n v="396"/>
    <n v="108"/>
    <n v="0"/>
    <n v="20"/>
    <n v="186"/>
    <n v="82"/>
    <n v="0"/>
    <n v="0"/>
    <n v="0"/>
    <n v="0.3503"/>
    <x v="0"/>
    <x v="1"/>
    <n v="21547"/>
    <n v="40"/>
    <n v="0.3503"/>
    <n v="14.012"/>
  </r>
  <r>
    <s v="recHiALzxywz3IKwl"/>
    <s v="Adera Teresa - Individual"/>
    <n v="1"/>
    <s v="Melia,"/>
    <d v="2022-08-22T00:00:00"/>
    <s v="Agago"/>
    <s v="Paimol"/>
    <n v="120"/>
    <n v="120"/>
    <n v="0"/>
    <n v="0"/>
    <n v="0"/>
    <n v="0"/>
    <n v="0"/>
    <n v="0"/>
    <n v="0"/>
    <n v="3.09E-2"/>
    <x v="0"/>
    <x v="1"/>
    <n v="14491"/>
    <n v="41"/>
    <n v="3.09E-2"/>
    <n v="1.2668999999999999"/>
  </r>
  <r>
    <s v="recS5ykUfN8TrCTXs"/>
    <s v="Adoc Shantin - Agago | Paimol | Amini ngo Gardener"/>
    <n v="1"/>
    <s v="Gmelina,"/>
    <d v="2022-05-13T00:00:00"/>
    <s v="Agago"/>
    <s v="Paimol"/>
    <n v="27"/>
    <n v="0"/>
    <n v="0"/>
    <n v="27"/>
    <n v="0"/>
    <n v="0"/>
    <n v="0"/>
    <n v="0"/>
    <n v="0"/>
    <n v="3.2500000000000001E-2"/>
    <x v="0"/>
    <x v="1"/>
    <n v="26635"/>
    <n v="23"/>
    <n v="3.2500000000000001E-2"/>
    <n v="0.74750000000000005"/>
  </r>
  <r>
    <s v="recMQ8NBFCauZwWvc"/>
    <s v="Adokorach Kevin - Kitgum | Orom East | Waryemo Can Gardener"/>
    <n v="1"/>
    <s v="Melia, Musizi, Gmelina, Ongono, Faidherbia, Opok, Senna,"/>
    <d v="2022-07-07T00:00:00"/>
    <s v="Kitgum"/>
    <s v="Orom East"/>
    <n v="180"/>
    <n v="20"/>
    <n v="20"/>
    <n v="30"/>
    <n v="30"/>
    <n v="30"/>
    <n v="20"/>
    <n v="30"/>
    <n v="0"/>
    <n v="0.1709"/>
    <x v="0"/>
    <x v="1"/>
    <n v="5652"/>
    <n v="41"/>
    <n v="0.1709"/>
    <n v="7.0068999999999999"/>
  </r>
  <r>
    <s v="rectGCobIAmNeDU03"/>
    <s v="Adokorach Nancy Rose - Agago | Kuywe | Ogen rwot Gardener"/>
    <n v="1"/>
    <s v="Melia, Gmelina, Senna,"/>
    <d v="2022-07-24T00:00:00"/>
    <s v="Agago"/>
    <s v="Kuywe"/>
    <n v="105"/>
    <n v="25"/>
    <n v="0"/>
    <n v="60"/>
    <n v="0"/>
    <n v="0"/>
    <n v="0"/>
    <n v="20"/>
    <n v="0"/>
    <n v="1.0699999999999999E-2"/>
    <x v="0"/>
    <x v="1"/>
    <n v="18953"/>
    <n v="40"/>
    <n v="1.0699999999999999E-2"/>
    <n v="0.42799999999999999"/>
  </r>
  <r>
    <s v="recOPjpY06GcTZYJ2"/>
    <s v="Adong christine - Agago | Paimol | Tem gumi - Gardener"/>
    <n v="1"/>
    <s v="Melia, Musizi, Gmelina,"/>
    <d v="1945-12-04T00:00:00"/>
    <s v="Agago"/>
    <s v="Paimol"/>
    <n v="430"/>
    <n v="143"/>
    <n v="30"/>
    <n v="257"/>
    <n v="0"/>
    <n v="0"/>
    <n v="0"/>
    <n v="0"/>
    <n v="0"/>
    <n v="1.3299999999999999E-2"/>
    <x v="0"/>
    <x v="1"/>
    <n v="17308"/>
    <n v="43"/>
    <n v="1.3299999999999999E-2"/>
    <n v="0.57189999999999996"/>
  </r>
  <r>
    <s v="recySH5O5xMYydmk2"/>
    <s v="Adong esta - Agago | Lira - Palwo | Tam piwa Gardener"/>
    <n v="1"/>
    <s v="Melia, Gmelina, Ongono, Faidherbia, Senna,"/>
    <d v="2022-08-22T00:00:00"/>
    <s v="Agago"/>
    <s v="Lira - Palwo"/>
    <n v="267"/>
    <n v="106"/>
    <n v="0"/>
    <n v="20"/>
    <n v="25"/>
    <n v="48"/>
    <n v="0"/>
    <n v="68"/>
    <n v="0"/>
    <n v="0.19220000000000001"/>
    <x v="0"/>
    <x v="1"/>
    <n v="21546"/>
    <n v="37"/>
    <n v="0.19220000000000001"/>
    <n v="7.1114000000000006"/>
  </r>
  <r>
    <s v="recVcLCPjwMZ4MaGs"/>
    <s v="Adong Hada - Omoro | Lalogi | Bed Inge B Gardener"/>
    <n v="1"/>
    <s v="Melia, Musizi, Ongono, Faidherbia,"/>
    <d v="2022-09-06T00:00:00"/>
    <s v="Omoro"/>
    <s v="Lalogi"/>
    <n v="274"/>
    <n v="126"/>
    <n v="20"/>
    <n v="0"/>
    <n v="67"/>
    <n v="61"/>
    <n v="0"/>
    <n v="0"/>
    <n v="0"/>
    <n v="0.36780000000000002"/>
    <x v="0"/>
    <x v="1"/>
    <n v="24254"/>
    <n v="50"/>
    <n v="0.36780000000000002"/>
    <n v="18.39"/>
  </r>
  <r>
    <s v="receDjACvqmfmnWx1"/>
    <s v="Adong Kamila - Onen kuc"/>
    <n v="1"/>
    <s v="Melia, Gmelina,"/>
    <d v="2022-08-22T00:00:00"/>
    <s v="Individual Farmer"/>
    <s v="Individual Farmer"/>
    <n v="11"/>
    <n v="5"/>
    <n v="0"/>
    <n v="6"/>
    <n v="0"/>
    <n v="0"/>
    <n v="0"/>
    <n v="0"/>
    <n v="0"/>
    <n v="2.7300000000000001E-2"/>
    <x v="0"/>
    <x v="1"/>
    <n v="17308"/>
    <n v="43"/>
    <n v="2.7300000000000001E-2"/>
    <n v="1.1739000000000002"/>
  </r>
  <r>
    <s v="reciYVRWCr01XG603"/>
    <s v="Adong Kristen - Agago | Paimol | Rubanga tek women's group - Gardener"/>
    <n v="1"/>
    <s v="Gmelina,"/>
    <d v="2022-08-22T00:00:00"/>
    <s v="Agago"/>
    <s v="Paimol"/>
    <n v="30"/>
    <n v="0"/>
    <n v="0"/>
    <n v="30"/>
    <n v="0"/>
    <n v="0"/>
    <n v="0"/>
    <n v="0"/>
    <n v="0"/>
    <n v="8.5000000000000006E-3"/>
    <x v="0"/>
    <x v="1"/>
    <n v="14487"/>
    <n v="36"/>
    <n v="8.5000000000000006E-3"/>
    <n v="0.30600000000000005"/>
  </r>
  <r>
    <s v="rec6QDEhqHMaPBPoD"/>
    <s v="Adong Marta - Agago | Lapono | Peko ma poto atura - Gardener"/>
    <n v="1"/>
    <s v="Melia, Gmelina, Ongono, Senna,"/>
    <d v="2022-07-30T00:00:00"/>
    <s v="Agago"/>
    <s v="Lapono"/>
    <n v="62"/>
    <n v="8"/>
    <n v="0"/>
    <n v="4"/>
    <n v="30"/>
    <n v="0"/>
    <n v="0"/>
    <n v="20"/>
    <n v="0"/>
    <n v="1.78E-2"/>
    <x v="0"/>
    <x v="1"/>
    <n v="17308"/>
    <n v="43"/>
    <n v="1.78E-2"/>
    <n v="0.76539999999999997"/>
  </r>
  <r>
    <s v="recgWCf5oMNgoFCCr"/>
    <s v="Adong Scovia - Mak mukeme"/>
    <n v="1"/>
    <s v="Melia,"/>
    <d v="2022-08-22T00:00:00"/>
    <s v="Individual Farmer"/>
    <s v="Individual Farmer"/>
    <n v="4"/>
    <n v="4"/>
    <n v="0"/>
    <n v="0"/>
    <n v="0"/>
    <n v="0"/>
    <n v="0"/>
    <n v="0"/>
    <n v="0"/>
    <n v="9.1000000000000004E-3"/>
    <x v="0"/>
    <x v="1"/>
    <n v="24252"/>
    <n v="45"/>
    <n v="9.1000000000000004E-3"/>
    <n v="0.40950000000000003"/>
  </r>
  <r>
    <s v="rec5GGBhkf8A3Hn9Z"/>
    <s v="Agalo Jucilina - Agago | Paimol | Gen kweri young farmer's association - Gardener"/>
    <n v="1"/>
    <s v="Melia, Gmelina,"/>
    <d v="2022-06-25T00:00:00"/>
    <s v="Agago"/>
    <s v="Paimol"/>
    <n v="130"/>
    <n v="70"/>
    <n v="0"/>
    <n v="60"/>
    <n v="0"/>
    <n v="0"/>
    <n v="0"/>
    <n v="0"/>
    <n v="0"/>
    <n v="5.6099999999999997E-2"/>
    <x v="0"/>
    <x v="1"/>
    <n v="14491"/>
    <n v="41"/>
    <n v="5.6099999999999997E-2"/>
    <n v="2.3001"/>
  </r>
  <r>
    <s v="rec14LO7wUM3u72Po"/>
    <s v="Agenorwot susan - Agago | Lira - Palwo | Waribu tam Gardener"/>
    <n v="1"/>
    <s v="Melia, Gmelina,"/>
    <d v="2022-08-22T00:00:00"/>
    <s v="Agago"/>
    <s v="Lira - Palwo"/>
    <n v="108"/>
    <n v="86"/>
    <n v="0"/>
    <n v="22"/>
    <n v="0"/>
    <n v="0"/>
    <n v="0"/>
    <n v="0"/>
    <n v="0"/>
    <n v="0.22289999999999999"/>
    <x v="0"/>
    <x v="1"/>
    <n v="21546"/>
    <n v="37"/>
    <n v="0.22289999999999999"/>
    <n v="8.2472999999999992"/>
  </r>
  <r>
    <s v="recJiF8Jut13R1lKA"/>
    <s v="Ajok Bena - Omoro | Lalogi | Ogwete community Gardener"/>
    <n v="1"/>
    <s v="Melia, Musizi,"/>
    <d v="2022-09-22T00:00:00"/>
    <s v="Omoro"/>
    <s v="Lalogi"/>
    <n v="135"/>
    <n v="85"/>
    <n v="50"/>
    <n v="0"/>
    <n v="0"/>
    <n v="0"/>
    <n v="0"/>
    <n v="0"/>
    <n v="0"/>
    <n v="8.14E-2"/>
    <x v="0"/>
    <x v="1"/>
    <n v="24251"/>
    <n v="46"/>
    <n v="8.14E-2"/>
    <n v="3.7444000000000002"/>
  </r>
  <r>
    <s v="recmoVyj1D7ryZeAz"/>
    <s v="Ajok Evaline - Omoro | Lalogi | Mak mukemi Gardener"/>
    <n v="1"/>
    <s v="Melia,"/>
    <d v="2022-08-22T00:00:00"/>
    <s v="Omoro"/>
    <s v="Lalogi"/>
    <n v="35"/>
    <n v="35"/>
    <n v="0"/>
    <n v="0"/>
    <n v="0"/>
    <n v="0"/>
    <n v="0"/>
    <n v="0"/>
    <n v="0"/>
    <n v="2.0500000000000001E-2"/>
    <x v="0"/>
    <x v="1"/>
    <n v="23846"/>
    <n v="45"/>
    <n v="2.0500000000000001E-2"/>
    <n v="0.92249999999999999"/>
  </r>
  <r>
    <s v="rec92C3P7Rq3tDEta"/>
    <s v="Ajok Grace - Omoro | Lalogi | Bed Inge B Gardener"/>
    <n v="1"/>
    <s v="Melia, Musizi,"/>
    <d v="2022-09-06T00:00:00"/>
    <s v="Omoro"/>
    <s v="Lalogi"/>
    <n v="176"/>
    <n v="126"/>
    <n v="50"/>
    <n v="0"/>
    <n v="0"/>
    <n v="0"/>
    <n v="0"/>
    <n v="0"/>
    <n v="0"/>
    <n v="0.11219999999999999"/>
    <x v="0"/>
    <x v="1"/>
    <n v="24254"/>
    <n v="50"/>
    <n v="0.11219999999999999"/>
    <n v="5.6099999999999994"/>
  </r>
  <r>
    <s v="recuK4HHVAKnJG0z1"/>
    <s v="Ajok janet - Agago | Lira - Palwo | Tam piwa Gardener"/>
    <n v="1"/>
    <s v="Melia, Gmelina, Ongono,"/>
    <d v="2022-08-22T00:00:00"/>
    <s v="Agago"/>
    <s v="Lira - Palwo"/>
    <n v="238"/>
    <n v="66"/>
    <n v="0"/>
    <n v="16"/>
    <n v="156"/>
    <n v="0"/>
    <n v="0"/>
    <n v="0"/>
    <n v="0"/>
    <n v="0.1711"/>
    <x v="0"/>
    <x v="1"/>
    <n v="21362"/>
    <n v="38"/>
    <n v="0.1711"/>
    <n v="6.5018000000000002"/>
  </r>
  <r>
    <s v="recDB7AWSYQJlRaHo"/>
    <s v="Ajok korina - Agago | Kuywe | Yub paco ni Gardener"/>
    <n v="1"/>
    <s v="Melia, Musizi, Gmelina, Senna,"/>
    <d v="2022-08-28T00:00:00"/>
    <s v="Agago"/>
    <s v="Kuywe"/>
    <n v="105"/>
    <n v="65"/>
    <n v="5"/>
    <n v="20"/>
    <n v="0"/>
    <n v="0"/>
    <n v="0"/>
    <n v="15"/>
    <n v="0"/>
    <n v="0.2321"/>
    <x v="0"/>
    <x v="1"/>
    <n v="17984"/>
    <n v="42"/>
    <n v="0.2321"/>
    <n v="9.7482000000000006"/>
  </r>
  <r>
    <s v="recFjrOBOweg0usix"/>
    <s v="Ajok Rose - Omoro | Lalogi | Rwot Ngeo Gardener"/>
    <n v="1"/>
    <s v="Melia, Musizi, Senna,"/>
    <d v="2022-10-17T00:00:00"/>
    <s v="Omoro"/>
    <s v="Lalogi"/>
    <n v="623"/>
    <n v="142"/>
    <n v="20"/>
    <n v="0"/>
    <n v="0"/>
    <n v="0"/>
    <n v="0"/>
    <n v="461"/>
    <n v="0"/>
    <n v="0.15770000000000001"/>
    <x v="0"/>
    <x v="1"/>
    <n v="21311"/>
    <n v="46"/>
    <n v="0.15770000000000001"/>
    <n v="7.2542"/>
  </r>
  <r>
    <s v="reckDtLdDLrT9jie0"/>
    <s v="Ajok Rose - Omoro | Lalogi | Rwot Ngeo Gardener"/>
    <n v="1"/>
    <s v="Melia, Musizi,"/>
    <d v="2022-08-22T00:00:00"/>
    <s v="Omoro"/>
    <s v="Lalogi"/>
    <n v="244"/>
    <n v="80"/>
    <n v="164"/>
    <n v="0"/>
    <n v="0"/>
    <n v="0"/>
    <n v="0"/>
    <n v="0"/>
    <n v="0"/>
    <n v="0.2205"/>
    <x v="0"/>
    <x v="1"/>
    <n v="21311"/>
    <n v="46"/>
    <n v="0.2205"/>
    <n v="10.143000000000001"/>
  </r>
  <r>
    <s v="rec68nhagbzWOVTom"/>
    <s v="Ajok Santina - Agago | Kuywe | Lobo cana Gardener"/>
    <n v="1"/>
    <s v="Melia, Gmelina,"/>
    <d v="2022-06-07T00:00:00"/>
    <s v="Agago"/>
    <s v="Kuywe"/>
    <n v="70"/>
    <n v="30"/>
    <n v="0"/>
    <n v="40"/>
    <n v="0"/>
    <n v="0"/>
    <n v="0"/>
    <n v="0"/>
    <n v="0"/>
    <n v="3.78E-2"/>
    <x v="0"/>
    <x v="1"/>
    <n v="26623"/>
    <n v="40"/>
    <n v="2.4299999999999999E-2"/>
    <n v="0.97199999999999998"/>
  </r>
  <r>
    <s v="rec68nhagbzWOVTom"/>
    <s v="Ajok Santina - Agago | Kuywe | Lobo cana Gardener"/>
    <n v="1"/>
    <s v="Melia, Gmelina,"/>
    <d v="2022-06-07T00:00:00"/>
    <s v="Agago"/>
    <s v="Kuywe"/>
    <n v="70"/>
    <n v="30"/>
    <n v="0"/>
    <n v="40"/>
    <n v="0"/>
    <n v="0"/>
    <n v="0"/>
    <n v="0"/>
    <n v="0"/>
    <n v="3.78E-2"/>
    <x v="0"/>
    <x v="1"/>
    <n v="26624"/>
    <n v="41"/>
    <n v="1.34E-2"/>
    <n v="0.5494"/>
  </r>
  <r>
    <s v="recdKBpElJ4WBiVvF"/>
    <s v="Ajok Vicky - Agago | Paimol | Tem gumi - Gardener"/>
    <n v="1"/>
    <s v="Melia, Musizi, Gmelina, Ongono,"/>
    <d v="2022-07-29T00:00:00"/>
    <s v="Agago"/>
    <s v="Paimol"/>
    <n v="516"/>
    <n v="118"/>
    <n v="73"/>
    <n v="90"/>
    <n v="235"/>
    <n v="0"/>
    <n v="0"/>
    <n v="0"/>
    <n v="0"/>
    <n v="2.41E-2"/>
    <x v="0"/>
    <x v="1"/>
    <n v="17585"/>
    <n v="48"/>
    <n v="2.41E-2"/>
    <n v="1.1568000000000001"/>
  </r>
  <r>
    <s v="recc8rr3y2h4MqrQE"/>
    <s v="Akal John Akal - Agago | Lukole | Aloka loka Gardener"/>
    <n v="1"/>
    <s v="Melia, Ongono,"/>
    <d v="2022-09-05T00:00:00"/>
    <s v="Agago"/>
    <s v="Lukole"/>
    <n v="828"/>
    <n v="725"/>
    <n v="0"/>
    <n v="0"/>
    <n v="103"/>
    <n v="0"/>
    <n v="0"/>
    <n v="0"/>
    <n v="0"/>
    <n v="0.40579999999999999"/>
    <x v="0"/>
    <x v="1"/>
    <n v="18630"/>
    <n v="46"/>
    <n v="0.40579999999999999"/>
    <n v="18.666799999999999"/>
  </r>
  <r>
    <s v="rec4i8OaXXuGeOyw2"/>
    <s v="Akal Smon jildo - Agago | Lukole | Aloka loka Gardener"/>
    <n v="1"/>
    <s v="Melia, Ongono,"/>
    <d v="2022-06-22T00:00:00"/>
    <s v="Agago"/>
    <s v="Lukole"/>
    <n v="770"/>
    <n v="344"/>
    <n v="0"/>
    <n v="0"/>
    <n v="426"/>
    <n v="0"/>
    <n v="0"/>
    <n v="0"/>
    <n v="0"/>
    <n v="0.53159999999999996"/>
    <x v="0"/>
    <x v="1"/>
    <n v="18440"/>
    <n v="36"/>
    <n v="0.53159999999999996"/>
    <n v="19.137599999999999"/>
  </r>
  <r>
    <s v="recT5dsx4sFi1UYBE"/>
    <s v="Akanyo ester - Agago | Kuywe | Ogen rwot - Gardener"/>
    <n v="1"/>
    <s v="Melia, Musizi, Senna,"/>
    <d v="2021-08-10T00:00:00"/>
    <s v="Agago"/>
    <s v="Kuywe"/>
    <n v="126"/>
    <n v="62"/>
    <n v="4"/>
    <n v="0"/>
    <n v="0"/>
    <n v="0"/>
    <n v="0"/>
    <n v="60"/>
    <n v="0"/>
    <n v="0.13350000000000001"/>
    <x v="0"/>
    <x v="1"/>
    <n v="18953"/>
    <n v="40"/>
    <n v="0.13350000000000001"/>
    <n v="5.34"/>
  </r>
  <r>
    <s v="reckBLQyZ0VVU3tfz"/>
    <s v="Akech Betty - Ot yelo Mon"/>
    <n v="1"/>
    <s v="Melia,"/>
    <d v="2022-08-22T00:00:00"/>
    <s v="Individual Farmer"/>
    <s v="Individual Farmer"/>
    <n v="32"/>
    <n v="32"/>
    <n v="0"/>
    <n v="0"/>
    <n v="0"/>
    <n v="0"/>
    <n v="0"/>
    <n v="0"/>
    <n v="0"/>
    <n v="3.8100000000000002E-2"/>
    <x v="0"/>
    <x v="1"/>
    <n v="20348"/>
    <n v="41"/>
    <n v="3.8100000000000002E-2"/>
    <n v="1.5621"/>
  </r>
  <r>
    <s v="recc47rCSGD3qjrK5"/>
    <s v="Akech Betty - Yot yelo Mon"/>
    <n v="1"/>
    <s v="Gmelina, Senna,"/>
    <d v="2022-08-22T00:00:00"/>
    <s v="Individual Farmer"/>
    <s v="Individual Farmer"/>
    <n v="25"/>
    <n v="0"/>
    <n v="0"/>
    <n v="22"/>
    <n v="0"/>
    <n v="0"/>
    <n v="0"/>
    <n v="3"/>
    <n v="0"/>
    <n v="0.19819999999999999"/>
    <x v="0"/>
    <x v="1"/>
    <n v="20348"/>
    <n v="41"/>
    <n v="2.1700000000000001E-2"/>
    <n v="0.88970000000000005"/>
  </r>
  <r>
    <s v="recc47rCSGD3qjrK5"/>
    <s v="Akech Betty - Yot yelo Mon"/>
    <n v="1"/>
    <s v="Gmelina, Senna,"/>
    <d v="2022-08-22T00:00:00"/>
    <s v="Individual Farmer"/>
    <s v="Individual Farmer"/>
    <n v="25"/>
    <n v="0"/>
    <n v="0"/>
    <n v="22"/>
    <n v="0"/>
    <n v="0"/>
    <n v="0"/>
    <n v="3"/>
    <n v="0"/>
    <n v="0.19819999999999999"/>
    <x v="0"/>
    <x v="1"/>
    <n v="20547"/>
    <n v="40"/>
    <n v="0.17649999999999999"/>
    <n v="7.06"/>
  </r>
  <r>
    <s v="recfD7qsw6Q0uCC0p"/>
    <s v="Akech scovia - Agago | Lira - Palwo | Nen ki wangi Gardener"/>
    <n v="1"/>
    <s v="Melia, Gmelina, Ongono, Faidherbia,"/>
    <d v="2022-08-22T00:00:00"/>
    <s v="Agago"/>
    <s v="Lira - Palwo"/>
    <n v="195"/>
    <n v="113"/>
    <n v="0"/>
    <n v="24"/>
    <n v="16"/>
    <n v="42"/>
    <n v="0"/>
    <n v="0"/>
    <n v="0"/>
    <n v="6.2100000000000002E-2"/>
    <x v="0"/>
    <x v="1"/>
    <n v="21545"/>
    <n v="39"/>
    <n v="6.2100000000000002E-2"/>
    <n v="2.4218999999999999"/>
  </r>
  <r>
    <s v="rec4unYuS7ZHUJgW0"/>
    <s v="Akech Ventorina - Agago | Lapono | Onen kuc Gardener"/>
    <n v="1"/>
    <s v="Melia,"/>
    <d v="2022-08-22T00:00:00"/>
    <s v="Individual Farmer"/>
    <s v="Individual Farmer"/>
    <n v="3"/>
    <n v="3"/>
    <n v="0"/>
    <n v="0"/>
    <n v="0"/>
    <n v="0"/>
    <n v="0"/>
    <n v="0"/>
    <n v="0"/>
    <n v="2.3699999999999999E-2"/>
    <x v="0"/>
    <x v="1"/>
    <n v="17308"/>
    <n v="43"/>
    <n v="2.3699999999999999E-2"/>
    <n v="1.0190999999999999"/>
  </r>
  <r>
    <s v="rec7vTkNHP8xJH3vf"/>
    <s v="Akello Esther - Onen kuc"/>
    <n v="1"/>
    <s v="Melia, Gmelina,"/>
    <d v="2022-08-22T00:00:00"/>
    <s v="Individual Farmer"/>
    <s v="Individual Farmer"/>
    <n v="15"/>
    <n v="9"/>
    <n v="0"/>
    <n v="6"/>
    <n v="0"/>
    <n v="0"/>
    <n v="0"/>
    <n v="0"/>
    <n v="0"/>
    <n v="1.4800000000000001E-2"/>
    <x v="0"/>
    <x v="1"/>
    <n v="17308"/>
    <n v="43"/>
    <n v="1.4800000000000001E-2"/>
    <n v="0.63640000000000008"/>
  </r>
  <r>
    <s v="recZQ3GJMM5L1r3Go"/>
    <s v="Akello Nigthy - Onen kuc"/>
    <n v="1"/>
    <s v="Melia, Gmelina,"/>
    <d v="2022-08-22T00:00:00"/>
    <s v="Individual Farmer"/>
    <s v="Individual Farmer"/>
    <n v="12"/>
    <n v="5"/>
    <n v="0"/>
    <n v="7"/>
    <n v="0"/>
    <n v="0"/>
    <n v="0"/>
    <n v="0"/>
    <n v="0"/>
    <n v="1.06E-2"/>
    <x v="0"/>
    <x v="1"/>
    <n v="17308"/>
    <n v="43"/>
    <n v="1.06E-2"/>
    <n v="0.45579999999999998"/>
  </r>
  <r>
    <s v="recc6eVZc5qfPvLtm"/>
    <s v="Akello Agnes - Agago | Lira - Palwo | Tam piwa Gardener"/>
    <n v="1"/>
    <s v="Melia, Ongono, Senna,"/>
    <d v="2022-08-22T00:00:00"/>
    <s v="Agago"/>
    <s v="Lira - Palwo"/>
    <n v="268"/>
    <n v="207"/>
    <n v="0"/>
    <n v="0"/>
    <n v="31"/>
    <n v="0"/>
    <n v="0"/>
    <n v="30"/>
    <n v="0"/>
    <n v="0.21820000000000001"/>
    <x v="0"/>
    <x v="1"/>
    <n v="21548"/>
    <n v="41"/>
    <n v="0.21820000000000001"/>
    <n v="8.946200000000001"/>
  </r>
  <r>
    <s v="rec6tnrIFLrupwxvm"/>
    <s v="Akello Alice - Agago | Kuywe | Yub paco ni Gardener"/>
    <n v="1"/>
    <s v="Melia, Musizi, Gmelina, Senna,"/>
    <d v="2022-08-20T00:00:00"/>
    <s v="Agago"/>
    <s v="Kuywe"/>
    <n v="95"/>
    <n v="35"/>
    <n v="5"/>
    <n v="35"/>
    <n v="0"/>
    <n v="0"/>
    <n v="0"/>
    <n v="20"/>
    <n v="0"/>
    <n v="3.4000000000000002E-2"/>
    <x v="0"/>
    <x v="1"/>
    <n v="26842"/>
    <n v="36"/>
    <n v="3.4000000000000002E-2"/>
    <n v="1.2240000000000002"/>
  </r>
  <r>
    <s v="recEiYWcnhdkVXxfW"/>
    <s v="Akello Betty - Agago | Kuywe | Tam pi Anyim Gardener"/>
    <n v="1"/>
    <s v="Melia,"/>
    <d v="2022-07-05T00:00:00"/>
    <s v="Agago"/>
    <s v="Kuywe"/>
    <n v="37"/>
    <n v="37"/>
    <n v="0"/>
    <n v="0"/>
    <n v="0"/>
    <n v="0"/>
    <n v="0"/>
    <n v="0"/>
    <n v="0"/>
    <n v="3.5900000000000001E-2"/>
    <x v="0"/>
    <x v="1"/>
    <n v="18953"/>
    <n v="40"/>
    <n v="3.5900000000000001E-2"/>
    <n v="1.4359999999999999"/>
  </r>
  <r>
    <s v="recbVJ09pVnBB3lib"/>
    <s v="Akello Betty - Onen kuc"/>
    <n v="1"/>
    <s v="Melia, Gmelina,"/>
    <d v="2022-08-22T00:00:00"/>
    <s v="Individual Farmer"/>
    <s v="Individual Farmer"/>
    <n v="4"/>
    <n v="2"/>
    <n v="0"/>
    <n v="2"/>
    <n v="0"/>
    <n v="0"/>
    <n v="0"/>
    <n v="0"/>
    <n v="0"/>
    <n v="1.1599999999999999E-2"/>
    <x v="0"/>
    <x v="1"/>
    <n v="17308"/>
    <n v="43"/>
    <n v="1.1599999999999999E-2"/>
    <n v="0.49879999999999997"/>
  </r>
  <r>
    <s v="recOYIIzZfExXOQyC"/>
    <s v="Akello Concy - Omoro | Lalogi | Mak mukemi Gardener"/>
    <n v="1"/>
    <s v="Melia, Musizi,"/>
    <d v="2022-05-13T00:00:00"/>
    <s v="Omoro"/>
    <s v="Lalogi"/>
    <n v="45"/>
    <n v="35"/>
    <n v="10"/>
    <n v="0"/>
    <n v="0"/>
    <n v="0"/>
    <n v="0"/>
    <n v="0"/>
    <n v="0"/>
    <n v="0.10390000000000001"/>
    <x v="0"/>
    <x v="1"/>
    <n v="24621"/>
    <n v="43"/>
    <n v="0.10390000000000001"/>
    <n v="4.4677000000000007"/>
  </r>
  <r>
    <s v="recIVsGq8wjPFMMfq"/>
    <s v="Akello Florence - Omoro | Lalogi | Ogwete community Gardener"/>
    <n v="1"/>
    <s v="Melia,"/>
    <d v="2022-06-22T00:00:00"/>
    <s v="Omoro"/>
    <s v="Lalogi"/>
    <n v="35"/>
    <n v="35"/>
    <n v="0"/>
    <n v="0"/>
    <n v="0"/>
    <n v="0"/>
    <n v="0"/>
    <n v="0"/>
    <n v="0"/>
    <n v="6.7000000000000004E-2"/>
    <x v="0"/>
    <x v="1"/>
    <n v="24621"/>
    <n v="43"/>
    <n v="6.7000000000000004E-2"/>
    <n v="2.8810000000000002"/>
  </r>
  <r>
    <s v="recMjmhQq2ukGLGlh"/>
    <s v="Akello gladish - Agago | | Individual Farmer Gardener"/>
    <n v="1"/>
    <s v="Senna,"/>
    <d v="2022-10-15T00:00:00"/>
    <s v="Agago"/>
    <s v="Individual Farmer"/>
    <n v="30"/>
    <n v="0"/>
    <n v="0"/>
    <n v="0"/>
    <n v="0"/>
    <n v="0"/>
    <n v="0"/>
    <n v="30"/>
    <n v="0"/>
    <n v="0.1065"/>
    <x v="0"/>
    <x v="1"/>
    <n v="26030"/>
    <n v="34"/>
    <n v="0.1065"/>
    <n v="3.621"/>
  </r>
  <r>
    <s v="recrDequhcWLO4Jqv"/>
    <s v="Akello Grace - Agago | Kuywe | Rubanga tek ki lwak Cam badi Gardener"/>
    <n v="1"/>
    <s v="Gmelina, Senna,"/>
    <d v="2022-06-24T00:00:00"/>
    <s v="Agago"/>
    <s v="Kuywe"/>
    <n v="50"/>
    <n v="0"/>
    <n v="0"/>
    <n v="30"/>
    <n v="0"/>
    <n v="0"/>
    <n v="0"/>
    <n v="20"/>
    <n v="0"/>
    <n v="7.6E-3"/>
    <x v="0"/>
    <x v="1"/>
    <n v="25833"/>
    <n v="23"/>
    <n v="7.7000000000000002E-3"/>
    <n v="0.17710000000000001"/>
  </r>
  <r>
    <s v="recau0iZKndVmCuZh"/>
    <s v="Akello Grace - Yot yelo Mon"/>
    <n v="1"/>
    <s v="Melia, Gmelina, Senna,"/>
    <d v="2022-08-22T00:00:00"/>
    <s v="Individual Farmer"/>
    <s v="Individual Farmer"/>
    <n v="58"/>
    <n v="11"/>
    <n v="0"/>
    <n v="31"/>
    <n v="0"/>
    <n v="0"/>
    <n v="0"/>
    <n v="16"/>
    <n v="0"/>
    <n v="0.16880000000000001"/>
    <x v="0"/>
    <x v="1"/>
    <n v="20348"/>
    <n v="41"/>
    <n v="0.16880000000000001"/>
    <n v="6.9207999999999998"/>
  </r>
  <r>
    <s v="recx16IWsB7EzKTsP"/>
    <s v="Akello Jennifer - Yot yelo Mon"/>
    <n v="1"/>
    <s v="Melia, Senna,"/>
    <d v="2022-08-22T00:00:00"/>
    <s v="Individual Farmer"/>
    <s v="Individual Farmer"/>
    <n v="27"/>
    <n v="14"/>
    <n v="0"/>
    <n v="0"/>
    <n v="0"/>
    <n v="0"/>
    <n v="0"/>
    <n v="13"/>
    <n v="0"/>
    <n v="0.13220000000000001"/>
    <x v="0"/>
    <x v="1"/>
    <n v="20348"/>
    <n v="41"/>
    <n v="0.13220000000000001"/>
    <n v="5.4202000000000004"/>
  </r>
  <r>
    <s v="recy2pX4RpeYq3FCm"/>
    <s v="Akello Joyce - Mak mukeme"/>
    <n v="1"/>
    <s v="Melia,"/>
    <d v="2022-08-22T00:00:00"/>
    <s v="Individual Farmer"/>
    <s v="Individual Farmer"/>
    <n v="5"/>
    <n v="5"/>
    <n v="0"/>
    <n v="0"/>
    <n v="0"/>
    <n v="0"/>
    <n v="0"/>
    <n v="0"/>
    <n v="0"/>
    <n v="3.9300000000000002E-2"/>
    <x v="0"/>
    <x v="1"/>
    <n v="24259"/>
    <n v="41"/>
    <n v="3.9300000000000002E-2"/>
    <n v="1.6113"/>
  </r>
  <r>
    <s v="recMQNLCC3lkOGyKC"/>
    <s v="Akello Kala - Agago | Lukole | Mat turo paco Gardener"/>
    <n v="1"/>
    <s v="Melia, Musizi, Gmelina,"/>
    <d v="2022-08-23T00:00:00"/>
    <s v="Agago"/>
    <s v="Lukole"/>
    <n v="281"/>
    <n v="184"/>
    <n v="42"/>
    <n v="55"/>
    <n v="0"/>
    <n v="0"/>
    <n v="0"/>
    <n v="0"/>
    <n v="0"/>
    <n v="0.25779999999999997"/>
    <x v="0"/>
    <x v="1"/>
    <n v="19440"/>
    <n v="43"/>
    <n v="0.25779999999999997"/>
    <n v="11.085399999999998"/>
  </r>
  <r>
    <s v="recsSS1qdKocr6aab"/>
    <s v="Akello lilly - Agago | Kuywe | Yub paco ni Gardener"/>
    <n v="1"/>
    <s v="Melia, Gmelina, Senna,"/>
    <d v="2022-08-20T00:00:00"/>
    <s v="Agago"/>
    <s v="Kuywe"/>
    <n v="80"/>
    <n v="20"/>
    <n v="0"/>
    <n v="40"/>
    <n v="0"/>
    <n v="0"/>
    <n v="0"/>
    <n v="20"/>
    <n v="0"/>
    <n v="5.6399999999999999E-2"/>
    <x v="0"/>
    <x v="1"/>
    <n v="17384"/>
    <n v="42"/>
    <n v="5.6399999999999999E-2"/>
    <n v="2.3687999999999998"/>
  </r>
  <r>
    <s v="recjJxsiJ75Kx2ePc"/>
    <s v="Akello paska - Agago | Lapono | Onen kuc Gardener"/>
    <n v="1"/>
    <s v="Melia, Gmelina,"/>
    <d v="2022-08-22T00:00:00"/>
    <s v="Agago"/>
    <s v="Lapono"/>
    <n v="51"/>
    <n v="43"/>
    <n v="0"/>
    <n v="8"/>
    <n v="0"/>
    <n v="0"/>
    <n v="0"/>
    <n v="0"/>
    <n v="0"/>
    <n v="0.15029999999999999"/>
    <x v="0"/>
    <x v="1"/>
    <n v="17308"/>
    <n v="43"/>
    <n v="0.1507"/>
    <n v="6.4801000000000002"/>
  </r>
  <r>
    <s v="recrFi4lH1QHtR6IZ"/>
    <s v="Akello santa - Agago | Lira - Palwo | Tam piwa Gardener"/>
    <n v="1"/>
    <s v="Melia, Gmelina, Faidherbia,"/>
    <d v="2022-08-22T00:00:00"/>
    <s v="Agago"/>
    <s v="Lira - Palwo"/>
    <n v="167"/>
    <n v="67"/>
    <n v="0"/>
    <n v="20"/>
    <n v="0"/>
    <n v="80"/>
    <n v="0"/>
    <n v="0"/>
    <n v="0"/>
    <n v="0.1203"/>
    <x v="0"/>
    <x v="1"/>
    <n v="21362"/>
    <n v="38"/>
    <n v="0.1203"/>
    <n v="4.5714000000000006"/>
  </r>
  <r>
    <s v="rec04tTQpxeRX71GV"/>
    <s v="Akello Semmy - Omoro | Lalogi | Ogwete community Gardener"/>
    <n v="1"/>
    <s v="Melia, Musizi,"/>
    <d v="2022-08-22T00:00:00"/>
    <s v="Omoro"/>
    <s v="Lalogi"/>
    <n v="135"/>
    <n v="85"/>
    <n v="50"/>
    <n v="0"/>
    <n v="0"/>
    <n v="0"/>
    <n v="0"/>
    <n v="0"/>
    <n v="0"/>
    <n v="7.9100000000000004E-2"/>
    <x v="0"/>
    <x v="1"/>
    <n v="24621"/>
    <n v="43"/>
    <n v="7.9100000000000004E-2"/>
    <n v="3.4013"/>
  </r>
  <r>
    <s v="recU1QHC88Xhbut0s"/>
    <s v="Akello Stella - Omoro | Lalogi | Mak mukemi Gardener"/>
    <n v="1"/>
    <s v="Melia,"/>
    <d v="2022-06-14T00:00:00"/>
    <s v="Omoro"/>
    <s v="Lalogi"/>
    <n v="30"/>
    <n v="30"/>
    <n v="0"/>
    <n v="0"/>
    <n v="0"/>
    <n v="0"/>
    <n v="0"/>
    <n v="0"/>
    <n v="0"/>
    <n v="2.7099999999999999E-2"/>
    <x v="0"/>
    <x v="1"/>
    <n v="24252"/>
    <n v="45"/>
    <n v="2.7099999999999999E-2"/>
    <n v="1.2195"/>
  </r>
  <r>
    <s v="recd2uUu5DtklsT9N"/>
    <s v="Aketo Gloria - Agago | Paimol | Tem gumi - Gardener"/>
    <n v="1"/>
    <s v="Gmelina,"/>
    <d v="2022-08-06T00:00:00"/>
    <s v="Agago"/>
    <s v="Paimol"/>
    <n v="263"/>
    <n v="0"/>
    <n v="0"/>
    <n v="263"/>
    <n v="0"/>
    <n v="0"/>
    <n v="0"/>
    <n v="0"/>
    <n v="0"/>
    <n v="0.1968"/>
    <x v="0"/>
    <x v="1"/>
    <n v="18183"/>
    <n v="39"/>
    <n v="0.1968"/>
    <n v="7.6752000000000002"/>
  </r>
  <r>
    <s v="rec0PCEytJEZWPcfn"/>
    <s v="Akica Evelyn - Omoro | Lalogi | Ogwete community Gardener"/>
    <n v="1"/>
    <s v="Melia,"/>
    <d v="2022-10-21T00:00:00"/>
    <s v="Omoro"/>
    <s v="Lalogi"/>
    <n v="217"/>
    <n v="217"/>
    <n v="0"/>
    <n v="0"/>
    <n v="0"/>
    <n v="0"/>
    <n v="0"/>
    <n v="0"/>
    <n v="0"/>
    <n v="6.9900000000000004E-2"/>
    <x v="0"/>
    <x v="1"/>
    <n v="24251"/>
    <n v="46"/>
    <n v="4.4999999999999997E-3"/>
    <n v="0.20699999999999999"/>
  </r>
  <r>
    <s v="rec0PCEytJEZWPcfn"/>
    <s v="Akica Evelyn - Omoro | Lalogi | Ogwete community Gardener"/>
    <n v="1"/>
    <s v="Melia,"/>
    <d v="2022-10-21T00:00:00"/>
    <s v="Omoro"/>
    <s v="Lalogi"/>
    <n v="217"/>
    <n v="217"/>
    <n v="0"/>
    <n v="0"/>
    <n v="0"/>
    <n v="0"/>
    <n v="0"/>
    <n v="0"/>
    <n v="0"/>
    <n v="6.9900000000000004E-2"/>
    <x v="0"/>
    <x v="1"/>
    <n v="24621"/>
    <n v="43"/>
    <n v="6.54E-2"/>
    <n v="2.8121999999999998"/>
  </r>
  <r>
    <s v="recBHRx2KJFxMu1Ua"/>
    <s v="Akidi Alice - Agago | Adilang | Tam piwa Gardener"/>
    <n v="1"/>
    <s v="Melia, Gmelina,"/>
    <d v="2022-08-22T00:00:00"/>
    <s v="Agago"/>
    <s v="Adilang"/>
    <n v="180"/>
    <n v="80"/>
    <n v="0"/>
    <n v="100"/>
    <n v="0"/>
    <n v="0"/>
    <n v="0"/>
    <n v="0"/>
    <n v="0"/>
    <n v="5.7000000000000002E-2"/>
    <x v="0"/>
    <x v="1"/>
    <n v="23495"/>
    <n v="45"/>
    <n v="5.7000000000000002E-2"/>
    <n v="2.5649999999999999"/>
  </r>
  <r>
    <s v="recRUfjX8BFTkJico"/>
    <s v="Akidi Santina - Individual"/>
    <n v="1"/>
    <s v="Melia,"/>
    <d v="2022-08-22T00:00:00"/>
    <s v="Agago"/>
    <s v="Paimol"/>
    <n v="50"/>
    <n v="50"/>
    <n v="0"/>
    <n v="0"/>
    <n v="0"/>
    <n v="0"/>
    <n v="0"/>
    <n v="0"/>
    <n v="0"/>
    <n v="1.44E-2"/>
    <x v="0"/>
    <x v="1"/>
    <n v="14491"/>
    <n v="41"/>
    <n v="1.44E-2"/>
    <n v="0.59040000000000004"/>
  </r>
  <r>
    <s v="recrer1xlkCOioupd"/>
    <s v="Akidi betty - Agago | Kuywe | Ogen rwot Gardener"/>
    <n v="1"/>
    <s v="Melia, Gmelina, Senna,"/>
    <d v="2022-08-20T00:00:00"/>
    <s v="Agago"/>
    <s v="Kuywe"/>
    <n v="70"/>
    <n v="20"/>
    <n v="0"/>
    <n v="40"/>
    <n v="0"/>
    <n v="0"/>
    <n v="0"/>
    <n v="10"/>
    <n v="0"/>
    <n v="7.3999999999999996E-2"/>
    <x v="0"/>
    <x v="1"/>
    <n v="25608"/>
    <n v="39"/>
    <n v="7.3999999999999996E-2"/>
    <n v="2.8859999999999997"/>
  </r>
  <r>
    <s v="recUwWb1tYJTXXVfm"/>
    <s v="Akidi Betty - Omoro | Lalogi | Obed igen Gardener"/>
    <n v="1"/>
    <s v="Musizi, Ongono, Faidherbia, Opok,"/>
    <d v="2022-08-22T00:00:00"/>
    <s v="Omoro"/>
    <s v="Lalogi"/>
    <n v="254"/>
    <n v="0"/>
    <n v="140"/>
    <n v="0"/>
    <n v="48"/>
    <n v="58"/>
    <n v="8"/>
    <n v="0"/>
    <n v="0"/>
    <n v="0.38550000000000001"/>
    <x v="0"/>
    <x v="1"/>
    <n v="24251"/>
    <n v="46"/>
    <n v="0.38550000000000001"/>
    <n v="17.733000000000001"/>
  </r>
  <r>
    <s v="rec8e7zVVWflO6SPC"/>
    <s v="Akidi Carolina - Omoro | Lalogi | Kok kec ki kweri Gardener"/>
    <n v="1"/>
    <s v="Melia, Senna,"/>
    <d v="2022-08-22T00:00:00"/>
    <s v="Omoro"/>
    <s v="Lalogi"/>
    <n v="106"/>
    <n v="93"/>
    <n v="0"/>
    <n v="0"/>
    <n v="0"/>
    <n v="0"/>
    <n v="0"/>
    <n v="13"/>
    <n v="0"/>
    <n v="0.2092"/>
    <x v="0"/>
    <x v="1"/>
    <n v="23850"/>
    <n v="45"/>
    <n v="0.2092"/>
    <n v="9.4139999999999997"/>
  </r>
  <r>
    <s v="receqjtUbWVvMFWSf"/>
    <s v="Akidi paska - Agago | Paimol | Rubanga tek women's group - Gardener"/>
    <n v="1"/>
    <s v="Melia, Gmelina,"/>
    <d v="1945-01-25T00:00:00"/>
    <s v="Agago"/>
    <s v="Paimol"/>
    <n v="95"/>
    <n v="30"/>
    <n v="0"/>
    <n v="65"/>
    <n v="0"/>
    <n v="0"/>
    <n v="0"/>
    <n v="0"/>
    <n v="0"/>
    <n v="0.1062"/>
    <x v="0"/>
    <x v="1"/>
    <n v="14487"/>
    <n v="36"/>
    <n v="0.10630000000000001"/>
    <n v="3.8268000000000004"/>
  </r>
  <r>
    <s v="recz2O66P7VceEREC"/>
    <s v="Akidi Scovia - Omoro | Lalogi | Bedi igen Gardener"/>
    <n v="1"/>
    <s v="Melia, Musizi, Ongono, Opok, Senna,"/>
    <d v="2022-06-14T00:00:00"/>
    <s v="Omoro"/>
    <s v="Lalogi"/>
    <n v="115"/>
    <n v="18"/>
    <n v="24"/>
    <n v="0"/>
    <n v="25"/>
    <n v="0"/>
    <n v="8"/>
    <n v="40"/>
    <n v="0"/>
    <n v="5.04E-2"/>
    <x v="0"/>
    <x v="1"/>
    <n v="24251"/>
    <n v="46"/>
    <n v="5.04E-2"/>
    <n v="2.3184"/>
  </r>
  <r>
    <s v="recBNXaIAR5HXtIkm"/>
    <s v="Akonyi Lilian - Agago | Kuywe | Tam pi Anyim Gardener"/>
    <n v="1"/>
    <s v="Melia, Gmelina,"/>
    <d v="2022-09-04T00:00:00"/>
    <s v="Agago"/>
    <s v="Kuywe"/>
    <n v="80"/>
    <n v="35"/>
    <n v="0"/>
    <n v="45"/>
    <n v="0"/>
    <n v="0"/>
    <n v="0"/>
    <n v="0"/>
    <n v="0"/>
    <n v="1.4E-2"/>
    <x v="0"/>
    <x v="1"/>
    <n v="26435"/>
    <n v="21"/>
    <n v="2.0799999999999999E-2"/>
    <n v="0.43679999999999997"/>
  </r>
  <r>
    <s v="rec766NtLJ9nKzrbX"/>
    <s v="Akot Sophia - Agago | Adilang | Tam piwa Gardener"/>
    <n v="1"/>
    <s v="Melia, Gmelina,"/>
    <d v="2022-08-22T00:00:00"/>
    <s v="Agago"/>
    <s v="Adilang"/>
    <n v="130"/>
    <n v="50"/>
    <n v="0"/>
    <n v="80"/>
    <n v="0"/>
    <n v="0"/>
    <n v="0"/>
    <n v="0"/>
    <n v="0"/>
    <n v="4.1300000000000003E-2"/>
    <x v="0"/>
    <x v="1"/>
    <n v="23496"/>
    <n v="47"/>
    <n v="4.1300000000000003E-2"/>
    <n v="1.9411"/>
  </r>
  <r>
    <s v="recMB13epV8LFcZXJ"/>
    <s v="Akot Anna - Omoro | Lalogi | Ogwete community Gardener"/>
    <n v="1"/>
    <s v="Melia, Musizi,"/>
    <d v="2022-07-14T00:00:00"/>
    <s v="Omoro"/>
    <s v="Lalogi"/>
    <n v="120"/>
    <n v="35"/>
    <n v="85"/>
    <n v="0"/>
    <n v="0"/>
    <n v="0"/>
    <n v="0"/>
    <n v="0"/>
    <n v="0"/>
    <n v="5.1900000000000002E-2"/>
    <x v="0"/>
    <x v="1"/>
    <n v="24251"/>
    <n v="46"/>
    <n v="5.1900000000000002E-2"/>
    <n v="2.3874"/>
  </r>
  <r>
    <s v="recJ7m0T6V0lJ03Ae"/>
    <s v="Akot Stella - Agago | Paimol | Amini ngo Gardener"/>
    <n v="1"/>
    <s v="Gmelina,"/>
    <d v="2022-05-26T00:00:00"/>
    <s v="Agago"/>
    <s v="Paimol"/>
    <n v="22"/>
    <n v="0"/>
    <n v="0"/>
    <n v="22"/>
    <n v="0"/>
    <n v="0"/>
    <n v="0"/>
    <n v="0"/>
    <n v="0"/>
    <n v="5.2499999999999998E-2"/>
    <x v="0"/>
    <x v="1"/>
    <n v="25638"/>
    <n v="34"/>
    <n v="5.2499999999999998E-2"/>
    <n v="1.7849999999999999"/>
  </r>
  <r>
    <s v="recB8ISpweSvVFUvQ"/>
    <s v="Akoth hida - Agago | Lira - Palwo | Waribu tam Gardener"/>
    <n v="1"/>
    <s v="Melia, Gmelina, Ongono, Senna,"/>
    <d v="2022-08-22T00:00:00"/>
    <s v="Agago"/>
    <s v="Lira - Palwo"/>
    <n v="120"/>
    <n v="30"/>
    <n v="0"/>
    <n v="15"/>
    <n v="50"/>
    <n v="0"/>
    <n v="0"/>
    <n v="25"/>
    <n v="0"/>
    <n v="0.17580000000000001"/>
    <x v="0"/>
    <x v="1"/>
    <n v="21546"/>
    <n v="37"/>
    <n v="0.17580000000000001"/>
    <n v="6.5046000000000008"/>
  </r>
  <r>
    <s v="recmKO80i7Vj8HJGI"/>
    <s v="Akul Hellen - Agago | Lapono | Odong mon Gardener"/>
    <n v="1"/>
    <s v="Melia, Gmelina, Opok, Senna,"/>
    <d v="2022-10-06T00:00:00"/>
    <s v="Agago"/>
    <s v="Lapono"/>
    <n v="81"/>
    <n v="34"/>
    <n v="0"/>
    <n v="4"/>
    <n v="0"/>
    <n v="0"/>
    <n v="8"/>
    <n v="35"/>
    <n v="0"/>
    <n v="2.5999999999999999E-2"/>
    <x v="0"/>
    <x v="1"/>
    <n v="16711"/>
    <n v="46"/>
    <n v="2.5999999999999999E-2"/>
    <n v="1.196"/>
  </r>
  <r>
    <s v="recr6DjwuY5UQGYNx"/>
    <s v="Akulu betty - Agago | Lira - Palwo | Rippe aye teko Gardener"/>
    <n v="1"/>
    <s v="Melia, Musizi,"/>
    <d v="2022-08-22T00:00:00"/>
    <s v="Agago"/>
    <s v="Lira - Palwo"/>
    <n v="111"/>
    <n v="101"/>
    <n v="10"/>
    <n v="0"/>
    <n v="0"/>
    <n v="0"/>
    <n v="0"/>
    <n v="0"/>
    <n v="0"/>
    <n v="0.1414"/>
    <x v="0"/>
    <x v="1"/>
    <n v="20392"/>
    <n v="40"/>
    <n v="0.1414"/>
    <n v="5.6559999999999997"/>
  </r>
  <r>
    <s v="recRWa7cseLFNhTmf"/>
    <s v="Akun Hellen - Agago | Lira - Palwo | Tam piwa Gardener"/>
    <n v="1"/>
    <s v="Melia, Ongono,"/>
    <d v="2022-08-22T00:00:00"/>
    <s v="Agago"/>
    <s v="Lira - Palwo"/>
    <n v="210"/>
    <n v="76"/>
    <n v="0"/>
    <n v="0"/>
    <n v="134"/>
    <n v="0"/>
    <n v="0"/>
    <n v="0"/>
    <n v="0"/>
    <n v="0.1454"/>
    <x v="0"/>
    <x v="1"/>
    <n v="21547"/>
    <n v="40"/>
    <n v="0.1454"/>
    <n v="5.8159999999999998"/>
  </r>
  <r>
    <s v="recYyCwmG30XMYFyu"/>
    <s v="Akwaro janet - Agago | Kuywe | Ogen rwot Gardener"/>
    <n v="1"/>
    <s v="Melia, Musizi, Gmelina, Senna,"/>
    <d v="2022-09-20T00:00:00"/>
    <s v="Agago"/>
    <s v="Kuywe"/>
    <n v="190"/>
    <n v="85"/>
    <n v="5"/>
    <n v="75"/>
    <n v="0"/>
    <n v="0"/>
    <n v="0"/>
    <n v="25"/>
    <n v="0"/>
    <n v="8.2000000000000007E-3"/>
    <x v="0"/>
    <x v="1"/>
    <n v="14271"/>
    <n v="45"/>
    <n v="8.3999999999999995E-3"/>
    <n v="0.378"/>
  </r>
  <r>
    <s v="rec0ltHofuP6OtQmq"/>
    <s v="Alanyo Dorine - Peko ma poto atura"/>
    <n v="1"/>
    <s v="Melia, Gmelina, Ongono, Senna,"/>
    <d v="2022-08-22T00:00:00"/>
    <s v="Individual Farmer"/>
    <s v="Individual Farmer"/>
    <n v="70"/>
    <n v="9"/>
    <n v="0"/>
    <n v="14"/>
    <n v="40"/>
    <n v="0"/>
    <n v="0"/>
    <n v="7"/>
    <n v="0"/>
    <n v="2.0299999999999999E-2"/>
    <x v="0"/>
    <x v="1"/>
    <n v="17308"/>
    <n v="43"/>
    <n v="2.0299999999999999E-2"/>
    <n v="0.8728999999999999"/>
  </r>
  <r>
    <s v="recROaoBvMl9QDT3l"/>
    <s v="Alimo Asther - Agago | Lapono | Onen kuc Gardener"/>
    <n v="1"/>
    <s v="Melia, Gmelina,"/>
    <d v="2022-09-24T00:00:00"/>
    <s v="Agago"/>
    <s v="Lapono"/>
    <n v="30"/>
    <n v="15"/>
    <n v="0"/>
    <n v="15"/>
    <n v="0"/>
    <n v="0"/>
    <n v="0"/>
    <n v="0"/>
    <n v="0"/>
    <n v="2.0199999999999999E-2"/>
    <x v="0"/>
    <x v="1"/>
    <n v="26438"/>
    <n v="35"/>
    <n v="2.0199999999999999E-2"/>
    <n v="0.70699999999999996"/>
  </r>
  <r>
    <s v="recFOFJs5Ojx5kPvf"/>
    <s v="Alimo Esther - Onen kuc"/>
    <n v="1"/>
    <s v="Melia, Gmelina,"/>
    <d v="2022-08-22T00:00:00"/>
    <s v="Individual Farmer"/>
    <s v="Individual Farmer"/>
    <n v="3"/>
    <n v="2"/>
    <n v="0"/>
    <n v="1"/>
    <n v="0"/>
    <n v="0"/>
    <n v="0"/>
    <n v="0"/>
    <n v="0"/>
    <n v="2.4299999999999999E-2"/>
    <x v="0"/>
    <x v="1"/>
    <n v="17308"/>
    <n v="43"/>
    <n v="2.4299999999999999E-2"/>
    <n v="1.0448999999999999"/>
  </r>
  <r>
    <s v="recSOg5HB8mGBsZHT"/>
    <s v="Alimo Florence - Agago | Kuywe | Tam pi Anyim Gardener"/>
    <n v="1"/>
    <s v="Melia,"/>
    <d v="2022-09-05T00:00:00"/>
    <s v="Agago"/>
    <s v="Kuywe"/>
    <n v="36"/>
    <n v="36"/>
    <n v="0"/>
    <n v="0"/>
    <n v="0"/>
    <n v="0"/>
    <n v="0"/>
    <n v="0"/>
    <n v="0"/>
    <n v="3.2000000000000002E-3"/>
    <x v="0"/>
    <x v="1"/>
    <n v="25833"/>
    <n v="23"/>
    <n v="3.2000000000000002E-3"/>
    <n v="7.3599999999999999E-2"/>
  </r>
  <r>
    <s v="recHSIMjVhqepzeRw"/>
    <s v="Alimo rose - Agago | Lira - Palwo | Tam piwa Gardener"/>
    <n v="1"/>
    <s v="Melia, Ongono,"/>
    <d v="2022-08-22T00:00:00"/>
    <s v="Agago"/>
    <s v="Lira - Palwo"/>
    <n v="192"/>
    <n v="57"/>
    <n v="0"/>
    <n v="0"/>
    <n v="135"/>
    <n v="0"/>
    <n v="0"/>
    <n v="0"/>
    <n v="0"/>
    <n v="0.10879999999999999"/>
    <x v="0"/>
    <x v="1"/>
    <n v="21547"/>
    <n v="40"/>
    <n v="0.10879999999999999"/>
    <n v="4.3519999999999994"/>
  </r>
  <r>
    <s v="rec7pt5NG3ZIIGvOs"/>
    <s v="Aling lilian - Agago | Kuywe | Cam badi Gardener"/>
    <n v="1"/>
    <s v="Melia,"/>
    <d v="2022-07-20T00:00:00"/>
    <s v="Agago"/>
    <s v="Kuywe"/>
    <n v="150"/>
    <n v="150"/>
    <n v="0"/>
    <n v="0"/>
    <n v="0"/>
    <n v="0"/>
    <n v="0"/>
    <n v="0"/>
    <n v="0"/>
    <n v="0.73409999999999997"/>
    <x v="0"/>
    <x v="1"/>
    <n v="14643"/>
    <n v="43"/>
    <n v="0.73409999999999997"/>
    <n v="31.566299999999998"/>
  </r>
  <r>
    <s v="recJUFKXcRGw8dqK1"/>
    <s v="Alobo jenet - Omoro | Lalogi | Bed Inge B Gardener"/>
    <n v="1"/>
    <s v="Melia,"/>
    <d v="2022-08-22T00:00:00"/>
    <s v="Omoro"/>
    <s v="Lalogi"/>
    <n v="129"/>
    <n v="129"/>
    <n v="0"/>
    <n v="0"/>
    <n v="0"/>
    <n v="0"/>
    <n v="0"/>
    <n v="0"/>
    <n v="0"/>
    <n v="0.59599999999999997"/>
    <x v="0"/>
    <x v="1"/>
    <n v="24256"/>
    <n v="45"/>
    <n v="0.55310000000000004"/>
    <n v="24.889500000000002"/>
  </r>
  <r>
    <s v="recJUFKXcRGw8dqK1"/>
    <s v="Alobo jenet - Omoro | Lalogi | Bed Inge B Gardener"/>
    <n v="1"/>
    <s v="Melia,"/>
    <d v="2022-08-22T00:00:00"/>
    <s v="Omoro"/>
    <s v="Lalogi"/>
    <n v="129"/>
    <n v="129"/>
    <n v="0"/>
    <n v="0"/>
    <n v="0"/>
    <n v="0"/>
    <n v="0"/>
    <n v="0"/>
    <n v="0"/>
    <n v="0.59599999999999997"/>
    <x v="0"/>
    <x v="1"/>
    <n v="24439"/>
    <n v="42"/>
    <n v="4.2900000000000001E-2"/>
    <n v="1.8018000000000001"/>
  </r>
  <r>
    <s v="reciCjDZUSTZ6Gg5d"/>
    <s v="Aloyo Janet - Agago | Lira - Palwo | Rippe aye teko Gardener"/>
    <n v="1"/>
    <s v="Melia, Gmelina,"/>
    <d v="2022-09-14T00:00:00"/>
    <s v="Agago"/>
    <s v="Lira - Palwo"/>
    <n v="170"/>
    <n v="70"/>
    <n v="0"/>
    <n v="100"/>
    <n v="0"/>
    <n v="0"/>
    <n v="0"/>
    <n v="0"/>
    <n v="0"/>
    <n v="0.1389"/>
    <x v="0"/>
    <x v="1"/>
    <n v="14271"/>
    <n v="45"/>
    <n v="0.13919999999999999"/>
    <n v="6.2639999999999993"/>
  </r>
  <r>
    <s v="recc6W5gxt46vhFpt"/>
    <s v="Alum sisilia - Agago | Lira - Palwo | Tam piwa Gardener"/>
    <n v="1"/>
    <s v="Melia, Gmelina, Ongono,"/>
    <d v="2022-08-22T00:00:00"/>
    <s v="Agago"/>
    <s v="Lira - Palwo"/>
    <n v="162"/>
    <n v="84"/>
    <n v="0"/>
    <n v="10"/>
    <n v="68"/>
    <n v="0"/>
    <n v="0"/>
    <n v="0"/>
    <n v="0"/>
    <n v="0.26"/>
    <x v="0"/>
    <x v="1"/>
    <n v="21546"/>
    <n v="37"/>
    <n v="0.26"/>
    <n v="9.620000000000001"/>
  </r>
  <r>
    <s v="rec0WWos8szstQXEW"/>
    <s v="Alwoc christine - Agago | Kuywe | Ogen rwot Gardener"/>
    <n v="1"/>
    <s v="Melia, Gmelina, Senna,"/>
    <d v="2022-08-25T00:00:00"/>
    <s v="Agago"/>
    <s v="Kuywe"/>
    <n v="105"/>
    <n v="20"/>
    <n v="0"/>
    <n v="70"/>
    <n v="0"/>
    <n v="0"/>
    <n v="0"/>
    <n v="15"/>
    <n v="0"/>
    <n v="6.3E-3"/>
    <x v="0"/>
    <x v="1"/>
    <n v="26207"/>
    <n v="42"/>
    <n v="6.3E-3"/>
    <n v="0.2646"/>
  </r>
  <r>
    <s v="recBao5CrlBT42YHk"/>
    <s v="Amarorwot Juliet - Omoro | Lalogi | Kok kec ki kweri Gardener"/>
    <n v="1"/>
    <s v="Melia,"/>
    <d v="2022-08-22T00:00:00"/>
    <s v="Omoro"/>
    <s v="Lalogi"/>
    <n v="324"/>
    <n v="324"/>
    <n v="0"/>
    <n v="0"/>
    <n v="0"/>
    <n v="0"/>
    <n v="0"/>
    <n v="0"/>
    <n v="0"/>
    <n v="0.40870000000000001"/>
    <x v="0"/>
    <x v="1"/>
    <n v="23849"/>
    <n v="46"/>
    <n v="0.40870000000000001"/>
    <n v="18.8002"/>
  </r>
  <r>
    <s v="rec1CgSbi3ak61vaV"/>
    <s v="Amito Susan - Agago | Adilang | Tam piwa Gardener"/>
    <n v="1"/>
    <s v="Melia, Gmelina,"/>
    <d v="2022-08-22T00:00:00"/>
    <s v="Agago"/>
    <s v="Adilang"/>
    <n v="90"/>
    <n v="50"/>
    <n v="0"/>
    <n v="40"/>
    <n v="0"/>
    <n v="0"/>
    <n v="0"/>
    <n v="0"/>
    <n v="0"/>
    <n v="5.7000000000000002E-2"/>
    <x v="0"/>
    <x v="1"/>
    <n v="23496"/>
    <n v="47"/>
    <n v="5.7000000000000002E-2"/>
    <n v="2.6790000000000003"/>
  </r>
  <r>
    <s v="recjtqxG0Mqz1gucX"/>
    <s v="Amolo Kamila - Peko ma poto atura"/>
    <n v="1"/>
    <s v="Melia, Gmelina, Senna,"/>
    <d v="2022-08-22T00:00:00"/>
    <s v="Individual Farmer"/>
    <s v="Individual Farmer"/>
    <n v="9"/>
    <n v="3"/>
    <n v="0"/>
    <n v="4"/>
    <n v="0"/>
    <n v="0"/>
    <n v="0"/>
    <n v="2"/>
    <n v="0"/>
    <n v="3.78E-2"/>
    <x v="0"/>
    <x v="1"/>
    <n v="17308"/>
    <n v="43"/>
    <n v="3.78E-2"/>
    <n v="1.6254"/>
  </r>
  <r>
    <s v="recIPYsZgMLcYIacX"/>
    <s v="Amolo Nighty - Agago | Paimol | Cing ki cing - Gardener"/>
    <n v="1"/>
    <s v="Melia, Musizi,"/>
    <d v="2022-08-20T00:00:00"/>
    <s v="Agago"/>
    <s v="Paimol"/>
    <n v="242"/>
    <n v="99"/>
    <n v="143"/>
    <n v="0"/>
    <n v="0"/>
    <n v="0"/>
    <n v="0"/>
    <n v="0"/>
    <n v="0"/>
    <n v="5.3600000000000002E-2"/>
    <x v="0"/>
    <x v="1"/>
    <n v="26737"/>
    <n v="32"/>
    <n v="5.3600000000000002E-2"/>
    <n v="1.7152000000000001"/>
  </r>
  <r>
    <s v="recGE4malCayUeRcx"/>
    <s v="Amono Chonsiantino - Omoro | Lalogi | Kok kec ki kweri Gardener"/>
    <n v="1"/>
    <s v="Melia, Senna,"/>
    <d v="2022-08-22T00:00:00"/>
    <s v="Omoro"/>
    <s v="Lalogi"/>
    <n v="125"/>
    <n v="122"/>
    <n v="0"/>
    <n v="0"/>
    <n v="0"/>
    <n v="0"/>
    <n v="0"/>
    <n v="3"/>
    <n v="0"/>
    <n v="0.18559999999999999"/>
    <x v="0"/>
    <x v="1"/>
    <n v="23850"/>
    <n v="45"/>
    <n v="0.18559999999999999"/>
    <n v="8.3520000000000003"/>
  </r>
  <r>
    <s v="recBpeWBPhOVBY7J8"/>
    <s v="Amono Esther - Agago | Lukole | Mat turo paco Gardener"/>
    <n v="1"/>
    <s v="Melia, Musizi, Gmelina,"/>
    <d v="2022-08-18T00:00:00"/>
    <s v="Agago"/>
    <s v="Lukole"/>
    <n v="245"/>
    <n v="150"/>
    <n v="42"/>
    <n v="53"/>
    <n v="0"/>
    <n v="0"/>
    <n v="0"/>
    <n v="0"/>
    <n v="0"/>
    <n v="0.55159999999999998"/>
    <x v="0"/>
    <x v="1"/>
    <n v="19440"/>
    <n v="43"/>
    <n v="0.52049999999999996"/>
    <n v="22.381499999999999"/>
  </r>
  <r>
    <s v="recBpeWBPhOVBY7J8"/>
    <s v="Amono Esther - Agago | Lukole | Mat turo paco Gardener"/>
    <n v="1"/>
    <s v="Melia, Musizi, Gmelina,"/>
    <d v="2022-08-18T00:00:00"/>
    <s v="Agago"/>
    <s v="Lukole"/>
    <n v="245"/>
    <n v="150"/>
    <n v="42"/>
    <n v="53"/>
    <n v="0"/>
    <n v="0"/>
    <n v="0"/>
    <n v="0"/>
    <n v="0"/>
    <n v="0.55159999999999998"/>
    <x v="0"/>
    <x v="1"/>
    <n v="19627"/>
    <n v="40"/>
    <n v="3.1099999999999999E-2"/>
    <n v="1.244"/>
  </r>
  <r>
    <s v="recPA01LFbzHtd07S"/>
    <s v="Amono helda - Agago | | Individual Farmer Gardener"/>
    <n v="1"/>
    <s v="Melia,"/>
    <d v="2022-11-15T00:00:00"/>
    <s v="Agago"/>
    <s v="Individual Farmer"/>
    <n v="50"/>
    <n v="50"/>
    <n v="0"/>
    <n v="0"/>
    <n v="0"/>
    <n v="0"/>
    <n v="0"/>
    <n v="0"/>
    <n v="0"/>
    <n v="4.8399999999999999E-2"/>
    <x v="0"/>
    <x v="1"/>
    <n v="14487"/>
    <n v="36"/>
    <n v="4.8399999999999999E-2"/>
    <n v="1.7423999999999999"/>
  </r>
  <r>
    <s v="rec2DA7ZAt7eojiro"/>
    <s v="Amono stella - Agago | Lira - Palwo | Waribu tam Gardener"/>
    <n v="1"/>
    <s v="Melia, Senna,"/>
    <d v="2022-09-06T00:00:00"/>
    <s v="Agago"/>
    <s v="Lira - Palwo"/>
    <n v="79"/>
    <n v="69"/>
    <n v="0"/>
    <n v="0"/>
    <n v="0"/>
    <n v="0"/>
    <n v="0"/>
    <n v="10"/>
    <n v="0"/>
    <n v="3.2800000000000003E-2"/>
    <x v="0"/>
    <x v="1"/>
    <n v="21546"/>
    <n v="37"/>
    <n v="3.2800000000000003E-2"/>
    <n v="1.2136"/>
  </r>
  <r>
    <s v="recMpjH3fl1crSfH5"/>
    <s v="Amouny alice - Agago | Lira - Palwo | Rippe aye teko Gardener"/>
    <n v="1"/>
    <s v="Musizi, Gmelina,"/>
    <d v="2022-08-22T00:00:00"/>
    <s v="Agago"/>
    <s v="Lira - Palwo"/>
    <n v="75"/>
    <n v="0"/>
    <n v="48"/>
    <n v="27"/>
    <n v="0"/>
    <n v="0"/>
    <n v="0"/>
    <n v="0"/>
    <n v="0"/>
    <n v="0.19500000000000001"/>
    <x v="0"/>
    <x v="1"/>
    <n v="20392"/>
    <n v="40"/>
    <n v="0.19500000000000001"/>
    <n v="7.8000000000000007"/>
  </r>
  <r>
    <s v="recPE0fBU16PAUene"/>
    <s v="Anek Sidonia - Onen kuc"/>
    <n v="1"/>
    <m/>
    <d v="2022-08-22T00:00:00"/>
    <s v="Individual Farmer"/>
    <s v="Individual Farmer"/>
    <n v="0"/>
    <n v="0"/>
    <n v="0"/>
    <n v="0"/>
    <n v="0"/>
    <n v="0"/>
    <n v="0"/>
    <n v="0"/>
    <n v="0"/>
    <n v="9.3600000000000003E-2"/>
    <x v="0"/>
    <x v="1"/>
    <n v="17308"/>
    <n v="43"/>
    <n v="9.3600000000000003E-2"/>
    <n v="4.0247999999999999"/>
  </r>
  <r>
    <s v="recHRTedYXFALUwoj"/>
    <s v="Anek rose mary - Agago | Kuywe | Gum anywala Gardener"/>
    <n v="1"/>
    <s v="Musizi, Gmelina, Senna,"/>
    <d v="2022-07-20T00:00:00"/>
    <s v="Agago"/>
    <s v="Kuywe"/>
    <n v="51"/>
    <n v="0"/>
    <n v="6"/>
    <n v="35"/>
    <n v="0"/>
    <n v="0"/>
    <n v="0"/>
    <n v="10"/>
    <n v="0"/>
    <n v="9.2899999999999996E-2"/>
    <x v="0"/>
    <x v="1"/>
    <n v="22268"/>
    <n v="47"/>
    <n v="9.2899999999999996E-2"/>
    <n v="4.3662999999999998"/>
  </r>
  <r>
    <s v="rec9de2XyuLI6xT9G"/>
    <s v="Aneno Santa - Omoro | Lalogi | Mak mukemi Gardener"/>
    <n v="1"/>
    <s v="Melia, Musizi, Opok,"/>
    <d v="2022-07-04T00:00:00"/>
    <s v="Omoro"/>
    <s v="Lalogi"/>
    <n v="42"/>
    <n v="27"/>
    <n v="10"/>
    <n v="0"/>
    <n v="0"/>
    <n v="0"/>
    <n v="5"/>
    <n v="0"/>
    <n v="0"/>
    <n v="2.2499999999999999E-2"/>
    <x v="0"/>
    <x v="1"/>
    <n v="24253"/>
    <n v="48"/>
    <n v="2.2499999999999999E-2"/>
    <n v="1.08"/>
  </r>
  <r>
    <s v="recK0Rqjzm1iBM2XE"/>
    <s v="Angango Milly - Omoro | Lalogi | Obed igen Gardener"/>
    <n v="1"/>
    <s v="Melia, Musizi, Faidherbia,"/>
    <d v="2022-05-25T00:00:00"/>
    <s v="Omoro"/>
    <s v="Lalogi"/>
    <n v="117"/>
    <n v="53"/>
    <n v="16"/>
    <n v="0"/>
    <n v="0"/>
    <n v="48"/>
    <n v="0"/>
    <n v="0"/>
    <n v="0"/>
    <n v="0.1002"/>
    <x v="0"/>
    <x v="1"/>
    <n v="24251"/>
    <n v="46"/>
    <n v="0.1002"/>
    <n v="4.6091999999999995"/>
  </r>
  <r>
    <s v="rec28QnEDYbvdPuYS"/>
    <s v="Angom dorine - Agago | Paimol | Rubanga tek women's group - Gardener"/>
    <n v="1"/>
    <s v="Gmelina,"/>
    <d v="2023-05-11T00:00:00"/>
    <s v="Agago"/>
    <s v="Paimol"/>
    <n v="30"/>
    <n v="0"/>
    <n v="0"/>
    <n v="30"/>
    <n v="0"/>
    <n v="0"/>
    <n v="0"/>
    <n v="0"/>
    <n v="0"/>
    <n v="0.1295"/>
    <x v="0"/>
    <x v="1"/>
    <n v="25838"/>
    <n v="35"/>
    <n v="0.12959999999999999"/>
    <n v="4.5359999999999996"/>
  </r>
  <r>
    <s v="rec0DhtEsYkEiKLi0"/>
    <s v="Angom Esther - Kitgum | Orom East | Kipak rwot - Gardener"/>
    <n v="1"/>
    <s v="Melia, Musizi, Gmelina, Ongono, Opok, Senna,"/>
    <d v="2022-09-22T00:00:00"/>
    <s v="Kitgum"/>
    <s v="Orom East"/>
    <n v="412"/>
    <n v="100"/>
    <n v="90"/>
    <n v="55"/>
    <n v="100"/>
    <n v="0"/>
    <n v="2"/>
    <n v="65"/>
    <n v="0"/>
    <n v="0.1457"/>
    <x v="0"/>
    <x v="1"/>
    <n v="6036"/>
    <n v="40"/>
    <n v="0.1457"/>
    <n v="5.8279999999999994"/>
  </r>
  <r>
    <s v="rec6xzde8jAzhAyfz"/>
    <s v="Angom Lilly - Agago | Lapono | Peko ma poto atura - Gardener"/>
    <n v="1"/>
    <s v="Melia, Gmelina, Ongono, Senna,"/>
    <d v="2022-08-22T00:00:00"/>
    <s v="Agago"/>
    <s v="Lapono"/>
    <n v="67"/>
    <n v="18"/>
    <n v="0"/>
    <n v="9"/>
    <n v="20"/>
    <n v="0"/>
    <n v="0"/>
    <n v="20"/>
    <n v="0"/>
    <n v="0.37259999999999999"/>
    <x v="0"/>
    <x v="1"/>
    <n v="17308"/>
    <n v="43"/>
    <n v="0.37259999999999999"/>
    <n v="16.021799999999999"/>
  </r>
  <r>
    <s v="recOMGNyHx3l8gxRt"/>
    <s v="Anwar felex - Agago | Kuywe | Lobo cana Gardener"/>
    <n v="1"/>
    <s v="Melia, Gmelina, Senna,"/>
    <d v="2022-07-23T00:00:00"/>
    <s v="Agago"/>
    <s v="Kuywe"/>
    <n v="502"/>
    <n v="220"/>
    <n v="0"/>
    <n v="35"/>
    <n v="0"/>
    <n v="0"/>
    <n v="0"/>
    <n v="247"/>
    <n v="0"/>
    <n v="8.3799999999999999E-2"/>
    <x v="0"/>
    <x v="1"/>
    <n v="17308"/>
    <n v="43"/>
    <n v="8.3799999999999999E-2"/>
    <n v="3.6034000000000002"/>
  </r>
  <r>
    <s v="recbxyXSzyMOZ0BV1"/>
    <s v="Anyango Evaline - Kitgum | Orom East | Waryemo Can Gardener"/>
    <n v="1"/>
    <s v="Melia, Musizi, Gmelina, Ongono, Faidherbia, Opok, Senna,"/>
    <d v="2022-07-23T00:00:00"/>
    <s v="Kitgum"/>
    <s v="Orom East"/>
    <n v="240"/>
    <n v="40"/>
    <n v="30"/>
    <n v="40"/>
    <n v="30"/>
    <n v="30"/>
    <n v="30"/>
    <n v="40"/>
    <n v="0"/>
    <n v="0.19040000000000001"/>
    <x v="0"/>
    <x v="1"/>
    <n v="5843"/>
    <n v="44"/>
    <n v="0.19040000000000001"/>
    <n v="8.377600000000001"/>
  </r>
  <r>
    <s v="recWlBJLcmrSiJftn"/>
    <s v="Anyango Hellen - Omoro | Lalogi | Kok kec ki kweri Gardener"/>
    <n v="1"/>
    <s v="Melia, Senna,"/>
    <d v="2022-08-22T00:00:00"/>
    <s v="Omoro"/>
    <s v="Lalogi"/>
    <n v="250"/>
    <n v="100"/>
    <n v="0"/>
    <n v="0"/>
    <n v="0"/>
    <n v="0"/>
    <n v="0"/>
    <n v="150"/>
    <n v="0"/>
    <n v="0.3468"/>
    <x v="0"/>
    <x v="1"/>
    <n v="23645"/>
    <n v="50"/>
    <n v="2.7000000000000001E-3"/>
    <n v="0.13500000000000001"/>
  </r>
  <r>
    <s v="recWlBJLcmrSiJftn"/>
    <s v="Anyango Hellen - Omoro | Lalogi | Kok kec ki kweri Gardener"/>
    <n v="1"/>
    <s v="Melia, Senna,"/>
    <d v="2022-08-22T00:00:00"/>
    <s v="Omoro"/>
    <s v="Lalogi"/>
    <n v="250"/>
    <n v="100"/>
    <n v="0"/>
    <n v="0"/>
    <n v="0"/>
    <n v="0"/>
    <n v="0"/>
    <n v="150"/>
    <n v="0"/>
    <n v="0.3468"/>
    <x v="0"/>
    <x v="1"/>
    <n v="23850"/>
    <n v="45"/>
    <n v="0.34410000000000002"/>
    <n v="15.484500000000001"/>
  </r>
  <r>
    <s v="recVRJEgvcIYUo3gt"/>
    <s v="Anyeko Santa - Yot yelo Mon"/>
    <n v="1"/>
    <s v="Melia, Gmelina, Senna,"/>
    <d v="2022-08-22T00:00:00"/>
    <s v="Individual Farmer"/>
    <s v="Individual Farmer"/>
    <n v="51"/>
    <n v="6"/>
    <n v="0"/>
    <n v="30"/>
    <n v="0"/>
    <n v="0"/>
    <n v="0"/>
    <n v="15"/>
    <n v="0"/>
    <n v="0.11459999999999999"/>
    <x v="0"/>
    <x v="1"/>
    <n v="20348"/>
    <n v="41"/>
    <n v="0.11459999999999999"/>
    <n v="4.6985999999999999"/>
  </r>
  <r>
    <s v="recjJ9YW864FEfr8I"/>
    <s v="Aol Hellen - Agago | Kuywe | Kica ber Gardener"/>
    <n v="1"/>
    <s v="Melia,"/>
    <d v="2022-09-24T00:00:00"/>
    <s v="Agago"/>
    <s v="Kuywe"/>
    <n v="20"/>
    <n v="20"/>
    <n v="0"/>
    <n v="0"/>
    <n v="0"/>
    <n v="0"/>
    <n v="0"/>
    <n v="0"/>
    <n v="0"/>
    <n v="3.4500000000000003E-2"/>
    <x v="0"/>
    <x v="1"/>
    <n v="17319"/>
    <n v="41"/>
    <n v="3.4500000000000003E-2"/>
    <n v="1.4145000000000001"/>
  </r>
  <r>
    <s v="recRdXE3t6FtE786Q"/>
    <s v="Aol jenifer - Agago | Kuywe | Ogen rwot Gardener"/>
    <n v="1"/>
    <s v="Melia, Musizi, Gmelina, Senna,"/>
    <d v="2022-08-18T00:00:00"/>
    <s v="Agago"/>
    <s v="Kuywe"/>
    <n v="120"/>
    <n v="30"/>
    <n v="5"/>
    <n v="75"/>
    <n v="0"/>
    <n v="0"/>
    <n v="0"/>
    <n v="10"/>
    <n v="0"/>
    <n v="7.4999999999999997E-3"/>
    <x v="0"/>
    <x v="1"/>
    <n v="25832"/>
    <n v="32"/>
    <n v="7.4999999999999997E-3"/>
    <n v="0.24"/>
  </r>
  <r>
    <s v="rec1lQZIkaxnWVuM6"/>
    <s v="Aparo Jennifer - Kitgum | Orom East | Waryemo Can Gardener"/>
    <n v="1"/>
    <s v="Melia, Musizi, Gmelina, Opok, Senna,"/>
    <d v="2022-08-07T00:00:00"/>
    <s v="Kitgum"/>
    <s v="Orom East"/>
    <n v="376"/>
    <n v="60"/>
    <n v="24"/>
    <n v="140"/>
    <n v="0"/>
    <n v="0"/>
    <n v="12"/>
    <n v="140"/>
    <n v="0"/>
    <n v="4.82E-2"/>
    <x v="0"/>
    <x v="1"/>
    <n v="5652"/>
    <n v="41"/>
    <n v="4.82E-2"/>
    <n v="1.9762"/>
  </r>
  <r>
    <s v="recoDLaxSiWZQGPdD"/>
    <s v="Apiyo Gibinina - Odong Mon"/>
    <n v="1"/>
    <s v="Melia, Senna, Lebbek"/>
    <d v="2022-08-22T00:00:00"/>
    <s v="Individual Farmer"/>
    <s v="Individual Farmer"/>
    <n v="19"/>
    <n v="7"/>
    <n v="0"/>
    <n v="0"/>
    <n v="0"/>
    <n v="0"/>
    <n v="0"/>
    <n v="10"/>
    <n v="2"/>
    <n v="1.8800000000000001E-2"/>
    <x v="0"/>
    <x v="1"/>
    <n v="16711"/>
    <n v="46"/>
    <n v="1.8800000000000001E-2"/>
    <n v="0.86480000000000001"/>
  </r>
  <r>
    <s v="reciJVitMFRGWSU0I"/>
    <s v="Apiyo Jibinina - Agago | Lapono | Odong mon Gardener"/>
    <n v="1"/>
    <s v="Melia, Senna, Lebbek"/>
    <d v="2022-09-30T00:00:00"/>
    <s v="Agago"/>
    <s v="Lapono"/>
    <n v="45"/>
    <n v="10"/>
    <n v="0"/>
    <n v="0"/>
    <n v="0"/>
    <n v="0"/>
    <n v="0"/>
    <n v="30"/>
    <n v="5"/>
    <n v="5.8500000000000003E-2"/>
    <x v="0"/>
    <x v="1"/>
    <n v="16711"/>
    <n v="46"/>
    <n v="5.8500000000000003E-2"/>
    <n v="2.6910000000000003"/>
  </r>
  <r>
    <s v="rec6ryFnQjL52gaR6"/>
    <s v="Apiyo Regeter - Omoro | Lalogi | Rwot Ngeo Gardener"/>
    <n v="1"/>
    <s v="Melia, Musizi, Ongono, Opok, Senna,"/>
    <d v="2022-08-22T00:00:00"/>
    <s v="Omoro"/>
    <s v="Lalogi"/>
    <n v="183"/>
    <n v="53"/>
    <n v="11"/>
    <n v="0"/>
    <n v="50"/>
    <n v="0"/>
    <n v="19"/>
    <n v="50"/>
    <n v="0"/>
    <n v="0.1376"/>
    <x v="0"/>
    <x v="1"/>
    <n v="20928"/>
    <n v="47"/>
    <n v="0.1376"/>
    <n v="6.4672000000000001"/>
  </r>
  <r>
    <s v="rec6e98biSmZl7VkQ"/>
    <s v="Apiyo Rose - Agago | Paimol | Cing ki cing - Gardener"/>
    <n v="1"/>
    <s v="Melia, Musizi,"/>
    <d v="2022-09-03T00:00:00"/>
    <s v="Agago"/>
    <s v="Paimol"/>
    <n v="241"/>
    <n v="40"/>
    <n v="201"/>
    <n v="0"/>
    <n v="0"/>
    <n v="0"/>
    <n v="0"/>
    <n v="0"/>
    <n v="0"/>
    <n v="2.7199999999999998E-2"/>
    <x v="0"/>
    <x v="1"/>
    <n v="26624"/>
    <n v="41"/>
    <n v="2.7199999999999998E-2"/>
    <n v="1.1152"/>
  </r>
  <r>
    <s v="recvG6SvloF1ocoGM"/>
    <s v="Aporo lily - Agago | Adilang | Labwo seeds community association Gardener"/>
    <n v="1"/>
    <s v="Melia, Musizi, Gmelina, Ongono,"/>
    <d v="2022-05-27T00:00:00"/>
    <s v="Agago"/>
    <s v="Adilang"/>
    <n v="850"/>
    <n v="150"/>
    <n v="25"/>
    <n v="251"/>
    <n v="424"/>
    <n v="0"/>
    <n v="0"/>
    <n v="0"/>
    <n v="0"/>
    <n v="0.33250000000000002"/>
    <x v="0"/>
    <x v="1"/>
    <n v="22555"/>
    <n v="45"/>
    <n v="0.33250000000000002"/>
    <n v="14.9625"/>
  </r>
  <r>
    <s v="recOYruHlAWlckIeD"/>
    <s v="Arach George - Onen kuc"/>
    <n v="1"/>
    <s v="Melia, Gmelina,"/>
    <d v="2022-08-22T00:00:00"/>
    <s v="Individual Farmer"/>
    <s v="Individual Farmer"/>
    <n v="5"/>
    <n v="1"/>
    <n v="0"/>
    <n v="4"/>
    <n v="0"/>
    <n v="0"/>
    <n v="0"/>
    <n v="0"/>
    <n v="0"/>
    <n v="2.3300000000000001E-2"/>
    <x v="0"/>
    <x v="1"/>
    <n v="17308"/>
    <n v="43"/>
    <n v="2.3300000000000001E-2"/>
    <n v="1.0019"/>
  </r>
  <r>
    <s v="recjCULnBciP0hfYt"/>
    <s v="Arach Milly - Agago | Lapono | Odong mon Gardener"/>
    <n v="1"/>
    <s v="Melia, Gmelina, Ongono, Senna, Lebbek"/>
    <d v="2022-09-17T00:00:00"/>
    <s v="Agago"/>
    <s v="Lapono"/>
    <n v="76"/>
    <n v="24"/>
    <n v="0"/>
    <n v="2"/>
    <n v="10"/>
    <n v="0"/>
    <n v="0"/>
    <n v="35"/>
    <n v="5"/>
    <n v="5.3600000000000002E-2"/>
    <x v="0"/>
    <x v="1"/>
    <n v="16520"/>
    <n v="50"/>
    <n v="5.3600000000000002E-2"/>
    <n v="2.68"/>
  </r>
  <r>
    <s v="recqCAmf7T3CubZtf"/>
    <s v="Areni Margate - Acak ki kwene"/>
    <n v="1"/>
    <s v="Melia,"/>
    <d v="2022-08-22T00:00:00"/>
    <s v="Individual Farmer"/>
    <s v="Individual Farmer"/>
    <n v="4"/>
    <n v="4"/>
    <n v="0"/>
    <n v="0"/>
    <n v="0"/>
    <n v="0"/>
    <n v="0"/>
    <n v="0"/>
    <n v="0"/>
    <n v="8.2000000000000007E-3"/>
    <x v="0"/>
    <x v="1"/>
    <n v="21682"/>
    <n v="41"/>
    <n v="8.2000000000000007E-3"/>
    <n v="0.33620000000000005"/>
  </r>
  <r>
    <s v="recK6fxzQHQe8Ez2Z"/>
    <s v="Ario Samuel - Mak mukeme"/>
    <n v="1"/>
    <s v="Melia,"/>
    <d v="2022-08-22T00:00:00"/>
    <s v="Individual Farmer"/>
    <s v="Individual Farmer"/>
    <n v="9"/>
    <n v="9"/>
    <n v="0"/>
    <n v="0"/>
    <n v="0"/>
    <n v="0"/>
    <n v="0"/>
    <n v="0"/>
    <n v="0"/>
    <n v="6.2700000000000006E-2"/>
    <x v="0"/>
    <x v="1"/>
    <n v="24621"/>
    <n v="43"/>
    <n v="6.2700000000000006E-2"/>
    <n v="2.6961000000000004"/>
  </r>
  <r>
    <s v="recf9AWxMIBAaqUwy"/>
    <s v="Aryemo Madite - Peko ma poto atura"/>
    <n v="1"/>
    <s v="Melia, Gmelina, Ongono, Senna,"/>
    <d v="2022-08-22T00:00:00"/>
    <s v="Individual Farmer"/>
    <s v="Individual Farmer"/>
    <n v="11"/>
    <n v="1"/>
    <n v="0"/>
    <n v="2"/>
    <n v="2"/>
    <n v="0"/>
    <n v="0"/>
    <n v="6"/>
    <n v="0"/>
    <n v="3.9800000000000002E-2"/>
    <x v="0"/>
    <x v="1"/>
    <n v="17308"/>
    <n v="43"/>
    <n v="3.9800000000000002E-2"/>
    <n v="1.7114"/>
  </r>
  <r>
    <s v="reczHkgIICUTPMFbp"/>
    <s v="Aryemo Sunday - Agago | Kuywe | Kica ber Gardener"/>
    <n v="1"/>
    <s v="Melia,"/>
    <d v="2022-10-02T00:00:00"/>
    <s v="Agago"/>
    <s v="Kuywe"/>
    <n v="11"/>
    <n v="11"/>
    <n v="0"/>
    <n v="0"/>
    <n v="0"/>
    <n v="0"/>
    <n v="0"/>
    <n v="0"/>
    <n v="0"/>
    <n v="1.46E-2"/>
    <x v="0"/>
    <x v="1"/>
    <n v="17308"/>
    <n v="43"/>
    <n v="1.46E-2"/>
    <n v="0.62780000000000002"/>
  </r>
  <r>
    <s v="recp5CZngHr79xQUf"/>
    <s v="Atek jenty - Agago | Lira - Palwo | Tam piwa Gardener"/>
    <n v="1"/>
    <s v="Melia, Faidherbia, Senna,"/>
    <d v="2022-08-22T00:00:00"/>
    <s v="Agago"/>
    <s v="Lira - Palwo"/>
    <n v="178"/>
    <n v="80"/>
    <n v="0"/>
    <n v="0"/>
    <n v="0"/>
    <n v="68"/>
    <n v="0"/>
    <n v="30"/>
    <n v="0"/>
    <n v="8.2500000000000004E-2"/>
    <x v="0"/>
    <x v="1"/>
    <n v="21548"/>
    <n v="41"/>
    <n v="8.2500000000000004E-2"/>
    <n v="3.3825000000000003"/>
  </r>
  <r>
    <s v="recpvO5keEphjrpD4"/>
    <s v="Atek Mary - Omoro | Lalogi | Lok i tam Gardener"/>
    <n v="1"/>
    <s v="Melia, Musizi,"/>
    <d v="2022-09-21T00:00:00"/>
    <s v="Omoro"/>
    <s v="Lalogi"/>
    <n v="120"/>
    <n v="60"/>
    <n v="60"/>
    <n v="0"/>
    <n v="0"/>
    <n v="0"/>
    <n v="0"/>
    <n v="0"/>
    <n v="0"/>
    <n v="3.5700000000000003E-2"/>
    <x v="0"/>
    <x v="1"/>
    <n v="24437"/>
    <n v="51"/>
    <n v="3.5700000000000003E-2"/>
    <n v="1.8207000000000002"/>
  </r>
  <r>
    <s v="reccKpJ9qQbGpozhl"/>
    <s v="Atim rose - Agago | Lira - Palwo | Tam piwa Gardener"/>
    <n v="1"/>
    <s v="Melia, Gmelina,"/>
    <d v="2022-08-22T00:00:00"/>
    <s v="Agago"/>
    <s v="Lira - Palwo"/>
    <n v="38"/>
    <n v="32"/>
    <n v="0"/>
    <n v="6"/>
    <n v="0"/>
    <n v="0"/>
    <n v="0"/>
    <n v="0"/>
    <n v="0"/>
    <n v="3.3399999999999999E-2"/>
    <x v="0"/>
    <x v="1"/>
    <n v="21362"/>
    <n v="38"/>
    <n v="3.3399999999999999E-2"/>
    <n v="1.2691999999999999"/>
  </r>
  <r>
    <s v="recwpDCBeaxnpw1KV"/>
    <s v="Atoo Paska - Agago | Kuywe | Kica ber Gardener"/>
    <n v="1"/>
    <s v="Melia,"/>
    <d v="2022-10-08T00:00:00"/>
    <s v="Agago"/>
    <s v="Kuywe"/>
    <n v="20"/>
    <n v="20"/>
    <n v="0"/>
    <n v="0"/>
    <n v="0"/>
    <n v="0"/>
    <n v="0"/>
    <n v="0"/>
    <n v="0"/>
    <n v="2.0799999999999999E-2"/>
    <x v="0"/>
    <x v="1"/>
    <n v="17308"/>
    <n v="43"/>
    <n v="2.0799999999999999E-2"/>
    <n v="0.89439999999999997"/>
  </r>
  <r>
    <s v="recndDiFGGjzIPAVC"/>
    <s v="Atto Catherine - Onen kuc"/>
    <n v="1"/>
    <s v="Melia, Gmelina,"/>
    <d v="2022-08-22T00:00:00"/>
    <s v="Individual Farmer"/>
    <s v="Individual Farmer"/>
    <n v="11"/>
    <n v="8"/>
    <n v="0"/>
    <n v="3"/>
    <n v="0"/>
    <n v="0"/>
    <n v="0"/>
    <n v="0"/>
    <n v="0"/>
    <n v="4.7300000000000002E-2"/>
    <x v="0"/>
    <x v="1"/>
    <n v="17308"/>
    <n v="43"/>
    <n v="4.7300000000000002E-2"/>
    <n v="2.0339"/>
  </r>
  <r>
    <s v="recNzQWbAhL3KIPfl"/>
    <s v="Atto Sidonia - Individual"/>
    <n v="1"/>
    <s v="Melia, Gmelina,"/>
    <d v="2022-08-22T00:00:00"/>
    <s v="Agago"/>
    <s v="Paimol"/>
    <n v="71"/>
    <n v="50"/>
    <n v="0"/>
    <n v="21"/>
    <n v="0"/>
    <n v="0"/>
    <n v="0"/>
    <n v="0"/>
    <n v="0"/>
    <n v="1.4800000000000001E-2"/>
    <x v="0"/>
    <x v="1"/>
    <n v="14491"/>
    <n v="41"/>
    <n v="1.4800000000000001E-2"/>
    <n v="0.60680000000000001"/>
  </r>
  <r>
    <s v="reclRFKIptgNyzqD0"/>
    <s v="Atto Silvia - Onen kuc"/>
    <n v="1"/>
    <s v="Melia, Gmelina,"/>
    <d v="2022-08-22T00:00:00"/>
    <s v="Individual Farmer"/>
    <s v="Individual Farmer"/>
    <n v="6"/>
    <n v="2"/>
    <n v="0"/>
    <n v="4"/>
    <n v="0"/>
    <n v="0"/>
    <n v="0"/>
    <n v="0"/>
    <n v="0"/>
    <n v="1.11E-2"/>
    <x v="0"/>
    <x v="1"/>
    <n v="17308"/>
    <n v="43"/>
    <n v="1.11E-2"/>
    <n v="0.4773"/>
  </r>
  <r>
    <s v="recRLTTXnSVDS10v9"/>
    <s v="Auma irine - Agago | Kuywe | Yub paco ni Gardener"/>
    <n v="1"/>
    <s v="Melia, Gmelina,"/>
    <d v="2022-07-20T00:00:00"/>
    <s v="Agago"/>
    <s v="Kuywe"/>
    <n v="80"/>
    <n v="40"/>
    <n v="0"/>
    <n v="40"/>
    <n v="0"/>
    <n v="0"/>
    <n v="0"/>
    <n v="0"/>
    <n v="0"/>
    <n v="9.2999999999999999E-2"/>
    <x v="0"/>
    <x v="1"/>
    <n v="26030"/>
    <n v="34"/>
    <n v="9.2999999999999999E-2"/>
    <n v="3.1619999999999999"/>
  </r>
  <r>
    <s v="recRb2rx0SfjmF8xz"/>
    <s v="Auma Marina - Kitgum | Orom East | Waryemo Can Gardener"/>
    <n v="1"/>
    <s v="Gmelina, Ongono, Faidherbia, Opok, Senna,"/>
    <d v="2022-08-08T00:00:00"/>
    <s v="Kitgum"/>
    <s v="Orom East"/>
    <n v="130"/>
    <n v="0"/>
    <n v="0"/>
    <n v="30"/>
    <n v="30"/>
    <n v="30"/>
    <n v="10"/>
    <n v="30"/>
    <n v="0"/>
    <n v="0.13930000000000001"/>
    <x v="0"/>
    <x v="1"/>
    <n v="5843"/>
    <n v="44"/>
    <n v="0.13930000000000001"/>
    <n v="6.1292"/>
  </r>
  <r>
    <s v="reciZaVRxyz5njyGD"/>
    <s v="Auma Paska - Agago | Lapono | Onen kuc Gardener"/>
    <n v="1"/>
    <s v="Melia,"/>
    <d v="2022-09-30T00:00:00"/>
    <s v="Agago"/>
    <s v="Lapono"/>
    <n v="15"/>
    <n v="15"/>
    <n v="0"/>
    <n v="0"/>
    <n v="0"/>
    <n v="0"/>
    <n v="0"/>
    <n v="0"/>
    <n v="0"/>
    <n v="0.1221"/>
    <x v="0"/>
    <x v="1"/>
    <n v="14271"/>
    <n v="45"/>
    <n v="0.1221"/>
    <n v="5.4945000000000004"/>
  </r>
  <r>
    <s v="recb55aKt0MQ7kEgo"/>
    <s v="Auma Rose - Individual"/>
    <n v="1"/>
    <s v="Melia, Gmelina,"/>
    <d v="2022-08-22T00:00:00"/>
    <s v="Agago"/>
    <s v="Paimol"/>
    <n v="63"/>
    <n v="50"/>
    <n v="0"/>
    <n v="13"/>
    <n v="0"/>
    <n v="0"/>
    <n v="0"/>
    <n v="0"/>
    <n v="0"/>
    <n v="1.09E-2"/>
    <x v="0"/>
    <x v="1"/>
    <n v="14491"/>
    <n v="41"/>
    <n v="1.09E-2"/>
    <n v="0.44690000000000002"/>
  </r>
  <r>
    <s v="recPqFbcCVvP8a7cf"/>
    <s v="Aunu Florence - Mak Mukemi"/>
    <n v="1"/>
    <s v="Melia,"/>
    <d v="2022-08-22T00:00:00"/>
    <s v="Individual Farmer"/>
    <s v="Individual Farmer"/>
    <n v="4"/>
    <n v="4"/>
    <n v="0"/>
    <n v="0"/>
    <n v="0"/>
    <n v="0"/>
    <n v="0"/>
    <n v="0"/>
    <n v="0"/>
    <n v="8.6199999999999999E-2"/>
    <x v="0"/>
    <x v="1"/>
    <n v="24057"/>
    <n v="46"/>
    <n v="8.6199999999999999E-2"/>
    <n v="3.9651999999999998"/>
  </r>
  <r>
    <s v="recjpstNob6Oq5tla"/>
    <s v="Awal Baptish - Agago | Kuywe | Gum anywala Gardener"/>
    <n v="1"/>
    <s v="Gmelina,"/>
    <d v="2022-06-20T00:00:00"/>
    <s v="Agago"/>
    <s v="Kuywe"/>
    <n v="30"/>
    <n v="0"/>
    <n v="0"/>
    <n v="30"/>
    <n v="0"/>
    <n v="0"/>
    <n v="0"/>
    <n v="0"/>
    <n v="0"/>
    <n v="0.38340000000000002"/>
    <x v="0"/>
    <x v="1"/>
    <n v="14643"/>
    <n v="43"/>
    <n v="0.38340000000000002"/>
    <n v="16.4862"/>
  </r>
  <r>
    <s v="recdaMeBCSa4QUyIh"/>
    <s v="Awany Peter - Omoro | Lalogi | Mak mukemi Gardener"/>
    <n v="1"/>
    <s v="Melia, Musizi,"/>
    <d v="2022-08-18T00:00:00"/>
    <s v="Omoro"/>
    <s v="Lalogi"/>
    <n v="50"/>
    <n v="30"/>
    <n v="20"/>
    <n v="0"/>
    <n v="0"/>
    <n v="0"/>
    <n v="0"/>
    <n v="0"/>
    <n v="0"/>
    <n v="1.8100000000000002E-2"/>
    <x v="0"/>
    <x v="1"/>
    <n v="24252"/>
    <n v="45"/>
    <n v="1.8100000000000002E-2"/>
    <n v="0.81450000000000011"/>
  </r>
  <r>
    <s v="rec3OdK3hbESWdgvE"/>
    <s v="Aweko Stella - Agago | Kuywe | Kica ber Gardener"/>
    <n v="1"/>
    <s v="Melia,"/>
    <d v="2022-11-10T00:00:00"/>
    <s v="Agago"/>
    <s v="Kuywe"/>
    <n v="40"/>
    <n v="40"/>
    <n v="0"/>
    <n v="0"/>
    <n v="0"/>
    <n v="0"/>
    <n v="0"/>
    <n v="0"/>
    <n v="0"/>
    <n v="3.5099999999999999E-2"/>
    <x v="0"/>
    <x v="1"/>
    <n v="26003"/>
    <n v="39"/>
    <n v="3.5099999999999999E-2"/>
    <n v="1.3689"/>
  </r>
  <r>
    <s v="rec1ozlnVTzmP1k7w"/>
    <s v="Awidi Purina - Peko ma poto atura"/>
    <n v="1"/>
    <s v="Melia, Gmelina, Senna,"/>
    <d v="2022-08-22T00:00:00"/>
    <s v="Individual Farmer"/>
    <s v="Individual Farmer"/>
    <n v="26"/>
    <n v="8"/>
    <n v="0"/>
    <n v="7"/>
    <n v="0"/>
    <n v="0"/>
    <n v="0"/>
    <n v="11"/>
    <n v="0"/>
    <n v="6.7999999999999996E-3"/>
    <x v="0"/>
    <x v="1"/>
    <n v="17308"/>
    <n v="43"/>
    <n v="6.7999999999999996E-3"/>
    <n v="0.29239999999999999"/>
  </r>
  <r>
    <s v="recIAlptc23b6CQq6"/>
    <s v="Awio Pirina - Omoro | Lalogi | Obed igen Gardener"/>
    <n v="1"/>
    <s v="Melia, Musizi, Ongono, Senna,"/>
    <d v="2022-05-19T00:00:00"/>
    <s v="Omoro"/>
    <s v="Lalogi"/>
    <n v="68"/>
    <n v="20"/>
    <n v="10"/>
    <n v="0"/>
    <n v="30"/>
    <n v="0"/>
    <n v="0"/>
    <n v="8"/>
    <n v="0"/>
    <n v="2.5499999999999998E-2"/>
    <x v="0"/>
    <x v="1"/>
    <n v="24251"/>
    <n v="46"/>
    <n v="2.5499999999999998E-2"/>
    <n v="1.1729999999999998"/>
  </r>
  <r>
    <s v="recp1OgeWrJ4Dqli8"/>
    <s v="Awor Getto - Omoro | Lalogi | Bed Inge B Gardener"/>
    <n v="1"/>
    <s v="Melia, Musizi, Ongono, Faidherbia, Opok, Senna,"/>
    <d v="2022-06-09T00:00:00"/>
    <s v="Omoro"/>
    <s v="Lalogi"/>
    <n v="253"/>
    <n v="40"/>
    <n v="20"/>
    <n v="0"/>
    <n v="88"/>
    <n v="60"/>
    <n v="15"/>
    <n v="30"/>
    <n v="0"/>
    <n v="0.1487"/>
    <x v="0"/>
    <x v="1"/>
    <n v="23853"/>
    <n v="44"/>
    <n v="0.1487"/>
    <n v="6.5427999999999997"/>
  </r>
  <r>
    <s v="rec8riauUKv81z06q"/>
    <s v="Awuma Alice - Agago | Lukole | Can rac Gardener"/>
    <n v="1"/>
    <s v="Melia, Gmelina, Ongono,"/>
    <d v="2022-07-25T00:00:00"/>
    <s v="Agago"/>
    <s v="Lukole"/>
    <n v="1345"/>
    <n v="418"/>
    <n v="0"/>
    <n v="353"/>
    <n v="574"/>
    <n v="0"/>
    <n v="0"/>
    <n v="0"/>
    <n v="0"/>
    <n v="0.46539999999999998"/>
    <x v="0"/>
    <x v="1"/>
    <n v="19442"/>
    <n v="35"/>
    <n v="0.46539999999999998"/>
    <n v="16.288999999999998"/>
  </r>
  <r>
    <s v="recyOZdzpPXkTE1Wl"/>
    <s v="Ayaa christine - Agago | Kuywe | Yub paco ni Gardener"/>
    <n v="1"/>
    <s v="Melia, Gmelina, Senna,"/>
    <d v="2022-07-15T00:00:00"/>
    <s v="Agago"/>
    <s v="Kuywe"/>
    <n v="110"/>
    <n v="30"/>
    <n v="0"/>
    <n v="50"/>
    <n v="0"/>
    <n v="0"/>
    <n v="0"/>
    <n v="30"/>
    <n v="0"/>
    <n v="8.3000000000000001E-3"/>
    <x v="0"/>
    <x v="1"/>
    <n v="27044"/>
    <n v="31"/>
    <n v="8.3000000000000001E-3"/>
    <n v="0.25730000000000003"/>
  </r>
  <r>
    <s v="recnznNZgC4XhRebg"/>
    <s v="Ayella Bonny - Omoro | Lalogi | Ogwete community Gardener"/>
    <n v="1"/>
    <s v="Melia,"/>
    <d v="2022-06-22T00:00:00"/>
    <s v="Omoro"/>
    <s v="Lalogi"/>
    <n v="35"/>
    <n v="35"/>
    <n v="0"/>
    <n v="0"/>
    <n v="0"/>
    <n v="0"/>
    <n v="0"/>
    <n v="0"/>
    <n v="0"/>
    <n v="3.4200000000000001E-2"/>
    <x v="0"/>
    <x v="1"/>
    <n v="24621"/>
    <n v="43"/>
    <n v="3.4200000000000001E-2"/>
    <n v="1.4706000000000001"/>
  </r>
  <r>
    <s v="rec9WCNI3XivWUZZ3"/>
    <s v="Ayenyo camel - Kitgum | Orom East | Waryemo Can Gardener"/>
    <n v="1"/>
    <s v="Melia, Musizi, Gmelina, Ongono, Faidherbia, Senna,"/>
    <d v="2022-08-07T00:00:00"/>
    <s v="Kitgum"/>
    <s v="Orom East"/>
    <n v="278"/>
    <n v="50"/>
    <n v="50"/>
    <n v="18"/>
    <n v="50"/>
    <n v="50"/>
    <n v="0"/>
    <n v="60"/>
    <n v="0"/>
    <n v="0.64400000000000002"/>
    <x v="0"/>
    <x v="1"/>
    <n v="5842"/>
    <n v="42"/>
    <n v="0.31440000000000001"/>
    <n v="13.204800000000001"/>
  </r>
  <r>
    <s v="rec9WCNI3XivWUZZ3"/>
    <s v="Ayenyo camel - Kitgum | Orom East | Waryemo Can Gardener"/>
    <n v="1"/>
    <s v="Melia, Musizi, Gmelina, Ongono, Faidherbia, Senna,"/>
    <d v="2022-08-07T00:00:00"/>
    <s v="Kitgum"/>
    <s v="Orom East"/>
    <n v="278"/>
    <n v="50"/>
    <n v="50"/>
    <n v="18"/>
    <n v="50"/>
    <n v="50"/>
    <n v="0"/>
    <n v="60"/>
    <n v="0"/>
    <n v="0.64400000000000002"/>
    <x v="0"/>
    <x v="1"/>
    <n v="5843"/>
    <n v="44"/>
    <n v="0.3296"/>
    <n v="14.5024"/>
  </r>
  <r>
    <s v="recHH2ibSQHgfYASj"/>
    <s v="Ayero Vicky - Kitgum | Orom East | Waryemo Can Gardener"/>
    <n v="1"/>
    <s v="Gmelina, Ongono, Faidherbia, Senna,"/>
    <d v="2022-08-10T00:00:00"/>
    <s v="Kitgum"/>
    <s v="Orom East"/>
    <n v="86"/>
    <n v="0"/>
    <n v="0"/>
    <n v="25"/>
    <n v="20"/>
    <n v="20"/>
    <n v="0"/>
    <n v="21"/>
    <n v="0"/>
    <n v="0.1231"/>
    <x v="0"/>
    <x v="1"/>
    <n v="5843"/>
    <n v="44"/>
    <n v="0.1231"/>
    <n v="5.4164000000000003"/>
  </r>
  <r>
    <s v="recmEGPEF7o6Zy0PA"/>
    <s v="Ayet Margret - Agago | Adilang | Tam piwa Gardener"/>
    <n v="1"/>
    <s v="Melia, Gmelina, Ongono,"/>
    <d v="2022-08-22T00:00:00"/>
    <s v="Agago"/>
    <s v="Adilang"/>
    <n v="120"/>
    <n v="50"/>
    <n v="0"/>
    <n v="20"/>
    <n v="50"/>
    <n v="0"/>
    <n v="0"/>
    <n v="0"/>
    <n v="0"/>
    <n v="4.4900000000000002E-2"/>
    <x v="0"/>
    <x v="1"/>
    <n v="23496"/>
    <n v="47"/>
    <n v="4.4900000000000002E-2"/>
    <n v="2.1103000000000001"/>
  </r>
  <r>
    <s v="rec1ylVCuDD0bYSLm"/>
    <s v="Ayiko Alican Torina - Omoro | Lalogi | Pee Icaa Gardener"/>
    <n v="1"/>
    <s v="Melia,"/>
    <d v="2022-08-22T00:00:00"/>
    <s v="Omoro"/>
    <s v="Lalogi"/>
    <n v="254"/>
    <n v="254"/>
    <n v="0"/>
    <n v="0"/>
    <n v="0"/>
    <n v="0"/>
    <n v="0"/>
    <n v="0"/>
    <n v="0"/>
    <n v="0.37269999999999998"/>
    <x v="0"/>
    <x v="1"/>
    <n v="23049"/>
    <n v="47"/>
    <n v="0.37269999999999998"/>
    <n v="17.5169"/>
  </r>
  <r>
    <s v="recUsLfESgCb9U8DN"/>
    <s v="Ayo moses - Agago | Paimol | Tem gumi - Gardener"/>
    <n v="1"/>
    <s v="Melia, Gmelina, Ongono,"/>
    <d v="2022-05-25T00:00:00"/>
    <s v="Agago"/>
    <s v="Paimol"/>
    <n v="1050"/>
    <n v="400"/>
    <n v="0"/>
    <n v="150"/>
    <n v="500"/>
    <n v="0"/>
    <n v="0"/>
    <n v="0"/>
    <n v="0"/>
    <n v="8.0100000000000005E-2"/>
    <x v="0"/>
    <x v="1"/>
    <n v="14487"/>
    <n v="36"/>
    <n v="8.0100000000000005E-2"/>
    <n v="2.8836000000000004"/>
  </r>
  <r>
    <s v="recu5KtZDqxI3sHJO"/>
    <s v="Ayoo florence - Agago | Lapono | Onen kuc Gardener"/>
    <n v="1"/>
    <s v="Melia, Musizi, Gmelina,"/>
    <d v="2022-08-22T00:00:00"/>
    <s v="Agago"/>
    <s v="Lapono"/>
    <n v="49"/>
    <n v="30"/>
    <n v="4"/>
    <n v="15"/>
    <n v="0"/>
    <n v="0"/>
    <n v="0"/>
    <n v="0"/>
    <n v="0"/>
    <n v="8.8999999999999996E-2"/>
    <x v="0"/>
    <x v="1"/>
    <n v="17308"/>
    <n v="43"/>
    <n v="8.8999999999999996E-2"/>
    <n v="3.827"/>
  </r>
  <r>
    <s v="recBKPjqP2484BXI1"/>
    <s v="Baba Denis - Omoro | Lalogi | Ogwete community Gardener"/>
    <n v="1"/>
    <s v="Melia,"/>
    <d v="2022-06-15T00:00:00"/>
    <s v="Omoro"/>
    <s v="Lalogi"/>
    <n v="35"/>
    <n v="35"/>
    <n v="0"/>
    <n v="0"/>
    <n v="0"/>
    <n v="0"/>
    <n v="0"/>
    <n v="0"/>
    <n v="0"/>
    <n v="6.3799999999999996E-2"/>
    <x v="0"/>
    <x v="1"/>
    <n v="24621"/>
    <n v="43"/>
    <n v="6.3799999999999996E-2"/>
    <n v="2.7433999999999998"/>
  </r>
  <r>
    <s v="recnvq6Iq6Ls1U67M"/>
    <s v="Bicenytino alanyo - Agago | Kuywe | Kica ber Gardener"/>
    <n v="1"/>
    <s v="Melia,"/>
    <d v="2022-09-20T00:00:00"/>
    <s v="Agago"/>
    <s v="Kuywe"/>
    <n v="30"/>
    <n v="30"/>
    <n v="0"/>
    <n v="0"/>
    <n v="0"/>
    <n v="0"/>
    <n v="0"/>
    <n v="0"/>
    <n v="0"/>
    <n v="5.8900000000000001E-2"/>
    <x v="0"/>
    <x v="1"/>
    <n v="26622"/>
    <n v="33"/>
    <n v="5.8900000000000001E-2"/>
    <n v="1.9437"/>
  </r>
  <r>
    <s v="recNdlSvD4DLZsOAj"/>
    <s v="Bongomin Patrick - Omoro | Lalogi | Kok kec ki kweri Gardener"/>
    <n v="1"/>
    <s v="Melia,"/>
    <d v="2022-10-11T00:00:00"/>
    <s v="Omoro"/>
    <s v="Lalogi"/>
    <n v="236"/>
    <n v="236"/>
    <n v="0"/>
    <n v="0"/>
    <n v="0"/>
    <n v="0"/>
    <n v="0"/>
    <n v="0"/>
    <n v="0"/>
    <n v="0.29089999999999999"/>
    <x v="0"/>
    <x v="1"/>
    <n v="23848"/>
    <n v="45"/>
    <n v="0.29089999999999999"/>
    <n v="13.0905"/>
  </r>
  <r>
    <s v="recJCTpXeaw6EgaMR"/>
    <s v="Cal paul - Agago | Lapono | Onen kuc Gardener"/>
    <n v="1"/>
    <s v="Melia, Gmelina,"/>
    <d v="2022-08-22T00:00:00"/>
    <s v="Agago"/>
    <s v="Lapono"/>
    <n v="70"/>
    <n v="40"/>
    <n v="0"/>
    <n v="30"/>
    <n v="0"/>
    <n v="0"/>
    <n v="0"/>
    <n v="0"/>
    <n v="0"/>
    <n v="0.31330000000000002"/>
    <x v="0"/>
    <x v="1"/>
    <n v="17308"/>
    <n v="43"/>
    <n v="0.31330000000000002"/>
    <n v="13.471900000000002"/>
  </r>
  <r>
    <s v="recKkyFmMctjhvo9W"/>
    <s v="Cal Peter - Onen kuc"/>
    <n v="1"/>
    <s v="Melia, Gmelina,"/>
    <d v="2022-08-22T00:00:00"/>
    <s v="Individual Farmer"/>
    <s v="Individual Farmer"/>
    <n v="25"/>
    <n v="11"/>
    <n v="0"/>
    <n v="14"/>
    <n v="0"/>
    <n v="0"/>
    <n v="0"/>
    <n v="0"/>
    <n v="0"/>
    <n v="1.41E-2"/>
    <x v="0"/>
    <x v="1"/>
    <n v="17308"/>
    <n v="43"/>
    <n v="1.41E-2"/>
    <n v="0.60629999999999995"/>
  </r>
  <r>
    <s v="recIfD0Sfz7Z6eOhf"/>
    <s v="Canogura francis - Agago | Kuywe | Gum anywala Gardener"/>
    <n v="1"/>
    <s v="Melia, Musizi, Gmelina, Faidherbia, Senna,"/>
    <d v="2022-08-17T00:00:00"/>
    <s v="Agago"/>
    <s v="Kuywe"/>
    <n v="125"/>
    <n v="40"/>
    <n v="10"/>
    <n v="40"/>
    <n v="0"/>
    <n v="15"/>
    <n v="0"/>
    <n v="20"/>
    <n v="0"/>
    <n v="7.2599999999999998E-2"/>
    <x v="0"/>
    <x v="1"/>
    <n v="26419"/>
    <n v="41"/>
    <n v="7.2599999999999998E-2"/>
    <n v="2.9765999999999999"/>
  </r>
  <r>
    <s v="recnTgyuvAI9v5oFF"/>
    <s v="David Kidega - Agago | | Individual Farmer Gardener"/>
    <n v="1"/>
    <s v="Melia,"/>
    <d v="2022-08-22T00:00:00"/>
    <s v="Agago"/>
    <s v="Individual Farmer"/>
    <n v="150"/>
    <n v="150"/>
    <n v="0"/>
    <n v="0"/>
    <n v="0"/>
    <n v="0"/>
    <n v="0"/>
    <n v="0"/>
    <n v="0"/>
    <n v="4.9099999999999998E-2"/>
    <x v="0"/>
    <x v="1"/>
    <n v="19818"/>
    <n v="46"/>
    <n v="5.3E-3"/>
    <n v="0.24379999999999999"/>
  </r>
  <r>
    <s v="recnTgyuvAI9v5oFF"/>
    <s v="David Kidega - Agago | | Individual Farmer Gardener"/>
    <n v="1"/>
    <s v="Melia,"/>
    <d v="2022-08-22T00:00:00"/>
    <s v="Agago"/>
    <s v="Individual Farmer"/>
    <n v="150"/>
    <n v="150"/>
    <n v="0"/>
    <n v="0"/>
    <n v="0"/>
    <n v="0"/>
    <n v="0"/>
    <n v="0"/>
    <n v="0"/>
    <n v="4.9099999999999998E-2"/>
    <x v="0"/>
    <x v="1"/>
    <n v="20016"/>
    <n v="44"/>
    <n v="4.3799999999999999E-2"/>
    <n v="1.9272"/>
  </r>
  <r>
    <s v="recLTLnUEIqOcm1JI"/>
    <s v="David Komakech - Agago | | Individual Farmer Gardener"/>
    <n v="1"/>
    <s v="Melia,"/>
    <d v="2022-08-22T00:00:00"/>
    <s v="Agago"/>
    <s v="Individual Farmer"/>
    <n v="50"/>
    <n v="50"/>
    <n v="0"/>
    <n v="0"/>
    <n v="0"/>
    <n v="0"/>
    <n v="0"/>
    <n v="0"/>
    <n v="0"/>
    <n v="8.9300000000000004E-2"/>
    <x v="0"/>
    <x v="1"/>
    <n v="20391"/>
    <n v="38"/>
    <n v="8.9300000000000004E-2"/>
    <n v="3.3934000000000002"/>
  </r>
  <r>
    <s v="recmMmV7mmhOyoutK"/>
    <s v="Doletia okwir - Agago | Kuywe | Ogen rwot Gardener"/>
    <n v="1"/>
    <s v="Melia, Musizi, Gmelina, Senna,"/>
    <d v="2022-08-10T00:00:00"/>
    <s v="Agago"/>
    <s v="Kuywe"/>
    <n v="145"/>
    <n v="40"/>
    <n v="5"/>
    <n v="80"/>
    <n v="0"/>
    <n v="0"/>
    <n v="0"/>
    <n v="20"/>
    <n v="0"/>
    <n v="2.46E-2"/>
    <x v="0"/>
    <x v="1"/>
    <n v="26002"/>
    <n v="37"/>
    <n v="2.46E-2"/>
    <n v="0.91020000000000001"/>
  </r>
  <r>
    <s v="recpehP6tfK7YzYGi"/>
    <s v="Free Olet paul - Agago | Kuywe | Cam badi Gardener"/>
    <n v="1"/>
    <s v="Melia, Gmelina, Ongono,"/>
    <d v="2022-05-23T00:00:00"/>
    <s v="Agago"/>
    <s v="Kuywe"/>
    <n v="1050"/>
    <n v="400"/>
    <n v="0"/>
    <n v="150"/>
    <n v="500"/>
    <n v="0"/>
    <n v="0"/>
    <n v="0"/>
    <n v="0"/>
    <n v="5.3499999999999999E-2"/>
    <x v="0"/>
    <x v="1"/>
    <n v="26623"/>
    <n v="40"/>
    <n v="5.3499999999999999E-2"/>
    <n v="2.14"/>
  </r>
  <r>
    <s v="recXmXuGbQDt6tPCg"/>
    <s v="josephine - Agago | Lira - Palwo | Rippe aye teko Gardener"/>
    <n v="1"/>
    <s v="Melia, Musizi,"/>
    <d v="2022-08-22T00:00:00"/>
    <s v="Agago"/>
    <s v="Lira - Palwo"/>
    <n v="140"/>
    <n v="80"/>
    <n v="60"/>
    <n v="0"/>
    <n v="0"/>
    <n v="0"/>
    <n v="0"/>
    <n v="0"/>
    <n v="0"/>
    <n v="8.8599999999999998E-2"/>
    <x v="0"/>
    <x v="1"/>
    <n v="20392"/>
    <n v="40"/>
    <n v="8.8599999999999998E-2"/>
    <n v="3.544"/>
  </r>
  <r>
    <s v="reccMoq0PdAf9G3vE"/>
    <s v="Josephine Akidi - Agago | Paimol | Gen kweri young farmer's association - Gardener"/>
    <n v="1"/>
    <s v="Melia, Gmelina,"/>
    <d v="2022-07-15T00:00:00"/>
    <s v="Agago"/>
    <s v="Paimol"/>
    <n v="75"/>
    <n v="50"/>
    <n v="0"/>
    <n v="25"/>
    <n v="0"/>
    <n v="0"/>
    <n v="0"/>
    <n v="0"/>
    <n v="0"/>
    <n v="1.7500000000000002E-2"/>
    <x v="0"/>
    <x v="1"/>
    <n v="14491"/>
    <n v="41"/>
    <n v="1.7500000000000002E-2"/>
    <n v="0.71750000000000003"/>
  </r>
  <r>
    <s v="recXfXfccq3Tnzs4r"/>
    <s v="Kanyo esther - Agago | Lapono | Onen kuc Gardener"/>
    <n v="1"/>
    <s v="Melia, Gmelina,"/>
    <d v="2022-08-22T00:00:00"/>
    <s v="Agago"/>
    <s v="Lapono"/>
    <n v="40"/>
    <n v="25"/>
    <n v="0"/>
    <n v="15"/>
    <n v="0"/>
    <n v="0"/>
    <n v="0"/>
    <n v="0"/>
    <n v="0"/>
    <n v="0.1114"/>
    <x v="0"/>
    <x v="1"/>
    <n v="17308"/>
    <n v="43"/>
    <n v="0.1114"/>
    <n v="4.7901999999999996"/>
  </r>
  <r>
    <s v="recFzaHpXMnTbnluO"/>
    <s v="Kilama Denise - Agago | Lukole | Ripe Gardener"/>
    <n v="1"/>
    <s v="Melia, Musizi, Gmelina,"/>
    <d v="2022-07-18T00:00:00"/>
    <s v="Agago"/>
    <s v="Lukole"/>
    <n v="104"/>
    <n v="84"/>
    <n v="10"/>
    <n v="10"/>
    <n v="0"/>
    <n v="0"/>
    <n v="0"/>
    <n v="0"/>
    <n v="0"/>
    <n v="0.1333"/>
    <x v="0"/>
    <x v="1"/>
    <n v="19235"/>
    <n v="45"/>
    <n v="0.1333"/>
    <n v="5.9984999999999999"/>
  </r>
  <r>
    <s v="recBvAju0wDx3RHRz"/>
    <s v="Kilama kenneth - Agago | Paimol | Lacwec konya - Gardener"/>
    <n v="1"/>
    <s v="Melia, Musizi, Gmelina,"/>
    <d v="1991-05-03T00:00:00"/>
    <s v="Agago"/>
    <s v="Paimol"/>
    <n v="846"/>
    <n v="103"/>
    <n v="30"/>
    <n v="713"/>
    <n v="0"/>
    <n v="0"/>
    <n v="0"/>
    <n v="0"/>
    <n v="0"/>
    <n v="0.1474"/>
    <x v="0"/>
    <x v="1"/>
    <n v="14492"/>
    <n v="42"/>
    <n v="0.1474"/>
    <n v="6.1908000000000003"/>
  </r>
  <r>
    <s v="rec5zH98SbAGt6ivq"/>
    <s v="Kinyera David - Agago | | Individual Farmer Gardener"/>
    <n v="1"/>
    <s v="Melia,"/>
    <d v="2022-09-28T00:00:00"/>
    <s v="Agago"/>
    <s v="Individual Farmer"/>
    <n v="900"/>
    <n v="900"/>
    <n v="0"/>
    <n v="0"/>
    <n v="0"/>
    <n v="0"/>
    <n v="0"/>
    <n v="0"/>
    <n v="0"/>
    <n v="0.10730000000000001"/>
    <x v="0"/>
    <x v="1"/>
    <n v="26221"/>
    <n v="44"/>
    <n v="0.10730000000000001"/>
    <n v="4.7212000000000005"/>
  </r>
  <r>
    <s v="rec01eu94qmVyebWB"/>
    <s v="Kitara john - Agago | Lira - Palwo | Konypacu Gardener"/>
    <n v="1"/>
    <s v="Melia, Musizi, Gmelina,"/>
    <d v="2022-08-22T00:00:00"/>
    <s v="Agago"/>
    <s v="Lira - Palwo"/>
    <n v="70"/>
    <n v="20"/>
    <n v="40"/>
    <n v="10"/>
    <n v="0"/>
    <n v="0"/>
    <n v="0"/>
    <n v="0"/>
    <n v="0"/>
    <n v="0.20050000000000001"/>
    <x v="0"/>
    <x v="1"/>
    <n v="21165"/>
    <n v="45"/>
    <n v="0.20050000000000001"/>
    <n v="9.0225000000000009"/>
  </r>
  <r>
    <s v="recHMTNzvK6drPOUG"/>
    <s v="Komakech Charles - Omoro | Lalogi | Bedi igen Gardener"/>
    <n v="1"/>
    <s v="Melia,"/>
    <d v="2022-10-23T00:00:00"/>
    <s v="Omoro"/>
    <s v="Lalogi"/>
    <n v="300"/>
    <n v="300"/>
    <n v="0"/>
    <n v="0"/>
    <n v="0"/>
    <n v="0"/>
    <n v="0"/>
    <n v="0"/>
    <n v="0"/>
    <n v="0.1608"/>
    <x v="0"/>
    <x v="1"/>
    <n v="24437"/>
    <n v="51"/>
    <n v="0.1608"/>
    <n v="8.2007999999999992"/>
  </r>
  <r>
    <s v="recVSAOhVsEhBhskY"/>
    <s v="Komakech Micale - Agago | Lukole | Mat turo paco Gardener"/>
    <n v="1"/>
    <s v="Melia, Musizi, Gmelina, Ongono, Senna,"/>
    <d v="2022-08-18T00:00:00"/>
    <s v="Agago"/>
    <s v="Lukole"/>
    <n v="505"/>
    <n v="210"/>
    <n v="42"/>
    <n v="53"/>
    <n v="100"/>
    <n v="0"/>
    <n v="0"/>
    <n v="100"/>
    <n v="0"/>
    <n v="0.23499999999999999"/>
    <x v="0"/>
    <x v="1"/>
    <n v="19440"/>
    <n v="43"/>
    <n v="0.23499999999999999"/>
    <n v="10.104999999999999"/>
  </r>
  <r>
    <s v="rec1qtKfrldN1d0tO"/>
    <s v="Komakech Moses - Omoro | Lalogi | Ogwete community Gardener"/>
    <n v="1"/>
    <s v="Melia, Senna,"/>
    <d v="2022-06-22T00:00:00"/>
    <s v="Omoro"/>
    <s v="Lalogi"/>
    <n v="64"/>
    <n v="35"/>
    <n v="0"/>
    <n v="0"/>
    <n v="0"/>
    <n v="0"/>
    <n v="0"/>
    <n v="29"/>
    <n v="0"/>
    <n v="7.1599999999999997E-2"/>
    <x v="0"/>
    <x v="1"/>
    <n v="24621"/>
    <n v="43"/>
    <n v="7.1599999999999997E-2"/>
    <n v="3.0787999999999998"/>
  </r>
  <r>
    <s v="recy5NkhFPlELefGO"/>
    <s v="Komakech Patrick - Agago | | Individual Farmer Gardener"/>
    <n v="1"/>
    <s v="Melia,"/>
    <d v="2022-10-08T00:00:00"/>
    <s v="Agago"/>
    <s v="Individual Farmer"/>
    <n v="900"/>
    <n v="900"/>
    <n v="0"/>
    <n v="0"/>
    <n v="0"/>
    <n v="0"/>
    <n v="0"/>
    <n v="0"/>
    <n v="0"/>
    <n v="7.5999999999999998E-2"/>
    <x v="0"/>
    <x v="1"/>
    <n v="18183"/>
    <n v="39"/>
    <n v="7.5999999999999998E-2"/>
    <n v="2.964"/>
  </r>
  <r>
    <s v="recqSFI5JGXjXbOSt"/>
    <s v="Komakech Simon - Agago | | Individual Farmer Gardener"/>
    <n v="1"/>
    <s v="Melia,"/>
    <d v="2022-10-11T00:00:00"/>
    <s v="Agago"/>
    <s v="Individual Farmer"/>
    <n v="740"/>
    <n v="740"/>
    <n v="0"/>
    <n v="0"/>
    <n v="0"/>
    <n v="0"/>
    <n v="0"/>
    <n v="0"/>
    <n v="0"/>
    <n v="0.1394"/>
    <x v="0"/>
    <x v="1"/>
    <n v="24800"/>
    <n v="41"/>
    <n v="0.1394"/>
    <n v="5.7153999999999998"/>
  </r>
  <r>
    <s v="recrkzvPBn1GGg4ae"/>
    <s v="Labeja Babin - Omoro | Lalogi | Mak mukemi Gardener"/>
    <n v="1"/>
    <s v="Musizi,"/>
    <d v="2022-09-10T00:00:00"/>
    <s v="Omoro"/>
    <s v="Lalogi"/>
    <n v="164"/>
    <n v="0"/>
    <n v="164"/>
    <n v="0"/>
    <n v="0"/>
    <n v="0"/>
    <n v="0"/>
    <n v="0"/>
    <n v="0"/>
    <n v="0.1762"/>
    <x v="0"/>
    <x v="1"/>
    <n v="24267"/>
    <n v="42"/>
    <n v="0.1762"/>
    <n v="7.4003999999999994"/>
  </r>
  <r>
    <s v="recRXZdf1ysMofH1u"/>
    <s v="Labol Margret - Omoro | Lalogi | Bed Inge A Gardener"/>
    <n v="1"/>
    <s v="Melia,"/>
    <d v="2022-08-22T00:00:00"/>
    <s v="Omoro"/>
    <s v="Lalogi"/>
    <n v="229"/>
    <n v="229"/>
    <n v="0"/>
    <n v="0"/>
    <n v="0"/>
    <n v="0"/>
    <n v="0"/>
    <n v="0"/>
    <n v="0"/>
    <n v="0.59119999999999995"/>
    <x v="0"/>
    <x v="1"/>
    <n v="24255"/>
    <n v="51"/>
    <n v="0.59119999999999995"/>
    <n v="30.151199999999996"/>
  </r>
  <r>
    <s v="recquGPOg53tOJ6at"/>
    <s v="Labong Nighty - Yot yelo Mon"/>
    <n v="1"/>
    <s v="Gmelina, Senna,"/>
    <d v="2022-08-22T00:00:00"/>
    <s v="Individual Farmer"/>
    <s v="Individual Farmer"/>
    <n v="57"/>
    <n v="0"/>
    <n v="0"/>
    <n v="46"/>
    <n v="0"/>
    <n v="0"/>
    <n v="0"/>
    <n v="11"/>
    <n v="0"/>
    <n v="0.14299999999999999"/>
    <x v="0"/>
    <x v="1"/>
    <n v="20348"/>
    <n v="41"/>
    <n v="0.14299999999999999"/>
    <n v="5.8629999999999995"/>
  </r>
  <r>
    <s v="recPrRvChw71GVnbi"/>
    <s v="Labwon Margaret - Omoro | Lalogi | Bed Inge A Gardener"/>
    <n v="1"/>
    <s v="Melia, Musizi,"/>
    <d v="2022-06-27T00:00:00"/>
    <s v="Omoro"/>
    <s v="Lalogi"/>
    <n v="174"/>
    <n v="74"/>
    <n v="100"/>
    <n v="0"/>
    <n v="0"/>
    <n v="0"/>
    <n v="0"/>
    <n v="0"/>
    <n v="0"/>
    <n v="0.34039999999999998"/>
    <x v="0"/>
    <x v="1"/>
    <n v="24255"/>
    <n v="51"/>
    <n v="0.34039999999999998"/>
    <n v="17.360399999999998"/>
  </r>
  <r>
    <s v="recyIZnNszhVB3Avp"/>
    <s v="Labwot Margaret - Omoro | Lalogi | Bed Inge A Gardener"/>
    <n v="1"/>
    <s v="Melia, Musizi,"/>
    <d v="2022-09-06T00:00:00"/>
    <s v="Omoro"/>
    <s v="Lalogi"/>
    <n v="229"/>
    <n v="218"/>
    <n v="11"/>
    <n v="0"/>
    <n v="0"/>
    <n v="0"/>
    <n v="0"/>
    <n v="0"/>
    <n v="0"/>
    <n v="0.28239999999999998"/>
    <x v="0"/>
    <x v="1"/>
    <n v="24254"/>
    <n v="50"/>
    <n v="8.6300000000000002E-2"/>
    <n v="4.3150000000000004"/>
  </r>
  <r>
    <s v="recyIZnNszhVB3Avp"/>
    <s v="Labwot Margaret - Omoro | Lalogi | Bed Inge A Gardener"/>
    <n v="1"/>
    <s v="Melia, Musizi,"/>
    <d v="2022-09-06T00:00:00"/>
    <s v="Omoro"/>
    <s v="Lalogi"/>
    <n v="229"/>
    <n v="218"/>
    <n v="11"/>
    <n v="0"/>
    <n v="0"/>
    <n v="0"/>
    <n v="0"/>
    <n v="0"/>
    <n v="0"/>
    <n v="0.28239999999999998"/>
    <x v="0"/>
    <x v="1"/>
    <n v="24255"/>
    <n v="51"/>
    <n v="0.1961"/>
    <n v="10.001099999999999"/>
  </r>
  <r>
    <s v="recT5DjV8vZhgtEeM"/>
    <s v="Ladur Balbina - Agago | Adilang | Tam piwa Gardener"/>
    <n v="1"/>
    <s v="Melia,"/>
    <d v="2022-08-22T00:00:00"/>
    <s v="Agago"/>
    <s v="Adilang"/>
    <n v="100"/>
    <n v="100"/>
    <n v="0"/>
    <n v="0"/>
    <n v="0"/>
    <n v="0"/>
    <n v="0"/>
    <n v="0"/>
    <n v="0"/>
    <n v="3.95E-2"/>
    <x v="0"/>
    <x v="1"/>
    <n v="23717"/>
    <n v="45"/>
    <n v="3.95E-2"/>
    <n v="1.7775000000000001"/>
  </r>
  <r>
    <s v="recYRM4ugHvD7OVdd"/>
    <s v="Laker Josephine - Omoro | Lalogi | Bed Inge A Gardener"/>
    <n v="1"/>
    <s v="Melia, Ongono,"/>
    <d v="2022-10-30T00:00:00"/>
    <s v="Omoro"/>
    <s v="Lalogi"/>
    <n v="328"/>
    <n v="240"/>
    <n v="0"/>
    <n v="0"/>
    <n v="88"/>
    <n v="0"/>
    <n v="0"/>
    <n v="0"/>
    <n v="0"/>
    <n v="3.39E-2"/>
    <x v="0"/>
    <x v="1"/>
    <n v="24439"/>
    <n v="42"/>
    <n v="3.39E-2"/>
    <n v="1.4238"/>
  </r>
  <r>
    <s v="recrPVrn6mFP37axP"/>
    <s v="Lakica Everlyn - Omoro | Lalogi | Ogwete community Gardener"/>
    <n v="1"/>
    <s v="Melia, Musizi,"/>
    <d v="2022-06-23T00:00:00"/>
    <s v="Omoro"/>
    <s v="Lalogi"/>
    <n v="135"/>
    <n v="85"/>
    <n v="50"/>
    <n v="0"/>
    <n v="0"/>
    <n v="0"/>
    <n v="0"/>
    <n v="0"/>
    <n v="0"/>
    <n v="7.0000000000000007E-2"/>
    <x v="0"/>
    <x v="1"/>
    <n v="24621"/>
    <n v="43"/>
    <n v="7.0000000000000007E-2"/>
    <n v="3.0100000000000002"/>
  </r>
  <r>
    <s v="rec04Wpazs5kthnbw"/>
    <s v="Lakop Jusphine - Omoro | Lalogi | Ogwete community Gardener"/>
    <n v="1"/>
    <s v="Melia, Musizi,"/>
    <d v="2022-06-05T00:00:00"/>
    <s v="Omoro"/>
    <s v="Lalogi"/>
    <n v="135"/>
    <n v="85"/>
    <n v="50"/>
    <n v="0"/>
    <n v="0"/>
    <n v="0"/>
    <n v="0"/>
    <n v="0"/>
    <n v="0"/>
    <n v="5.6399999999999999E-2"/>
    <x v="0"/>
    <x v="1"/>
    <n v="24621"/>
    <n v="43"/>
    <n v="5.6399999999999999E-2"/>
    <n v="2.4251999999999998"/>
  </r>
  <r>
    <s v="rec3y9XHTFDZ85fe8"/>
    <s v="Lakot Alice - Agago | Kuywe | Rubanga tek ki lwak Cam badi Gardener"/>
    <n v="1"/>
    <s v="Melia, Gmelina,"/>
    <d v="2022-07-16T00:00:00"/>
    <s v="Agago"/>
    <s v="Kuywe"/>
    <n v="60"/>
    <n v="30"/>
    <n v="0"/>
    <n v="30"/>
    <n v="0"/>
    <n v="0"/>
    <n v="0"/>
    <n v="0"/>
    <n v="0"/>
    <n v="0.16250000000000001"/>
    <x v="0"/>
    <x v="1"/>
    <n v="17576"/>
    <n v="39"/>
    <n v="0.1628"/>
    <n v="6.3491999999999997"/>
  </r>
  <r>
    <s v="recTuOWod1kZnWLPt"/>
    <s v="Lakot Alice - Gulu | Paicho A | Waloko kwo Gardener"/>
    <n v="1"/>
    <s v="Gmelina,"/>
    <d v="2022-06-14T00:00:00"/>
    <s v="Gulu"/>
    <s v="Paicho A"/>
    <n v="230"/>
    <n v="0"/>
    <n v="0"/>
    <n v="230"/>
    <n v="0"/>
    <n v="0"/>
    <n v="0"/>
    <n v="0"/>
    <n v="0"/>
    <n v="0.20760000000000001"/>
    <x v="0"/>
    <x v="1"/>
    <n v="15852"/>
    <n v="35"/>
    <n v="0.20760000000000001"/>
    <n v="7.266"/>
  </r>
  <r>
    <s v="recLqGYN6iRUnA5Tb"/>
    <s v="Lakot Evaline - Kitgum | Orom East | Waryemo Can Gardener"/>
    <n v="1"/>
    <s v="Melia, Gmelina, Ongono, Faidherbia, Opok, Senna,"/>
    <d v="2022-07-27T00:00:00"/>
    <s v="Kitgum"/>
    <s v="Orom East"/>
    <n v="180"/>
    <n v="20"/>
    <n v="0"/>
    <n v="40"/>
    <n v="30"/>
    <n v="30"/>
    <n v="20"/>
    <n v="40"/>
    <n v="0"/>
    <n v="0.217"/>
    <x v="0"/>
    <x v="1"/>
    <n v="5652"/>
    <n v="41"/>
    <n v="0.217"/>
    <n v="8.8970000000000002"/>
  </r>
  <r>
    <s v="recYCWXhaMxHXEw0r"/>
    <s v="Lakot gloria - Agago | Lira - Palwo | Rippe aye teko Gardener"/>
    <n v="1"/>
    <s v="Melia, Musizi, Ongono,"/>
    <d v="2022-08-22T00:00:00"/>
    <s v="Agago"/>
    <s v="Lira - Palwo"/>
    <n v="200"/>
    <n v="70"/>
    <n v="80"/>
    <n v="0"/>
    <n v="50"/>
    <n v="0"/>
    <n v="0"/>
    <n v="0"/>
    <n v="0"/>
    <n v="0.24340000000000001"/>
    <x v="0"/>
    <x v="1"/>
    <n v="20392"/>
    <n v="40"/>
    <n v="0.24340000000000001"/>
    <n v="9.7360000000000007"/>
  </r>
  <r>
    <s v="receEbSlTQtm6KMYP"/>
    <s v="Lakot Margret - Omoro | Lalogi | Mak mukemi Gardener"/>
    <n v="1"/>
    <s v="Melia,"/>
    <d v="2022-08-24T00:00:00"/>
    <s v="Omoro"/>
    <s v="Lalogi"/>
    <n v="50"/>
    <n v="50"/>
    <n v="0"/>
    <n v="0"/>
    <n v="0"/>
    <n v="0"/>
    <n v="0"/>
    <n v="0"/>
    <n v="0"/>
    <n v="7.6399999999999996E-2"/>
    <x v="0"/>
    <x v="1"/>
    <n v="24253"/>
    <n v="48"/>
    <n v="7.6399999999999996E-2"/>
    <n v="3.6671999999999998"/>
  </r>
  <r>
    <s v="rec6uSAYZFhhCtqzH"/>
    <s v="Lakot Rose - Agago | Kuywe | Tam pi Anyim Gardener"/>
    <n v="1"/>
    <s v="Melia, Gmelina,"/>
    <d v="2022-09-10T00:00:00"/>
    <s v="Agago"/>
    <s v="Kuywe"/>
    <n v="85"/>
    <n v="40"/>
    <n v="0"/>
    <n v="45"/>
    <n v="0"/>
    <n v="0"/>
    <n v="0"/>
    <n v="0"/>
    <n v="0"/>
    <n v="3.61E-2"/>
    <x v="0"/>
    <x v="1"/>
    <n v="26738"/>
    <n v="39"/>
    <n v="3.61E-2"/>
    <n v="1.4078999999999999"/>
  </r>
  <r>
    <s v="rec1Y9OK3iP7mhcDw"/>
    <s v="Lakoth filda - Agago | Lira - Palwo | Paitino Gardener"/>
    <n v="1"/>
    <s v="Musizi, Senna,"/>
    <d v="2022-08-22T00:00:00"/>
    <s v="Agago"/>
    <s v="Lira - Palwo"/>
    <n v="57"/>
    <n v="0"/>
    <n v="22"/>
    <n v="0"/>
    <n v="0"/>
    <n v="0"/>
    <n v="0"/>
    <n v="35"/>
    <n v="0"/>
    <n v="5.7299999999999997E-2"/>
    <x v="0"/>
    <x v="1"/>
    <n v="21546"/>
    <n v="37"/>
    <n v="5.7299999999999997E-2"/>
    <n v="2.1200999999999999"/>
  </r>
  <r>
    <s v="recm0BBQ9KtdC9k0N"/>
    <s v="Lalam Christine - Agago | Lapono | Onen kuc Gardener"/>
    <n v="1"/>
    <s v="Melia, Musizi, Gmelina,"/>
    <d v="2022-09-30T00:00:00"/>
    <s v="Agago"/>
    <s v="Lapono"/>
    <n v="33"/>
    <n v="15"/>
    <n v="3"/>
    <n v="15"/>
    <n v="0"/>
    <n v="0"/>
    <n v="0"/>
    <n v="0"/>
    <n v="0"/>
    <n v="6.4500000000000002E-2"/>
    <x v="0"/>
    <x v="1"/>
    <n v="26419"/>
    <n v="41"/>
    <n v="6.4500000000000002E-2"/>
    <n v="2.6444999999999999"/>
  </r>
  <r>
    <s v="recJoClJUaSlxn2d1"/>
    <s v="Lalam Rose - Kitgum | Orom East | Waryemo Can Gardener"/>
    <n v="1"/>
    <s v="Melia, Gmelina, Ongono, Faidherbia, Senna,"/>
    <d v="2022-08-07T00:00:00"/>
    <s v="Kitgum"/>
    <s v="Orom East"/>
    <n v="250"/>
    <n v="50"/>
    <n v="0"/>
    <n v="50"/>
    <n v="50"/>
    <n v="50"/>
    <n v="0"/>
    <n v="50"/>
    <n v="0"/>
    <n v="0.28089999999999998"/>
    <x v="0"/>
    <x v="1"/>
    <n v="5652"/>
    <n v="41"/>
    <n v="0.28089999999999998"/>
    <n v="11.5169"/>
  </r>
  <r>
    <s v="recQIy3jEpeNUhZxe"/>
    <s v="Lamuaka jenifer - Agago | Kuywe | Ogen rwot Gardener"/>
    <n v="1"/>
    <s v="Melia, Musizi, Gmelina, Senna,"/>
    <d v="2022-10-20T00:00:00"/>
    <s v="Agago"/>
    <s v="Kuywe"/>
    <n v="205"/>
    <n v="160"/>
    <n v="5"/>
    <n v="30"/>
    <n v="0"/>
    <n v="0"/>
    <n v="0"/>
    <n v="10"/>
    <n v="0"/>
    <n v="0.18160000000000001"/>
    <x v="0"/>
    <x v="1"/>
    <n v="19154"/>
    <n v="49"/>
    <n v="0.18160000000000001"/>
    <n v="8.8984000000000005"/>
  </r>
  <r>
    <s v="reczTUaucvntLr3o0"/>
    <s v="Lamunu Jenifer - Agago | Adilang | Akem ki kweri Gardener"/>
    <n v="1"/>
    <s v="Melia,"/>
    <d v="2022-05-03T00:00:00"/>
    <s v="Agago"/>
    <s v="Adilang"/>
    <n v="520"/>
    <n v="520"/>
    <n v="0"/>
    <n v="0"/>
    <n v="0"/>
    <n v="0"/>
    <n v="0"/>
    <n v="0"/>
    <n v="0"/>
    <n v="0.4355"/>
    <x v="0"/>
    <x v="1"/>
    <n v="24128"/>
    <n v="36"/>
    <n v="0.4355"/>
    <n v="15.678000000000001"/>
  </r>
  <r>
    <s v="recNrsWxYTO8Y3qzE"/>
    <s v="Lanyero janet - Agago | Kuywe | Ogen rwot - Gardener"/>
    <n v="1"/>
    <s v="Melia, Musizi, Gmelina,"/>
    <d v="2022-10-18T00:00:00"/>
    <s v="Agago"/>
    <s v="Kuywe"/>
    <n v="100"/>
    <n v="30"/>
    <n v="5"/>
    <n v="65"/>
    <n v="0"/>
    <n v="0"/>
    <n v="0"/>
    <n v="0"/>
    <n v="0"/>
    <n v="8.1199999999999994E-2"/>
    <x v="0"/>
    <x v="1"/>
    <n v="16238"/>
    <n v="38"/>
    <n v="8.1699999999999995E-2"/>
    <n v="3.1045999999999996"/>
  </r>
  <r>
    <s v="recUus0qRwKeLGOYG"/>
    <s v="Latabu sarah - Agago | Lira - Palwo | Rippe aye teko Gardener"/>
    <n v="1"/>
    <s v="Melia, Musizi, Ongono, Opok, Senna, Lebbek"/>
    <d v="2022-08-22T00:00:00"/>
    <s v="Agago"/>
    <s v="Lira - Palwo"/>
    <n v="141"/>
    <n v="40"/>
    <n v="38"/>
    <n v="0"/>
    <n v="40"/>
    <n v="0"/>
    <n v="1"/>
    <n v="10"/>
    <n v="12"/>
    <n v="0.49280000000000002"/>
    <x v="0"/>
    <x v="1"/>
    <n v="20392"/>
    <n v="40"/>
    <n v="0.49280000000000002"/>
    <n v="19.712"/>
  </r>
  <r>
    <s v="recVQnLWFcg8mK2pw"/>
    <s v="Latoo Teddy - Kitgum | Orom East | Waryemo Can Gardener"/>
    <n v="1"/>
    <s v="Gmelina, Ongono, Faidherbia, Senna,"/>
    <d v="2022-08-12T00:00:00"/>
    <s v="Kitgum"/>
    <s v="Orom East"/>
    <n v="120"/>
    <n v="0"/>
    <n v="0"/>
    <n v="30"/>
    <n v="30"/>
    <n v="30"/>
    <n v="0"/>
    <n v="30"/>
    <n v="0"/>
    <n v="4.36E-2"/>
    <x v="0"/>
    <x v="1"/>
    <n v="5843"/>
    <n v="44"/>
    <n v="4.36E-2"/>
    <n v="1.9184000000000001"/>
  </r>
  <r>
    <s v="recqnO1nUbpOqeLhy"/>
    <s v="Lawino Sicilia - Onen kuc"/>
    <n v="1"/>
    <s v="Melia, Gmelina,"/>
    <d v="2022-08-22T00:00:00"/>
    <s v="Individual Farmer"/>
    <s v="Individual Farmer"/>
    <n v="3"/>
    <n v="1"/>
    <n v="0"/>
    <n v="2"/>
    <n v="0"/>
    <n v="0"/>
    <n v="0"/>
    <n v="0"/>
    <n v="0"/>
    <n v="1.6500000000000001E-2"/>
    <x v="0"/>
    <x v="1"/>
    <n v="17308"/>
    <n v="43"/>
    <n v="1.6500000000000001E-2"/>
    <n v="0.70950000000000002"/>
  </r>
  <r>
    <s v="recq5xwGyoHRcYAqQ"/>
    <s v="Lawino Jennifer - Omoro | Lalogi | Rwot Ngeo Gardener"/>
    <n v="1"/>
    <s v="Melia, Musizi, Opok,"/>
    <d v="2022-07-04T00:00:00"/>
    <s v="Omoro"/>
    <s v="Lalogi"/>
    <n v="83"/>
    <n v="53"/>
    <n v="11"/>
    <n v="0"/>
    <n v="0"/>
    <n v="0"/>
    <n v="19"/>
    <n v="0"/>
    <n v="0"/>
    <n v="4.1799999999999997E-2"/>
    <x v="0"/>
    <x v="1"/>
    <n v="21310"/>
    <n v="41"/>
    <n v="4.1799999999999997E-2"/>
    <n v="1.7137999999999998"/>
  </r>
  <r>
    <s v="recDBBDYNhzWC2cKX"/>
    <s v="Lawino Susan - Mak mukeme"/>
    <n v="1"/>
    <s v="Melia,"/>
    <d v="2022-08-22T00:00:00"/>
    <s v="Individual Farmer"/>
    <s v="Individual Farmer"/>
    <n v="5"/>
    <n v="5"/>
    <n v="0"/>
    <n v="0"/>
    <n v="0"/>
    <n v="0"/>
    <n v="0"/>
    <n v="0"/>
    <n v="0"/>
    <n v="1.17E-2"/>
    <x v="0"/>
    <x v="1"/>
    <n v="24251"/>
    <n v="46"/>
    <n v="1.17E-2"/>
    <n v="0.53820000000000001"/>
  </r>
  <r>
    <s v="recDBBDYNhzWC2cKX"/>
    <s v="Lawino Susan - Mak mukeme"/>
    <n v="1"/>
    <s v="Melia,"/>
    <d v="2022-08-22T00:00:00"/>
    <s v="Individual Farmer"/>
    <s v="Individual Farmer"/>
    <n v="5"/>
    <n v="5"/>
    <n v="0"/>
    <n v="0"/>
    <n v="0"/>
    <n v="0"/>
    <n v="0"/>
    <n v="0"/>
    <n v="0"/>
    <n v="1.17E-2"/>
    <x v="0"/>
    <x v="1"/>
    <n v="24252"/>
    <n v="45"/>
    <n v="0"/>
    <n v="0"/>
  </r>
  <r>
    <s v="recVDWbPcB1bUTAoJ"/>
    <s v="Lokwang David - Kitgum | Orom East | Waryemo Can Gardener"/>
    <n v="1"/>
    <s v="Ongono, Faidherbia, Senna,"/>
    <d v="2022-08-07T00:00:00"/>
    <s v="Kitgum"/>
    <s v="Orom East"/>
    <n v="70"/>
    <n v="0"/>
    <n v="0"/>
    <n v="0"/>
    <n v="10"/>
    <n v="10"/>
    <n v="0"/>
    <n v="50"/>
    <n v="0"/>
    <n v="5.9799999999999999E-2"/>
    <x v="0"/>
    <x v="1"/>
    <n v="5843"/>
    <n v="44"/>
    <n v="5.9799999999999999E-2"/>
    <n v="2.6311999999999998"/>
  </r>
  <r>
    <s v="recJO4q2py7ykxaBW"/>
    <s v="Loum James - Agago | | Individual Farmer Gardener"/>
    <n v="1"/>
    <s v="Melia,"/>
    <d v="2022-10-19T00:00:00"/>
    <s v="Agago"/>
    <s v="Individual Farmer"/>
    <n v="360"/>
    <n v="360"/>
    <n v="0"/>
    <n v="0"/>
    <n v="0"/>
    <n v="0"/>
    <n v="0"/>
    <n v="0"/>
    <n v="0"/>
    <n v="6.1699999999999998E-2"/>
    <x v="0"/>
    <x v="1"/>
    <n v="25802"/>
    <n v="45"/>
    <n v="6.1699999999999998E-2"/>
    <n v="2.7765"/>
  </r>
  <r>
    <s v="recbrPd67qUM6CJ6g"/>
    <s v="Lujum bajilo - Agago | Kuywe | Rubanga tek ki lwak Cam badi Gardener"/>
    <n v="1"/>
    <s v="Melia, Gmelina, Ongono, Senna,"/>
    <d v="2022-08-16T00:00:00"/>
    <s v="Agago"/>
    <s v="Kuywe"/>
    <n v="185"/>
    <n v="100"/>
    <n v="0"/>
    <n v="45"/>
    <n v="20"/>
    <n v="0"/>
    <n v="0"/>
    <n v="20"/>
    <n v="0"/>
    <n v="0.27750000000000002"/>
    <x v="0"/>
    <x v="1"/>
    <n v="16034"/>
    <n v="38"/>
    <n v="0.25800000000000001"/>
    <n v="9.8040000000000003"/>
  </r>
  <r>
    <s v="recbrPd67qUM6CJ6g"/>
    <s v="Lujum bajilo - Agago | Kuywe | Rubanga tek ki lwak Cam badi Gardener"/>
    <n v="1"/>
    <s v="Melia, Gmelina, Ongono, Senna,"/>
    <d v="2022-08-16T00:00:00"/>
    <s v="Agago"/>
    <s v="Kuywe"/>
    <n v="185"/>
    <n v="100"/>
    <n v="0"/>
    <n v="45"/>
    <n v="20"/>
    <n v="0"/>
    <n v="0"/>
    <n v="20"/>
    <n v="0"/>
    <n v="0.27750000000000002"/>
    <x v="0"/>
    <x v="1"/>
    <n v="16228"/>
    <n v="39"/>
    <n v="1.95E-2"/>
    <n v="0.76049999999999995"/>
  </r>
  <r>
    <s v="recbIk9srg3sN0hlK"/>
    <s v="Lukectra James Bwaya - Agago | Lira - Palwo | Waribu tam Gardener"/>
    <n v="1"/>
    <s v="Melia, Gmelina, Faidherbia,"/>
    <d v="2022-08-22T00:00:00"/>
    <s v="Agago"/>
    <s v="Lira - Palwo"/>
    <n v="257"/>
    <n v="74"/>
    <n v="0"/>
    <n v="49"/>
    <n v="0"/>
    <n v="134"/>
    <n v="0"/>
    <n v="0"/>
    <n v="0"/>
    <n v="0.15459999999999999"/>
    <x v="0"/>
    <x v="1"/>
    <n v="21545"/>
    <n v="39"/>
    <n v="0.15459999999999999"/>
    <n v="6.0293999999999999"/>
  </r>
  <r>
    <s v="recwpbxMKF6a6j25o"/>
    <s v="Makmot Santo - Agago | Lukole | Mat turo paco Gardener"/>
    <n v="1"/>
    <s v="Melia, Musizi, Gmelina, Ongono, Senna,"/>
    <d v="2022-09-17T00:00:00"/>
    <s v="Agago"/>
    <s v="Lukole"/>
    <n v="1649"/>
    <n v="640"/>
    <n v="159"/>
    <n v="135"/>
    <n v="550"/>
    <n v="0"/>
    <n v="0"/>
    <n v="165"/>
    <n v="0"/>
    <n v="0.84370000000000001"/>
    <x v="0"/>
    <x v="1"/>
    <n v="19628"/>
    <n v="39"/>
    <n v="0.84370000000000001"/>
    <n v="32.904299999999999"/>
  </r>
  <r>
    <s v="recdBpwDNJd1f512l"/>
    <s v="Moro aldo - Agago | Lapono | Peko ma poto atura - Gardener"/>
    <n v="1"/>
    <s v="Melia, Gmelina, Ongono, Senna,"/>
    <d v="2022-08-22T00:00:00"/>
    <s v="Agago"/>
    <s v="Lapono"/>
    <n v="188"/>
    <n v="33"/>
    <n v="0"/>
    <n v="10"/>
    <n v="15"/>
    <n v="0"/>
    <n v="0"/>
    <n v="130"/>
    <n v="0"/>
    <n v="0.19819999999999999"/>
    <x v="0"/>
    <x v="1"/>
    <n v="17308"/>
    <n v="43"/>
    <n v="0.19819999999999999"/>
    <n v="8.5225999999999988"/>
  </r>
  <r>
    <s v="recntxZqlED26oDZT"/>
    <s v="Moro denish - Agago | Lira - Palwo | Tam piwa Gardener"/>
    <n v="1"/>
    <s v="Melia, Gmelina, Senna,"/>
    <d v="2022-08-22T00:00:00"/>
    <s v="Agago"/>
    <s v="Lira - Palwo"/>
    <n v="200"/>
    <n v="150"/>
    <n v="0"/>
    <n v="20"/>
    <n v="0"/>
    <n v="0"/>
    <n v="0"/>
    <n v="30"/>
    <n v="0"/>
    <n v="0.21190000000000001"/>
    <x v="0"/>
    <x v="1"/>
    <n v="21362"/>
    <n v="38"/>
    <n v="0.21190000000000001"/>
    <n v="8.0522000000000009"/>
  </r>
  <r>
    <s v="recI030E0psXOY70h"/>
    <s v="Moro Moses - Omoro | Lalogi | Bed Inge A Gardener"/>
    <n v="1"/>
    <s v="Melia,"/>
    <d v="2022-10-24T00:00:00"/>
    <s v="Omoro"/>
    <s v="Lalogi"/>
    <n v="520"/>
    <n v="520"/>
    <n v="0"/>
    <n v="0"/>
    <n v="0"/>
    <n v="0"/>
    <n v="0"/>
    <n v="0"/>
    <n v="0"/>
    <n v="2.93E-2"/>
    <x v="0"/>
    <x v="1"/>
    <n v="24626"/>
    <n v="44"/>
    <n v="2.93E-2"/>
    <n v="1.2891999999999999"/>
  </r>
  <r>
    <s v="recFx45ZdpsZSW1fS"/>
    <s v="Nanya Kevin - Kitgum | Orom East | Waryemo Can Gardener"/>
    <n v="1"/>
    <s v="Melia, Musizi, Ongono, Faidherbia,"/>
    <d v="2022-09-07T00:00:00"/>
    <s v="Kitgum"/>
    <s v="Orom East"/>
    <n v="200"/>
    <n v="50"/>
    <n v="50"/>
    <n v="0"/>
    <n v="50"/>
    <n v="50"/>
    <n v="0"/>
    <n v="0"/>
    <n v="0"/>
    <n v="5.8500000000000003E-2"/>
    <x v="0"/>
    <x v="1"/>
    <n v="5843"/>
    <n v="44"/>
    <n v="5.8500000000000003E-2"/>
    <n v="2.5740000000000003"/>
  </r>
  <r>
    <s v="recLjjRzgFm8mbUsU"/>
    <s v="Nyeko Simon peter - Agago | Lira - Palwo | Rippe aye teko Gardener"/>
    <n v="1"/>
    <s v="Melia, Musizi, Gmelina, Ongono, Faidherbia,"/>
    <d v="2022-07-23T00:00:00"/>
    <s v="Agago"/>
    <s v="Lira - Palwo"/>
    <n v="610"/>
    <n v="190"/>
    <n v="108"/>
    <n v="60"/>
    <n v="132"/>
    <n v="120"/>
    <n v="0"/>
    <n v="0"/>
    <n v="0"/>
    <n v="0.3362"/>
    <x v="0"/>
    <x v="1"/>
    <n v="20392"/>
    <n v="40"/>
    <n v="0.3362"/>
    <n v="13.448"/>
  </r>
  <r>
    <s v="recvdYJVf1tUTQ8bS"/>
    <s v="Nyenyjis semei - Agago | Lira - Palwo | Rippe aye teko Gardener"/>
    <n v="1"/>
    <s v="Melia, Musizi, Ongono, Faidherbia,"/>
    <d v="2022-08-13T00:00:00"/>
    <s v="Agago"/>
    <s v="Lira - Palwo"/>
    <n v="426"/>
    <n v="200"/>
    <n v="80"/>
    <n v="0"/>
    <n v="82"/>
    <n v="64"/>
    <n v="0"/>
    <n v="0"/>
    <n v="0"/>
    <n v="0.4264"/>
    <x v="0"/>
    <x v="1"/>
    <n v="20392"/>
    <n v="40"/>
    <n v="0.4264"/>
    <n v="17.056000000000001"/>
  </r>
  <r>
    <s v="recFfwRlr8SmMr56C"/>
    <s v="Oboke Chelstino - Agago | Lukole | Atim ki koma Gardener"/>
    <n v="1"/>
    <s v="Melia, Gmelina,"/>
    <d v="2021-06-15T00:00:00"/>
    <s v="Agago"/>
    <s v="Lukole"/>
    <n v="180"/>
    <n v="80"/>
    <n v="0"/>
    <n v="100"/>
    <n v="0"/>
    <n v="0"/>
    <n v="0"/>
    <n v="0"/>
    <n v="0"/>
    <n v="0.30380000000000001"/>
    <x v="0"/>
    <x v="1"/>
    <n v="19439"/>
    <n v="40"/>
    <n v="0.30380000000000001"/>
    <n v="12.152000000000001"/>
  </r>
  <r>
    <s v="recdgvLOlsgKRtZtg"/>
    <s v="Obol Martine - Peko ma poto atura"/>
    <n v="1"/>
    <s v="Senna,"/>
    <d v="2022-08-22T00:00:00"/>
    <s v="Individual Farmer"/>
    <s v="Individual Farmer"/>
    <n v="2"/>
    <n v="0"/>
    <n v="0"/>
    <n v="0"/>
    <n v="0"/>
    <n v="0"/>
    <n v="0"/>
    <n v="2"/>
    <n v="0"/>
    <n v="2.47E-2"/>
    <x v="0"/>
    <x v="1"/>
    <n v="17308"/>
    <n v="43"/>
    <n v="2.47E-2"/>
    <n v="1.0621"/>
  </r>
  <r>
    <s v="recofJKNfayGnCCzf"/>
    <s v="Obol John Akal - Agago | Lukole | Aloka loka Gardener"/>
    <n v="1"/>
    <s v="Gmelina, Ongono,"/>
    <d v="2022-07-26T00:00:00"/>
    <s v="Agago"/>
    <s v="Lukole"/>
    <n v="904"/>
    <n v="0"/>
    <n v="0"/>
    <n v="754"/>
    <n v="150"/>
    <n v="0"/>
    <n v="0"/>
    <n v="0"/>
    <n v="0"/>
    <n v="0.31659999999999999"/>
    <x v="0"/>
    <x v="1"/>
    <n v="18630"/>
    <n v="46"/>
    <n v="0.31659999999999999"/>
    <n v="14.563599999999999"/>
  </r>
  <r>
    <s v="recR1RUk4Pt9e01Ug"/>
    <s v="Obua Lirno Michael - Omoro | Lalogi | Obed igen Gardener"/>
    <n v="1"/>
    <s v="Melia,"/>
    <d v="2022-08-22T00:00:00"/>
    <s v="Omoro"/>
    <s v="Lalogi"/>
    <n v="85"/>
    <n v="85"/>
    <n v="0"/>
    <n v="0"/>
    <n v="0"/>
    <n v="0"/>
    <n v="0"/>
    <n v="0"/>
    <n v="0"/>
    <n v="2.2200000000000001E-2"/>
    <x v="0"/>
    <x v="1"/>
    <n v="24251"/>
    <n v="46"/>
    <n v="2.2200000000000001E-2"/>
    <n v="1.0212000000000001"/>
  </r>
  <r>
    <s v="recfZQ5qCXzYwuS87"/>
    <s v="Ocan Bosco - Agago | Lapono | Peko ma poto atura - Gardener"/>
    <n v="1"/>
    <s v="Melia, Gmelina, Ongono, Senna,"/>
    <d v="2022-08-22T00:00:00"/>
    <s v="Agago"/>
    <s v="Lapono"/>
    <n v="92"/>
    <n v="9"/>
    <n v="0"/>
    <n v="3"/>
    <n v="40"/>
    <n v="0"/>
    <n v="0"/>
    <n v="40"/>
    <n v="0"/>
    <n v="0.56479999999999997"/>
    <x v="0"/>
    <x v="1"/>
    <n v="17308"/>
    <n v="43"/>
    <n v="0.56479999999999997"/>
    <n v="24.2864"/>
  </r>
  <r>
    <s v="recmDxoy1O34Wdo2b"/>
    <s v="Ocan devid - Agago | Kuywe | Yub paco ni Gardener"/>
    <n v="1"/>
    <s v="Melia, Musizi, Gmelina,"/>
    <d v="2022-08-27T00:00:00"/>
    <s v="Agago"/>
    <s v="Kuywe"/>
    <n v="148"/>
    <n v="20"/>
    <n v="8"/>
    <n v="120"/>
    <n v="0"/>
    <n v="0"/>
    <n v="0"/>
    <n v="0"/>
    <n v="0"/>
    <n v="0.1055"/>
    <x v="0"/>
    <x v="1"/>
    <n v="17319"/>
    <n v="41"/>
    <n v="0.1055"/>
    <n v="4.3254999999999999"/>
  </r>
  <r>
    <s v="rec9tm34nmlQmAauK"/>
    <s v="Ocan George - Omoro | Lalogi | Bed Inge A Gardener"/>
    <n v="1"/>
    <s v="Melia,"/>
    <d v="2022-09-06T00:00:00"/>
    <s v="Omoro"/>
    <s v="Lalogi"/>
    <n v="161"/>
    <n v="161"/>
    <n v="0"/>
    <n v="0"/>
    <n v="0"/>
    <n v="0"/>
    <n v="0"/>
    <n v="0"/>
    <n v="0"/>
    <n v="0.50639999999999996"/>
    <x v="0"/>
    <x v="1"/>
    <n v="24254"/>
    <n v="50"/>
    <n v="0.50639999999999996"/>
    <n v="25.319999999999997"/>
  </r>
  <r>
    <s v="recJ8cIrR8yJQq40o"/>
    <s v="Ocan godfrey - Agago | Lira - Palwo | Waribu tam Gardener"/>
    <n v="1"/>
    <s v="Melia, Gmelina, Ongono, Faidherbia, Senna,"/>
    <d v="2022-08-22T00:00:00"/>
    <s v="Agago"/>
    <s v="Lira - Palwo"/>
    <n v="236"/>
    <n v="50"/>
    <n v="0"/>
    <n v="23"/>
    <n v="100"/>
    <n v="38"/>
    <n v="0"/>
    <n v="25"/>
    <n v="0"/>
    <n v="0.2767"/>
    <x v="0"/>
    <x v="1"/>
    <n v="21546"/>
    <n v="37"/>
    <n v="0.2767"/>
    <n v="10.2379"/>
  </r>
  <r>
    <s v="recXIvCQQMrq17AWj"/>
    <s v="Ocan Handra - Omoro | Lalogi | Rwot Ngeo Gardener"/>
    <n v="1"/>
    <s v="Melia,"/>
    <d v="2022-08-22T00:00:00"/>
    <s v="Omoro"/>
    <s v="Lalogi"/>
    <n v="53"/>
    <n v="53"/>
    <n v="0"/>
    <n v="0"/>
    <n v="0"/>
    <n v="0"/>
    <n v="0"/>
    <n v="0"/>
    <n v="0"/>
    <n v="8.48E-2"/>
    <x v="0"/>
    <x v="1"/>
    <n v="21112"/>
    <n v="44"/>
    <n v="8.48E-2"/>
    <n v="3.7311999999999999"/>
  </r>
  <r>
    <s v="recKQnUkQmJjWFHif"/>
    <s v="Ocaya Geoffrey - Omoro | Lalogi | Ogwete community Gardener"/>
    <n v="1"/>
    <s v="Melia,"/>
    <d v="2022-05-11T00:00:00"/>
    <s v="Omoro"/>
    <s v="Lalogi"/>
    <n v="84"/>
    <n v="84"/>
    <n v="0"/>
    <n v="0"/>
    <n v="0"/>
    <n v="0"/>
    <n v="0"/>
    <n v="0"/>
    <n v="0"/>
    <n v="9.5600000000000004E-2"/>
    <x v="0"/>
    <x v="1"/>
    <n v="24251"/>
    <n v="46"/>
    <n v="9.5600000000000004E-2"/>
    <n v="4.3976000000000006"/>
  </r>
  <r>
    <s v="recHNrbemduBuNS5b"/>
    <s v="Ocaya Johnson - Agago | Paimol | Tem gumi - Gardener"/>
    <n v="1"/>
    <s v="Melia, Musizi,"/>
    <d v="2022-08-24T00:00:00"/>
    <s v="Agago"/>
    <s v="Paimol"/>
    <n v="215"/>
    <n v="89"/>
    <n v="126"/>
    <n v="0"/>
    <n v="0"/>
    <n v="0"/>
    <n v="0"/>
    <n v="0"/>
    <n v="0"/>
    <n v="0.13039999999999999"/>
    <x v="0"/>
    <x v="1"/>
    <n v="42088"/>
    <n v="52"/>
    <n v="0.13039999999999999"/>
    <n v="6.7807999999999993"/>
  </r>
  <r>
    <s v="recjeZmR5n14b1JPz"/>
    <s v="Ocaya Keric - Omoro | Lalogi | Bedi igen Gardener"/>
    <n v="1"/>
    <s v="Melia,"/>
    <d v="2022-08-22T00:00:00"/>
    <s v="Omoro"/>
    <s v="Lalogi"/>
    <n v="160"/>
    <n v="160"/>
    <n v="0"/>
    <n v="0"/>
    <n v="0"/>
    <n v="0"/>
    <n v="0"/>
    <n v="0"/>
    <n v="0"/>
    <n v="0.1263"/>
    <x v="0"/>
    <x v="1"/>
    <n v="24253"/>
    <n v="48"/>
    <n v="0.1263"/>
    <n v="6.0624000000000002"/>
  </r>
  <r>
    <s v="rec8mwu7w4wkpxuw3"/>
    <s v="Ocen Bosco - Agago | Paimol | Rubanga tek women's group - Gardener"/>
    <n v="1"/>
    <s v="Melia,"/>
    <d v="2022-09-24T00:00:00"/>
    <s v="Agago"/>
    <s v="Paimol"/>
    <n v="243"/>
    <n v="243"/>
    <n v="0"/>
    <n v="0"/>
    <n v="0"/>
    <n v="0"/>
    <n v="0"/>
    <n v="0"/>
    <n v="0"/>
    <n v="0.1144"/>
    <x v="0"/>
    <x v="1"/>
    <n v="16239"/>
    <n v="33"/>
    <n v="0.1144"/>
    <n v="3.7751999999999999"/>
  </r>
  <r>
    <s v="recEv1QvIYlAb9O3q"/>
    <s v="Ocen Denise - Agago | Lukole | Alwee trees Gardener"/>
    <n v="1"/>
    <s v="Melia, Musizi, Gmelina, Opok,"/>
    <d v="2022-06-12T00:00:00"/>
    <s v="Agago"/>
    <s v="Lukole"/>
    <n v="635"/>
    <n v="245"/>
    <n v="150"/>
    <n v="190"/>
    <n v="0"/>
    <n v="0"/>
    <n v="50"/>
    <n v="0"/>
    <n v="0"/>
    <n v="0.33260000000000001"/>
    <x v="0"/>
    <x v="1"/>
    <n v="18809"/>
    <n v="49"/>
    <n v="0.33260000000000001"/>
    <n v="16.2974"/>
  </r>
  <r>
    <s v="recQuvV3fJ6sUcqiK"/>
    <s v="Ocen Joseph Okello - Agago | Lukole | Alwee trees Gardener"/>
    <n v="1"/>
    <s v="Melia, Gmelina,"/>
    <d v="2022-05-20T00:00:00"/>
    <s v="Agago"/>
    <s v="Lukole"/>
    <n v="75"/>
    <n v="35"/>
    <n v="0"/>
    <n v="40"/>
    <n v="0"/>
    <n v="0"/>
    <n v="0"/>
    <n v="0"/>
    <n v="0"/>
    <n v="5.6099999999999997E-2"/>
    <x v="0"/>
    <x v="1"/>
    <n v="18870"/>
    <n v="42"/>
    <n v="5.6099999999999997E-2"/>
    <n v="2.3561999999999999"/>
  </r>
  <r>
    <s v="recxXGn6v0Gox2gZF"/>
    <s v="Ocen Lamson - Omoro | Lalogi | Acek ki kwene Gardener"/>
    <n v="1"/>
    <s v="Melia,"/>
    <d v="2022-05-16T00:00:00"/>
    <s v="Omoro"/>
    <s v="Lalogi"/>
    <n v="35"/>
    <n v="35"/>
    <n v="0"/>
    <n v="0"/>
    <n v="0"/>
    <n v="0"/>
    <n v="0"/>
    <n v="0"/>
    <n v="0"/>
    <n v="0.1804"/>
    <x v="0"/>
    <x v="1"/>
    <n v="21682"/>
    <n v="41"/>
    <n v="0.1804"/>
    <n v="7.3963999999999999"/>
  </r>
  <r>
    <s v="receuPQ7ggXf8DGtP"/>
    <s v="Ocen Moris - Agago | Paimol | Rubanga tek women's group - Gardener"/>
    <n v="1"/>
    <s v="Melia, Gmelina,"/>
    <d v="2022-08-22T00:00:00"/>
    <s v="Agago"/>
    <s v="Paimol"/>
    <n v="165"/>
    <n v="45"/>
    <n v="0"/>
    <n v="120"/>
    <n v="0"/>
    <n v="0"/>
    <n v="0"/>
    <n v="0"/>
    <n v="0"/>
    <n v="3.39E-2"/>
    <x v="0"/>
    <x v="1"/>
    <n v="14839"/>
    <n v="41"/>
    <n v="3.39E-2"/>
    <n v="1.3898999999999999"/>
  </r>
  <r>
    <s v="recAkbGO7MYOGhux0"/>
    <s v="Ocen Moses - Agago | Paimol | Rubanga tek women's group - Gardener"/>
    <n v="1"/>
    <s v="Melia,"/>
    <d v="1945-05-21T00:00:00"/>
    <s v="Agago"/>
    <s v="Paimol"/>
    <n v="504"/>
    <n v="504"/>
    <n v="0"/>
    <n v="0"/>
    <n v="0"/>
    <n v="0"/>
    <n v="0"/>
    <n v="0"/>
    <n v="0"/>
    <n v="8.2600000000000007E-2"/>
    <x v="0"/>
    <x v="1"/>
    <n v="19358"/>
    <n v="46"/>
    <n v="8.2600000000000007E-2"/>
    <n v="3.7996000000000003"/>
  </r>
  <r>
    <s v="rec7GFy9aLtmqeokZ"/>
    <s v="Oceng Simon - Agago | Paimol | Gen kweri young farmer's association - Gardener"/>
    <n v="1"/>
    <s v="Melia, Gmelina,"/>
    <d v="2022-06-25T00:00:00"/>
    <s v="Agago"/>
    <s v="Paimol"/>
    <n v="185"/>
    <n v="170"/>
    <n v="0"/>
    <n v="15"/>
    <n v="0"/>
    <n v="0"/>
    <n v="0"/>
    <n v="0"/>
    <n v="0"/>
    <n v="3.1899999999999998E-2"/>
    <x v="0"/>
    <x v="1"/>
    <n v="14491"/>
    <n v="41"/>
    <n v="3.1899999999999998E-2"/>
    <n v="1.3078999999999998"/>
  </r>
  <r>
    <s v="recGyNm3LpnH4b5WP"/>
    <s v="Ochan Denish - Agago | Lukole | Aloka loka Gardener"/>
    <n v="1"/>
    <s v="Melia, Musizi, Ongono, Senna,"/>
    <d v="2022-08-27T00:00:00"/>
    <s v="Agago"/>
    <s v="Lukole"/>
    <n v="350"/>
    <n v="30"/>
    <n v="36"/>
    <n v="0"/>
    <n v="200"/>
    <n v="0"/>
    <n v="0"/>
    <n v="84"/>
    <n v="0"/>
    <n v="0.25440000000000002"/>
    <x v="0"/>
    <x v="1"/>
    <n v="18630"/>
    <n v="46"/>
    <n v="0.25440000000000002"/>
    <n v="11.702400000000001"/>
  </r>
  <r>
    <s v="recmHDrRNtfvchRYg"/>
    <s v="Ochola Mark - Agago | Kuywe | Kica ber Gardener"/>
    <n v="1"/>
    <s v="Melia,"/>
    <d v="2022-10-02T00:00:00"/>
    <s v="Agago"/>
    <s v="Kuywe"/>
    <n v="15"/>
    <n v="15"/>
    <n v="0"/>
    <n v="0"/>
    <n v="0"/>
    <n v="0"/>
    <n v="0"/>
    <n v="0"/>
    <n v="0"/>
    <n v="2.5100000000000001E-2"/>
    <x v="0"/>
    <x v="1"/>
    <n v="27443"/>
    <n v="42"/>
    <n v="2.5100000000000001E-2"/>
    <n v="1.0542"/>
  </r>
  <r>
    <s v="recyc3nYoGaInq6eK"/>
    <s v="Ociti charlse - Agago | Lira - Palwo | Rippe aye teko Gardener"/>
    <n v="1"/>
    <s v="Melia, Musizi, Ongono, Faidherbia, Senna,"/>
    <d v="2022-08-22T00:00:00"/>
    <s v="Agago"/>
    <s v="Lira - Palwo"/>
    <n v="186"/>
    <n v="88"/>
    <n v="35"/>
    <n v="0"/>
    <n v="40"/>
    <n v="10"/>
    <n v="0"/>
    <n v="13"/>
    <n v="0"/>
    <n v="5.8099999999999999E-2"/>
    <x v="0"/>
    <x v="1"/>
    <n v="20392"/>
    <n v="40"/>
    <n v="5.8099999999999999E-2"/>
    <n v="2.3239999999999998"/>
  </r>
  <r>
    <s v="rectwhph12Vz53PCJ"/>
    <s v="Ociti Gilbert - Agago | | Individual Farmer Gardener"/>
    <n v="1"/>
    <s v="Melia,"/>
    <d v="2022-10-19T00:00:00"/>
    <s v="Agago"/>
    <s v="Individual Farmer"/>
    <n v="540"/>
    <n v="540"/>
    <n v="0"/>
    <n v="0"/>
    <n v="0"/>
    <n v="0"/>
    <n v="0"/>
    <n v="0"/>
    <n v="0"/>
    <n v="0.82240000000000002"/>
    <x v="0"/>
    <x v="1"/>
    <n v="16823"/>
    <n v="43"/>
    <n v="0.82240000000000002"/>
    <n v="35.363199999999999"/>
  </r>
  <r>
    <s v="recM38Pdhp5ISUnpE"/>
    <s v="Odida Isaac - Agago | Kuywe | Kica ber Gardener"/>
    <n v="1"/>
    <s v="Melia,"/>
    <d v="2022-10-02T00:00:00"/>
    <s v="Agago"/>
    <s v="Kuywe"/>
    <n v="10"/>
    <n v="10"/>
    <n v="0"/>
    <n v="0"/>
    <n v="0"/>
    <n v="0"/>
    <n v="0"/>
    <n v="0"/>
    <n v="0"/>
    <n v="9.6199999999999994E-2"/>
    <x v="0"/>
    <x v="1"/>
    <n v="26435"/>
    <n v="21"/>
    <n v="9.6199999999999994E-2"/>
    <n v="2.0202"/>
  </r>
  <r>
    <s v="recw9EmWiGw3SHL1z"/>
    <s v="Odoch Tonny - Omoro | Lalogi | Bedi igen Gardener"/>
    <n v="1"/>
    <s v="Melia, Musizi, Ongono, Faidherbia, Opok, Senna,"/>
    <d v="2022-06-15T00:00:00"/>
    <s v="Omoro"/>
    <s v="Lalogi"/>
    <n v="140"/>
    <n v="18"/>
    <n v="24"/>
    <n v="0"/>
    <n v="25"/>
    <n v="25"/>
    <n v="8"/>
    <n v="40"/>
    <n v="0"/>
    <n v="4.6800000000000001E-2"/>
    <x v="0"/>
    <x v="1"/>
    <n v="24251"/>
    <n v="46"/>
    <n v="4.6800000000000001E-2"/>
    <n v="2.1528"/>
  </r>
  <r>
    <s v="recXBBtvzrBBlTroL"/>
    <s v="Odokon yero Bosco - Agago | Lapono | Onen kuc Gardener"/>
    <n v="1"/>
    <s v="Melia, Musizi, Gmelina,"/>
    <d v="2022-08-22T00:00:00"/>
    <s v="Agago"/>
    <s v="Lapono"/>
    <n v="50"/>
    <n v="20"/>
    <n v="5"/>
    <n v="25"/>
    <n v="0"/>
    <n v="0"/>
    <n v="0"/>
    <n v="0"/>
    <n v="0"/>
    <n v="6.2799999999999995E-2"/>
    <x v="0"/>
    <x v="1"/>
    <n v="17308"/>
    <n v="43"/>
    <n v="6.2799999999999995E-2"/>
    <n v="2.7003999999999997"/>
  </r>
  <r>
    <s v="receranzgyT0SE5U1"/>
    <s v="Odokon yero Bosco - Agago | Lapono | Onen kuc Gardener"/>
    <n v="1"/>
    <s v="Gmelina,"/>
    <d v="2022-08-22T00:00:00"/>
    <s v="Individual Farmer"/>
    <s v="Individual Farmer"/>
    <n v="7"/>
    <n v="0"/>
    <n v="0"/>
    <n v="7"/>
    <n v="0"/>
    <n v="0"/>
    <n v="0"/>
    <n v="0"/>
    <n v="0"/>
    <n v="7.4000000000000003E-3"/>
    <x v="0"/>
    <x v="1"/>
    <n v="17308"/>
    <n v="43"/>
    <n v="7.4000000000000003E-3"/>
    <n v="0.31820000000000004"/>
  </r>
  <r>
    <s v="recAgsANIOYHAaG8T"/>
    <s v="Odokorach Concy Lydia - Agago | Kuywe | Lobo cana Gardener"/>
    <n v="1"/>
    <s v="Melia, Gmelina,"/>
    <d v="2022-06-04T00:00:00"/>
    <s v="Agago"/>
    <s v="Kuywe"/>
    <n v="50"/>
    <n v="20"/>
    <n v="0"/>
    <n v="30"/>
    <n v="0"/>
    <n v="0"/>
    <n v="0"/>
    <n v="0"/>
    <n v="0"/>
    <n v="0.1051"/>
    <x v="0"/>
    <x v="1"/>
    <n v="25807"/>
    <n v="31"/>
    <n v="0.1051"/>
    <n v="3.2580999999999998"/>
  </r>
  <r>
    <s v="recT0aepry51hBYhv"/>
    <s v="Odong Aaipolo - Omoro | Lalogi | Mak mukemi Gardener"/>
    <n v="1"/>
    <s v="Melia,"/>
    <d v="2022-08-22T00:00:00"/>
    <s v="Omoro"/>
    <s v="Lalogi"/>
    <n v="110"/>
    <n v="110"/>
    <n v="0"/>
    <n v="0"/>
    <n v="0"/>
    <n v="0"/>
    <n v="0"/>
    <n v="0"/>
    <n v="0"/>
    <n v="0.378"/>
    <x v="0"/>
    <x v="1"/>
    <n v="24055"/>
    <n v="46"/>
    <n v="0.2407"/>
    <n v="11.0722"/>
  </r>
  <r>
    <s v="recT0aepry51hBYhv"/>
    <s v="Odong Aaipolo - Omoro | Lalogi | Mak mukemi Gardener"/>
    <n v="1"/>
    <s v="Melia,"/>
    <d v="2022-08-22T00:00:00"/>
    <s v="Omoro"/>
    <s v="Lalogi"/>
    <n v="110"/>
    <n v="110"/>
    <n v="0"/>
    <n v="0"/>
    <n v="0"/>
    <n v="0"/>
    <n v="0"/>
    <n v="0"/>
    <n v="0"/>
    <n v="0.378"/>
    <x v="0"/>
    <x v="1"/>
    <n v="24056"/>
    <n v="48"/>
    <n v="0.13730000000000001"/>
    <n v="6.5904000000000007"/>
  </r>
  <r>
    <s v="recLvBD7xtwAZ6Uy1"/>
    <s v="Odong Emmanuel - Agago | Lukole | Alwee trees Gardener"/>
    <n v="1"/>
    <s v="Melia, Gmelina,"/>
    <d v="2022-05-19T00:00:00"/>
    <s v="Agago"/>
    <s v="Lukole"/>
    <n v="213"/>
    <n v="135"/>
    <n v="0"/>
    <n v="78"/>
    <n v="0"/>
    <n v="0"/>
    <n v="0"/>
    <n v="0"/>
    <n v="0"/>
    <n v="0.375"/>
    <x v="0"/>
    <x v="1"/>
    <n v="18808"/>
    <n v="47"/>
    <n v="0.375"/>
    <n v="17.625"/>
  </r>
  <r>
    <s v="recq5b1Ke4ssyoQsJ"/>
    <s v="Odong Emmanuel Emmanuel - Agago | Lukole | Alwee trees - Gardener"/>
    <n v="1"/>
    <s v="Musizi, Gmelina, Ongono,"/>
    <d v="2022-05-19T00:00:00"/>
    <s v="Agago"/>
    <s v="Lukole"/>
    <n v="984"/>
    <n v="0"/>
    <n v="234"/>
    <n v="400"/>
    <n v="350"/>
    <n v="0"/>
    <n v="0"/>
    <n v="0"/>
    <n v="0"/>
    <n v="0.3982"/>
    <x v="0"/>
    <x v="1"/>
    <n v="18808"/>
    <n v="47"/>
    <n v="0.3982"/>
    <n v="18.715399999999999"/>
  </r>
  <r>
    <s v="recAlg0RA7IwjJN5U"/>
    <s v="Ogaba Charles - Omoro | Lalogi | Kok kec ki kweri Gardener"/>
    <n v="1"/>
    <s v="Melia,"/>
    <d v="2022-09-06T00:00:00"/>
    <s v="Omoro"/>
    <s v="Lalogi"/>
    <n v="399"/>
    <n v="399"/>
    <n v="0"/>
    <n v="0"/>
    <n v="0"/>
    <n v="0"/>
    <n v="0"/>
    <n v="0"/>
    <n v="0"/>
    <n v="0.16650000000000001"/>
    <x v="0"/>
    <x v="1"/>
    <n v="23644"/>
    <n v="57"/>
    <n v="0.1186"/>
    <n v="6.7602000000000002"/>
  </r>
  <r>
    <s v="recAlg0RA7IwjJN5U"/>
    <s v="Ogaba Charles - Omoro | Lalogi | Kok kec ki kweri Gardener"/>
    <n v="1"/>
    <s v="Melia,"/>
    <d v="2022-09-06T00:00:00"/>
    <s v="Omoro"/>
    <s v="Lalogi"/>
    <n v="399"/>
    <n v="399"/>
    <n v="0"/>
    <n v="0"/>
    <n v="0"/>
    <n v="0"/>
    <n v="0"/>
    <n v="0"/>
    <n v="0"/>
    <n v="0.16650000000000001"/>
    <x v="0"/>
    <x v="1"/>
    <n v="23849"/>
    <n v="46"/>
    <n v="4.8000000000000001E-2"/>
    <n v="2.2080000000000002"/>
  </r>
  <r>
    <s v="recEpC021K0ZE0bX8"/>
    <s v="Ogwang Charles - Agago | Lukole | Alwee trees Gardener"/>
    <n v="1"/>
    <s v="Melia, Musizi, Gmelina,"/>
    <d v="2022-04-26T00:00:00"/>
    <s v="Agago"/>
    <s v="Lukole"/>
    <n v="263"/>
    <n v="35"/>
    <n v="170"/>
    <n v="58"/>
    <n v="0"/>
    <n v="0"/>
    <n v="0"/>
    <n v="0"/>
    <n v="0"/>
    <n v="0.1263"/>
    <x v="0"/>
    <x v="1"/>
    <n v="19033"/>
    <n v="46"/>
    <n v="0.1263"/>
    <n v="5.8098000000000001"/>
  </r>
  <r>
    <s v="recMImiIi1ERQV2ga"/>
    <s v="Ogwang Ronal - Omoro | Lalogi | Ogwete community Gardener"/>
    <n v="1"/>
    <s v="Melia, Musizi,"/>
    <d v="2022-06-17T00:00:00"/>
    <s v="Omoro"/>
    <s v="Lalogi"/>
    <n v="135"/>
    <n v="85"/>
    <n v="50"/>
    <n v="0"/>
    <n v="0"/>
    <n v="0"/>
    <n v="0"/>
    <n v="0"/>
    <n v="0"/>
    <n v="9.9400000000000002E-2"/>
    <x v="0"/>
    <x v="1"/>
    <n v="24621"/>
    <n v="43"/>
    <n v="9.9400000000000002E-2"/>
    <n v="4.2742000000000004"/>
  </r>
  <r>
    <s v="recA7g34e71KzocXv"/>
    <s v="Ogweng Moses - Omoro | Lalogi | Bedi igen Gardener"/>
    <n v="1"/>
    <s v="Melia, Musizi,"/>
    <d v="2022-08-22T00:00:00"/>
    <s v="Omoro"/>
    <s v="Lalogi"/>
    <n v="285"/>
    <n v="165"/>
    <n v="120"/>
    <n v="0"/>
    <n v="0"/>
    <n v="0"/>
    <n v="0"/>
    <n v="0"/>
    <n v="0"/>
    <n v="0.56189999999999996"/>
    <x v="0"/>
    <x v="1"/>
    <n v="24253"/>
    <n v="48"/>
    <n v="0.56189999999999996"/>
    <n v="26.971199999999996"/>
  </r>
  <r>
    <s v="recYU0uq0osmqN2Yr"/>
    <s v="Ohvoch Nelson Mandela - Agago | Lukole | Alwee trees Gardener"/>
    <n v="1"/>
    <s v="Melia, Musizi, Gmelina, Ongono,"/>
    <d v="2022-05-20T00:00:00"/>
    <s v="Agago"/>
    <s v="Lukole"/>
    <n v="708"/>
    <n v="35"/>
    <n v="210"/>
    <n v="313"/>
    <n v="150"/>
    <n v="0"/>
    <n v="0"/>
    <n v="0"/>
    <n v="0"/>
    <n v="0.21729999999999999"/>
    <x v="0"/>
    <x v="1"/>
    <n v="19033"/>
    <n v="46"/>
    <n v="0.21729999999999999"/>
    <n v="9.9957999999999991"/>
  </r>
  <r>
    <s v="recAcH0yK2GZwYbaj"/>
    <s v="Ojara David - Onen kuc"/>
    <n v="1"/>
    <s v="Melia, Gmelina,"/>
    <d v="2022-08-22T00:00:00"/>
    <s v="Individual Farmer"/>
    <s v="Individual Farmer"/>
    <n v="16"/>
    <n v="6"/>
    <n v="0"/>
    <n v="10"/>
    <n v="0"/>
    <n v="0"/>
    <n v="0"/>
    <n v="0"/>
    <n v="0"/>
    <n v="4.4299999999999999E-2"/>
    <x v="0"/>
    <x v="1"/>
    <n v="17308"/>
    <n v="43"/>
    <n v="4.4299999999999999E-2"/>
    <n v="1.9049"/>
  </r>
  <r>
    <s v="recwpE6Dtbe86YNFi"/>
    <s v="Ojara Nelson - Omoro | Lalogi | Ogwete community Gardener"/>
    <n v="1"/>
    <s v="Melia,"/>
    <d v="2022-06-07T00:00:00"/>
    <s v="Omoro"/>
    <s v="Lalogi"/>
    <n v="35"/>
    <n v="35"/>
    <n v="0"/>
    <n v="0"/>
    <n v="0"/>
    <n v="0"/>
    <n v="0"/>
    <n v="0"/>
    <n v="0"/>
    <n v="1.9E-2"/>
    <x v="0"/>
    <x v="1"/>
    <n v="24621"/>
    <n v="43"/>
    <n v="1.9E-2"/>
    <n v="0.81699999999999995"/>
  </r>
  <r>
    <s v="rec5Bbt2b6d3cpbUB"/>
    <s v="Ojera George - Yot yelo Mon"/>
    <n v="1"/>
    <s v="Melia, Senna,"/>
    <d v="2022-08-22T00:00:00"/>
    <s v="Individual Farmer"/>
    <s v="Individual Farmer"/>
    <n v="22"/>
    <n v="20"/>
    <n v="0"/>
    <n v="0"/>
    <n v="0"/>
    <n v="0"/>
    <n v="0"/>
    <n v="2"/>
    <n v="0"/>
    <n v="0.35549999999999998"/>
    <x v="0"/>
    <x v="1"/>
    <n v="20547"/>
    <n v="40"/>
    <n v="0.35549999999999998"/>
    <n v="14.219999999999999"/>
  </r>
  <r>
    <s v="recqLr7MrqrrhWyCa"/>
    <s v="Ojera George - Yot yelo Mon"/>
    <n v="1"/>
    <s v="Melia, Gmelina, Senna,"/>
    <d v="2022-08-22T00:00:00"/>
    <s v="Individual Farmer"/>
    <s v="Individual Farmer"/>
    <n v="62"/>
    <n v="1"/>
    <n v="0"/>
    <n v="59"/>
    <n v="0"/>
    <n v="0"/>
    <n v="0"/>
    <n v="2"/>
    <n v="0"/>
    <n v="7.9100000000000004E-2"/>
    <x v="0"/>
    <x v="1"/>
    <n v="20348"/>
    <n v="41"/>
    <n v="7.9100000000000004E-2"/>
    <n v="3.2431000000000001"/>
  </r>
  <r>
    <s v="recg9UQNCK30FI3jR"/>
    <s v="Ojok Anthony - Omoro | Lalogi | Bed Inge B Gardener"/>
    <n v="1"/>
    <s v="Melia,"/>
    <d v="2022-08-22T00:00:00"/>
    <s v="Omoro"/>
    <s v="Lalogi"/>
    <n v="10"/>
    <n v="10"/>
    <n v="0"/>
    <n v="0"/>
    <n v="0"/>
    <n v="0"/>
    <n v="0"/>
    <n v="0"/>
    <n v="0"/>
    <n v="1.3100000000000001E-2"/>
    <x v="0"/>
    <x v="1"/>
    <n v="24439"/>
    <n v="42"/>
    <n v="1.3100000000000001E-2"/>
    <n v="0.55020000000000002"/>
  </r>
  <r>
    <s v="recu3zWqoEuTvBBdO"/>
    <s v="Ojok lago - Agago | Lapono | Akem kwene farmer's group Gardener"/>
    <n v="1"/>
    <s v="Melia, Musizi, Ongono,"/>
    <d v="2022-08-10T00:00:00"/>
    <s v="Agago"/>
    <s v="Lapono"/>
    <n v="334"/>
    <n v="105"/>
    <n v="10"/>
    <n v="0"/>
    <n v="219"/>
    <n v="0"/>
    <n v="0"/>
    <n v="0"/>
    <n v="0"/>
    <n v="8.4199999999999997E-2"/>
    <x v="0"/>
    <x v="1"/>
    <n v="14841"/>
    <n v="42"/>
    <n v="8.4199999999999997E-2"/>
    <n v="3.5364"/>
  </r>
  <r>
    <s v="recQ83phngutBIUAW"/>
    <s v="Ojok Boniface - Omoro | Lalogi | Bedi igen Gardener"/>
    <n v="1"/>
    <s v="Melia, Ongono,"/>
    <d v="2022-08-22T00:00:00"/>
    <s v="Omoro"/>
    <s v="Lalogi"/>
    <n v="455"/>
    <n v="150"/>
    <n v="0"/>
    <n v="0"/>
    <n v="305"/>
    <n v="0"/>
    <n v="0"/>
    <n v="0"/>
    <n v="0"/>
    <n v="0.94530000000000003"/>
    <x v="0"/>
    <x v="1"/>
    <n v="24622"/>
    <n v="42"/>
    <n v="0.94530000000000003"/>
    <n v="39.702600000000004"/>
  </r>
  <r>
    <s v="rec97QoS8qHGMduYs"/>
    <s v="Ojok patrick - Agago | Lira - Palwo | Tam piwa Gardener"/>
    <n v="1"/>
    <s v="Melia, Gmelina, Senna,"/>
    <d v="2022-08-22T00:00:00"/>
    <s v="Agago"/>
    <s v="Lira - Palwo"/>
    <n v="200"/>
    <n v="150"/>
    <n v="0"/>
    <n v="20"/>
    <n v="0"/>
    <n v="0"/>
    <n v="0"/>
    <n v="30"/>
    <n v="0"/>
    <n v="0.20619999999999999"/>
    <x v="0"/>
    <x v="1"/>
    <n v="21362"/>
    <n v="38"/>
    <n v="0.20619999999999999"/>
    <n v="7.8355999999999995"/>
  </r>
  <r>
    <s v="recTMPCz9XDQ0ZIk7"/>
    <s v="Ojok Ronald - Agago | Lukole | Aloka loka Gardener"/>
    <n v="1"/>
    <s v="Melia, Musizi, Gmelina, Ongono, Opok,"/>
    <d v="2022-07-15T00:00:00"/>
    <s v="Agago"/>
    <s v="Lukole"/>
    <n v="1076"/>
    <n v="136"/>
    <n v="30"/>
    <n v="780"/>
    <n v="100"/>
    <n v="0"/>
    <n v="30"/>
    <n v="0"/>
    <n v="0"/>
    <n v="0.43619999999999998"/>
    <x v="0"/>
    <x v="1"/>
    <n v="18440"/>
    <n v="36"/>
    <n v="0.43619999999999998"/>
    <n v="15.703199999999999"/>
  </r>
  <r>
    <s v="rec4k5kZxIGJc9zPM"/>
    <s v="Ojok Simon - Omoro | Lalogi | Rwot Ngeo Gardener"/>
    <n v="1"/>
    <s v="Musizi,"/>
    <d v="2022-08-24T00:00:00"/>
    <s v="Omoro"/>
    <s v="Lalogi"/>
    <n v="50"/>
    <n v="0"/>
    <n v="50"/>
    <n v="0"/>
    <n v="0"/>
    <n v="0"/>
    <n v="0"/>
    <n v="0"/>
    <n v="0"/>
    <n v="0.13639999999999999"/>
    <x v="0"/>
    <x v="1"/>
    <n v="21311"/>
    <n v="46"/>
    <n v="0.13639999999999999"/>
    <n v="6.2744"/>
  </r>
  <r>
    <s v="recvg19OYgX994wWj"/>
    <s v="Ojula Paska - Onen kuc"/>
    <n v="1"/>
    <m/>
    <d v="2022-08-22T00:00:00"/>
    <s v="Individual Farmer"/>
    <s v="Individual Farmer"/>
    <n v="0"/>
    <n v="0"/>
    <n v="0"/>
    <n v="0"/>
    <n v="0"/>
    <n v="0"/>
    <n v="0"/>
    <n v="0"/>
    <n v="0"/>
    <n v="8.3999999999999995E-3"/>
    <x v="0"/>
    <x v="1"/>
    <n v="17308"/>
    <n v="43"/>
    <n v="8.3999999999999995E-3"/>
    <n v="0.36119999999999997"/>
  </r>
  <r>
    <s v="recY7FDF6SgH9oAmW"/>
    <s v="Okech david - Agago | Kuywe | Ogen rwot Gardener"/>
    <n v="1"/>
    <s v="Melia, Musizi, Gmelina, Senna,"/>
    <d v="2022-08-16T00:00:00"/>
    <s v="Agago"/>
    <s v="Kuywe"/>
    <n v="160"/>
    <n v="45"/>
    <n v="10"/>
    <n v="75"/>
    <n v="0"/>
    <n v="0"/>
    <n v="0"/>
    <n v="30"/>
    <n v="0"/>
    <n v="2.93E-2"/>
    <x v="0"/>
    <x v="1"/>
    <n v="26436"/>
    <n v="31"/>
    <n v="2.93E-2"/>
    <n v="0.9083"/>
  </r>
  <r>
    <s v="rectEs2pquCoAbJeR"/>
    <s v="Okech Jackson - Kitgum | Orom East | Waryemo Can Gardener"/>
    <n v="1"/>
    <s v="Melia, Musizi, Gmelina, Ongono, Faidherbia, Opok, Senna,"/>
    <d v="2022-10-29T00:00:00"/>
    <s v="Kitgum"/>
    <s v="Orom East"/>
    <n v="695"/>
    <n v="80"/>
    <n v="33"/>
    <n v="140"/>
    <n v="130"/>
    <n v="130"/>
    <n v="42"/>
    <n v="140"/>
    <n v="0"/>
    <n v="0.41830000000000001"/>
    <x v="0"/>
    <x v="1"/>
    <n v="5652"/>
    <n v="41"/>
    <n v="0.41830000000000001"/>
    <n v="17.150300000000001"/>
  </r>
  <r>
    <s v="recAbYLMTmY5vwST4"/>
    <s v="Okech Sanday - Agago | Lukole | Mat turo paco Gardener"/>
    <n v="1"/>
    <s v="Melia, Musizi, Gmelina,"/>
    <d v="2022-07-15T00:00:00"/>
    <s v="Agago"/>
    <s v="Lukole"/>
    <n v="247"/>
    <n v="105"/>
    <n v="42"/>
    <n v="100"/>
    <n v="0"/>
    <n v="0"/>
    <n v="0"/>
    <n v="0"/>
    <n v="0"/>
    <n v="0.2014"/>
    <x v="0"/>
    <x v="1"/>
    <n v="19628"/>
    <n v="39"/>
    <n v="0.2014"/>
    <n v="7.8545999999999996"/>
  </r>
  <r>
    <s v="rectC1uCyhX2A87pA"/>
    <s v="Okech Siqtoe - Agago | Kuywe | Lobo cana Gardener"/>
    <n v="1"/>
    <s v="Melia, Gmelina,"/>
    <d v="2022-06-02T00:00:00"/>
    <s v="Agago"/>
    <s v="Kuywe"/>
    <n v="620"/>
    <n v="320"/>
    <n v="0"/>
    <n v="300"/>
    <n v="0"/>
    <n v="0"/>
    <n v="0"/>
    <n v="0"/>
    <n v="0"/>
    <n v="1.14E-2"/>
    <x v="0"/>
    <x v="1"/>
    <n v="26208"/>
    <n v="39"/>
    <n v="1.14E-2"/>
    <n v="0.4446"/>
  </r>
  <r>
    <s v="recbq9BCna10hw5HL"/>
    <s v="Okello Francis - Onen"/>
    <n v="1"/>
    <s v="Melia,"/>
    <d v="2022-08-22T00:00:00"/>
    <s v="Individual Farmer"/>
    <s v="Individual Farmer"/>
    <n v="7"/>
    <n v="7"/>
    <n v="0"/>
    <n v="0"/>
    <n v="0"/>
    <n v="0"/>
    <n v="0"/>
    <n v="0"/>
    <n v="0"/>
    <n v="1.4E-2"/>
    <x v="0"/>
    <x v="1"/>
    <n v="17308"/>
    <n v="43"/>
    <n v="1.35E-2"/>
    <n v="0.58050000000000002"/>
  </r>
  <r>
    <s v="recj5FLZ4T2dHbIl3"/>
    <s v="Okello Bonny - Omoro | Lalogi | Lok i tam Gardener"/>
    <n v="1"/>
    <s v="Melia, Ongono, Faidherbia,"/>
    <d v="2022-09-06T00:00:00"/>
    <s v="Omoro"/>
    <s v="Lalogi"/>
    <n v="460"/>
    <n v="126"/>
    <n v="0"/>
    <n v="0"/>
    <n v="226"/>
    <n v="108"/>
    <n v="0"/>
    <n v="0"/>
    <n v="0"/>
    <n v="0.32619999999999999"/>
    <x v="0"/>
    <x v="1"/>
    <n v="23848"/>
    <n v="45"/>
    <n v="0.32619999999999999"/>
    <n v="14.679"/>
  </r>
  <r>
    <s v="rec4Ru3z4BNFvnRfJ"/>
    <s v="Okello Bosco - Agago | Kuywe | Cam badi Gardener"/>
    <n v="1"/>
    <s v="Melia,"/>
    <d v="2022-07-09T00:00:00"/>
    <s v="Agago"/>
    <s v="Kuywe"/>
    <n v="80"/>
    <n v="80"/>
    <n v="0"/>
    <n v="0"/>
    <n v="0"/>
    <n v="0"/>
    <n v="0"/>
    <n v="0"/>
    <n v="0"/>
    <n v="2.81E-2"/>
    <x v="0"/>
    <x v="1"/>
    <n v="26842"/>
    <n v="36"/>
    <n v="2.81E-2"/>
    <n v="1.0116000000000001"/>
  </r>
  <r>
    <s v="recWhcIIxmsV2jR4E"/>
    <s v="Okello Bosco - Agago | Lukole | Alwee trees Gardener"/>
    <n v="1"/>
    <s v="Melia, Musizi, Gmelina, Ongono,"/>
    <d v="2022-05-05T00:00:00"/>
    <s v="Agago"/>
    <s v="Lukole"/>
    <n v="1059"/>
    <n v="100"/>
    <n v="189"/>
    <n v="320"/>
    <n v="450"/>
    <n v="0"/>
    <n v="0"/>
    <n v="0"/>
    <n v="0"/>
    <n v="0.46510000000000001"/>
    <x v="0"/>
    <x v="1"/>
    <n v="18870"/>
    <n v="42"/>
    <n v="0.46510000000000001"/>
    <n v="19.534200000000002"/>
  </r>
  <r>
    <s v="recQN6UZ0UkAmwgl5"/>
    <s v="Okello Bosco Ogang - Omoro | Lalogi | Bedi igen Gardener"/>
    <n v="1"/>
    <s v="Melia, Ongono,"/>
    <d v="2022-08-22T00:00:00"/>
    <s v="Omoro"/>
    <s v="Lalogi"/>
    <n v="502"/>
    <n v="45"/>
    <n v="0"/>
    <n v="0"/>
    <n v="457"/>
    <n v="0"/>
    <n v="0"/>
    <n v="0"/>
    <n v="0"/>
    <n v="0.64339999999999997"/>
    <x v="0"/>
    <x v="1"/>
    <n v="24622"/>
    <n v="42"/>
    <n v="0.64339999999999997"/>
    <n v="27.0228"/>
  </r>
  <r>
    <s v="recAOwRsyi1EPq153"/>
    <s v="Okello Francis - Omoro | Lalogi | Obed igen Gardener"/>
    <n v="1"/>
    <s v="Melia,"/>
    <d v="2022-08-17T00:00:00"/>
    <s v="Omoro"/>
    <s v="Lalogi"/>
    <n v="207"/>
    <n v="207"/>
    <n v="0"/>
    <n v="0"/>
    <n v="0"/>
    <n v="0"/>
    <n v="0"/>
    <n v="0"/>
    <n v="0"/>
    <n v="0.2823"/>
    <x v="0"/>
    <x v="1"/>
    <n v="24251"/>
    <n v="46"/>
    <n v="0.28239999999999998"/>
    <n v="12.990399999999999"/>
  </r>
  <r>
    <s v="recEHgEZ4VNZh3898"/>
    <s v="Okello fransis - Agago | Lira - Palwo | Rippe aye teko Gardener"/>
    <n v="1"/>
    <s v="Melia, Musizi, Gmelina, Faidherbia, Senna,"/>
    <d v="2022-08-22T00:00:00"/>
    <s v="Agago"/>
    <s v="Lira - Palwo"/>
    <n v="882"/>
    <n v="126"/>
    <n v="80"/>
    <n v="506"/>
    <n v="0"/>
    <n v="110"/>
    <n v="0"/>
    <n v="60"/>
    <n v="0"/>
    <n v="0.91169999999999995"/>
    <x v="0"/>
    <x v="1"/>
    <n v="20392"/>
    <n v="40"/>
    <n v="0.91169999999999995"/>
    <n v="36.467999999999996"/>
  </r>
  <r>
    <s v="rec70Fi6xtITjKaNk"/>
    <s v="Okello gaborel - Agago | Lapono | Peko ma poto atura - Gardener"/>
    <n v="1"/>
    <s v="Melia, Musizi, Gmelina, Ongono, Faidherbia, Senna,"/>
    <d v="2022-08-22T00:00:00"/>
    <s v="Agago"/>
    <s v="Lapono"/>
    <n v="265"/>
    <n v="8"/>
    <n v="5"/>
    <n v="18"/>
    <n v="130"/>
    <n v="80"/>
    <n v="0"/>
    <n v="24"/>
    <n v="0"/>
    <n v="0.22570000000000001"/>
    <x v="0"/>
    <x v="1"/>
    <n v="17308"/>
    <n v="43"/>
    <n v="0.22570000000000001"/>
    <n v="9.7050999999999998"/>
  </r>
  <r>
    <s v="reclE7scyhBeonxUu"/>
    <s v="Okello Genesis - Omoro | Lalogi | Mak mukemi Gardener"/>
    <n v="1"/>
    <s v="Melia, Senna,"/>
    <d v="2022-09-06T00:00:00"/>
    <s v="Omoro"/>
    <s v="Lalogi"/>
    <n v="76"/>
    <n v="60"/>
    <n v="0"/>
    <n v="0"/>
    <n v="0"/>
    <n v="0"/>
    <n v="0"/>
    <n v="16"/>
    <n v="0"/>
    <n v="0.4103"/>
    <x v="0"/>
    <x v="1"/>
    <n v="24252"/>
    <n v="45"/>
    <n v="0.4103"/>
    <n v="18.4635"/>
  </r>
  <r>
    <s v="recEH0FzTYBrHHTzW"/>
    <s v="Okello geoffrey - Agago | Lira - Palwo | Paitino Gardener"/>
    <n v="1"/>
    <s v="Musizi, Ongono, Senna,"/>
    <d v="2022-08-22T00:00:00"/>
    <s v="Agago"/>
    <s v="Lira - Palwo"/>
    <n v="805"/>
    <n v="0"/>
    <n v="135"/>
    <n v="0"/>
    <n v="470"/>
    <n v="0"/>
    <n v="0"/>
    <n v="200"/>
    <n v="0"/>
    <n v="0.64700000000000002"/>
    <x v="0"/>
    <x v="1"/>
    <n v="21544"/>
    <n v="45"/>
    <n v="0.64700000000000002"/>
    <n v="29.115000000000002"/>
  </r>
  <r>
    <s v="reckfoYOMDVhiSyq6"/>
    <s v="Okello ismile angol - Agago | Kuywe | Kica ber Gardener"/>
    <n v="1"/>
    <s v="Melia,"/>
    <d v="2022-09-20T00:00:00"/>
    <s v="Agago"/>
    <s v="Kuywe"/>
    <n v="30"/>
    <n v="30"/>
    <n v="0"/>
    <n v="0"/>
    <n v="0"/>
    <n v="0"/>
    <n v="0"/>
    <n v="0"/>
    <n v="0"/>
    <n v="6.9900000000000004E-2"/>
    <x v="0"/>
    <x v="1"/>
    <n v="11103"/>
    <n v="40"/>
    <n v="6.9900000000000004E-2"/>
    <n v="2.7960000000000003"/>
  </r>
  <r>
    <s v="reckjHmhFGimEERQS"/>
    <s v="Okello Jimmy - Omoro | Lalogi | Mak mukemi Gardener"/>
    <n v="1"/>
    <s v="Melia,"/>
    <d v="2022-08-22T00:00:00"/>
    <s v="Omoro"/>
    <s v="Lalogi"/>
    <n v="56"/>
    <n v="56"/>
    <n v="0"/>
    <n v="0"/>
    <n v="0"/>
    <n v="0"/>
    <n v="0"/>
    <n v="0"/>
    <n v="0"/>
    <n v="0.27629999999999999"/>
    <x v="0"/>
    <x v="1"/>
    <n v="24061"/>
    <n v="44"/>
    <n v="5.1299999999999998E-2"/>
    <n v="2.2572000000000001"/>
  </r>
  <r>
    <s v="reckjHmhFGimEERQS"/>
    <s v="Okello Jimmy - Omoro | Lalogi | Mak mukemi Gardener"/>
    <n v="1"/>
    <s v="Melia,"/>
    <d v="2022-08-22T00:00:00"/>
    <s v="Omoro"/>
    <s v="Lalogi"/>
    <n v="56"/>
    <n v="56"/>
    <n v="0"/>
    <n v="0"/>
    <n v="0"/>
    <n v="0"/>
    <n v="0"/>
    <n v="0"/>
    <n v="0"/>
    <n v="0.27629999999999999"/>
    <x v="0"/>
    <x v="1"/>
    <n v="24256"/>
    <n v="45"/>
    <n v="0.22509999999999999"/>
    <n v="10.1295"/>
  </r>
  <r>
    <s v="recVXoIqkRzeJySc4"/>
    <s v="Okello Jiponi - Agago | Lukole | Alwee trees Gardener"/>
    <n v="1"/>
    <s v="Melia, Musizi, Gmelina,"/>
    <d v="2022-05-23T00:00:00"/>
    <s v="Agago"/>
    <s v="Lukole"/>
    <n v="374"/>
    <n v="95"/>
    <n v="190"/>
    <n v="89"/>
    <n v="0"/>
    <n v="0"/>
    <n v="0"/>
    <n v="0"/>
    <n v="0"/>
    <n v="0.22939999999999999"/>
    <x v="0"/>
    <x v="1"/>
    <n v="18807"/>
    <n v="45"/>
    <n v="0.22939999999999999"/>
    <n v="10.323"/>
  </r>
  <r>
    <s v="recmsdfKVywLufcXz"/>
    <s v="Okello John Kark - Omoro | Lalogi | Lok i tam Gardener"/>
    <n v="1"/>
    <s v="Melia,"/>
    <d v="2022-08-22T00:00:00"/>
    <s v="Omoro"/>
    <s v="Lalogi"/>
    <n v="230"/>
    <n v="230"/>
    <n v="0"/>
    <n v="0"/>
    <n v="0"/>
    <n v="0"/>
    <n v="0"/>
    <n v="0"/>
    <n v="0"/>
    <n v="0.15870000000000001"/>
    <x v="0"/>
    <x v="1"/>
    <n v="24437"/>
    <n v="51"/>
    <n v="0.15870000000000001"/>
    <n v="8.0937000000000001"/>
  </r>
  <r>
    <s v="recdKOYyZeMKB9awa"/>
    <s v="Okello kenedy - Agago | Kuywe | Gum anywala Gardener"/>
    <n v="1"/>
    <s v="Melia, Musizi, Gmelina,"/>
    <d v="2022-08-30T00:00:00"/>
    <s v="Agago"/>
    <s v="Kuywe"/>
    <n v="180"/>
    <n v="60"/>
    <n v="15"/>
    <n v="105"/>
    <n v="0"/>
    <n v="0"/>
    <n v="0"/>
    <n v="0"/>
    <n v="0"/>
    <n v="0.16669999999999999"/>
    <x v="0"/>
    <x v="1"/>
    <n v="22269"/>
    <n v="45"/>
    <n v="0.16669999999999999"/>
    <n v="7.5014999999999992"/>
  </r>
  <r>
    <s v="rechxORC6nQicwG0I"/>
    <s v="Okello Raymond - Agago | Kuywe | Rubanga tek ki lwak Cam badi Gardener"/>
    <n v="1"/>
    <s v="Melia, Gmelina, Senna,"/>
    <d v="2022-07-16T00:00:00"/>
    <s v="Agago"/>
    <s v="Kuywe"/>
    <n v="280"/>
    <n v="190"/>
    <n v="0"/>
    <n v="40"/>
    <n v="0"/>
    <n v="0"/>
    <n v="0"/>
    <n v="50"/>
    <n v="0"/>
    <n v="2.4E-2"/>
    <x v="0"/>
    <x v="1"/>
    <n v="25236"/>
    <n v="24"/>
    <n v="2.4E-2"/>
    <n v="0.57600000000000007"/>
  </r>
  <r>
    <s v="recxSfWCTFstUyqcN"/>
    <s v="Okello Richard Aluku - Omoro | Lalogi | Ogwete community Gardener"/>
    <n v="1"/>
    <s v="Melia, Musizi,"/>
    <d v="2022-06-22T00:00:00"/>
    <s v="Omoro"/>
    <s v="Lalogi"/>
    <n v="385"/>
    <n v="185"/>
    <n v="200"/>
    <n v="0"/>
    <n v="0"/>
    <n v="0"/>
    <n v="0"/>
    <n v="0"/>
    <n v="0"/>
    <n v="4.4400000000000002E-2"/>
    <x v="0"/>
    <x v="1"/>
    <n v="24621"/>
    <n v="43"/>
    <n v="4.4400000000000002E-2"/>
    <n v="1.9092"/>
  </r>
  <r>
    <s v="recqdmFloy11VMzz5"/>
    <s v="Okello Robert - Omoro | Lalogi | Rwot Ngeo Gardener"/>
    <n v="1"/>
    <s v="Melia, Musizi, Opok,"/>
    <d v="2022-09-29T00:00:00"/>
    <s v="Omoro"/>
    <s v="Lalogi"/>
    <n v="351"/>
    <n v="321"/>
    <n v="11"/>
    <n v="0"/>
    <n v="0"/>
    <n v="0"/>
    <n v="19"/>
    <n v="0"/>
    <n v="0"/>
    <n v="6.5699999999999995E-2"/>
    <x v="0"/>
    <x v="1"/>
    <n v="21113"/>
    <n v="45"/>
    <n v="6.5699999999999995E-2"/>
    <n v="2.9564999999999997"/>
  </r>
  <r>
    <s v="rect5i3FWNfSFK9Wa"/>
    <s v="Okello Simon Peter - Agago | Lira - Palwo | Rippe aye teko Gardener"/>
    <n v="1"/>
    <s v="Melia, Musizi, Gmelina, Ongono, Senna,"/>
    <d v="2022-08-22T00:00:00"/>
    <s v="Agago"/>
    <s v="Lira - Palwo"/>
    <n v="264"/>
    <n v="68"/>
    <n v="6"/>
    <n v="105"/>
    <n v="15"/>
    <n v="0"/>
    <n v="0"/>
    <n v="70"/>
    <n v="0"/>
    <n v="0.11409999999999999"/>
    <x v="0"/>
    <x v="1"/>
    <n v="20392"/>
    <n v="40"/>
    <n v="0.11409999999999999"/>
    <n v="4.5640000000000001"/>
  </r>
  <r>
    <s v="recoUVJXGjUf3tyiR"/>
    <s v="Okello titus - Agago | Paimol | Rubanga tek women's group - Gardener"/>
    <n v="1"/>
    <s v="Melia, Gmelina,"/>
    <d v="2023-05-11T00:00:00"/>
    <s v="Agago"/>
    <s v="Paimol"/>
    <n v="120"/>
    <n v="60"/>
    <n v="0"/>
    <n v="60"/>
    <n v="0"/>
    <n v="0"/>
    <n v="0"/>
    <n v="0"/>
    <n v="0"/>
    <n v="1.1999999999999999E-3"/>
    <x v="0"/>
    <x v="1"/>
    <n v="24253"/>
    <n v="48"/>
    <n v="1.1999999999999999E-3"/>
    <n v="5.7599999999999998E-2"/>
  </r>
  <r>
    <s v="recqBL0scdgolJpL0"/>
    <s v="Okello Tom Samuel - Omoro | Lalogi | Bedi igen Gardener"/>
    <n v="1"/>
    <s v="Melia,"/>
    <d v="2022-08-22T00:00:00"/>
    <s v="Omoro"/>
    <s v="Lalogi"/>
    <n v="100"/>
    <n v="100"/>
    <n v="0"/>
    <n v="0"/>
    <n v="0"/>
    <n v="0"/>
    <n v="0"/>
    <n v="0"/>
    <n v="0"/>
    <n v="0.13070000000000001"/>
    <x v="0"/>
    <x v="1"/>
    <n v="24622"/>
    <n v="42"/>
    <n v="0.13070000000000001"/>
    <n v="5.4894000000000007"/>
  </r>
  <r>
    <s v="recrwH781p35ZStEo"/>
    <s v="Okello tonny - Agago | Lapono | Wagwoko lim Gardener"/>
    <n v="1"/>
    <s v="Melia, Musizi, Gmelina,"/>
    <d v="2022-08-22T00:00:00"/>
    <s v="Agago"/>
    <s v="Lapono"/>
    <n v="154"/>
    <n v="50"/>
    <n v="4"/>
    <n v="100"/>
    <n v="0"/>
    <n v="0"/>
    <n v="0"/>
    <n v="0"/>
    <n v="0"/>
    <n v="0.19620000000000001"/>
    <x v="0"/>
    <x v="1"/>
    <n v="16524"/>
    <n v="41"/>
    <n v="0.19620000000000001"/>
    <n v="8.0442"/>
  </r>
  <r>
    <s v="rec1SMSmNvNmQCbyl"/>
    <s v="Okete madalen - Agago | Paimol | Rubanga tek women's group - Gardener"/>
    <n v="1"/>
    <s v="Melia,"/>
    <d v="1945-05-17T00:00:00"/>
    <s v="Agago"/>
    <s v="Paimol"/>
    <n v="446"/>
    <n v="446"/>
    <n v="0"/>
    <n v="0"/>
    <n v="0"/>
    <n v="0"/>
    <n v="0"/>
    <n v="0"/>
    <n v="0"/>
    <n v="0.4138"/>
    <x v="0"/>
    <x v="1"/>
    <n v="14487"/>
    <n v="36"/>
    <n v="0.41399999999999998"/>
    <n v="14.904"/>
  </r>
  <r>
    <s v="rechfB3OTq2GQcmUP"/>
    <s v="Okidi Francis - Agago | Lukole | Alwee trees Gardener"/>
    <n v="1"/>
    <s v="Melia, Musizi, Gmelina, Ongono, Faidherbia,"/>
    <d v="2022-05-25T00:00:00"/>
    <s v="Agago"/>
    <s v="Lukole"/>
    <n v="928"/>
    <n v="185"/>
    <n v="150"/>
    <n v="218"/>
    <n v="350"/>
    <n v="25"/>
    <n v="0"/>
    <n v="0"/>
    <n v="0"/>
    <n v="0.3962"/>
    <x v="0"/>
    <x v="1"/>
    <n v="18809"/>
    <n v="49"/>
    <n v="0.3962"/>
    <n v="19.413799999999998"/>
  </r>
  <r>
    <s v="rec12LqKb6CeFweX4"/>
    <s v="Okidi geoffery - Agago | Lira - Palwo | Rippe aye teko Gardener"/>
    <n v="1"/>
    <s v="Melia, Musizi, Ongono, Faidherbia, Opok, Senna,"/>
    <d v="2022-08-22T00:00:00"/>
    <s v="Agago"/>
    <s v="Lira - Palwo"/>
    <n v="216"/>
    <n v="65"/>
    <n v="35"/>
    <n v="0"/>
    <n v="40"/>
    <n v="25"/>
    <n v="1"/>
    <n v="50"/>
    <n v="0"/>
    <n v="0.37140000000000001"/>
    <x v="0"/>
    <x v="1"/>
    <n v="20392"/>
    <n v="40"/>
    <n v="0.37140000000000001"/>
    <n v="14.856"/>
  </r>
  <r>
    <s v="recc9ZwssqjRQbSjP"/>
    <s v="Okidi joseph - Agago | Kuywe | Cam badi Gardener"/>
    <n v="1"/>
    <s v="Melia,"/>
    <d v="2022-08-23T00:00:00"/>
    <s v="Agago"/>
    <s v="Kuywe"/>
    <n v="80"/>
    <n v="80"/>
    <n v="0"/>
    <n v="0"/>
    <n v="0"/>
    <n v="0"/>
    <n v="0"/>
    <n v="0"/>
    <n v="0"/>
    <n v="0.13159999999999999"/>
    <x v="0"/>
    <x v="1"/>
    <n v="21990"/>
    <n v="41"/>
    <n v="0.13070000000000001"/>
    <n v="5.3587000000000007"/>
  </r>
  <r>
    <s v="recc9ZwssqjRQbSjP"/>
    <s v="Okidi joseph - Agago | Kuywe | Cam badi Gardener"/>
    <n v="1"/>
    <s v="Melia,"/>
    <d v="2022-08-23T00:00:00"/>
    <s v="Agago"/>
    <s v="Kuywe"/>
    <n v="80"/>
    <n v="80"/>
    <n v="0"/>
    <n v="0"/>
    <n v="0"/>
    <n v="0"/>
    <n v="0"/>
    <n v="0"/>
    <n v="0"/>
    <n v="0.13159999999999999"/>
    <x v="0"/>
    <x v="1"/>
    <n v="22063"/>
    <n v="45"/>
    <n v="1E-3"/>
    <n v="4.4999999999999998E-2"/>
  </r>
  <r>
    <s v="recmEH6pk6AcdisE0"/>
    <s v="Okidi Leoune - Omoro | Lalogi | Mak mukemi Gardener"/>
    <n v="1"/>
    <s v="Melia, Musizi,"/>
    <d v="2022-08-18T00:00:00"/>
    <s v="Omoro"/>
    <s v="Lalogi"/>
    <n v="140"/>
    <n v="70"/>
    <n v="70"/>
    <n v="0"/>
    <n v="0"/>
    <n v="0"/>
    <n v="0"/>
    <n v="0"/>
    <n v="0"/>
    <n v="2.01E-2"/>
    <x v="0"/>
    <x v="1"/>
    <n v="24252"/>
    <n v="45"/>
    <n v="2.01E-2"/>
    <n v="0.90449999999999997"/>
  </r>
  <r>
    <s v="reclgualitZUlLRlx"/>
    <s v="Okidi michel - Agago | Adilang | Nyiki Nyiki farmer's group Gardener"/>
    <n v="1"/>
    <s v="Melia, Musizi, Gmelina,"/>
    <d v="2022-05-11T00:00:00"/>
    <s v="Agago"/>
    <s v="Adilang"/>
    <n v="110"/>
    <n v="50"/>
    <n v="10"/>
    <n v="50"/>
    <n v="0"/>
    <n v="0"/>
    <n v="0"/>
    <n v="0"/>
    <n v="0"/>
    <n v="0.1618"/>
    <x v="0"/>
    <x v="1"/>
    <n v="22554"/>
    <n v="43"/>
    <n v="0.1618"/>
    <n v="6.9573999999999998"/>
  </r>
  <r>
    <s v="rec21kqKPiwTOH2Uj"/>
    <s v="Okidi regan - Agago | Lira - Palwo | Rippe aye teko Gardener"/>
    <n v="1"/>
    <s v="Melia, Ongono, Faidherbia,"/>
    <d v="2022-08-22T00:00:00"/>
    <s v="Agago"/>
    <s v="Lira - Palwo"/>
    <n v="165"/>
    <n v="74"/>
    <n v="0"/>
    <n v="0"/>
    <n v="61"/>
    <n v="30"/>
    <n v="0"/>
    <n v="0"/>
    <n v="0"/>
    <n v="7.9299999999999995E-2"/>
    <x v="0"/>
    <x v="1"/>
    <n v="20392"/>
    <n v="40"/>
    <n v="7.9299999999999995E-2"/>
    <n v="3.1719999999999997"/>
  </r>
  <r>
    <s v="recb6XPvf4xNnryVE"/>
    <s v="Okol Florence - Omoro | Lalogi | Bed Inge B Gardener"/>
    <n v="1"/>
    <s v="Melia,"/>
    <d v="2022-09-06T00:00:00"/>
    <s v="Omoro"/>
    <s v="Lalogi"/>
    <n v="131"/>
    <n v="131"/>
    <n v="0"/>
    <n v="0"/>
    <n v="0"/>
    <n v="0"/>
    <n v="0"/>
    <n v="0"/>
    <n v="0"/>
    <n v="0.1913"/>
    <x v="0"/>
    <x v="1"/>
    <n v="24254"/>
    <n v="50"/>
    <n v="0.1913"/>
    <n v="9.5649999999999995"/>
  </r>
  <r>
    <s v="recTf6tUD7hqsTqZz"/>
    <s v="Okore James - Omoro | Lalogi | Acek ki kwene Gardener"/>
    <n v="1"/>
    <s v="Melia,"/>
    <d v="2022-06-16T00:00:00"/>
    <s v="Omoro"/>
    <s v="Lalogi"/>
    <n v="60"/>
    <n v="60"/>
    <n v="0"/>
    <n v="0"/>
    <n v="0"/>
    <n v="0"/>
    <n v="0"/>
    <n v="0"/>
    <n v="0"/>
    <n v="0.31209999999999999"/>
    <x v="0"/>
    <x v="1"/>
    <n v="21682"/>
    <n v="41"/>
    <n v="0.31209999999999999"/>
    <n v="12.796099999999999"/>
  </r>
  <r>
    <s v="rectsVDlTlTdrv2JA"/>
    <s v="Okot Beatrice - Gulu | Paicho A | Waribu cing Gardener"/>
    <n v="1"/>
    <s v="Gmelina,"/>
    <d v="2022-04-28T00:00:00"/>
    <s v="Gulu"/>
    <s v="Paicho A"/>
    <n v="400"/>
    <n v="0"/>
    <n v="0"/>
    <n v="400"/>
    <n v="0"/>
    <n v="0"/>
    <n v="0"/>
    <n v="0"/>
    <n v="0"/>
    <n v="0.2792"/>
    <x v="0"/>
    <x v="1"/>
    <n v="16821"/>
    <n v="46"/>
    <n v="0.2792"/>
    <n v="12.8432"/>
  </r>
  <r>
    <s v="recrKmKaToKudpgmv"/>
    <s v="Okot Bosco - Omoro | Lalogi | Ogwete community Gardener"/>
    <n v="1"/>
    <s v="Melia,"/>
    <d v="2022-09-06T00:00:00"/>
    <s v="Omoro"/>
    <s v="Lalogi"/>
    <n v="135"/>
    <n v="135"/>
    <n v="0"/>
    <n v="0"/>
    <n v="0"/>
    <n v="0"/>
    <n v="0"/>
    <n v="0"/>
    <n v="0"/>
    <n v="7.8E-2"/>
    <x v="0"/>
    <x v="1"/>
    <n v="24621"/>
    <n v="43"/>
    <n v="7.8E-2"/>
    <n v="3.3540000000000001"/>
  </r>
  <r>
    <s v="recVfdxNPBgqbXh87"/>
    <s v="Okot Daniel - Omoro | Lalogi | Bedi igen Gardener"/>
    <n v="1"/>
    <s v="Melia, Musizi,"/>
    <d v="2022-09-22T00:00:00"/>
    <s v="Omoro"/>
    <s v="Lalogi"/>
    <n v="140"/>
    <n v="70"/>
    <n v="70"/>
    <n v="0"/>
    <n v="0"/>
    <n v="0"/>
    <n v="0"/>
    <n v="0"/>
    <n v="0"/>
    <n v="3.2599999999999997E-2"/>
    <x v="0"/>
    <x v="1"/>
    <n v="24622"/>
    <n v="42"/>
    <n v="3.2599999999999997E-2"/>
    <n v="1.3692"/>
  </r>
  <r>
    <s v="recPWPmXaeuF7z0EA"/>
    <s v="Okot galdino - Agago | Lira - Palwo | Tam piwa Gardener"/>
    <n v="1"/>
    <s v="Melia, Gmelina,"/>
    <d v="2022-08-22T00:00:00"/>
    <s v="Agago"/>
    <s v="Lira - Palwo"/>
    <n v="103"/>
    <n v="83"/>
    <n v="0"/>
    <n v="20"/>
    <n v="0"/>
    <n v="0"/>
    <n v="0"/>
    <n v="0"/>
    <n v="0"/>
    <n v="7.0400000000000004E-2"/>
    <x v="0"/>
    <x v="1"/>
    <n v="21547"/>
    <n v="40"/>
    <n v="7.0400000000000004E-2"/>
    <n v="2.8160000000000003"/>
  </r>
  <r>
    <s v="recsr4yaOxHDB2kip"/>
    <s v="Okot James - Agago | Adilang | Akem ki kweri Gardener"/>
    <n v="1"/>
    <s v="Melia, Musizi,"/>
    <d v="2022-05-11T00:00:00"/>
    <s v="Agago"/>
    <s v="Adilang"/>
    <n v="500"/>
    <n v="400"/>
    <n v="100"/>
    <n v="0"/>
    <n v="0"/>
    <n v="0"/>
    <n v="0"/>
    <n v="0"/>
    <n v="0"/>
    <n v="0.53400000000000003"/>
    <x v="0"/>
    <x v="1"/>
    <n v="24325"/>
    <n v="42"/>
    <n v="0.53400000000000003"/>
    <n v="22.428000000000001"/>
  </r>
  <r>
    <s v="recth7u2mQPtYpMOS"/>
    <s v="Okuli Wellborn - Agago | | Individual Farmer Gardener"/>
    <n v="1"/>
    <s v="Melia, Gmelina, Ongono,"/>
    <d v="1945-08-02T00:00:00"/>
    <s v="Agago"/>
    <s v="Individual Farmer"/>
    <n v="1184"/>
    <n v="348"/>
    <n v="0"/>
    <n v="378"/>
    <n v="458"/>
    <n v="0"/>
    <n v="0"/>
    <n v="0"/>
    <n v="0"/>
    <n v="0.18140000000000001"/>
    <x v="0"/>
    <x v="1"/>
    <n v="19144"/>
    <n v="43"/>
    <n v="0.18140000000000001"/>
    <n v="7.8002000000000002"/>
  </r>
  <r>
    <s v="reciiX8Mc7jwVStK3"/>
    <s v="Okwera Bension - Kipak Rwot"/>
    <n v="1"/>
    <s v="Melia, Gmelina, Senna,"/>
    <d v="2022-08-22T00:00:00"/>
    <s v="Individual Farmer"/>
    <s v="Individual Farmer"/>
    <n v="52"/>
    <n v="26"/>
    <n v="0"/>
    <n v="1"/>
    <n v="0"/>
    <n v="0"/>
    <n v="0"/>
    <n v="25"/>
    <n v="0"/>
    <n v="0.69730000000000003"/>
    <x v="0"/>
    <x v="1"/>
    <n v="6233"/>
    <n v="43"/>
    <n v="0.69730000000000003"/>
    <n v="29.983900000000002"/>
  </r>
  <r>
    <s v="recQnC2hmQg65scvj"/>
    <s v="Okwera benson - Agago | Lira - Palwo | Rippe aye teko Gardener"/>
    <n v="1"/>
    <s v="Melia, Musizi, Gmelina, Ongono,"/>
    <d v="2022-08-22T00:00:00"/>
    <s v="Agago"/>
    <s v="Lira - Palwo"/>
    <n v="306"/>
    <n v="100"/>
    <n v="97"/>
    <n v="46"/>
    <n v="63"/>
    <n v="0"/>
    <n v="0"/>
    <n v="0"/>
    <n v="0"/>
    <n v="0.23250000000000001"/>
    <x v="0"/>
    <x v="1"/>
    <n v="20392"/>
    <n v="40"/>
    <n v="0.23250000000000001"/>
    <n v="9.3000000000000007"/>
  </r>
  <r>
    <s v="recJalNlsYrlgzPzF"/>
    <s v="Okwera francis - Agago | Kuywe | Ogen rwot Gardener"/>
    <n v="1"/>
    <s v="Melia, Senna,"/>
    <d v="2022-10-20T00:00:00"/>
    <s v="Agago"/>
    <s v="Kuywe"/>
    <n v="245"/>
    <n v="150"/>
    <n v="0"/>
    <n v="0"/>
    <n v="0"/>
    <n v="0"/>
    <n v="0"/>
    <n v="95"/>
    <n v="0"/>
    <n v="2.3900000000000001E-2"/>
    <x v="0"/>
    <x v="1"/>
    <n v="25236"/>
    <n v="24"/>
    <n v="2.3900000000000001E-2"/>
    <n v="0.5736"/>
  </r>
  <r>
    <s v="recg530QnftvWNn0S"/>
    <s v="Olanga Joseph - Agago | Adilang | Tam piwa Gardener"/>
    <n v="1"/>
    <s v="Musizi, Gmelina,"/>
    <d v="2022-08-22T00:00:00"/>
    <s v="Agago"/>
    <s v="Adilang"/>
    <n v="105"/>
    <n v="0"/>
    <n v="5"/>
    <n v="100"/>
    <n v="0"/>
    <n v="0"/>
    <n v="0"/>
    <n v="0"/>
    <n v="0"/>
    <n v="6.7100000000000007E-2"/>
    <x v="0"/>
    <x v="1"/>
    <n v="23717"/>
    <n v="45"/>
    <n v="6.7100000000000007E-2"/>
    <n v="3.0195000000000003"/>
  </r>
  <r>
    <s v="recW1gdTwvhmCggyf"/>
    <s v="Olanya John Okello - Individual"/>
    <n v="1"/>
    <s v="Melia,"/>
    <d v="2022-08-22T00:00:00"/>
    <s v="Agago"/>
    <s v="Paimol"/>
    <n v="87"/>
    <n v="87"/>
    <n v="0"/>
    <n v="0"/>
    <n v="0"/>
    <n v="0"/>
    <n v="0"/>
    <n v="0"/>
    <n v="0"/>
    <n v="2.58E-2"/>
    <x v="0"/>
    <x v="1"/>
    <n v="14491"/>
    <n v="41"/>
    <n v="2.58E-2"/>
    <n v="1.0578000000000001"/>
  </r>
  <r>
    <s v="reckgbz2vRtrkhm58"/>
    <s v="Olanya Baptist whisky - Agago | Lukole | Ripe Gardener"/>
    <n v="1"/>
    <s v="Melia, Musizi, Ongono, Senna,"/>
    <d v="2022-07-21T00:00:00"/>
    <s v="Agago"/>
    <s v="Lukole"/>
    <n v="1397"/>
    <n v="137"/>
    <n v="40"/>
    <n v="0"/>
    <n v="1010"/>
    <n v="0"/>
    <n v="0"/>
    <n v="210"/>
    <n v="0"/>
    <n v="0.4481"/>
    <x v="0"/>
    <x v="1"/>
    <n v="20033"/>
    <n v="37"/>
    <n v="0.4481"/>
    <n v="16.579699999999999"/>
  </r>
  <r>
    <s v="recrRMe3ZsrCnRfFJ"/>
    <s v="Olanya Baptist wishky - Agago | Lukole | Ripe - Gardener"/>
    <n v="1"/>
    <s v="Ongono,"/>
    <d v="2022-09-18T00:00:00"/>
    <s v="Agago"/>
    <s v="Lukole"/>
    <n v="1028"/>
    <n v="0"/>
    <n v="0"/>
    <n v="0"/>
    <n v="1028"/>
    <n v="0"/>
    <n v="0"/>
    <n v="0"/>
    <n v="0"/>
    <n v="1.4878"/>
    <x v="0"/>
    <x v="1"/>
    <n v="20033"/>
    <n v="37"/>
    <n v="1.4878"/>
    <n v="55.0486"/>
  </r>
  <r>
    <s v="recIeI9HqHvnlbMwv"/>
    <s v="Olanya Jaccob - Omoro | Lalogi | Mak mukemi Gardener"/>
    <n v="1"/>
    <s v="Melia, Ongono,"/>
    <d v="2022-08-22T00:00:00"/>
    <s v="Omoro"/>
    <s v="Lalogi"/>
    <n v="143"/>
    <n v="36"/>
    <n v="0"/>
    <n v="0"/>
    <n v="107"/>
    <n v="0"/>
    <n v="0"/>
    <n v="0"/>
    <n v="0"/>
    <n v="0.24859999999999999"/>
    <x v="0"/>
    <x v="1"/>
    <n v="24254"/>
    <n v="50"/>
    <n v="0.24859999999999999"/>
    <n v="12.43"/>
  </r>
  <r>
    <s v="recdIYDXD9eysCB4v"/>
    <s v="Olara Jimmy - Agago | Lukole | Ripe Gardener"/>
    <n v="1"/>
    <s v="Melia, Gmelina, Senna,"/>
    <d v="2022-08-22T00:00:00"/>
    <s v="Agago"/>
    <s v="Lukole"/>
    <n v="620"/>
    <n v="127"/>
    <n v="0"/>
    <n v="338"/>
    <n v="0"/>
    <n v="0"/>
    <n v="0"/>
    <n v="155"/>
    <n v="0"/>
    <n v="0.34839999999999999"/>
    <x v="0"/>
    <x v="1"/>
    <n v="19235"/>
    <n v="45"/>
    <n v="0.34839999999999999"/>
    <n v="15.677999999999999"/>
  </r>
  <r>
    <s v="recCicqtx3DbOe5yP"/>
    <s v="Oloya joseph - Agago | Lira - Palwo | Rippe aye teko Gardener"/>
    <n v="1"/>
    <s v="Melia, Musizi, Ongono,"/>
    <d v="2022-07-02T00:00:00"/>
    <s v="Agago"/>
    <s v="Lira - Palwo"/>
    <n v="274"/>
    <n v="96"/>
    <n v="40"/>
    <n v="0"/>
    <n v="138"/>
    <n v="0"/>
    <n v="0"/>
    <n v="0"/>
    <n v="0"/>
    <n v="0.12089999999999999"/>
    <x v="0"/>
    <x v="1"/>
    <n v="20392"/>
    <n v="40"/>
    <n v="0.12089999999999999"/>
    <n v="4.8359999999999994"/>
  </r>
  <r>
    <s v="rec1X1WnvTtUI8Tbg"/>
    <s v="Oloya Peter - Omoro | Lalogi | Lubanga Lonyo Gardener"/>
    <n v="1"/>
    <s v="Melia, Musizi, Ongono,"/>
    <d v="2022-09-06T00:00:00"/>
    <s v="Omoro"/>
    <s v="Lalogi"/>
    <n v="459"/>
    <n v="124"/>
    <n v="242"/>
    <n v="0"/>
    <n v="93"/>
    <n v="0"/>
    <n v="0"/>
    <n v="0"/>
    <n v="0"/>
    <n v="0.24229999999999999"/>
    <x v="0"/>
    <x v="1"/>
    <n v="23426"/>
    <n v="51"/>
    <n v="0.24229999999999999"/>
    <n v="12.357299999999999"/>
  </r>
  <r>
    <s v="recTgXpTUMiQJzwo7"/>
    <s v="Olweng Ceaser - Agago | Paimol | Gen kweri young farmer's association - Gardener"/>
    <n v="1"/>
    <s v="Melia, Musizi, Gmelina,"/>
    <d v="1945-02-11T00:00:00"/>
    <s v="Agago"/>
    <s v="Paimol"/>
    <n v="422"/>
    <n v="40"/>
    <n v="272"/>
    <n v="110"/>
    <n v="0"/>
    <n v="0"/>
    <n v="0"/>
    <n v="0"/>
    <n v="0"/>
    <n v="0.33589999999999998"/>
    <x v="0"/>
    <x v="1"/>
    <n v="14841"/>
    <n v="42"/>
    <n v="5.8799999999999998E-2"/>
    <n v="2.4695999999999998"/>
  </r>
  <r>
    <s v="recTgXpTUMiQJzwo7"/>
    <s v="Olweng Ceaser - Agago | Paimol | Gen kweri young farmer's association - Gardener"/>
    <n v="1"/>
    <s v="Melia, Musizi, Gmelina,"/>
    <d v="1945-02-11T00:00:00"/>
    <s v="Agago"/>
    <s v="Paimol"/>
    <n v="422"/>
    <n v="40"/>
    <n v="272"/>
    <n v="110"/>
    <n v="0"/>
    <n v="0"/>
    <n v="0"/>
    <n v="0"/>
    <n v="0"/>
    <n v="0.33589999999999998"/>
    <x v="0"/>
    <x v="1"/>
    <n v="14842"/>
    <n v="35"/>
    <n v="0.27700000000000002"/>
    <n v="9.6950000000000003"/>
  </r>
  <r>
    <s v="recZzYiVBhE9YLDZQ"/>
    <s v="Olweny David - Omoro | Lalogi | Ogwete community Gardener"/>
    <n v="1"/>
    <s v="Melia,"/>
    <d v="2022-06-22T00:00:00"/>
    <s v="Omoro"/>
    <s v="Lalogi"/>
    <n v="35"/>
    <n v="35"/>
    <n v="0"/>
    <n v="0"/>
    <n v="0"/>
    <n v="0"/>
    <n v="0"/>
    <n v="0"/>
    <n v="0"/>
    <n v="0.39229999999999998"/>
    <x v="0"/>
    <x v="1"/>
    <n v="24621"/>
    <n v="43"/>
    <n v="0.39229999999999998"/>
    <n v="16.8689"/>
  </r>
  <r>
    <s v="recQVmRJAZgNCTGal"/>
    <s v="Olweny Patrick - Kitgum | Orom East | Waryemo Can Gardener"/>
    <n v="1"/>
    <s v="Melia, Musizi, Gmelina, Ongono, Faidherbia, Senna,"/>
    <d v="2022-08-27T00:00:00"/>
    <s v="Kitgum"/>
    <s v="Orom East"/>
    <n v="314"/>
    <n v="100"/>
    <n v="50"/>
    <n v="50"/>
    <n v="50"/>
    <n v="50"/>
    <n v="0"/>
    <n v="14"/>
    <n v="0"/>
    <n v="0.10150000000000001"/>
    <x v="0"/>
    <x v="1"/>
    <n v="5843"/>
    <n v="44"/>
    <n v="0.10150000000000001"/>
    <n v="4.4660000000000002"/>
  </r>
  <r>
    <s v="recka6NBemLqQcNcU"/>
    <s v="Olwoc balam - Agago | Paimol | Gen kweri young farmer's association - Gardener"/>
    <n v="1"/>
    <s v="Melia,"/>
    <d v="2022-08-11T00:00:00"/>
    <s v="Agago"/>
    <s v="Paimol"/>
    <n v="120"/>
    <n v="120"/>
    <n v="0"/>
    <n v="0"/>
    <n v="0"/>
    <n v="0"/>
    <n v="0"/>
    <n v="0"/>
    <n v="0"/>
    <n v="8.4400000000000003E-2"/>
    <x v="0"/>
    <x v="1"/>
    <n v="11104"/>
    <n v="42"/>
    <n v="8.4400000000000003E-2"/>
    <n v="3.5448"/>
  </r>
  <r>
    <s v="rectGLE1UHlnDlxIZ"/>
    <s v="Olwoch Charles - Agago | | Individual Farmer Gardener"/>
    <n v="1"/>
    <s v="Melia,"/>
    <d v="2022-10-13T00:00:00"/>
    <s v="Agago"/>
    <s v="Individual Farmer"/>
    <n v="30"/>
    <n v="30"/>
    <n v="0"/>
    <n v="0"/>
    <n v="0"/>
    <n v="0"/>
    <n v="0"/>
    <n v="0"/>
    <n v="0"/>
    <n v="1.54E-2"/>
    <x v="0"/>
    <x v="1"/>
    <n v="20784"/>
    <n v="40"/>
    <n v="1.54E-2"/>
    <n v="0.61599999999999999"/>
  </r>
  <r>
    <s v="recWPG2ZfKwW3yrGF"/>
    <s v="Omara Denis - Omoro | Lalogi | Ogwete community Gardener"/>
    <n v="1"/>
    <s v="Melia,"/>
    <d v="2022-06-14T00:00:00"/>
    <s v="Omoro"/>
    <s v="Lalogi"/>
    <n v="35"/>
    <n v="35"/>
    <n v="0"/>
    <n v="0"/>
    <n v="0"/>
    <n v="0"/>
    <n v="0"/>
    <n v="0"/>
    <n v="0"/>
    <n v="5.8900000000000001E-2"/>
    <x v="0"/>
    <x v="1"/>
    <n v="24621"/>
    <n v="43"/>
    <n v="5.8500000000000003E-2"/>
    <n v="2.5155000000000003"/>
  </r>
  <r>
    <s v="recYkFSEkANxYoAlb"/>
    <s v="Omara Francis - Omoro | Lalogi | Mak mukemi Gardener"/>
    <n v="1"/>
    <s v="Melia, Musizi, Ongono, Senna,"/>
    <d v="1944-11-17T00:00:00"/>
    <s v="Omoro"/>
    <s v="Lalogi"/>
    <n v="169"/>
    <n v="35"/>
    <n v="62"/>
    <n v="0"/>
    <n v="35"/>
    <n v="0"/>
    <n v="0"/>
    <n v="37"/>
    <n v="0"/>
    <n v="9.4700000000000006E-2"/>
    <x v="0"/>
    <x v="1"/>
    <n v="24826"/>
    <n v="40"/>
    <n v="9.4700000000000006E-2"/>
    <n v="3.7880000000000003"/>
  </r>
  <r>
    <s v="recQphlrjX8UWNK3R"/>
    <s v="Omony Denish - Agago | Paimol | Paco matek cung ki bulu - Gardener"/>
    <n v="1"/>
    <s v="Melia, Gmelina,"/>
    <d v="2022-09-08T00:00:00"/>
    <s v="Agago"/>
    <s v="Paimol"/>
    <n v="282"/>
    <n v="192"/>
    <n v="0"/>
    <n v="90"/>
    <n v="0"/>
    <n v="0"/>
    <n v="0"/>
    <n v="0"/>
    <n v="0"/>
    <n v="0.25719999999999998"/>
    <x v="0"/>
    <x v="1"/>
    <n v="14659"/>
    <n v="39"/>
    <n v="0.25740000000000002"/>
    <n v="10.038600000000001"/>
  </r>
  <r>
    <s v="reci61lnsXY89rS8R"/>
    <s v="Omwony Geoffrey - Omoro | Lalogi | Bed Inge A Gardener"/>
    <n v="1"/>
    <s v="Melia,"/>
    <d v="2022-08-22T00:00:00"/>
    <s v="Omoro"/>
    <s v="Lalogi"/>
    <n v="240"/>
    <n v="240"/>
    <n v="0"/>
    <n v="0"/>
    <n v="0"/>
    <n v="0"/>
    <n v="0"/>
    <n v="0"/>
    <n v="0"/>
    <n v="0.34250000000000003"/>
    <x v="0"/>
    <x v="1"/>
    <n v="24255"/>
    <n v="51"/>
    <n v="0.34250000000000003"/>
    <n v="17.467500000000001"/>
  </r>
  <r>
    <s v="recqXclYW0PT9DOZM"/>
    <s v="Onek Pius - Omoro | Lalogi | Bedi igen Gardener"/>
    <n v="1"/>
    <s v="Melia, Faidherbia,"/>
    <d v="2022-08-06T00:00:00"/>
    <s v="Omoro"/>
    <s v="Lalogi"/>
    <n v="269"/>
    <n v="125"/>
    <n v="0"/>
    <n v="0"/>
    <n v="0"/>
    <n v="144"/>
    <n v="0"/>
    <n v="0"/>
    <n v="0"/>
    <n v="0.1983"/>
    <x v="0"/>
    <x v="1"/>
    <n v="24622"/>
    <n v="42"/>
    <n v="5.8200000000000002E-2"/>
    <n v="2.4443999999999999"/>
  </r>
  <r>
    <s v="recqXclYW0PT9DOZM"/>
    <s v="Onek Pius - Omoro | Lalogi | Bedi igen Gardener"/>
    <n v="1"/>
    <s v="Melia, Faidherbia,"/>
    <d v="2022-08-06T00:00:00"/>
    <s v="Omoro"/>
    <s v="Lalogi"/>
    <n v="269"/>
    <n v="125"/>
    <n v="0"/>
    <n v="0"/>
    <n v="0"/>
    <n v="144"/>
    <n v="0"/>
    <n v="0"/>
    <n v="0"/>
    <n v="0.1983"/>
    <x v="0"/>
    <x v="1"/>
    <n v="24817"/>
    <n v="38"/>
    <n v="0.1401"/>
    <n v="5.3238000000000003"/>
  </r>
  <r>
    <s v="rec8PRBb11nBh6CuG"/>
    <s v="Onekgio Richard - Omoro | Lalogi | Kok kec ki kweri Gardener"/>
    <n v="1"/>
    <s v="Melia,"/>
    <d v="2022-10-03T00:00:00"/>
    <s v="Omoro"/>
    <s v="Lalogi"/>
    <n v="27"/>
    <n v="27"/>
    <n v="0"/>
    <n v="0"/>
    <n v="0"/>
    <n v="0"/>
    <n v="0"/>
    <n v="0"/>
    <n v="0"/>
    <n v="6.3E-3"/>
    <x v="0"/>
    <x v="1"/>
    <n v="21498"/>
    <n v="42"/>
    <n v="6.3E-3"/>
    <n v="0.2646"/>
  </r>
  <r>
    <s v="recoQ3AOJbVxlqNkq"/>
    <s v="Onen Brian - Omoro | Lalogi | Bedi igen Gardener"/>
    <n v="1"/>
    <s v="Melia, Musizi,"/>
    <d v="2022-10-07T00:00:00"/>
    <s v="Omoro"/>
    <s v="Lalogi"/>
    <n v="42"/>
    <n v="22"/>
    <n v="20"/>
    <n v="0"/>
    <n v="0"/>
    <n v="0"/>
    <n v="0"/>
    <n v="0"/>
    <n v="0"/>
    <n v="5.3999999999999999E-2"/>
    <x v="0"/>
    <x v="1"/>
    <n v="24622"/>
    <n v="42"/>
    <n v="5.3999999999999999E-2"/>
    <n v="2.2679999999999998"/>
  </r>
  <r>
    <s v="recmOG3dsBRz6cGB9"/>
    <s v="Onen-can Patrick - Omoro | Lalogi | Kok kec ki kweri Gardener"/>
    <n v="1"/>
    <s v="Melia, Musizi,"/>
    <d v="2022-09-06T00:00:00"/>
    <s v="Omoro"/>
    <s v="Lalogi"/>
    <n v="287"/>
    <n v="148"/>
    <n v="139"/>
    <n v="0"/>
    <n v="0"/>
    <n v="0"/>
    <n v="0"/>
    <n v="0"/>
    <n v="0"/>
    <n v="8.8300000000000003E-2"/>
    <x v="0"/>
    <x v="1"/>
    <n v="23850"/>
    <n v="45"/>
    <n v="8.8300000000000003E-2"/>
    <n v="3.9735"/>
  </r>
  <r>
    <s v="recnRHWyLxRDaNvyT"/>
    <s v="Onencan Patrick - Omoro | Lalogi | Kok kec ki kweri Gardener"/>
    <n v="1"/>
    <s v="Melia,"/>
    <d v="2022-08-22T00:00:00"/>
    <s v="Omoro"/>
    <s v="Lalogi"/>
    <n v="206"/>
    <n v="206"/>
    <n v="0"/>
    <n v="0"/>
    <n v="0"/>
    <n v="0"/>
    <n v="0"/>
    <n v="0"/>
    <n v="0"/>
    <n v="0.27839999999999998"/>
    <x v="0"/>
    <x v="1"/>
    <n v="23849"/>
    <n v="46"/>
    <n v="0.27839999999999998"/>
    <n v="12.8064"/>
  </r>
  <r>
    <s v="rechYN8VsvRHmtfg3"/>
    <s v="Ongaya John - Agago | Lukole | Ripe Gardener"/>
    <n v="1"/>
    <s v="Melia, Gmelina,"/>
    <d v="2022-08-22T00:00:00"/>
    <s v="Agago"/>
    <s v="Lukole"/>
    <n v="153"/>
    <n v="137"/>
    <n v="0"/>
    <n v="16"/>
    <n v="0"/>
    <n v="0"/>
    <n v="0"/>
    <n v="0"/>
    <n v="0"/>
    <n v="0.29480000000000001"/>
    <x v="0"/>
    <x v="1"/>
    <n v="19235"/>
    <n v="45"/>
    <n v="0.29480000000000001"/>
    <n v="13.266"/>
  </r>
  <r>
    <s v="reciWUMFB1xGvaAbK"/>
    <s v="Ongom David - Agago | Paimol | Rubanga tek women's group - Gardener"/>
    <n v="1"/>
    <s v="Gmelina,"/>
    <d v="1944-12-18T00:00:00"/>
    <s v="Agago"/>
    <s v="Paimol"/>
    <n v="174"/>
    <n v="0"/>
    <n v="0"/>
    <n v="174"/>
    <n v="0"/>
    <n v="0"/>
    <n v="0"/>
    <n v="0"/>
    <n v="0"/>
    <n v="6.25E-2"/>
    <x v="0"/>
    <x v="1"/>
    <n v="14485"/>
    <n v="44"/>
    <n v="6.25E-2"/>
    <n v="2.75"/>
  </r>
  <r>
    <s v="recNOw0nnNdtn6LZK"/>
    <s v="Ongom Denish - Omoro | Lalogi | Ogwete community Gardener"/>
    <n v="1"/>
    <s v="Melia, Musizi,"/>
    <d v="2022-08-11T00:00:00"/>
    <s v="Omoro"/>
    <s v="Lalogi"/>
    <n v="135"/>
    <n v="85"/>
    <n v="50"/>
    <n v="0"/>
    <n v="0"/>
    <n v="0"/>
    <n v="0"/>
    <n v="0"/>
    <n v="0"/>
    <n v="5.1499999999999997E-2"/>
    <x v="0"/>
    <x v="1"/>
    <n v="24251"/>
    <n v="46"/>
    <n v="5.1499999999999997E-2"/>
    <n v="2.3689999999999998"/>
  </r>
  <r>
    <s v="rechnIOHgoXc1Stxv"/>
    <s v="Ongom john - Agago | Kuywe | Gum anywala Gardener"/>
    <n v="1"/>
    <s v="Musizi, Gmelina, Senna,"/>
    <d v="2022-08-20T00:00:00"/>
    <s v="Agago"/>
    <s v="Kuywe"/>
    <n v="100"/>
    <n v="0"/>
    <n v="10"/>
    <n v="60"/>
    <n v="0"/>
    <n v="0"/>
    <n v="0"/>
    <n v="30"/>
    <n v="0"/>
    <n v="0.37669999999999998"/>
    <x v="0"/>
    <x v="1"/>
    <n v="14271"/>
    <n v="45"/>
    <n v="0.25609999999999999"/>
    <n v="11.5245"/>
  </r>
  <r>
    <s v="rechnIOHgoXc1Stxv"/>
    <s v="Ongom john - Agago | Kuywe | Gum anywala Gardener"/>
    <n v="1"/>
    <s v="Musizi, Gmelina, Senna,"/>
    <d v="2022-08-20T00:00:00"/>
    <s v="Agago"/>
    <s v="Kuywe"/>
    <n v="100"/>
    <n v="0"/>
    <n v="10"/>
    <n v="60"/>
    <n v="0"/>
    <n v="0"/>
    <n v="0"/>
    <n v="30"/>
    <n v="0"/>
    <n v="0.37669999999999998"/>
    <x v="0"/>
    <x v="1"/>
    <n v="14272"/>
    <n v="43"/>
    <n v="0.1206"/>
    <n v="5.1857999999999995"/>
  </r>
  <r>
    <s v="rec6q6UZ6dE7zWEQr"/>
    <s v="Onyango-Wat Jasper - Omoro | Lalogi | Ogwete community Gardener"/>
    <n v="1"/>
    <s v="Melia,"/>
    <d v="2022-06-22T00:00:00"/>
    <s v="Omoro"/>
    <s v="Lalogi"/>
    <n v="35"/>
    <n v="35"/>
    <n v="0"/>
    <n v="0"/>
    <n v="0"/>
    <n v="0"/>
    <n v="0"/>
    <n v="0"/>
    <n v="0"/>
    <n v="0.1323"/>
    <x v="0"/>
    <x v="1"/>
    <n v="24621"/>
    <n v="43"/>
    <n v="0.1323"/>
    <n v="5.6889000000000003"/>
  </r>
  <r>
    <s v="recMHJuFOs2LTTOTe"/>
    <s v="Onying Silver - Agago | Lapono | Onen kuc Gardener"/>
    <n v="1"/>
    <s v="Melia, Gmelina,"/>
    <d v="2022-10-29T00:00:00"/>
    <s v="Agago"/>
    <s v="Lapono"/>
    <n v="40"/>
    <n v="30"/>
    <n v="0"/>
    <n v="10"/>
    <n v="0"/>
    <n v="0"/>
    <n v="0"/>
    <n v="0"/>
    <n v="0"/>
    <n v="1.2500000000000001E-2"/>
    <x v="0"/>
    <x v="1"/>
    <n v="17308"/>
    <n v="43"/>
    <n v="1.2500000000000001E-2"/>
    <n v="0.53749999999999998"/>
  </r>
  <r>
    <s v="recDpaljoE5coTi0I"/>
    <s v="Oola Tense - Omoro | Lalogi | Bedi igen Gardener"/>
    <n v="1"/>
    <s v="Melia,"/>
    <d v="2022-08-10T00:00:00"/>
    <s v="Omoro"/>
    <s v="Lalogi"/>
    <n v="48"/>
    <n v="48"/>
    <n v="0"/>
    <n v="0"/>
    <n v="0"/>
    <n v="0"/>
    <n v="0"/>
    <n v="0"/>
    <n v="0"/>
    <n v="0.14560000000000001"/>
    <x v="0"/>
    <x v="1"/>
    <n v="26201"/>
    <n v="45"/>
    <n v="0.14560000000000001"/>
    <n v="6.5520000000000005"/>
  </r>
  <r>
    <s v="recGjnJKh2dUPTTHC"/>
    <s v="Openy Albin Michael - Agago | Paimol | Gen kweri young farmer's association - Gardener"/>
    <n v="1"/>
    <s v="Melia, Musizi, Gmelina, Ongono,"/>
    <d v="2022-08-26T00:00:00"/>
    <s v="Agago"/>
    <s v="Paimol"/>
    <n v="406"/>
    <n v="95"/>
    <n v="84"/>
    <n v="165"/>
    <n v="62"/>
    <n v="0"/>
    <n v="0"/>
    <n v="0"/>
    <n v="0"/>
    <n v="0.254"/>
    <x v="0"/>
    <x v="1"/>
    <n v="14841"/>
    <n v="42"/>
    <n v="0.254"/>
    <n v="10.667999999999999"/>
  </r>
  <r>
    <s v="recFfp97B6RVszyaM"/>
    <s v="Opio Geoffrey - Omoro | Lalogi | Bedi igen Gardener"/>
    <n v="1"/>
    <s v="Melia, Musizi, Ongono,"/>
    <d v="2022-08-24T00:00:00"/>
    <s v="Omoro"/>
    <s v="Lalogi"/>
    <n v="95"/>
    <n v="35"/>
    <n v="50"/>
    <n v="0"/>
    <n v="10"/>
    <n v="0"/>
    <n v="0"/>
    <n v="0"/>
    <n v="0"/>
    <n v="3.1800000000000002E-2"/>
    <x v="0"/>
    <x v="1"/>
    <n v="24622"/>
    <n v="42"/>
    <n v="3.1800000000000002E-2"/>
    <n v="1.3356000000000001"/>
  </r>
  <r>
    <s v="recAyYqpmTfcWjG3q"/>
    <s v="Opio john - Agago | Lapono | Peko ma poto atura - Gardener"/>
    <n v="1"/>
    <s v="Melia, Musizi, Gmelina,"/>
    <d v="2022-08-22T00:00:00"/>
    <s v="Agago"/>
    <s v="Lapono"/>
    <n v="465"/>
    <n v="320"/>
    <n v="100"/>
    <n v="45"/>
    <n v="0"/>
    <n v="0"/>
    <n v="0"/>
    <n v="0"/>
    <n v="0"/>
    <n v="0.25369999999999998"/>
    <x v="0"/>
    <x v="1"/>
    <n v="16710"/>
    <n v="42"/>
    <n v="0.25369999999999998"/>
    <n v="10.655399999999998"/>
  </r>
  <r>
    <s v="recV6zEwu1IzjubR2"/>
    <s v="Opio John Bosco - Agago | Lukole | Ripe Gardener"/>
    <n v="1"/>
    <s v="Melia, Musizi, Ongono, Senna,"/>
    <d v="2022-06-15T00:00:00"/>
    <s v="Agago"/>
    <s v="Lukole"/>
    <n v="353"/>
    <n v="218"/>
    <n v="100"/>
    <n v="0"/>
    <n v="15"/>
    <n v="0"/>
    <n v="0"/>
    <n v="20"/>
    <n v="0"/>
    <n v="0.57769999999999999"/>
    <x v="0"/>
    <x v="1"/>
    <n v="19236"/>
    <n v="48"/>
    <n v="0.57769999999999999"/>
    <n v="27.729599999999998"/>
  </r>
  <r>
    <s v="rec0iDjigG6wzAaaK"/>
    <s v="Opio Nickolas - Omoro | Lalogi | Rwot Ngeo Gardener"/>
    <n v="1"/>
    <s v="Melia, Musizi, Opok, Senna,"/>
    <d v="2022-08-22T00:00:00"/>
    <s v="Omoro"/>
    <s v="Lalogi"/>
    <n v="343"/>
    <n v="153"/>
    <n v="71"/>
    <n v="0"/>
    <n v="0"/>
    <n v="0"/>
    <n v="19"/>
    <n v="100"/>
    <n v="0"/>
    <n v="0.1018"/>
    <x v="0"/>
    <x v="1"/>
    <n v="21313"/>
    <n v="46"/>
    <n v="0.1018"/>
    <n v="4.6828000000000003"/>
  </r>
  <r>
    <s v="recGPfpw7TDmV6ImC"/>
    <s v="Opiyo Bosco - Omoro | Lalogi | Lubanga Twero Gardener"/>
    <n v="1"/>
    <s v="Melia, Musizi, Opok,"/>
    <d v="2022-09-06T00:00:00"/>
    <s v="Omoro"/>
    <s v="Lalogi"/>
    <n v="436"/>
    <n v="357"/>
    <n v="15"/>
    <n v="0"/>
    <n v="0"/>
    <n v="0"/>
    <n v="64"/>
    <n v="0"/>
    <n v="0"/>
    <n v="0.58560000000000001"/>
    <x v="0"/>
    <x v="1"/>
    <n v="23242"/>
    <n v="50"/>
    <n v="0.58560000000000001"/>
    <n v="29.28"/>
  </r>
  <r>
    <s v="recyBLMx6OKgzp78j"/>
    <s v="Opiyo Denise - Agago | Lukole | Ripe Gardener"/>
    <n v="1"/>
    <s v="Melia, Gmelina,"/>
    <d v="2022-08-22T00:00:00"/>
    <s v="Agago"/>
    <s v="Lukole"/>
    <n v="295"/>
    <n v="249"/>
    <n v="0"/>
    <n v="46"/>
    <n v="0"/>
    <n v="0"/>
    <n v="0"/>
    <n v="0"/>
    <n v="0"/>
    <n v="0.2228"/>
    <x v="0"/>
    <x v="1"/>
    <n v="19235"/>
    <n v="45"/>
    <n v="0.2228"/>
    <n v="10.026"/>
  </r>
  <r>
    <s v="recuzHO5ssii4tXfy"/>
    <s v="Opiyo Geoffrey - Omoro | Lalogi | Ogwete community Gardener"/>
    <n v="1"/>
    <s v="Melia, Musizi,"/>
    <d v="2022-08-22T00:00:00"/>
    <s v="Omoro"/>
    <s v="Lalogi"/>
    <n v="135"/>
    <n v="85"/>
    <n v="50"/>
    <n v="0"/>
    <n v="0"/>
    <n v="0"/>
    <n v="0"/>
    <n v="0"/>
    <n v="0"/>
    <n v="2.5499999999999998E-2"/>
    <x v="0"/>
    <x v="1"/>
    <n v="24621"/>
    <n v="43"/>
    <n v="2.5499999999999998E-2"/>
    <n v="1.0965"/>
  </r>
  <r>
    <s v="rec1wKbZTpuzL6gyT"/>
    <s v="Opiyo Nack - Omoro | Lalogi | Mak mukemi Gardener"/>
    <n v="1"/>
    <s v="Melia,"/>
    <d v="2022-10-26T00:00:00"/>
    <s v="Omoro"/>
    <s v="Lalogi"/>
    <n v="140"/>
    <n v="140"/>
    <n v="0"/>
    <n v="0"/>
    <n v="0"/>
    <n v="0"/>
    <n v="0"/>
    <n v="0"/>
    <n v="0"/>
    <n v="0.25940000000000002"/>
    <x v="0"/>
    <x v="1"/>
    <n v="24251"/>
    <n v="46"/>
    <n v="0.25940000000000002"/>
    <n v="11.932400000000001"/>
  </r>
  <r>
    <s v="recQtByGHmbRs05is"/>
    <s v="Opiyo Samuel Baker - Individual"/>
    <n v="1"/>
    <s v="Melia,"/>
    <d v="2022-08-22T00:00:00"/>
    <s v="Agago"/>
    <s v="Paimol"/>
    <n v="102"/>
    <n v="102"/>
    <n v="0"/>
    <n v="0"/>
    <n v="0"/>
    <n v="0"/>
    <n v="0"/>
    <n v="0"/>
    <n v="0"/>
    <n v="5.6399999999999999E-2"/>
    <x v="0"/>
    <x v="1"/>
    <n v="14491"/>
    <n v="41"/>
    <n v="5.6399999999999999E-2"/>
    <n v="2.3123999999999998"/>
  </r>
  <r>
    <s v="recKsUJXhyNYN1FdF"/>
    <s v="Orach george - Agago | Lapono | Onen kuc Gardener"/>
    <n v="1"/>
    <s v="Melia, Gmelina,"/>
    <d v="2022-08-22T00:00:00"/>
    <s v="Agago"/>
    <s v="Lapono"/>
    <n v="27"/>
    <n v="12"/>
    <n v="0"/>
    <n v="15"/>
    <n v="0"/>
    <n v="0"/>
    <n v="0"/>
    <n v="0"/>
    <n v="0"/>
    <n v="0.1285"/>
    <x v="0"/>
    <x v="1"/>
    <n v="17308"/>
    <n v="43"/>
    <n v="0.1285"/>
    <n v="5.5255000000000001"/>
  </r>
  <r>
    <s v="recPhmRqq5ILBTUqv"/>
    <s v="Oringa Moses - Agago | | Individual Farmer Gardener"/>
    <n v="1"/>
    <s v="Melia, Ongono,"/>
    <d v="2022-10-28T00:00:00"/>
    <s v="Agago"/>
    <s v="Individual Farmer"/>
    <n v="260"/>
    <n v="220"/>
    <n v="0"/>
    <n v="0"/>
    <n v="40"/>
    <n v="0"/>
    <n v="0"/>
    <n v="0"/>
    <n v="0"/>
    <n v="5.6800000000000003E-2"/>
    <x v="0"/>
    <x v="1"/>
    <n v="16989"/>
    <n v="48"/>
    <n v="5.6800000000000003E-2"/>
    <n v="2.7263999999999999"/>
  </r>
  <r>
    <s v="recumqUx8CwO8JL9P"/>
    <s v="Oroma Jenifer - Agago | Adilang | Tam piwa Gardener"/>
    <n v="1"/>
    <s v="Melia, Gmelina, Lebbek"/>
    <d v="2022-08-22T00:00:00"/>
    <s v="Agago"/>
    <s v="Adilang"/>
    <n v="180"/>
    <n v="50"/>
    <n v="0"/>
    <n v="80"/>
    <n v="0"/>
    <n v="0"/>
    <n v="0"/>
    <n v="0"/>
    <n v="50"/>
    <n v="4.4900000000000002E-2"/>
    <x v="0"/>
    <x v="1"/>
    <n v="23495"/>
    <n v="45"/>
    <n v="4.4900000000000002E-2"/>
    <n v="2.0205000000000002"/>
  </r>
  <r>
    <s v="recrqDMtG3mcb69Pp"/>
    <s v="Oroma Jennifer - Acak ki kwene"/>
    <n v="1"/>
    <s v="Melia,"/>
    <d v="2022-08-22T00:00:00"/>
    <s v="Individual Farmer"/>
    <s v="Individual Farmer"/>
    <n v="16"/>
    <n v="16"/>
    <n v="0"/>
    <n v="0"/>
    <n v="0"/>
    <n v="0"/>
    <n v="0"/>
    <n v="0"/>
    <n v="0"/>
    <n v="3.5900000000000001E-2"/>
    <x v="0"/>
    <x v="1"/>
    <n v="21682"/>
    <n v="41"/>
    <n v="3.5900000000000001E-2"/>
    <n v="1.4719"/>
  </r>
  <r>
    <s v="recGoEhnE6dUyrI95"/>
    <s v="Oroma Rose - Omoro | Lalogi | Ogwete community Gardener"/>
    <n v="1"/>
    <s v="Melia, Musizi,"/>
    <d v="2022-06-17T00:00:00"/>
    <s v="Omoro"/>
    <s v="Lalogi"/>
    <n v="135"/>
    <n v="85"/>
    <n v="50"/>
    <n v="0"/>
    <n v="0"/>
    <n v="0"/>
    <n v="0"/>
    <n v="0"/>
    <n v="0"/>
    <n v="0.1128"/>
    <x v="0"/>
    <x v="1"/>
    <n v="24251"/>
    <n v="46"/>
    <n v="0.1128"/>
    <n v="5.1887999999999996"/>
  </r>
  <r>
    <s v="recVOOSKfyddSMEjj"/>
    <s v="Oryem john - Agago | Paimol | Anyim mito yele - Gardener"/>
    <n v="1"/>
    <s v="Melia, Musizi, Ongono,"/>
    <d v="2023-09-03T00:00:00"/>
    <s v="Agago"/>
    <s v="Paimol"/>
    <n v="846"/>
    <n v="422"/>
    <n v="104"/>
    <n v="0"/>
    <n v="320"/>
    <n v="0"/>
    <n v="0"/>
    <n v="0"/>
    <n v="0"/>
    <n v="0.7641"/>
    <x v="0"/>
    <x v="1"/>
    <n v="14487"/>
    <n v="36"/>
    <n v="0.7641"/>
    <n v="27.5076"/>
  </r>
  <r>
    <s v="recEDWRKni2F8xR8x"/>
    <s v="Otema Denis - Omoro | Lalogi | Bed Inge B Gardener"/>
    <n v="1"/>
    <s v="Melia, Ongono,"/>
    <d v="2022-10-04T00:00:00"/>
    <s v="Omoro"/>
    <s v="Lalogi"/>
    <n v="449"/>
    <n v="429"/>
    <n v="0"/>
    <n v="0"/>
    <n v="20"/>
    <n v="0"/>
    <n v="0"/>
    <n v="0"/>
    <n v="0"/>
    <n v="5.9200000000000003E-2"/>
    <x v="0"/>
    <x v="1"/>
    <n v="24626"/>
    <n v="44"/>
    <n v="5.9200000000000003E-2"/>
    <n v="2.6048"/>
  </r>
  <r>
    <s v="recm9xmXmofSTio51"/>
    <s v="Otema Denis B - Omoro | Lalogi | Bed Inge B Gardener"/>
    <n v="1"/>
    <s v="Melia,"/>
    <d v="2022-10-04T00:00:00"/>
    <s v="Omoro"/>
    <s v="Lalogi"/>
    <n v="87"/>
    <n v="87"/>
    <n v="0"/>
    <n v="0"/>
    <n v="0"/>
    <n v="0"/>
    <n v="0"/>
    <n v="0"/>
    <n v="0"/>
    <n v="4.4900000000000002E-2"/>
    <x v="0"/>
    <x v="1"/>
    <n v="24626"/>
    <n v="44"/>
    <n v="4.4900000000000002E-2"/>
    <n v="1.9756"/>
  </r>
  <r>
    <s v="rec0UDLJkNgFFcrG4"/>
    <s v="Otika john - Agago | Lira - Palwo | Rubanga ngeo Gardener"/>
    <n v="1"/>
    <s v="Melia, Musizi, Gmelina, Ongono,"/>
    <d v="2022-08-22T00:00:00"/>
    <s v="Agago"/>
    <s v="Lira - Palwo"/>
    <n v="808"/>
    <n v="185"/>
    <n v="100"/>
    <n v="23"/>
    <n v="500"/>
    <n v="0"/>
    <n v="0"/>
    <n v="0"/>
    <n v="0"/>
    <n v="0.54490000000000005"/>
    <x v="0"/>
    <x v="1"/>
    <n v="21548"/>
    <n v="41"/>
    <n v="0.54490000000000005"/>
    <n v="22.340900000000001"/>
  </r>
  <r>
    <s v="recYuYXCQVAWqzcpI"/>
    <s v="Otim bosco - Agago | Lira - Palwo | Rippe aye teko Gardener"/>
    <n v="1"/>
    <s v="Melia, Gmelina, Ongono, Lebbek"/>
    <d v="2022-08-22T00:00:00"/>
    <s v="Agago"/>
    <s v="Lira - Palwo"/>
    <n v="519"/>
    <n v="140"/>
    <n v="0"/>
    <n v="155"/>
    <n v="200"/>
    <n v="0"/>
    <n v="0"/>
    <n v="0"/>
    <n v="24"/>
    <n v="0.26750000000000002"/>
    <x v="0"/>
    <x v="1"/>
    <n v="20392"/>
    <n v="40"/>
    <n v="0.26750000000000002"/>
    <n v="10.700000000000001"/>
  </r>
  <r>
    <s v="rec4cS1NkFn1C5SrU"/>
    <s v="Otto Jeovien - Agago | Lapono | Onen kuc Gardener"/>
    <n v="1"/>
    <s v="Melia, Musizi, Gmelina,"/>
    <d v="2022-08-27T00:00:00"/>
    <s v="Agago"/>
    <s v="Lapono"/>
    <n v="67"/>
    <n v="40"/>
    <n v="12"/>
    <n v="15"/>
    <n v="0"/>
    <n v="0"/>
    <n v="0"/>
    <n v="0"/>
    <n v="0"/>
    <n v="1.9800000000000002E-2"/>
    <x v="0"/>
    <x v="1"/>
    <n v="17308"/>
    <n v="43"/>
    <n v="1.9800000000000002E-2"/>
    <n v="0.85140000000000005"/>
  </r>
  <r>
    <s v="rec7W650pIrJaLqRp"/>
    <s v="Otto Joseph Solomon - Agago | Lukole | Alwee trees Gardener"/>
    <n v="1"/>
    <s v="Melia, Gmelina,"/>
    <d v="2022-05-21T00:00:00"/>
    <s v="Agago"/>
    <s v="Lukole"/>
    <n v="110"/>
    <n v="35"/>
    <n v="0"/>
    <n v="75"/>
    <n v="0"/>
    <n v="0"/>
    <n v="0"/>
    <n v="0"/>
    <n v="0"/>
    <n v="8.1299999999999997E-2"/>
    <x v="0"/>
    <x v="1"/>
    <n v="19033"/>
    <n v="46"/>
    <n v="8.1299999999999997E-2"/>
    <n v="3.7397999999999998"/>
  </r>
  <r>
    <s v="rechvWHicI345UIgZ"/>
    <s v="Otto Richard - Omoro | Lalogi | Ogwete community Gardener"/>
    <n v="1"/>
    <s v="Melia,"/>
    <d v="2022-09-06T00:00:00"/>
    <s v="Omoro"/>
    <s v="Lalogi"/>
    <n v="50"/>
    <n v="50"/>
    <n v="0"/>
    <n v="0"/>
    <n v="0"/>
    <n v="0"/>
    <n v="0"/>
    <n v="0"/>
    <n v="0"/>
    <n v="7.7399999999999997E-2"/>
    <x v="0"/>
    <x v="1"/>
    <n v="24621"/>
    <n v="43"/>
    <n v="7.7399999999999997E-2"/>
    <n v="3.3281999999999998"/>
  </r>
  <r>
    <s v="rec8nYSUa4FhvQ21U"/>
    <s v="Owani thomas - Agago | Lira - Palwo | Rippe aye teko Gardener"/>
    <n v="1"/>
    <s v="Melia, Musizi, Ongono, Lebbek"/>
    <d v="2022-08-22T00:00:00"/>
    <s v="Agago"/>
    <s v="Lira - Palwo"/>
    <n v="333"/>
    <n v="80"/>
    <n v="25"/>
    <n v="0"/>
    <n v="216"/>
    <n v="0"/>
    <n v="0"/>
    <n v="0"/>
    <n v="12"/>
    <n v="0.27929999999999999"/>
    <x v="0"/>
    <x v="1"/>
    <n v="20392"/>
    <n v="40"/>
    <n v="0.14330000000000001"/>
    <n v="5.7320000000000002"/>
  </r>
  <r>
    <s v="rec8nYSUa4FhvQ21U"/>
    <s v="Owani thomas - Agago | Lira - Palwo | Rippe aye teko Gardener"/>
    <n v="1"/>
    <s v="Melia, Musizi, Ongono, Lebbek"/>
    <d v="2022-08-22T00:00:00"/>
    <s v="Agago"/>
    <s v="Lira - Palwo"/>
    <n v="333"/>
    <n v="80"/>
    <n v="25"/>
    <n v="0"/>
    <n v="216"/>
    <n v="0"/>
    <n v="0"/>
    <n v="0"/>
    <n v="12"/>
    <n v="0.27929999999999999"/>
    <x v="0"/>
    <x v="1"/>
    <n v="20605"/>
    <n v="38"/>
    <n v="0.13600000000000001"/>
    <n v="5.1680000000000001"/>
  </r>
  <r>
    <s v="rec3WnoaZvs9VFW9I"/>
    <s v="Owani vincent - Agago | Adilang | Labwo seeds community association Gardener"/>
    <n v="1"/>
    <s v="Melia, Gmelina,"/>
    <d v="2022-04-14T00:00:00"/>
    <s v="Agago"/>
    <s v="Adilang"/>
    <n v="186"/>
    <n v="81"/>
    <n v="0"/>
    <n v="105"/>
    <n v="0"/>
    <n v="0"/>
    <n v="0"/>
    <n v="0"/>
    <n v="0"/>
    <n v="0.14330000000000001"/>
    <x v="0"/>
    <x v="1"/>
    <n v="22555"/>
    <n v="45"/>
    <n v="0.14330000000000001"/>
    <n v="6.4485000000000001"/>
  </r>
  <r>
    <s v="recRs2XoDDG5w9rgS"/>
    <s v="Owili Sisto - Onen kuc"/>
    <n v="1"/>
    <s v="Melia, Gmelina,"/>
    <d v="2022-08-22T00:00:00"/>
    <s v="Individual Farmer"/>
    <s v="Individual Farmer"/>
    <n v="6"/>
    <n v="3"/>
    <n v="0"/>
    <n v="3"/>
    <n v="0"/>
    <n v="0"/>
    <n v="0"/>
    <n v="0"/>
    <n v="0"/>
    <n v="3.1300000000000001E-2"/>
    <x v="0"/>
    <x v="1"/>
    <n v="17308"/>
    <n v="43"/>
    <n v="3.1300000000000001E-2"/>
    <n v="1.3459000000000001"/>
  </r>
  <r>
    <s v="reckY8wRFqHvLHPZc"/>
    <s v="Owili David Oyat - Agago | Lapono | Onen kuc Gardener"/>
    <n v="1"/>
    <s v="Melia, Musizi, Gmelina,"/>
    <d v="2022-08-22T00:00:00"/>
    <s v="Agago"/>
    <s v="Lapono"/>
    <n v="90"/>
    <n v="60"/>
    <n v="10"/>
    <n v="20"/>
    <n v="0"/>
    <n v="0"/>
    <n v="0"/>
    <n v="0"/>
    <n v="0"/>
    <n v="0.17399999999999999"/>
    <x v="0"/>
    <x v="1"/>
    <n v="17308"/>
    <n v="43"/>
    <n v="0.17399999999999999"/>
    <n v="7.4819999999999993"/>
  </r>
  <r>
    <s v="reciGt8yog2CxkYPy"/>
    <s v="Owili Nekolina - Peko ma poto atura"/>
    <n v="1"/>
    <s v="Melia, Gmelina, Senna,"/>
    <d v="2022-08-22T00:00:00"/>
    <s v="Individual Farmer"/>
    <s v="Individual Farmer"/>
    <n v="11"/>
    <n v="3"/>
    <n v="0"/>
    <n v="5"/>
    <n v="0"/>
    <n v="0"/>
    <n v="0"/>
    <n v="3"/>
    <n v="0"/>
    <n v="0.29780000000000001"/>
    <x v="0"/>
    <x v="1"/>
    <n v="17308"/>
    <n v="43"/>
    <n v="0.29780000000000001"/>
    <n v="12.805400000000001"/>
  </r>
  <r>
    <s v="recfhONMx2Y72t4Yy"/>
    <s v="Owiny Donino - Peko ma poto atura"/>
    <n v="1"/>
    <s v="Gmelina,"/>
    <d v="2022-08-22T00:00:00"/>
    <s v="Individual Farmer"/>
    <s v="Individual Farmer"/>
    <n v="6"/>
    <n v="0"/>
    <n v="0"/>
    <n v="6"/>
    <n v="0"/>
    <n v="0"/>
    <n v="0"/>
    <n v="0"/>
    <n v="0"/>
    <n v="9.9000000000000008E-3"/>
    <x v="0"/>
    <x v="1"/>
    <n v="16891"/>
    <n v="49"/>
    <n v="9.9000000000000008E-3"/>
    <n v="0.48510000000000003"/>
  </r>
  <r>
    <s v="rec5GBJygH9q7SFwO"/>
    <s v="Owon paul - Agago | Paimol | Lacwec konya - Gardener"/>
    <n v="1"/>
    <s v="Melia,"/>
    <d v="1945-03-19T00:00:00"/>
    <s v="Agago"/>
    <s v="Paimol"/>
    <n v="370"/>
    <n v="370"/>
    <n v="0"/>
    <n v="0"/>
    <n v="0"/>
    <n v="0"/>
    <n v="0"/>
    <n v="0"/>
    <n v="0"/>
    <n v="6.8000000000000005E-2"/>
    <x v="0"/>
    <x v="1"/>
    <n v="14492"/>
    <n v="42"/>
    <n v="6.8000000000000005E-2"/>
    <n v="2.8560000000000003"/>
  </r>
  <r>
    <s v="recORdz3lWv11sTh5"/>
    <s v="Owuna James - Omoro | Lalogi | Bed Inge A Gardener"/>
    <n v="1"/>
    <s v="Melia, Musizi,"/>
    <d v="2022-06-13T00:00:00"/>
    <s v="Omoro"/>
    <s v="Lalogi"/>
    <n v="210"/>
    <n v="168"/>
    <n v="42"/>
    <n v="0"/>
    <n v="0"/>
    <n v="0"/>
    <n v="0"/>
    <n v="0"/>
    <n v="0"/>
    <n v="0.41189999999999999"/>
    <x v="0"/>
    <x v="1"/>
    <n v="24255"/>
    <n v="51"/>
    <n v="0.41189999999999999"/>
    <n v="21.006899999999998"/>
  </r>
  <r>
    <s v="recnCrenteKiPTj0d"/>
    <s v="Oyaro Livingston - Omoro | Lalogi | Lok i tam Gardener"/>
    <n v="1"/>
    <s v="Melia, Ongono, Faidherbia, Senna,"/>
    <d v="2022-09-06T00:00:00"/>
    <s v="Omoro"/>
    <s v="Lalogi"/>
    <n v="618"/>
    <n v="154"/>
    <n v="0"/>
    <n v="0"/>
    <n v="323"/>
    <n v="62"/>
    <n v="0"/>
    <n v="79"/>
    <n v="0"/>
    <n v="0.1928"/>
    <x v="0"/>
    <x v="1"/>
    <n v="24437"/>
    <n v="51"/>
    <n v="0.1928"/>
    <n v="9.8328000000000007"/>
  </r>
  <r>
    <s v="recYIv5EW4W5eiDx7"/>
    <s v="Oyela dorine - Agago | Kuywe | Ogen rwot Gardener"/>
    <n v="1"/>
    <s v="Melia, Musizi, Gmelina, Senna,"/>
    <d v="2022-08-27T00:00:00"/>
    <s v="Agago"/>
    <s v="Kuywe"/>
    <n v="115"/>
    <n v="40"/>
    <n v="5"/>
    <n v="60"/>
    <n v="0"/>
    <n v="0"/>
    <n v="0"/>
    <n v="10"/>
    <n v="0"/>
    <n v="5.7200000000000001E-2"/>
    <x v="0"/>
    <x v="1"/>
    <n v="16986"/>
    <n v="42"/>
    <n v="5.7200000000000001E-2"/>
    <n v="2.4024000000000001"/>
  </r>
  <r>
    <s v="recTO6Qy7kIUk5sIf"/>
    <s v="Oyella Betty - Onen kuc"/>
    <n v="1"/>
    <s v="Melia, Gmelina,"/>
    <d v="2022-08-22T00:00:00"/>
    <s v="Individual Farmer"/>
    <s v="Individual Farmer"/>
    <n v="11"/>
    <n v="8"/>
    <n v="0"/>
    <n v="3"/>
    <n v="0"/>
    <n v="0"/>
    <n v="0"/>
    <n v="0"/>
    <n v="0"/>
    <n v="7.3000000000000001E-3"/>
    <x v="0"/>
    <x v="1"/>
    <n v="17308"/>
    <n v="43"/>
    <n v="7.3000000000000001E-3"/>
    <n v="0.31390000000000001"/>
  </r>
  <r>
    <s v="recIRtIW5IDE5ZLSm"/>
    <s v="Oyoo devit - Agago | Paimol | Paco matek cung ki bulu - Gardener"/>
    <n v="1"/>
    <s v="Gmelina,"/>
    <d v="2022-08-10T00:00:00"/>
    <s v="Agago"/>
    <s v="Paimol"/>
    <n v="236"/>
    <n v="0"/>
    <n v="0"/>
    <n v="236"/>
    <n v="0"/>
    <n v="0"/>
    <n v="0"/>
    <n v="0"/>
    <n v="0"/>
    <n v="0.2051"/>
    <x v="0"/>
    <x v="1"/>
    <n v="14659"/>
    <n v="39"/>
    <n v="0.2051"/>
    <n v="7.9988999999999999"/>
  </r>
  <r>
    <s v="recqhwJIJuPLID5MJ"/>
    <s v="Oyoo Micheal - Kitgum | Orom East | Waryemo Can Gardener"/>
    <n v="1"/>
    <s v="Melia, Gmelina, Ongono, Faidherbia, Opok, Senna,"/>
    <d v="2022-08-07T00:00:00"/>
    <s v="Kitgum"/>
    <s v="Orom East"/>
    <n v="170"/>
    <n v="10"/>
    <n v="0"/>
    <n v="40"/>
    <n v="30"/>
    <n v="30"/>
    <n v="20"/>
    <n v="40"/>
    <n v="0"/>
    <n v="0.10489999999999999"/>
    <x v="0"/>
    <x v="1"/>
    <n v="5652"/>
    <n v="41"/>
    <n v="0.10489999999999999"/>
    <n v="4.3008999999999995"/>
  </r>
  <r>
    <s v="recruHRtisLrg162h"/>
    <s v="Patrick Lumumba - Agago | | Individual Farmer Gardener"/>
    <n v="1"/>
    <s v="Melia, Ongono,"/>
    <d v="2022-10-03T00:00:00"/>
    <s v="Agago"/>
    <s v="Individual Farmer"/>
    <n v="465"/>
    <n v="230"/>
    <n v="0"/>
    <n v="0"/>
    <n v="235"/>
    <n v="0"/>
    <n v="0"/>
    <n v="0"/>
    <n v="0"/>
    <n v="0.29720000000000002"/>
    <x v="0"/>
    <x v="1"/>
    <n v="16989"/>
    <n v="48"/>
    <n v="0.29720000000000002"/>
    <n v="14.265600000000001"/>
  </r>
  <r>
    <s v="recK09RmwQlNNcOln"/>
    <s v="Rackarac Oscar - Omoro | Lalogi | Bed Inge A Gardener"/>
    <n v="1"/>
    <s v="Melia,"/>
    <d v="2022-09-06T00:00:00"/>
    <s v="Omoro"/>
    <s v="Lalogi"/>
    <n v="140"/>
    <n v="140"/>
    <n v="0"/>
    <n v="0"/>
    <n v="0"/>
    <n v="0"/>
    <n v="0"/>
    <n v="0"/>
    <n v="0"/>
    <n v="0.23980000000000001"/>
    <x v="0"/>
    <x v="1"/>
    <n v="24255"/>
    <n v="51"/>
    <n v="0.23980000000000001"/>
    <n v="12.229800000000001"/>
  </r>
  <r>
    <s v="recI3AwyoR92ECwde"/>
    <s v="Rubangakene Charles Leo - Omoro | Lalogi | Bed Inge A Gardener"/>
    <n v="1"/>
    <s v="Melia, Senna,"/>
    <d v="2022-06-16T00:00:00"/>
    <s v="Omoro"/>
    <s v="Lalogi"/>
    <n v="231"/>
    <n v="156"/>
    <n v="0"/>
    <n v="0"/>
    <n v="0"/>
    <n v="0"/>
    <n v="0"/>
    <n v="75"/>
    <n v="0"/>
    <n v="0.4748"/>
    <x v="0"/>
    <x v="1"/>
    <n v="24256"/>
    <n v="45"/>
    <n v="0.4748"/>
    <n v="21.366"/>
  </r>
  <r>
    <s v="recoGjNfX2V2mZqEq"/>
    <s v="Scan Rose - Agago | Paimol | Rubanga tek women's group - Gardener"/>
    <n v="1"/>
    <s v="Melia, Gmelina, Senna,"/>
    <d v="2022-09-18T00:00:00"/>
    <s v="Agago"/>
    <s v="Paimol"/>
    <n v="349"/>
    <n v="232"/>
    <n v="0"/>
    <n v="53"/>
    <n v="0"/>
    <n v="0"/>
    <n v="0"/>
    <n v="64"/>
    <n v="0"/>
    <n v="9.7000000000000003E-3"/>
    <x v="0"/>
    <x v="1"/>
    <n v="14115"/>
    <n v="39"/>
    <n v="9.7000000000000003E-3"/>
    <n v="0.37830000000000003"/>
  </r>
  <r>
    <s v="recOwAz9uVZxdz28b"/>
    <s v="Too okema Wilson - Agago | Lapono | Odong mon Gardener"/>
    <n v="1"/>
    <s v="Melia,"/>
    <d v="2022-11-05T00:00:00"/>
    <s v="Agago"/>
    <s v="Lapono"/>
    <n v="160"/>
    <n v="160"/>
    <n v="0"/>
    <n v="0"/>
    <n v="0"/>
    <n v="0"/>
    <n v="0"/>
    <n v="0"/>
    <n v="0"/>
    <n v="2.2700000000000001E-2"/>
    <x v="0"/>
    <x v="1"/>
    <n v="16519"/>
    <n v="49"/>
    <n v="2.2700000000000001E-2"/>
    <n v="1.1123000000000001"/>
  </r>
  <r>
    <s v="rec7jX4JTv9ZFtyN5"/>
    <s v="Too-okema Joseph - Agago | Lapono | Odong mon Gardener"/>
    <n v="1"/>
    <s v="Melia, Gmelina, Ongono, Senna, Lebbek"/>
    <d v="2022-09-01T00:00:00"/>
    <s v="Agago"/>
    <s v="Lapono"/>
    <n v="160"/>
    <n v="42"/>
    <n v="0"/>
    <n v="30"/>
    <n v="37"/>
    <n v="0"/>
    <n v="0"/>
    <n v="48"/>
    <n v="3"/>
    <n v="6.3500000000000001E-2"/>
    <x v="0"/>
    <x v="1"/>
    <n v="16520"/>
    <n v="50"/>
    <n v="6.3500000000000001E-2"/>
    <n v="3.1749999999999998"/>
  </r>
  <r>
    <s v="recWChTr4fLXFC542"/>
    <s v="Abalo Beatrice - Kitgum | Orom East | Kipak rwot - Gardener"/>
    <n v="1"/>
    <s v="Melia, Musizi, Gmelina, Ongono, Opok, Senna,"/>
    <d v="2022-09-23T00:00:00"/>
    <s v="Kitgum"/>
    <s v="Orom East"/>
    <n v="412"/>
    <n v="100"/>
    <n v="90"/>
    <n v="55"/>
    <n v="100"/>
    <n v="0"/>
    <n v="2"/>
    <n v="65"/>
    <n v="0"/>
    <n v="0.46179999999999999"/>
    <x v="1"/>
    <x v="1"/>
    <n v="6036"/>
    <n v="40"/>
    <n v="0.46179999999999999"/>
    <n v="18.472000000000001"/>
  </r>
  <r>
    <s v="recZBT1m6winz9piU"/>
    <s v="Abalo Corina - Agago | Kuywe | Kica ber Gardener"/>
    <n v="1"/>
    <s v="Melia,"/>
    <d v="2022-10-05T00:00:00"/>
    <s v="Agago"/>
    <s v="Kuywe"/>
    <n v="30"/>
    <n v="30"/>
    <n v="0"/>
    <n v="0"/>
    <n v="0"/>
    <n v="0"/>
    <n v="0"/>
    <n v="0"/>
    <n v="0"/>
    <n v="3.3000000000000002E-2"/>
    <x v="1"/>
    <x v="1"/>
    <n v="36221"/>
    <n v="63"/>
    <n v="3.3000000000000002E-2"/>
    <n v="2.0790000000000002"/>
  </r>
  <r>
    <s v="recwnMdRgn5p3k0kh"/>
    <s v="Abalo rozina - Agago | Kuywe | Kica ber Gardener"/>
    <n v="1"/>
    <s v="Melia,"/>
    <d v="2022-08-20T00:00:00"/>
    <s v="Agago"/>
    <s v="Kuywe"/>
    <n v="20"/>
    <n v="20"/>
    <n v="0"/>
    <n v="0"/>
    <n v="0"/>
    <n v="0"/>
    <n v="0"/>
    <n v="0"/>
    <n v="0"/>
    <n v="1.15E-2"/>
    <x v="1"/>
    <x v="1"/>
    <n v="15192"/>
    <n v="43"/>
    <n v="1.15E-2"/>
    <n v="0.4945"/>
  </r>
  <r>
    <s v="recwkk3t3LF7L2jKF"/>
    <s v="Abalo Silverina - Agago | Kuywe | Lobo cana Gardener"/>
    <n v="1"/>
    <s v="Melia, Gmelina,"/>
    <d v="2022-05-28T00:00:00"/>
    <s v="Agago"/>
    <s v="Kuywe"/>
    <n v="70"/>
    <n v="40"/>
    <n v="0"/>
    <n v="30"/>
    <n v="0"/>
    <n v="0"/>
    <n v="0"/>
    <n v="0"/>
    <n v="0"/>
    <n v="1.2699999999999999E-2"/>
    <x v="1"/>
    <x v="1"/>
    <n v="33896"/>
    <n v="46"/>
    <n v="5.7000000000000002E-3"/>
    <n v="0.26219999999999999"/>
  </r>
  <r>
    <s v="recwkk3t3LF7L2jKF"/>
    <s v="Abalo Silverina - Agago | Kuywe | Lobo cana Gardener"/>
    <n v="1"/>
    <s v="Melia, Gmelina,"/>
    <d v="2022-05-28T00:00:00"/>
    <s v="Agago"/>
    <s v="Kuywe"/>
    <n v="70"/>
    <n v="40"/>
    <n v="0"/>
    <n v="30"/>
    <n v="0"/>
    <n v="0"/>
    <n v="0"/>
    <n v="0"/>
    <n v="0"/>
    <n v="1.2699999999999999E-2"/>
    <x v="1"/>
    <x v="1"/>
    <n v="33897"/>
    <n v="44"/>
    <n v="7.0000000000000001E-3"/>
    <n v="0.308"/>
  </r>
  <r>
    <s v="recAfFobvG6JTiyUW"/>
    <s v="Abonyo christine - Agago | Kuywe | Lobo cana Gardener"/>
    <n v="1"/>
    <s v="Melia, Gmelina,"/>
    <d v="2022-07-13T00:00:00"/>
    <s v="Agago"/>
    <s v="Kuywe"/>
    <n v="140"/>
    <n v="120"/>
    <n v="0"/>
    <n v="20"/>
    <n v="0"/>
    <n v="0"/>
    <n v="0"/>
    <n v="0"/>
    <n v="0"/>
    <n v="4.5699999999999998E-2"/>
    <x v="1"/>
    <x v="1"/>
    <n v="15192"/>
    <n v="43"/>
    <n v="4.5699999999999998E-2"/>
    <n v="1.9650999999999998"/>
  </r>
  <r>
    <s v="recX2t2B1fDRLdHA5"/>
    <s v="Abonyo Esther - Karenga water user"/>
    <n v="1"/>
    <s v="Melia,"/>
    <d v="2022-08-22T00:00:00"/>
    <s v="Individual Farmer"/>
    <s v="Individual Farmer"/>
    <n v="14"/>
    <n v="14"/>
    <n v="0"/>
    <n v="0"/>
    <n v="0"/>
    <n v="0"/>
    <n v="0"/>
    <n v="0"/>
    <n v="0"/>
    <n v="4.2599999999999999E-2"/>
    <x v="1"/>
    <x v="1"/>
    <n v="15726"/>
    <n v="44"/>
    <n v="4.3099999999999999E-2"/>
    <n v="1.8963999999999999"/>
  </r>
  <r>
    <s v="rec68QSSQFCbr1nqu"/>
    <s v="Abonyo Rebecca - Kitgum | Orom East | Tim tek United Gardener"/>
    <n v="1"/>
    <s v="Melia, Gmelina, Ongono, Faidherbia,"/>
    <d v="2022-08-14T00:00:00"/>
    <s v="Kitgum"/>
    <s v="Orom East"/>
    <n v="150"/>
    <n v="60"/>
    <n v="0"/>
    <n v="30"/>
    <n v="30"/>
    <n v="30"/>
    <n v="0"/>
    <n v="0"/>
    <n v="0"/>
    <n v="8.4599999999999995E-2"/>
    <x v="1"/>
    <x v="1"/>
    <n v="5449"/>
    <n v="34"/>
    <n v="8.4599999999999995E-2"/>
    <n v="2.8763999999999998"/>
  </r>
  <r>
    <s v="recH5DTQD4wtNjcvC"/>
    <s v="Abur Karla - Agago | Lukole | Gang ber ki mon Gardener"/>
    <n v="1"/>
    <s v="Melia, Gmelina,"/>
    <d v="2022-07-14T00:00:00"/>
    <s v="Agago"/>
    <s v="Lukole"/>
    <n v="185"/>
    <n v="150"/>
    <n v="0"/>
    <n v="35"/>
    <n v="0"/>
    <n v="0"/>
    <n v="0"/>
    <n v="0"/>
    <n v="0"/>
    <n v="0.1875"/>
    <x v="1"/>
    <x v="1"/>
    <n v="18634"/>
    <n v="47"/>
    <n v="0.1875"/>
    <n v="8.8125"/>
  </r>
  <r>
    <s v="rec1TNNTPMfmyJ1Pw"/>
    <s v="ABWOL BETTY - DONGO LOBO BER"/>
    <n v="1"/>
    <s v="Melia, Gmelina, Ongono, Senna,"/>
    <d v="2022-08-22T00:00:00"/>
    <s v="Individual Farmer"/>
    <s v="Individual Farmer"/>
    <n v="38"/>
    <n v="5"/>
    <n v="0"/>
    <n v="3"/>
    <n v="16"/>
    <n v="0"/>
    <n v="0"/>
    <n v="14"/>
    <n v="0"/>
    <n v="0.32640000000000002"/>
    <x v="1"/>
    <x v="1"/>
    <n v="5229"/>
    <n v="44"/>
    <n v="0.32640000000000002"/>
    <n v="14.361600000000001"/>
  </r>
  <r>
    <s v="recEg2gw6HvcsyCHN"/>
    <s v="Abwola Stephen - Agago | Kuywe | Ogen rwot Gardener"/>
    <n v="1"/>
    <s v="Melia, Gmelina,"/>
    <d v="2022-09-21T00:00:00"/>
    <s v="Agago"/>
    <s v="Kuywe"/>
    <n v="235"/>
    <n v="150"/>
    <n v="0"/>
    <n v="85"/>
    <n v="0"/>
    <n v="0"/>
    <n v="0"/>
    <n v="0"/>
    <n v="0"/>
    <n v="0.31430000000000002"/>
    <x v="1"/>
    <x v="1"/>
    <n v="14648"/>
    <n v="44"/>
    <n v="0.30549999999999999"/>
    <n v="13.442"/>
  </r>
  <r>
    <s v="recYInL3x6AAqzpmb"/>
    <s v="Acala jackine - Agago | Adilang | Can lit Gardener"/>
    <n v="1"/>
    <s v="Melia, Musizi,"/>
    <d v="2022-09-22T00:00:00"/>
    <s v="Agago"/>
    <s v="Adilang"/>
    <n v="100"/>
    <n v="50"/>
    <n v="50"/>
    <n v="0"/>
    <n v="0"/>
    <n v="0"/>
    <n v="0"/>
    <n v="0"/>
    <n v="0"/>
    <n v="0.15340000000000001"/>
    <x v="1"/>
    <x v="1"/>
    <n v="23132"/>
    <n v="39"/>
    <n v="0.15340000000000001"/>
    <n v="5.9826000000000006"/>
  </r>
  <r>
    <s v="recj55XBPlW3aak9p"/>
    <s v="Acalla Hellen - Akem kwene"/>
    <n v="1"/>
    <s v="Gmelina,"/>
    <d v="2022-08-22T00:00:00"/>
    <s v="Individual Farmer"/>
    <s v="Individual Farmer"/>
    <n v="11"/>
    <n v="0"/>
    <n v="0"/>
    <n v="11"/>
    <n v="0"/>
    <n v="0"/>
    <n v="0"/>
    <n v="0"/>
    <n v="0"/>
    <n v="8.4000000000000005E-2"/>
    <x v="1"/>
    <x v="1"/>
    <n v="17265"/>
    <n v="33"/>
    <n v="8.4000000000000005E-2"/>
    <n v="2.7720000000000002"/>
  </r>
  <r>
    <s v="rec0FSP7YdE1zvVwp"/>
    <s v="Acan berty - Agago | Adilang | Tam piwa Gardener"/>
    <n v="1"/>
    <s v="Melia, Gmelina,"/>
    <d v="2022-08-22T00:00:00"/>
    <s v="Agago"/>
    <s v="Adilang"/>
    <n v="130"/>
    <n v="50"/>
    <n v="0"/>
    <n v="80"/>
    <n v="0"/>
    <n v="0"/>
    <n v="0"/>
    <n v="0"/>
    <n v="0"/>
    <n v="8.5400000000000004E-2"/>
    <x v="1"/>
    <x v="1"/>
    <n v="23496"/>
    <n v="47"/>
    <n v="8.5400000000000004E-2"/>
    <n v="4.0137999999999998"/>
  </r>
  <r>
    <s v="reccu6hxKtYAEf8u4"/>
    <s v="Acan Christine - Agago | Kuywe | Lobo cana Gardener"/>
    <n v="1"/>
    <s v="Melia, Gmelina,"/>
    <d v="2022-06-01T00:00:00"/>
    <s v="Agago"/>
    <s v="Kuywe"/>
    <n v="136"/>
    <n v="130"/>
    <n v="0"/>
    <n v="6"/>
    <n v="0"/>
    <n v="0"/>
    <n v="0"/>
    <n v="0"/>
    <n v="0"/>
    <n v="0.73860000000000003"/>
    <x v="1"/>
    <x v="1"/>
    <n v="34725"/>
    <n v="25"/>
    <n v="0.73860000000000003"/>
    <n v="18.465"/>
  </r>
  <r>
    <s v="recIgpVuTVG8PxMNf"/>
    <s v="Acan Christine - Kitgum | Orom East | Tim tek United Gardener"/>
    <n v="1"/>
    <s v="Melia, Ongono,"/>
    <d v="2022-08-22T00:00:00"/>
    <s v="Kitgum"/>
    <s v="Orom East"/>
    <n v="200"/>
    <n v="150"/>
    <n v="0"/>
    <n v="0"/>
    <n v="50"/>
    <n v="0"/>
    <n v="0"/>
    <n v="0"/>
    <n v="0"/>
    <n v="0.20230000000000001"/>
    <x v="1"/>
    <x v="1"/>
    <n v="5449"/>
    <n v="34"/>
    <n v="0.20230000000000001"/>
    <n v="6.8782000000000005"/>
  </r>
  <r>
    <s v="recEOZnc3IIPjlzj3"/>
    <s v="Acan dorine - Agago | Kuywe | Rubanga tek ki lwak Cam badi Gardener"/>
    <n v="1"/>
    <s v="Melia, Gmelina, Ongono, Senna,"/>
    <d v="2022-08-11T00:00:00"/>
    <s v="Agago"/>
    <s v="Kuywe"/>
    <n v="125"/>
    <n v="40"/>
    <n v="0"/>
    <n v="45"/>
    <n v="20"/>
    <n v="0"/>
    <n v="0"/>
    <n v="20"/>
    <n v="0"/>
    <n v="0.1229"/>
    <x v="1"/>
    <x v="1"/>
    <n v="15013"/>
    <n v="50"/>
    <n v="0.123"/>
    <n v="6.15"/>
  </r>
  <r>
    <s v="rec3uCpX456Dr9c9O"/>
    <s v="Acayo jusphine - Agago | Adilang | Tam piwa Gardener"/>
    <n v="1"/>
    <s v="Melia, Ongono,"/>
    <d v="2022-08-22T00:00:00"/>
    <s v="Agago"/>
    <s v="Adilang"/>
    <n v="150"/>
    <n v="50"/>
    <n v="0"/>
    <n v="0"/>
    <n v="100"/>
    <n v="0"/>
    <n v="0"/>
    <n v="0"/>
    <n v="0"/>
    <n v="4.7E-2"/>
    <x v="1"/>
    <x v="1"/>
    <n v="23497"/>
    <n v="51"/>
    <n v="4.7E-2"/>
    <n v="2.3969999999999998"/>
  </r>
  <r>
    <s v="recTUVitMu7wsxRI5"/>
    <s v="Acayo Alice - Agago | Kuywe | Yub paco ni Gardener"/>
    <n v="1"/>
    <s v="Melia, Musizi, Gmelina,"/>
    <d v="2022-08-22T00:00:00"/>
    <s v="Agago"/>
    <s v="Kuywe"/>
    <n v="64"/>
    <n v="25"/>
    <n v="4"/>
    <n v="35"/>
    <n v="0"/>
    <n v="0"/>
    <n v="0"/>
    <n v="0"/>
    <n v="0"/>
    <n v="0.14099999999999999"/>
    <x v="1"/>
    <x v="1"/>
    <n v="14832"/>
    <n v="45"/>
    <n v="0.14019999999999999"/>
    <n v="6.3089999999999993"/>
  </r>
  <r>
    <s v="recvLTL6iFNZF0awJ"/>
    <s v="Acayo Anjuleta - Agago | Paimol | Cing ki cing - Gardener"/>
    <n v="1"/>
    <s v="Gmelina,"/>
    <d v="2022-09-04T00:00:00"/>
    <s v="Agago"/>
    <s v="Paimol"/>
    <n v="203"/>
    <n v="0"/>
    <n v="0"/>
    <n v="203"/>
    <n v="0"/>
    <n v="0"/>
    <n v="0"/>
    <n v="0"/>
    <n v="0"/>
    <n v="9.3200000000000005E-2"/>
    <x v="1"/>
    <x v="1"/>
    <n v="13961"/>
    <n v="37"/>
    <n v="9.3200000000000005E-2"/>
    <n v="3.4484000000000004"/>
  </r>
  <r>
    <s v="rectyvy1fGWxQSKkj"/>
    <s v="Acayo anjuletta - Agago | Paimol | Cing ki cing - Gardener"/>
    <n v="1"/>
    <s v="Musizi,"/>
    <d v="2022-11-28T00:00:00"/>
    <s v="Agago"/>
    <s v="Paimol"/>
    <n v="83"/>
    <n v="0"/>
    <n v="83"/>
    <n v="0"/>
    <n v="0"/>
    <n v="0"/>
    <n v="0"/>
    <n v="0"/>
    <n v="0"/>
    <n v="0.30980000000000002"/>
    <x v="1"/>
    <x v="1"/>
    <n v="13961"/>
    <n v="37"/>
    <n v="0.30969999999999998"/>
    <n v="11.4589"/>
  </r>
  <r>
    <s v="recF6A7QtpNbQJqk8"/>
    <s v="Acayo fielder - Kitgum | Orom East | Watwero Gardener"/>
    <n v="1"/>
    <s v="Melia, Musizi, Gmelina, Ongono, Senna,"/>
    <d v="2022-08-22T00:00:00"/>
    <s v="Individual Farmer"/>
    <s v="Individual Farmer"/>
    <n v="650"/>
    <n v="250"/>
    <n v="120"/>
    <n v="80"/>
    <n v="100"/>
    <n v="0"/>
    <n v="0"/>
    <n v="100"/>
    <n v="0"/>
    <n v="0.2235"/>
    <x v="1"/>
    <x v="1"/>
    <n v="4871"/>
    <n v="42"/>
    <n v="0.2235"/>
    <n v="9.3870000000000005"/>
  </r>
  <r>
    <s v="recfD5nD6oXL1O6Hm"/>
    <s v="Acayo Fildar - Kitgum | Orom East | Watwero Gardener"/>
    <n v="1"/>
    <s v="Melia, Gmelina, Ongono, Faidherbia, Senna,"/>
    <d v="2022-09-17T00:00:00"/>
    <s v="Individual Farmer"/>
    <s v="Individual Farmer"/>
    <n v="250"/>
    <n v="50"/>
    <n v="0"/>
    <n v="50"/>
    <n v="50"/>
    <n v="50"/>
    <n v="0"/>
    <n v="50"/>
    <n v="0"/>
    <n v="5.2499999999999998E-2"/>
    <x v="1"/>
    <x v="1"/>
    <n v="4492"/>
    <n v="37"/>
    <n v="5.2499999999999998E-2"/>
    <n v="1.9424999999999999"/>
  </r>
  <r>
    <s v="recMsDiOVBm9vkorP"/>
    <s v="Acayo grace - Agago | Lapono | Wagwoko lim Gardener"/>
    <n v="1"/>
    <s v="Melia, Musizi, Gmelina, Ongono,"/>
    <d v="2022-08-22T00:00:00"/>
    <s v="Agago"/>
    <s v="Lapono"/>
    <n v="516"/>
    <n v="200"/>
    <n v="16"/>
    <n v="250"/>
    <n v="50"/>
    <n v="0"/>
    <n v="0"/>
    <n v="0"/>
    <n v="0"/>
    <n v="0.35830000000000001"/>
    <x v="1"/>
    <x v="1"/>
    <n v="16899"/>
    <n v="31"/>
    <n v="0.35830000000000001"/>
    <n v="11.1073"/>
  </r>
  <r>
    <s v="receuIV8GFSBHPpFV"/>
    <s v="acayo Jennifer - Kitgum | Orom East | Atek ki lwak Gardener"/>
    <n v="1"/>
    <s v="Melia, Gmelina, Ongono, Faidherbia, Senna,"/>
    <d v="2022-09-16T00:00:00"/>
    <s v="Individual Farmer"/>
    <s v="Individual Farmer"/>
    <n v="210"/>
    <n v="100"/>
    <n v="0"/>
    <n v="35"/>
    <n v="55"/>
    <n v="5"/>
    <n v="0"/>
    <n v="15"/>
    <n v="0"/>
    <n v="0.159"/>
    <x v="1"/>
    <x v="1"/>
    <n v="4871"/>
    <n v="42"/>
    <n v="0.159"/>
    <n v="6.6779999999999999"/>
  </r>
  <r>
    <s v="recfM8ZWlr5z9cZ17"/>
    <s v="Acayo Margret - Agago | Adilang | Can lit Gardener"/>
    <n v="1"/>
    <s v="Melia, Musizi,"/>
    <d v="2022-10-12T00:00:00"/>
    <s v="Agago"/>
    <s v="Adilang"/>
    <n v="100"/>
    <n v="50"/>
    <n v="50"/>
    <n v="0"/>
    <n v="0"/>
    <n v="0"/>
    <n v="0"/>
    <n v="0"/>
    <n v="0"/>
    <n v="0.1706"/>
    <x v="1"/>
    <x v="1"/>
    <n v="23723"/>
    <n v="38"/>
    <n v="0.1706"/>
    <n v="6.4828000000000001"/>
  </r>
  <r>
    <s v="recMHqkXBN0lbmW7Z"/>
    <s v="Acayo Paul - Agago | Lapono | Wagwoko lim Gardener"/>
    <n v="1"/>
    <s v="Musizi, Gmelina,"/>
    <d v="2022-08-22T00:00:00"/>
    <s v="Agago"/>
    <s v="Lapono"/>
    <n v="65"/>
    <n v="0"/>
    <n v="25"/>
    <n v="40"/>
    <n v="0"/>
    <n v="0"/>
    <n v="0"/>
    <n v="0"/>
    <n v="0"/>
    <n v="3.6200000000000003E-2"/>
    <x v="1"/>
    <x v="1"/>
    <n v="16899"/>
    <n v="31"/>
    <n v="3.6200000000000003E-2"/>
    <n v="1.1222000000000001"/>
  </r>
  <r>
    <s v="recqv9213xExChBjf"/>
    <s v="Acen Alice - Agago | Paimol | Cing ki cing - Gardener"/>
    <n v="1"/>
    <s v="Musizi,"/>
    <d v="2022-08-10T00:00:00"/>
    <s v="Agago"/>
    <s v="Paimol"/>
    <n v="194"/>
    <n v="0"/>
    <n v="194"/>
    <n v="0"/>
    <n v="0"/>
    <n v="0"/>
    <n v="0"/>
    <n v="0"/>
    <n v="0"/>
    <n v="0.248"/>
    <x v="1"/>
    <x v="1"/>
    <n v="13962"/>
    <n v="41"/>
    <n v="0.248"/>
    <n v="10.167999999999999"/>
  </r>
  <r>
    <s v="recuRlpJ0hiNGqvSV"/>
    <s v="Acen Catherine - Peko ma poto atura"/>
    <n v="1"/>
    <s v="Melia, Gmelina, Senna,"/>
    <d v="2022-08-22T00:00:00"/>
    <s v="Individual Farmer"/>
    <s v="Individual Farmer"/>
    <n v="17"/>
    <n v="7"/>
    <n v="0"/>
    <n v="2"/>
    <n v="0"/>
    <n v="0"/>
    <n v="0"/>
    <n v="8"/>
    <n v="0"/>
    <n v="2.6499999999999999E-2"/>
    <x v="1"/>
    <x v="1"/>
    <n v="16892"/>
    <n v="40"/>
    <n v="1.15E-2"/>
    <n v="0.45999999999999996"/>
  </r>
  <r>
    <s v="recuRlpJ0hiNGqvSV"/>
    <s v="Acen Catherine - Peko ma poto atura"/>
    <n v="1"/>
    <s v="Melia, Gmelina, Senna,"/>
    <d v="2022-08-22T00:00:00"/>
    <s v="Individual Farmer"/>
    <s v="Individual Farmer"/>
    <n v="17"/>
    <n v="7"/>
    <n v="0"/>
    <n v="2"/>
    <n v="0"/>
    <n v="0"/>
    <n v="0"/>
    <n v="8"/>
    <n v="0"/>
    <n v="2.6499999999999999E-2"/>
    <x v="1"/>
    <x v="1"/>
    <n v="17308"/>
    <n v="43"/>
    <n v="1.49E-2"/>
    <n v="0.64070000000000005"/>
  </r>
  <r>
    <s v="recMbt2Xy7cv5hlUQ"/>
    <s v="Acen christine - Agago | Lapono | Peko ma poto atura - Gardener"/>
    <n v="1"/>
    <s v="Melia, Gmelina, Lebbek"/>
    <d v="2022-08-22T00:00:00"/>
    <s v="Agago"/>
    <s v="Lapono"/>
    <n v="43"/>
    <n v="21"/>
    <n v="0"/>
    <n v="2"/>
    <n v="0"/>
    <n v="0"/>
    <n v="0"/>
    <n v="0"/>
    <n v="20"/>
    <n v="7.0099999999999996E-2"/>
    <x v="1"/>
    <x v="1"/>
    <n v="16892"/>
    <n v="40"/>
    <n v="7.0099999999999996E-2"/>
    <n v="2.8039999999999998"/>
  </r>
  <r>
    <s v="recL3AwHkY7ahwg55"/>
    <s v="Acen Hellen - Agago | Lapono | Wagwoko lim Gardener"/>
    <n v="1"/>
    <s v="Melia, Gmelina, Ongono, Faidherbia,"/>
    <d v="2022-08-22T00:00:00"/>
    <s v="Agago"/>
    <s v="Lapono"/>
    <n v="438"/>
    <n v="20"/>
    <n v="0"/>
    <n v="60"/>
    <n v="8"/>
    <n v="350"/>
    <n v="0"/>
    <n v="0"/>
    <n v="0"/>
    <n v="0.43219999999999997"/>
    <x v="1"/>
    <x v="1"/>
    <n v="16899"/>
    <n v="31"/>
    <n v="0.43219999999999997"/>
    <n v="13.398199999999999"/>
  </r>
  <r>
    <s v="recNK6h4XNL9Gi0EH"/>
    <s v="Aceng Grace - Peko ma poto atura"/>
    <n v="1"/>
    <s v="Melia, Gmelina, Senna,"/>
    <d v="2022-08-22T00:00:00"/>
    <s v="Individual Farmer"/>
    <s v="Individual Farmer"/>
    <n v="8"/>
    <n v="4"/>
    <n v="0"/>
    <n v="2"/>
    <n v="0"/>
    <n v="0"/>
    <n v="0"/>
    <n v="2"/>
    <n v="0"/>
    <n v="8.3000000000000001E-3"/>
    <x v="1"/>
    <x v="1"/>
    <n v="16892"/>
    <n v="40"/>
    <n v="8.3000000000000001E-3"/>
    <n v="0.33200000000000002"/>
  </r>
  <r>
    <s v="rec8vJAPapopZsgC3"/>
    <s v="Aceng Irene - Kitgum | Orom East | Watwero Gardener"/>
    <n v="1"/>
    <s v="Melia, Musizi, Gmelina, Faidherbia, Senna,"/>
    <d v="2022-09-20T00:00:00"/>
    <s v="Individual Farmer"/>
    <s v="Individual Farmer"/>
    <n v="310"/>
    <n v="100"/>
    <n v="60"/>
    <n v="50"/>
    <n v="0"/>
    <n v="50"/>
    <n v="0"/>
    <n v="50"/>
    <n v="0"/>
    <n v="0.3921"/>
    <x v="1"/>
    <x v="1"/>
    <n v="4308"/>
    <n v="37"/>
    <n v="0.3921"/>
    <n v="14.5077"/>
  </r>
  <r>
    <s v="rec4z4UymNIRAUjPH"/>
    <s v="Aceng Stella - Agago | Patongo | God the provider Gardener"/>
    <n v="1"/>
    <s v="Melia, Musizi, Gmelina, Senna,"/>
    <d v="2022-05-18T00:00:00"/>
    <s v="Agago"/>
    <s v="Patongo"/>
    <n v="100"/>
    <n v="30"/>
    <n v="20"/>
    <n v="30"/>
    <n v="0"/>
    <n v="0"/>
    <n v="0"/>
    <n v="20"/>
    <n v="0"/>
    <n v="0.1946"/>
    <x v="1"/>
    <x v="1"/>
    <n v="23544"/>
    <n v="41"/>
    <n v="0.1946"/>
    <n v="7.9786000000000001"/>
  </r>
  <r>
    <s v="recGQu3JPLxTZQgk0"/>
    <s v="Acida Betty - Kitgum | Orom East | Waryemo Can Gardener"/>
    <n v="1"/>
    <s v="Melia, Gmelina, Faidherbia, Senna,"/>
    <d v="2022-08-22T00:00:00"/>
    <s v="Individual Farmer"/>
    <s v="Individual Farmer"/>
    <n v="389"/>
    <n v="100"/>
    <n v="0"/>
    <n v="39"/>
    <n v="0"/>
    <n v="200"/>
    <n v="0"/>
    <n v="50"/>
    <n v="0"/>
    <n v="1.3100000000000001E-2"/>
    <x v="1"/>
    <x v="1"/>
    <n v="5053"/>
    <n v="41"/>
    <n v="1.3100000000000001E-2"/>
    <n v="0.53710000000000002"/>
  </r>
  <r>
    <s v="recVUGJ6BQSK8xK8v"/>
    <s v="Aciro Holgar - Agago | Lapono | Onen kuc Gardener"/>
    <n v="1"/>
    <s v="Melia, Gmelina,"/>
    <d v="2022-09-16T00:00:00"/>
    <s v="Agago"/>
    <s v="Lapono"/>
    <n v="30"/>
    <n v="15"/>
    <n v="0"/>
    <n v="15"/>
    <n v="0"/>
    <n v="0"/>
    <n v="0"/>
    <n v="0"/>
    <n v="0"/>
    <n v="0.3201"/>
    <x v="1"/>
    <x v="1"/>
    <n v="14116"/>
    <n v="40"/>
    <n v="0.31990000000000002"/>
    <n v="12.796000000000001"/>
  </r>
  <r>
    <s v="reczi2eHdG81Z3sNE"/>
    <s v="Aciro Vicky - Kitgum | Orom East | Atek ki lwak - Gardener"/>
    <n v="1"/>
    <s v="Melia, Gmelina, Ongono, Faidherbia, Senna,"/>
    <d v="2022-09-12T00:00:00"/>
    <s v="Kitgum"/>
    <s v="Orom East"/>
    <n v="379"/>
    <n v="100"/>
    <n v="0"/>
    <n v="29"/>
    <n v="50"/>
    <n v="150"/>
    <n v="0"/>
    <n v="50"/>
    <n v="0"/>
    <n v="6.1499999999999999E-2"/>
    <x v="1"/>
    <x v="1"/>
    <n v="4871"/>
    <n v="42"/>
    <n v="6.1499999999999999E-2"/>
    <n v="2.5830000000000002"/>
  </r>
  <r>
    <s v="reczCF7vEP9O6z36U"/>
    <s v="Adiri Yakobo - Agago | Lukole | Ripe Gardener"/>
    <n v="1"/>
    <s v="Melia, Gmelina, Senna,"/>
    <d v="2022-08-22T00:00:00"/>
    <s v="Agago"/>
    <s v="Lukole"/>
    <n v="220"/>
    <n v="107"/>
    <n v="0"/>
    <n v="10"/>
    <n v="0"/>
    <n v="0"/>
    <n v="0"/>
    <n v="103"/>
    <n v="0"/>
    <n v="0.35599999999999998"/>
    <x v="1"/>
    <x v="1"/>
    <n v="19235"/>
    <n v="45"/>
    <n v="0.35599999999999998"/>
    <n v="16.02"/>
  </r>
  <r>
    <s v="rec7TFE673H7DX8xr"/>
    <s v="Adoc betty - Agago | Lira - Palwo | Nen ki wangi Gardener"/>
    <n v="1"/>
    <s v="Melia, Gmelina, Lebbek"/>
    <d v="2022-08-19T00:00:00"/>
    <s v="Agago"/>
    <s v="Lira - Palwo"/>
    <n v="330"/>
    <n v="197"/>
    <n v="0"/>
    <n v="25"/>
    <n v="0"/>
    <n v="0"/>
    <n v="0"/>
    <n v="0"/>
    <n v="108"/>
    <n v="0.34420000000000001"/>
    <x v="1"/>
    <x v="1"/>
    <n v="21547"/>
    <n v="40"/>
    <n v="0.34420000000000001"/>
    <n v="13.768000000000001"/>
  </r>
  <r>
    <s v="recIg2MBX7RNGN7Mg"/>
    <s v="Adong Christine - Agago | Adilang | Tam piwa Gardener"/>
    <n v="1"/>
    <s v="Melia, Gmelina,"/>
    <d v="2022-08-22T00:00:00"/>
    <s v="Agago"/>
    <s v="Adilang"/>
    <n v="100"/>
    <n v="50"/>
    <n v="0"/>
    <n v="50"/>
    <n v="0"/>
    <n v="0"/>
    <n v="0"/>
    <n v="0"/>
    <n v="0"/>
    <n v="4.1300000000000003E-2"/>
    <x v="1"/>
    <x v="1"/>
    <n v="23496"/>
    <n v="47"/>
    <n v="4.1300000000000003E-2"/>
    <n v="1.9411"/>
  </r>
  <r>
    <s v="reclqiqZQDzA1zBrH"/>
    <s v="Adong Camila - Agago | Lapono | Onen kuc Gardener"/>
    <n v="1"/>
    <s v="Melia, Gmelina,"/>
    <d v="2022-09-24T00:00:00"/>
    <s v="Agago"/>
    <s v="Lapono"/>
    <n v="30"/>
    <n v="15"/>
    <n v="0"/>
    <n v="15"/>
    <n v="0"/>
    <n v="0"/>
    <n v="0"/>
    <n v="0"/>
    <n v="0"/>
    <n v="0.114"/>
    <x v="1"/>
    <x v="1"/>
    <n v="22057"/>
    <n v="44"/>
    <n v="0.114"/>
    <n v="5.016"/>
  </r>
  <r>
    <s v="recCsjrcR3JE8kwZU"/>
    <s v="Adong Grace - Agago | Lapono | Akem kwene farmer's group Gardener"/>
    <n v="1"/>
    <s v="Melia, Musizi, Gmelina,"/>
    <d v="2022-08-22T00:00:00"/>
    <s v="Agago"/>
    <s v="Lapono"/>
    <n v="108"/>
    <n v="45"/>
    <n v="3"/>
    <n v="60"/>
    <n v="0"/>
    <n v="0"/>
    <n v="0"/>
    <n v="0"/>
    <n v="0"/>
    <n v="2.7699999999999999E-2"/>
    <x v="1"/>
    <x v="1"/>
    <n v="17265"/>
    <n v="33"/>
    <n v="2.7699999999999999E-2"/>
    <n v="0.91409999999999991"/>
  </r>
  <r>
    <s v="recOCA7Im5odMgTyX"/>
    <s v="Adong Grace - Agago | Lapono | Onen kuc Gardener"/>
    <n v="1"/>
    <s v="Melia, Gmelina,"/>
    <d v="2022-09-30T00:00:00"/>
    <s v="Agago"/>
    <s v="Lapono"/>
    <n v="30"/>
    <n v="15"/>
    <n v="0"/>
    <n v="15"/>
    <n v="0"/>
    <n v="0"/>
    <n v="0"/>
    <n v="0"/>
    <n v="0"/>
    <n v="7.4999999999999997E-3"/>
    <x v="1"/>
    <x v="1"/>
    <n v="22926"/>
    <n v="43"/>
    <n v="7.4999999999999997E-3"/>
    <n v="0.32250000000000001"/>
  </r>
  <r>
    <s v="recVg0TlN8HTqPpaE"/>
    <s v="Adong Jennet - Agago | Lapono | Onen kuc Gardener"/>
    <n v="1"/>
    <s v="Melia, Gmelina,"/>
    <d v="2022-10-15T00:00:00"/>
    <s v="Agago"/>
    <s v="Lapono"/>
    <n v="70"/>
    <n v="50"/>
    <n v="0"/>
    <n v="20"/>
    <n v="0"/>
    <n v="0"/>
    <n v="0"/>
    <n v="0"/>
    <n v="0"/>
    <n v="0.25779999999999997"/>
    <x v="1"/>
    <x v="1"/>
    <n v="13961"/>
    <n v="37"/>
    <n v="0.25779999999999997"/>
    <n v="9.5385999999999989"/>
  </r>
  <r>
    <s v="recXvBiL4GNd7ZPf9"/>
    <s v="Adong Lucy - Kitgum | Orom East | Watwero Gardener"/>
    <n v="1"/>
    <s v="Melia, Gmelina, Ongono, Faidherbia, Senna,"/>
    <d v="2022-07-31T00:00:00"/>
    <s v="Kitgum"/>
    <s v="Orom East"/>
    <n v="90"/>
    <n v="10"/>
    <n v="0"/>
    <n v="50"/>
    <n v="10"/>
    <n v="10"/>
    <n v="0"/>
    <n v="10"/>
    <n v="0"/>
    <n v="1.5E-3"/>
    <x v="1"/>
    <x v="1"/>
    <n v="4689"/>
    <n v="41"/>
    <n v="1.5E-3"/>
    <n v="6.1499999999999999E-2"/>
  </r>
  <r>
    <s v="recOC5Il5vlublXLh"/>
    <s v="Adong Nighty - Agago | Lapono | Onen kuc Gardener"/>
    <n v="1"/>
    <s v="Melia, Gmelina,"/>
    <d v="2022-08-20T00:00:00"/>
    <s v="Agago"/>
    <s v="Lapono"/>
    <n v="70"/>
    <n v="50"/>
    <n v="0"/>
    <n v="20"/>
    <n v="0"/>
    <n v="0"/>
    <n v="0"/>
    <n v="0"/>
    <n v="0"/>
    <n v="0.13550000000000001"/>
    <x v="1"/>
    <x v="1"/>
    <n v="28307"/>
    <n v="38"/>
    <n v="0.13550000000000001"/>
    <n v="5.149"/>
  </r>
  <r>
    <s v="rec0jFyXQd0Zim0HF"/>
    <s v="Adong Scovia - Omoro | Lalogi | Mak mukemi Gardener"/>
    <n v="1"/>
    <s v="Melia,"/>
    <d v="2022-06-14T00:00:00"/>
    <s v="Omoro"/>
    <s v="Lalogi"/>
    <n v="35"/>
    <n v="35"/>
    <n v="0"/>
    <n v="0"/>
    <n v="0"/>
    <n v="0"/>
    <n v="0"/>
    <n v="0"/>
    <n v="0"/>
    <n v="0.13089999999999999"/>
    <x v="1"/>
    <x v="1"/>
    <n v="14832"/>
    <n v="45"/>
    <n v="0.13150000000000001"/>
    <n v="5.9175000000000004"/>
  </r>
  <r>
    <s v="recT5iKFbPxf4ek3M"/>
    <s v="Adong Vicky - Kitgum | Orom East | Dongo Lobo ber - Gardener"/>
    <n v="1"/>
    <s v="Melia, Gmelina, Ongono, Faidherbia, Senna, Lebbek"/>
    <d v="2022-09-05T00:00:00"/>
    <s v="Kitgum"/>
    <s v="Orom East"/>
    <n v="260"/>
    <n v="50"/>
    <n v="0"/>
    <n v="30"/>
    <n v="50"/>
    <n v="50"/>
    <n v="0"/>
    <n v="50"/>
    <n v="30"/>
    <n v="4.19E-2"/>
    <x v="1"/>
    <x v="1"/>
    <n v="5229"/>
    <n v="44"/>
    <n v="4.19E-2"/>
    <n v="1.8435999999999999"/>
  </r>
  <r>
    <s v="recM0sFwhoeXEyMCI"/>
    <s v="Adongo stella - Agago | Patongo | God the provider Gardener"/>
    <n v="1"/>
    <s v="Melia, Musizi, Gmelina, Ongono, Senna,"/>
    <d v="2022-07-07T00:00:00"/>
    <s v="Agago"/>
    <s v="Patongo"/>
    <n v="355"/>
    <n v="50"/>
    <n v="30"/>
    <n v="120"/>
    <n v="125"/>
    <n v="0"/>
    <n v="0"/>
    <n v="30"/>
    <n v="0"/>
    <n v="1.0241"/>
    <x v="1"/>
    <x v="1"/>
    <n v="23110"/>
    <n v="39"/>
    <n v="0.32819999999999999"/>
    <n v="12.799799999999999"/>
  </r>
  <r>
    <s v="recM0sFwhoeXEyMCI"/>
    <s v="Adongo stella - Agago | Patongo | God the provider Gardener"/>
    <n v="1"/>
    <s v="Melia, Musizi, Gmelina, Ongono, Senna,"/>
    <d v="2022-07-07T00:00:00"/>
    <s v="Agago"/>
    <s v="Patongo"/>
    <n v="355"/>
    <n v="50"/>
    <n v="30"/>
    <n v="120"/>
    <n v="125"/>
    <n v="0"/>
    <n v="0"/>
    <n v="30"/>
    <n v="0"/>
    <n v="1.0241"/>
    <x v="1"/>
    <x v="1"/>
    <n v="23303"/>
    <n v="38"/>
    <n v="2.6599999999999999E-2"/>
    <n v="1.0107999999999999"/>
  </r>
  <r>
    <s v="recM0sFwhoeXEyMCI"/>
    <s v="Adongo stella - Agago | Patongo | God the provider Gardener"/>
    <n v="1"/>
    <s v="Melia, Musizi, Gmelina, Ongono, Senna,"/>
    <d v="2022-07-07T00:00:00"/>
    <s v="Agago"/>
    <s v="Patongo"/>
    <n v="355"/>
    <n v="50"/>
    <n v="30"/>
    <n v="120"/>
    <n v="125"/>
    <n v="0"/>
    <n v="0"/>
    <n v="30"/>
    <n v="0"/>
    <n v="1.0241"/>
    <x v="1"/>
    <x v="1"/>
    <n v="23544"/>
    <n v="41"/>
    <n v="0.66930000000000001"/>
    <n v="27.441300000000002"/>
  </r>
  <r>
    <s v="recaPNGZBLFVaaJQY"/>
    <s v="Adui James - Tim tek United"/>
    <n v="1"/>
    <s v="Melia,"/>
    <d v="2022-08-22T00:00:00"/>
    <s v="Individual Farmer"/>
    <s v="Individual Farmer"/>
    <n v="6"/>
    <n v="6"/>
    <n v="0"/>
    <n v="0"/>
    <n v="0"/>
    <n v="0"/>
    <n v="0"/>
    <n v="0"/>
    <n v="0"/>
    <n v="8.9599999999999999E-2"/>
    <x v="1"/>
    <x v="1"/>
    <n v="5052"/>
    <n v="42"/>
    <n v="8.9599999999999999E-2"/>
    <n v="3.7631999999999999"/>
  </r>
  <r>
    <s v="rec49Td3FKSXp2TUG"/>
    <s v="Adwar Josephine - Agago | Lapono | Karenga water user's association Gardener"/>
    <n v="1"/>
    <s v="Melia, Gmelina,"/>
    <d v="2022-07-15T00:00:00"/>
    <s v="Agago"/>
    <s v="Lapono"/>
    <n v="125"/>
    <n v="90"/>
    <n v="0"/>
    <n v="35"/>
    <n v="0"/>
    <n v="0"/>
    <n v="0"/>
    <n v="0"/>
    <n v="0"/>
    <n v="6.9900000000000004E-2"/>
    <x v="1"/>
    <x v="1"/>
    <n v="16142"/>
    <n v="46"/>
    <n v="6.9900000000000004E-2"/>
    <n v="3.2154000000000003"/>
  </r>
  <r>
    <s v="recPlpXJIUJX7iO17"/>
    <s v="Agwate Williams - Kitgum | Orom East | Ribe aye lonyo - Gardener"/>
    <n v="1"/>
    <s v="Melia, Faidherbia, Senna,"/>
    <d v="2022-09-29T00:00:00"/>
    <s v="Kitgum"/>
    <s v="Orom East"/>
    <n v="1752"/>
    <n v="200"/>
    <n v="0"/>
    <n v="0"/>
    <n v="0"/>
    <n v="1502"/>
    <n v="0"/>
    <n v="50"/>
    <n v="0"/>
    <n v="0.21579999999999999"/>
    <x v="1"/>
    <x v="1"/>
    <n v="5053"/>
    <n v="41"/>
    <n v="0.21579999999999999"/>
    <n v="8.8477999999999994"/>
  </r>
  <r>
    <s v="recWOqIBSXumGkG9p"/>
    <s v="Agwec Paska - Agago | Kuywe | Tam pi Anyim Gardener"/>
    <n v="1"/>
    <s v="Melia, Gmelina, Senna,"/>
    <d v="2022-08-26T00:00:00"/>
    <s v="Agago"/>
    <s v="Kuywe"/>
    <n v="100"/>
    <n v="30"/>
    <n v="0"/>
    <n v="40"/>
    <n v="0"/>
    <n v="0"/>
    <n v="0"/>
    <n v="30"/>
    <n v="0"/>
    <n v="6.3600000000000004E-2"/>
    <x v="1"/>
    <x v="1"/>
    <n v="36814"/>
    <n v="57"/>
    <n v="6.3600000000000004E-2"/>
    <n v="3.6252000000000004"/>
  </r>
  <r>
    <s v="recmXZQYnSQ7uhCMx"/>
    <s v="Ajok Miriam - Karenga water user kaket"/>
    <n v="1"/>
    <s v="Melia, Gmelina,"/>
    <d v="2022-08-22T00:00:00"/>
    <s v="Individual Farmer"/>
    <s v="Individual Farmer"/>
    <n v="21"/>
    <n v="8"/>
    <n v="0"/>
    <n v="13"/>
    <n v="0"/>
    <n v="0"/>
    <n v="0"/>
    <n v="0"/>
    <n v="0"/>
    <n v="5.3499999999999999E-2"/>
    <x v="1"/>
    <x v="1"/>
    <n v="16142"/>
    <n v="46"/>
    <n v="5.3499999999999999E-2"/>
    <n v="2.4609999999999999"/>
  </r>
  <r>
    <s v="recDn2WKGqmNqSw7B"/>
    <s v="Ajok Rose Odong - Agago | Lira - Palwo | Nen ki wangi Gardener"/>
    <n v="1"/>
    <s v="Melia, Musizi, Gmelina, Ongono, Faidherbia,"/>
    <d v="2022-08-22T00:00:00"/>
    <s v="Agago"/>
    <s v="Lira - Palwo"/>
    <n v="172"/>
    <n v="92"/>
    <n v="5"/>
    <n v="25"/>
    <n v="25"/>
    <n v="25"/>
    <n v="0"/>
    <n v="0"/>
    <n v="0"/>
    <n v="7.3700000000000002E-2"/>
    <x v="1"/>
    <x v="1"/>
    <n v="21729"/>
    <n v="38"/>
    <n v="2.06E-2"/>
    <n v="0.78280000000000005"/>
  </r>
  <r>
    <s v="recDn2WKGqmNqSw7B"/>
    <s v="Ajok Rose Odong - Agago | Lira - Palwo | Nen ki wangi Gardener"/>
    <n v="1"/>
    <s v="Melia, Musizi, Gmelina, Ongono, Faidherbia,"/>
    <d v="2022-08-22T00:00:00"/>
    <s v="Agago"/>
    <s v="Lira - Palwo"/>
    <n v="172"/>
    <n v="92"/>
    <n v="5"/>
    <n v="25"/>
    <n v="25"/>
    <n v="25"/>
    <n v="0"/>
    <n v="0"/>
    <n v="0"/>
    <n v="7.3700000000000002E-2"/>
    <x v="1"/>
    <x v="1"/>
    <n v="21730"/>
    <n v="41"/>
    <n v="5.3100000000000001E-2"/>
    <n v="2.1771000000000003"/>
  </r>
  <r>
    <s v="recDfTi2Q9fWk4RcH"/>
    <s v="Akanyo estar - Agago | Kuywe | Ogen rwot Gardener"/>
    <n v="1"/>
    <s v="Melia, Musizi, Gmelina, Senna,"/>
    <d v="2022-08-10T00:00:00"/>
    <s v="Agago"/>
    <s v="Kuywe"/>
    <n v="186"/>
    <n v="62"/>
    <n v="4"/>
    <n v="60"/>
    <n v="0"/>
    <n v="0"/>
    <n v="0"/>
    <n v="60"/>
    <n v="0"/>
    <n v="0.51939999999999997"/>
    <x v="1"/>
    <x v="1"/>
    <n v="14477"/>
    <n v="48"/>
    <n v="0.51939999999999997"/>
    <n v="24.931199999999997"/>
  </r>
  <r>
    <s v="recxcVezhoAgkf9Gh"/>
    <s v="Akanyo Jennifer - Agago | Paimol | Rubanga tek women's group - Gardener"/>
    <n v="1"/>
    <s v="Gmelina, Faidherbia,"/>
    <d v="2022-05-12T00:00:00"/>
    <s v="Agago"/>
    <s v="Paimol"/>
    <n v="50"/>
    <n v="0"/>
    <n v="0"/>
    <n v="25"/>
    <n v="0"/>
    <n v="25"/>
    <n v="0"/>
    <n v="0"/>
    <n v="0"/>
    <n v="0.4632"/>
    <x v="1"/>
    <x v="1"/>
    <n v="14477"/>
    <n v="48"/>
    <n v="0.4632"/>
    <n v="22.233599999999999"/>
  </r>
  <r>
    <s v="recO3Ybwe8JWK3M4N"/>
    <s v="Akech Catherine - Akech Catherine"/>
    <n v="1"/>
    <s v="Melia, Gmelina, Ongono,"/>
    <d v="2022-08-22T00:00:00"/>
    <s v="Individual Farmer"/>
    <s v="Individual Farmer"/>
    <n v="38"/>
    <n v="30"/>
    <n v="0"/>
    <n v="1"/>
    <n v="7"/>
    <n v="0"/>
    <n v="0"/>
    <n v="0"/>
    <n v="0"/>
    <n v="5.5199999999999999E-2"/>
    <x v="1"/>
    <x v="1"/>
    <n v="16142"/>
    <n v="46"/>
    <n v="5.5199999999999999E-2"/>
    <n v="2.5392000000000001"/>
  </r>
  <r>
    <s v="rechXClGeRB0ttIES"/>
    <s v="Akech Sunday - Karenga water user kaket"/>
    <n v="1"/>
    <s v="Melia,"/>
    <d v="2022-08-22T00:00:00"/>
    <s v="Individual Farmer"/>
    <s v="Individual Farmer"/>
    <n v="2"/>
    <n v="2"/>
    <n v="0"/>
    <n v="0"/>
    <n v="0"/>
    <n v="0"/>
    <n v="0"/>
    <n v="0"/>
    <n v="0"/>
    <n v="0.13220000000000001"/>
    <x v="1"/>
    <x v="1"/>
    <n v="15947"/>
    <n v="36"/>
    <n v="3.9E-2"/>
    <n v="1.4039999999999999"/>
  </r>
  <r>
    <s v="rechXClGeRB0ttIES"/>
    <s v="Akech Sunday - Karenga water user kaket"/>
    <n v="1"/>
    <s v="Melia,"/>
    <d v="2022-08-22T00:00:00"/>
    <s v="Individual Farmer"/>
    <s v="Individual Farmer"/>
    <n v="2"/>
    <n v="2"/>
    <n v="0"/>
    <n v="0"/>
    <n v="0"/>
    <n v="0"/>
    <n v="0"/>
    <n v="0"/>
    <n v="0"/>
    <n v="0.13220000000000001"/>
    <x v="1"/>
    <x v="1"/>
    <n v="16141"/>
    <n v="43"/>
    <n v="9.3200000000000005E-2"/>
    <n v="4.0076000000000001"/>
  </r>
  <r>
    <s v="recG47mbOyhHhkyXE"/>
    <s v="Akech jasinta - Agago | Kuywe | Kica ber Gardener"/>
    <n v="1"/>
    <s v="Melia,"/>
    <d v="2022-09-20T00:00:00"/>
    <s v="Agago"/>
    <s v="Kuywe"/>
    <n v="9"/>
    <n v="9"/>
    <n v="0"/>
    <n v="0"/>
    <n v="0"/>
    <n v="0"/>
    <n v="0"/>
    <n v="0"/>
    <n v="0"/>
    <n v="2.63E-2"/>
    <x v="1"/>
    <x v="1"/>
    <n v="14832"/>
    <n v="45"/>
    <n v="2.63E-2"/>
    <n v="1.1835"/>
  </r>
  <r>
    <s v="rechijIct1XlYkCxn"/>
    <s v="Akech Silver - Karenga water user"/>
    <n v="1"/>
    <s v="Melia, Gmelina,"/>
    <d v="2022-08-22T00:00:00"/>
    <s v="Individual Farmer"/>
    <s v="Individual Farmer"/>
    <n v="41"/>
    <n v="35"/>
    <n v="0"/>
    <n v="6"/>
    <n v="0"/>
    <n v="0"/>
    <n v="0"/>
    <n v="0"/>
    <n v="0"/>
    <n v="6.5799999999999997E-2"/>
    <x v="1"/>
    <x v="1"/>
    <n v="16142"/>
    <n v="46"/>
    <n v="6.5799999999999997E-2"/>
    <n v="3.0267999999999997"/>
  </r>
  <r>
    <s v="recjO7GL3ha1bYjsj"/>
    <s v="Akech Ventorina - Agago | Lapono | Onen kuc Gardener"/>
    <n v="1"/>
    <s v="Melia, Musizi, Gmelina,"/>
    <d v="2022-09-24T00:00:00"/>
    <s v="Agago"/>
    <s v="Lapono"/>
    <n v="45"/>
    <n v="25"/>
    <n v="5"/>
    <n v="15"/>
    <n v="0"/>
    <n v="0"/>
    <n v="0"/>
    <n v="0"/>
    <n v="0"/>
    <n v="0.16120000000000001"/>
    <x v="1"/>
    <x v="1"/>
    <n v="14475"/>
    <n v="46"/>
    <n v="0.16120000000000001"/>
    <n v="7.4152000000000005"/>
  </r>
  <r>
    <s v="recGnrhzRXbzc7hk7"/>
    <s v="Akello allen - Agago | Adilang | Tam piwa Gardener"/>
    <n v="1"/>
    <s v="Melia, Gmelina, Ongono,"/>
    <d v="2022-08-22T00:00:00"/>
    <s v="Agago"/>
    <s v="Adilang"/>
    <n v="200"/>
    <n v="50"/>
    <n v="0"/>
    <n v="50"/>
    <n v="100"/>
    <n v="0"/>
    <n v="0"/>
    <n v="0"/>
    <n v="0"/>
    <n v="3.7199999999999997E-2"/>
    <x v="1"/>
    <x v="1"/>
    <n v="23496"/>
    <n v="47"/>
    <n v="3.7199999999999997E-2"/>
    <n v="1.7484"/>
  </r>
  <r>
    <s v="rec7H9ymlwC3p5ans"/>
    <s v="Akello Angness - Agago | Kuywe | Tam pi Anyim Gardener"/>
    <n v="1"/>
    <s v="Melia, Gmelina,"/>
    <d v="2022-05-21T00:00:00"/>
    <s v="Agago"/>
    <s v="Kuywe"/>
    <n v="70"/>
    <n v="30"/>
    <n v="0"/>
    <n v="40"/>
    <n v="0"/>
    <n v="0"/>
    <n v="0"/>
    <n v="0"/>
    <n v="0"/>
    <n v="1.37E-2"/>
    <x v="1"/>
    <x v="1"/>
    <n v="35866"/>
    <n v="46"/>
    <n v="1.37E-2"/>
    <n v="0.63019999999999998"/>
  </r>
  <r>
    <s v="rec1PIMiBoqageEJT"/>
    <s v="Akello Betty - Agago | Lapono | Onen kuc Gardener"/>
    <n v="1"/>
    <s v="Melia, Gmelina,"/>
    <d v="2022-09-24T00:00:00"/>
    <s v="Agago"/>
    <s v="Lapono"/>
    <n v="30"/>
    <n v="15"/>
    <n v="0"/>
    <n v="15"/>
    <n v="0"/>
    <n v="0"/>
    <n v="0"/>
    <n v="0"/>
    <n v="0"/>
    <n v="0.29120000000000001"/>
    <x v="1"/>
    <x v="1"/>
    <n v="28809"/>
    <n v="38"/>
    <n v="0.29120000000000001"/>
    <n v="11.0656"/>
  </r>
  <r>
    <s v="recB6OZXvtPHBtwC7"/>
    <s v="Akello betty - Agago | Lukole | Alwee trees Gardener"/>
    <n v="1"/>
    <s v="Melia,"/>
    <d v="2022-08-22T00:00:00"/>
    <s v="Agago"/>
    <s v="Lukole"/>
    <n v="150"/>
    <n v="150"/>
    <n v="0"/>
    <n v="0"/>
    <n v="0"/>
    <n v="0"/>
    <n v="0"/>
    <n v="0"/>
    <n v="0"/>
    <n v="0.1782"/>
    <x v="1"/>
    <x v="1"/>
    <n v="22345"/>
    <n v="39"/>
    <n v="0.1782"/>
    <n v="6.9497999999999998"/>
  </r>
  <r>
    <s v="recZJMuT2qu5GvEPA"/>
    <s v="Akello Florence - Odong Mon"/>
    <n v="1"/>
    <s v="Melia, Gmelina, Opok, Senna,"/>
    <d v="2022-08-22T00:00:00"/>
    <s v="Individual Farmer"/>
    <s v="Individual Farmer"/>
    <n v="15"/>
    <n v="6"/>
    <n v="0"/>
    <n v="2"/>
    <n v="0"/>
    <n v="0"/>
    <n v="1"/>
    <n v="6"/>
    <n v="0"/>
    <n v="1.4800000000000001E-2"/>
    <x v="1"/>
    <x v="1"/>
    <n v="16713"/>
    <n v="42"/>
    <n v="1.4800000000000001E-2"/>
    <n v="0.62160000000000004"/>
  </r>
  <r>
    <s v="reckYbPHa1s8QlceL"/>
    <s v="Akello gladish - Agago | | Individual Farmer Gardener"/>
    <n v="1"/>
    <s v="Melia, Senna,"/>
    <d v="2022-10-15T00:00:00"/>
    <s v="Agago"/>
    <s v="Individual Farmer"/>
    <n v="150"/>
    <n v="120"/>
    <n v="0"/>
    <n v="0"/>
    <n v="0"/>
    <n v="0"/>
    <n v="0"/>
    <n v="30"/>
    <n v="0"/>
    <n v="0.2344"/>
    <x v="1"/>
    <x v="1"/>
    <n v="14477"/>
    <n v="48"/>
    <n v="0.2344"/>
    <n v="11.251200000000001"/>
  </r>
  <r>
    <s v="recUYaHFPmOnwLKGK"/>
    <s v="Akello Margret - Agago | Kuywe | Lobo cana Gardener"/>
    <n v="1"/>
    <s v="Melia, Gmelina,"/>
    <d v="2022-05-28T00:00:00"/>
    <s v="Agago"/>
    <s v="Kuywe"/>
    <n v="120"/>
    <n v="100"/>
    <n v="0"/>
    <n v="20"/>
    <n v="0"/>
    <n v="0"/>
    <n v="0"/>
    <n v="0"/>
    <n v="0"/>
    <n v="0.1085"/>
    <x v="1"/>
    <x v="1"/>
    <n v="14832"/>
    <n v="45"/>
    <n v="0.1085"/>
    <n v="4.8825000000000003"/>
  </r>
  <r>
    <s v="recUGJ1nO8JZOsJOR"/>
    <s v="Akello Monica - Rwot ngeo"/>
    <n v="1"/>
    <s v="Melia, Opok,"/>
    <d v="2022-08-22T00:00:00"/>
    <s v="Individual Farmer"/>
    <s v="Individual Farmer"/>
    <n v="26"/>
    <n v="25"/>
    <n v="0"/>
    <n v="0"/>
    <n v="0"/>
    <n v="0"/>
    <n v="1"/>
    <n v="0"/>
    <n v="0"/>
    <n v="9.3600000000000003E-2"/>
    <x v="1"/>
    <x v="1"/>
    <n v="22863"/>
    <n v="47"/>
    <n v="9.3600000000000003E-2"/>
    <n v="4.3992000000000004"/>
  </r>
  <r>
    <s v="rechyhQixh9LExhtY"/>
    <s v="Akello Paska - Agago | Lira - Palwo | Rippe aye teko Gardener"/>
    <n v="1"/>
    <s v="Melia,"/>
    <d v="2022-10-16T00:00:00"/>
    <s v="Agago"/>
    <s v="Lira - Palwo"/>
    <n v="36"/>
    <n v="36"/>
    <n v="0"/>
    <n v="0"/>
    <n v="0"/>
    <n v="0"/>
    <n v="0"/>
    <n v="0"/>
    <n v="0"/>
    <n v="0.1026"/>
    <x v="1"/>
    <x v="1"/>
    <n v="34662"/>
    <n v="44"/>
    <n v="0.1026"/>
    <n v="4.5144000000000002"/>
  </r>
  <r>
    <s v="rechnyvXKEB85eYHS"/>
    <s v="Akello Rebecca - Agago | Lapono | Onen kuc Gardener"/>
    <n v="1"/>
    <s v="Melia,"/>
    <d v="2022-08-22T00:00:00"/>
    <s v="Individual Farmer"/>
    <s v="Individual Farmer"/>
    <n v="4"/>
    <n v="4"/>
    <n v="0"/>
    <n v="0"/>
    <n v="0"/>
    <n v="0"/>
    <n v="0"/>
    <n v="0"/>
    <n v="0"/>
    <n v="1.9400000000000001E-2"/>
    <x v="1"/>
    <x v="1"/>
    <n v="16892"/>
    <n v="40"/>
    <n v="0"/>
    <n v="0"/>
  </r>
  <r>
    <s v="rechnyvXKEB85eYHS"/>
    <s v="Akello Rebecca - Agago | Lapono | Onen kuc Gardener"/>
    <n v="1"/>
    <s v="Melia,"/>
    <d v="2022-08-22T00:00:00"/>
    <s v="Individual Farmer"/>
    <s v="Individual Farmer"/>
    <n v="4"/>
    <n v="4"/>
    <n v="0"/>
    <n v="0"/>
    <n v="0"/>
    <n v="0"/>
    <n v="0"/>
    <n v="0"/>
    <n v="0"/>
    <n v="1.9400000000000001E-2"/>
    <x v="1"/>
    <x v="1"/>
    <n v="17308"/>
    <n v="43"/>
    <n v="1.9400000000000001E-2"/>
    <n v="0.83420000000000005"/>
  </r>
  <r>
    <s v="recrvtOdoMhcybeV8"/>
    <s v="Akello silvia - Agago | Lapono | Akem kwene farmer's group Gardener"/>
    <n v="1"/>
    <s v="Melia, Gmelina,"/>
    <d v="2022-08-22T00:00:00"/>
    <s v="Agago"/>
    <s v="Lapono"/>
    <n v="110"/>
    <n v="80"/>
    <n v="0"/>
    <n v="30"/>
    <n v="0"/>
    <n v="0"/>
    <n v="0"/>
    <n v="0"/>
    <n v="0"/>
    <n v="0.2409"/>
    <x v="1"/>
    <x v="1"/>
    <n v="17077"/>
    <n v="36"/>
    <n v="0.2409"/>
    <n v="8.6723999999999997"/>
  </r>
  <r>
    <s v="rec3nNRMBU5MirIlY"/>
    <s v="Akello Silvia Slivia - Omoro | Lalogi | Mak mukemi Gardener"/>
    <n v="1"/>
    <s v="Melia,"/>
    <d v="2022-06-07T00:00:00"/>
    <s v="Omoro"/>
    <s v="Lalogi"/>
    <n v="36"/>
    <n v="36"/>
    <n v="0"/>
    <n v="0"/>
    <n v="0"/>
    <n v="0"/>
    <n v="0"/>
    <n v="0"/>
    <n v="0"/>
    <n v="0.17680000000000001"/>
    <x v="1"/>
    <x v="1"/>
    <n v="40161"/>
    <n v="33"/>
    <n v="0.17680000000000001"/>
    <n v="5.8344000000000005"/>
  </r>
  <r>
    <s v="rec6iPoVUm8nGWP7L"/>
    <s v="Akello Winnie - Kitgum | Orom East | Kipak rwot - Gardener"/>
    <n v="1"/>
    <s v="Melia, Musizi, Gmelina, Ongono, Opok, Senna,"/>
    <d v="2022-09-24T00:00:00"/>
    <s v="Kitgum"/>
    <s v="Orom East"/>
    <n v="412"/>
    <n v="100"/>
    <n v="90"/>
    <n v="55"/>
    <n v="100"/>
    <n v="0"/>
    <n v="2"/>
    <n v="65"/>
    <n v="0"/>
    <n v="0.29199999999999998"/>
    <x v="1"/>
    <x v="1"/>
    <n v="6036"/>
    <n v="40"/>
    <n v="0.29199999999999998"/>
    <n v="11.68"/>
  </r>
  <r>
    <s v="receKcHfxq3NYGk6y"/>
    <s v="Akidi Agnes - Agago | Adilang | Tam piwa Gardener"/>
    <n v="1"/>
    <s v="Melia, Musizi, Gmelina, Ongono, Lebbek"/>
    <d v="2022-08-22T00:00:00"/>
    <s v="Agago"/>
    <s v="Adilang"/>
    <n v="161"/>
    <n v="45"/>
    <n v="3"/>
    <n v="53"/>
    <n v="53"/>
    <n v="0"/>
    <n v="0"/>
    <n v="0"/>
    <n v="7"/>
    <n v="1.9699999999999999E-2"/>
    <x v="1"/>
    <x v="1"/>
    <n v="23497"/>
    <n v="51"/>
    <n v="1.9699999999999999E-2"/>
    <n v="1.0046999999999999"/>
  </r>
  <r>
    <s v="rec1y0OtPcR8rQs9m"/>
    <s v="Akidi Monica - Agago | Adilang | Tam piwa Gardener"/>
    <n v="1"/>
    <s v="Melia, Gmelina,"/>
    <d v="2022-08-22T00:00:00"/>
    <s v="Agago"/>
    <s v="Adilang"/>
    <n v="130"/>
    <n v="50"/>
    <n v="0"/>
    <n v="80"/>
    <n v="0"/>
    <n v="0"/>
    <n v="0"/>
    <n v="0"/>
    <n v="0"/>
    <n v="3.0599999999999999E-2"/>
    <x v="1"/>
    <x v="1"/>
    <n v="23496"/>
    <n v="47"/>
    <n v="3.0599999999999999E-2"/>
    <n v="1.4381999999999999"/>
  </r>
  <r>
    <s v="recyEHYOqyFDFjSil"/>
    <s v="Akidi bianka - Agago | Lapono | Wagwoko lim Gardener"/>
    <n v="1"/>
    <s v="Melia, Musizi, Gmelina, Faidherbia, Senna,"/>
    <d v="2022-08-20T00:00:00"/>
    <s v="Agago"/>
    <s v="Lapono"/>
    <n v="340"/>
    <n v="90"/>
    <n v="10"/>
    <n v="90"/>
    <n v="0"/>
    <n v="120"/>
    <n v="0"/>
    <n v="30"/>
    <n v="0"/>
    <n v="9.2799999999999994E-2"/>
    <x v="1"/>
    <x v="1"/>
    <n v="16899"/>
    <n v="31"/>
    <n v="9.2799999999999994E-2"/>
    <n v="2.8767999999999998"/>
  </r>
  <r>
    <s v="rec6xzAWKZ2Y0kDnz"/>
    <s v="Akidi Brenda - Agago | Lukole | Ripe Gardener"/>
    <n v="1"/>
    <s v="Melia,"/>
    <d v="2022-10-03T00:00:00"/>
    <s v="Agago"/>
    <s v="Lukole"/>
    <n v="523"/>
    <n v="523"/>
    <n v="0"/>
    <n v="0"/>
    <n v="0"/>
    <n v="0"/>
    <n v="0"/>
    <n v="0"/>
    <n v="0"/>
    <n v="0.2281"/>
    <x v="1"/>
    <x v="1"/>
    <n v="19235"/>
    <n v="45"/>
    <n v="0.2281"/>
    <n v="10.2645"/>
  </r>
  <r>
    <s v="recoJzlNJVqiRlA7P"/>
    <s v="Akidi Esther - Agago | Lapono | Karenga water user's association Gardener"/>
    <n v="1"/>
    <s v="Melia, Gmelina, Ongono, Senna,"/>
    <d v="2022-05-12T00:00:00"/>
    <s v="Agago"/>
    <s v="Lapono"/>
    <n v="230"/>
    <n v="120"/>
    <n v="0"/>
    <n v="50"/>
    <n v="30"/>
    <n v="0"/>
    <n v="0"/>
    <n v="30"/>
    <n v="0"/>
    <n v="0.2409"/>
    <x v="1"/>
    <x v="1"/>
    <n v="15777"/>
    <n v="42"/>
    <n v="0.2409"/>
    <n v="10.117800000000001"/>
  </r>
  <r>
    <s v="rec2NDOPupuxjagP8"/>
    <s v="Akidi hellen - Agago | Lapono | Karenga water user's association Gardener"/>
    <n v="1"/>
    <s v="Melia, Ongono, Senna,"/>
    <d v="2022-08-22T00:00:00"/>
    <s v="Agago"/>
    <s v="Lapono"/>
    <n v="179"/>
    <n v="120"/>
    <n v="0"/>
    <n v="0"/>
    <n v="24"/>
    <n v="0"/>
    <n v="0"/>
    <n v="35"/>
    <n v="0"/>
    <n v="0.1245"/>
    <x v="1"/>
    <x v="1"/>
    <n v="16142"/>
    <n v="46"/>
    <n v="0.1245"/>
    <n v="5.7270000000000003"/>
  </r>
  <r>
    <s v="recWL4oUsdfijFtmq"/>
    <s v="Akidi Margret - Agago | Kuywe | Cam badi Gardener"/>
    <n v="1"/>
    <s v="Melia,"/>
    <d v="2022-07-23T00:00:00"/>
    <s v="Agago"/>
    <s v="Kuywe"/>
    <n v="80"/>
    <n v="80"/>
    <n v="0"/>
    <n v="0"/>
    <n v="0"/>
    <n v="0"/>
    <n v="0"/>
    <n v="0"/>
    <n v="0"/>
    <n v="9.11E-2"/>
    <x v="1"/>
    <x v="1"/>
    <n v="28307"/>
    <n v="38"/>
    <n v="9.11E-2"/>
    <n v="3.4618000000000002"/>
  </r>
  <r>
    <s v="recXlLHkfALuOWP9m"/>
    <s v="Akongo Ellie - Kitgum | Orom East | Dongo Lobo ber Gardener"/>
    <n v="1"/>
    <s v="Melia, Faidherbia,"/>
    <d v="2022-08-03T00:00:00"/>
    <s v="Kitgum"/>
    <s v="Orom East"/>
    <n v="182"/>
    <n v="126"/>
    <n v="0"/>
    <n v="0"/>
    <n v="0"/>
    <n v="56"/>
    <n v="0"/>
    <n v="0"/>
    <n v="0"/>
    <n v="5.67E-2"/>
    <x v="1"/>
    <x v="1"/>
    <n v="5449"/>
    <n v="34"/>
    <n v="5.5500000000000001E-2"/>
    <n v="1.887"/>
  </r>
  <r>
    <s v="recXlLHkfALuOWP9m"/>
    <s v="Akongo Ellie - Kitgum | Orom East | Dongo Lobo ber Gardener"/>
    <n v="1"/>
    <s v="Melia, Faidherbia,"/>
    <d v="2022-08-03T00:00:00"/>
    <s v="Kitgum"/>
    <s v="Orom East"/>
    <n v="182"/>
    <n v="126"/>
    <n v="0"/>
    <n v="0"/>
    <n v="0"/>
    <n v="56"/>
    <n v="0"/>
    <n v="0"/>
    <n v="0"/>
    <n v="5.67E-2"/>
    <x v="1"/>
    <x v="1"/>
    <n v="5450"/>
    <n v="40"/>
    <n v="1.1999999999999999E-3"/>
    <n v="4.7999999999999994E-2"/>
  </r>
  <r>
    <s v="recpEwkTpWMCyKkrV"/>
    <s v="Akongo Jennifer - Kitgum | Orom East | Kipak rwot - Gardener"/>
    <n v="1"/>
    <s v="Melia, Musizi, Gmelina, Ongono, Senna,"/>
    <d v="2022-09-12T00:00:00"/>
    <s v="Kitgum"/>
    <s v="Orom East"/>
    <n v="361"/>
    <n v="94"/>
    <n v="90"/>
    <n v="49"/>
    <n v="100"/>
    <n v="0"/>
    <n v="0"/>
    <n v="28"/>
    <n v="0"/>
    <n v="4.2599999999999999E-2"/>
    <x v="1"/>
    <x v="1"/>
    <n v="6036"/>
    <n v="40"/>
    <n v="4.2599999999999999E-2"/>
    <n v="1.704"/>
  </r>
  <r>
    <s v="recpsHfLVtDWKoLDJ"/>
    <s v="Akot Christine - Agago | Lapono | Onen kuc Gardener"/>
    <n v="1"/>
    <s v="Melia,"/>
    <d v="2022-10-29T00:00:00"/>
    <s v="Agago"/>
    <s v="Lapono"/>
    <n v="50"/>
    <n v="50"/>
    <n v="0"/>
    <n v="0"/>
    <n v="0"/>
    <n v="0"/>
    <n v="0"/>
    <n v="0"/>
    <n v="0"/>
    <n v="0.1104"/>
    <x v="1"/>
    <x v="1"/>
    <n v="34101"/>
    <n v="39"/>
    <n v="0.11070000000000001"/>
    <n v="4.3173000000000004"/>
  </r>
  <r>
    <s v="rec17hzf67cKcwM6S"/>
    <s v="Akot Everline - Kitgum | Orom East | Ribe aye lonyo - Gardener"/>
    <n v="1"/>
    <s v="Melia, Gmelina, Faidherbia, Senna,"/>
    <d v="2022-07-30T00:00:00"/>
    <s v="Kitgum"/>
    <s v="Orom East"/>
    <n v="496"/>
    <n v="123"/>
    <n v="0"/>
    <n v="50"/>
    <n v="0"/>
    <n v="265"/>
    <n v="0"/>
    <n v="58"/>
    <n v="0"/>
    <n v="0.16889999999999999"/>
    <x v="1"/>
    <x v="1"/>
    <n v="5052"/>
    <n v="42"/>
    <n v="0.16889999999999999"/>
    <n v="7.0937999999999999"/>
  </r>
  <r>
    <s v="recp8MKcTENlrs9gn"/>
    <s v="Akot Polline - Kitgum | Orom East | Ribe aye lonyo - Gardener"/>
    <n v="1"/>
    <s v="Melia, Gmelina, Faidherbia,"/>
    <d v="2022-07-30T00:00:00"/>
    <s v="Kitgum"/>
    <s v="Orom East"/>
    <n v="135"/>
    <n v="20"/>
    <n v="0"/>
    <n v="50"/>
    <n v="0"/>
    <n v="65"/>
    <n v="0"/>
    <n v="0"/>
    <n v="0"/>
    <n v="0.2253"/>
    <x v="1"/>
    <x v="1"/>
    <n v="5052"/>
    <n v="42"/>
    <n v="0.2253"/>
    <n v="9.4626000000000001"/>
  </r>
  <r>
    <s v="recPCVrLtdrdBjYUl"/>
    <s v="Akot silvia - Kitgum | Orom East | Dongo Lobo ber Gardener"/>
    <n v="1"/>
    <s v="Melia, Gmelina, Ongono, Faidherbia, Senna, Lebbek"/>
    <d v="2022-08-03T00:00:00"/>
    <s v="Kitgum"/>
    <s v="Orom East"/>
    <n v="586"/>
    <n v="330"/>
    <n v="0"/>
    <n v="20"/>
    <n v="50"/>
    <n v="106"/>
    <n v="0"/>
    <n v="50"/>
    <n v="30"/>
    <n v="0.36670000000000003"/>
    <x v="1"/>
    <x v="1"/>
    <n v="5228"/>
    <n v="39"/>
    <n v="0.36670000000000003"/>
    <n v="14.301300000000001"/>
  </r>
  <r>
    <s v="rec5GwUvaRXL18nUz"/>
    <s v="Akoth santina - Agago | Lira - Palwo | Nen ki wangi Gardener"/>
    <n v="1"/>
    <s v="Melia, Musizi,"/>
    <d v="2022-08-22T00:00:00"/>
    <s v="Agago"/>
    <s v="Lira - Palwo"/>
    <n v="54"/>
    <n v="46"/>
    <n v="8"/>
    <n v="0"/>
    <n v="0"/>
    <n v="0"/>
    <n v="0"/>
    <n v="0"/>
    <n v="0"/>
    <n v="5.8999999999999997E-2"/>
    <x v="1"/>
    <x v="1"/>
    <n v="21730"/>
    <n v="41"/>
    <n v="5.8999999999999997E-2"/>
    <n v="2.419"/>
  </r>
  <r>
    <s v="recukMspm2eMtfsFm"/>
    <s v="Akullo Salima - Agago | Lukole | Nen anyim Gardener"/>
    <n v="1"/>
    <s v="Melia, Ongono, Senna,"/>
    <d v="2022-10-14T00:00:00"/>
    <s v="Agago"/>
    <s v="Lukole"/>
    <n v="377"/>
    <n v="150"/>
    <n v="0"/>
    <n v="0"/>
    <n v="100"/>
    <n v="0"/>
    <n v="0"/>
    <n v="127"/>
    <n v="0"/>
    <n v="0.2452"/>
    <x v="1"/>
    <x v="1"/>
    <n v="18442"/>
    <n v="46"/>
    <n v="0.2452"/>
    <n v="11.279199999999999"/>
  </r>
  <r>
    <s v="recgF47nzZDIcjPKl"/>
    <s v="Akullu Brenda - Agago | Patongo | God the provider Gardener"/>
    <n v="1"/>
    <s v="Melia, Musizi, Gmelina,"/>
    <d v="2022-05-09T00:00:00"/>
    <s v="Agago"/>
    <s v="Patongo"/>
    <n v="85"/>
    <n v="35"/>
    <n v="14"/>
    <n v="36"/>
    <n v="0"/>
    <n v="0"/>
    <n v="0"/>
    <n v="0"/>
    <n v="0"/>
    <n v="0.46779999999999999"/>
    <x v="1"/>
    <x v="1"/>
    <n v="23544"/>
    <n v="41"/>
    <n v="0.46779999999999999"/>
    <n v="19.1798"/>
  </r>
  <r>
    <s v="recQ0IVsiivBoYtMW"/>
    <s v="Akulu Betty - Akem kwene"/>
    <n v="1"/>
    <s v="Melia, Gmelina,"/>
    <d v="2022-08-22T00:00:00"/>
    <s v="Individual Farmer"/>
    <s v="Individual Farmer"/>
    <n v="2"/>
    <n v="1"/>
    <n v="0"/>
    <n v="1"/>
    <n v="0"/>
    <n v="0"/>
    <n v="0"/>
    <n v="0"/>
    <n v="0"/>
    <n v="5.2200000000000003E-2"/>
    <x v="1"/>
    <x v="1"/>
    <n v="17077"/>
    <n v="36"/>
    <n v="5.2200000000000003E-2"/>
    <n v="1.8792000000000002"/>
  </r>
  <r>
    <s v="recc83uAdqk4gIyZL"/>
    <s v="AKUMU FILDA - KIPAKRWOT"/>
    <n v="1"/>
    <s v="Gmelina, Senna,"/>
    <d v="2022-08-22T00:00:00"/>
    <s v="Individual Farmer"/>
    <s v="Individual Farmer"/>
    <n v="4"/>
    <n v="0"/>
    <n v="0"/>
    <n v="3"/>
    <n v="0"/>
    <n v="0"/>
    <n v="0"/>
    <n v="1"/>
    <n v="0"/>
    <n v="0.29020000000000001"/>
    <x v="1"/>
    <x v="1"/>
    <n v="6036"/>
    <n v="40"/>
    <n v="0.29020000000000001"/>
    <n v="11.608000000000001"/>
  </r>
  <r>
    <s v="recISNzrMj67tUU5E"/>
    <s v="Akumu rose - Agago | Kuywe | Gum anywala Gardener"/>
    <n v="1"/>
    <s v="Musizi, Gmelina,"/>
    <d v="2022-07-20T00:00:00"/>
    <s v="Agago"/>
    <s v="Kuywe"/>
    <n v="16"/>
    <n v="0"/>
    <n v="6"/>
    <n v="10"/>
    <n v="0"/>
    <n v="0"/>
    <n v="0"/>
    <n v="0"/>
    <n v="0"/>
    <n v="0.1178"/>
    <x v="1"/>
    <x v="1"/>
    <n v="28810"/>
    <n v="37"/>
    <n v="0.1178"/>
    <n v="4.3586"/>
  </r>
  <r>
    <s v="recrTfI2JOr3J4vjX"/>
    <s v="Akwero Fildar - Kitgum | Orom East | Watwero - Gardener"/>
    <n v="1"/>
    <s v="Melia, Gmelina, Ongono, Faidherbia, Senna,"/>
    <d v="2022-09-11T00:00:00"/>
    <s v="Kitgum"/>
    <s v="Orom East"/>
    <n v="292"/>
    <n v="100"/>
    <n v="0"/>
    <n v="28"/>
    <n v="58"/>
    <n v="56"/>
    <n v="0"/>
    <n v="50"/>
    <n v="0"/>
    <n v="0.1236"/>
    <x v="1"/>
    <x v="1"/>
    <n v="4871"/>
    <n v="42"/>
    <n v="0.1236"/>
    <n v="5.1912000000000003"/>
  </r>
  <r>
    <s v="reccZrRBFGLtr8EHN"/>
    <s v="Alanyo Josephine - Kitgum | Orom East | Kipak rwot Gardener"/>
    <n v="1"/>
    <s v="Melia, Gmelina, Ongono, Faidherbia, Senna,"/>
    <d v="2022-09-02T00:00:00"/>
    <s v="Individual Farmer"/>
    <s v="Individual Farmer"/>
    <n v="120"/>
    <n v="50"/>
    <n v="0"/>
    <n v="10"/>
    <n v="20"/>
    <n v="20"/>
    <n v="0"/>
    <n v="20"/>
    <n v="0"/>
    <n v="0.1343"/>
    <x v="1"/>
    <x v="1"/>
    <n v="4871"/>
    <n v="42"/>
    <n v="0.1343"/>
    <n v="5.6406000000000001"/>
  </r>
  <r>
    <s v="recmQqTgsYtho3ibT"/>
    <s v="Alaro Betty - Agago | Kuywe | Tam pi Anyim Gardener"/>
    <n v="1"/>
    <s v="Melia, Gmelina,"/>
    <d v="2022-06-25T00:00:00"/>
    <s v="Agago"/>
    <s v="Kuywe"/>
    <n v="75"/>
    <n v="45"/>
    <n v="0"/>
    <n v="30"/>
    <n v="0"/>
    <n v="0"/>
    <n v="0"/>
    <n v="0"/>
    <n v="0"/>
    <n v="0.19819999999999999"/>
    <x v="1"/>
    <x v="1"/>
    <n v="34729"/>
    <n v="26"/>
    <n v="0.19819999999999999"/>
    <n v="5.1532"/>
  </r>
  <r>
    <s v="recVq3CTRiKqlZAhY"/>
    <s v="Ali john - Agago | Paimol | Rubanga tek women's group - Gardener"/>
    <n v="1"/>
    <s v="Gmelina,"/>
    <d v="2022-06-06T00:00:00"/>
    <s v="Agago"/>
    <s v="Paimol"/>
    <n v="115"/>
    <n v="0"/>
    <n v="0"/>
    <n v="115"/>
    <n v="0"/>
    <n v="0"/>
    <n v="0"/>
    <n v="0"/>
    <n v="0"/>
    <n v="1.1999999999999999E-3"/>
    <x v="1"/>
    <x v="1"/>
    <n v="33454"/>
    <n v="41"/>
    <n v="1.1999999999999999E-3"/>
    <n v="4.9199999999999994E-2"/>
  </r>
  <r>
    <s v="reco80GyWvUaNHkj8"/>
    <s v="Alimo rose - Agago | Kuywe | Ogen rwot Gardener"/>
    <n v="1"/>
    <s v="Melia, Musizi, Gmelina, Senna,"/>
    <d v="2022-08-25T00:00:00"/>
    <s v="Agago"/>
    <s v="Kuywe"/>
    <n v="110"/>
    <n v="20"/>
    <n v="5"/>
    <n v="60"/>
    <n v="0"/>
    <n v="0"/>
    <n v="0"/>
    <n v="25"/>
    <n v="0"/>
    <n v="2.2800000000000001E-2"/>
    <x v="1"/>
    <x v="1"/>
    <n v="14647"/>
    <n v="42"/>
    <n v="2.2800000000000001E-2"/>
    <n v="0.95760000000000001"/>
  </r>
  <r>
    <s v="rec0lw1vHaPG4Ynlw"/>
    <s v="Alimocan grace - Agago | Kuywe | Ogen rwot Gardener"/>
    <n v="1"/>
    <s v="Melia, Musizi, Gmelina, Faidherbia, Senna,"/>
    <d v="2022-08-10T00:00:00"/>
    <s v="Agago"/>
    <s v="Kuywe"/>
    <n v="240"/>
    <n v="85"/>
    <n v="5"/>
    <n v="85"/>
    <n v="0"/>
    <n v="50"/>
    <n v="0"/>
    <n v="15"/>
    <n v="0"/>
    <n v="0.20599999999999999"/>
    <x v="1"/>
    <x v="1"/>
    <n v="14273"/>
    <n v="44"/>
    <n v="0.20619999999999999"/>
    <n v="9.0727999999999991"/>
  </r>
  <r>
    <s v="rec05wbXOR1UYxhWB"/>
    <s v="Alok Nighty - Kitgum | Orom East | Watwero Gardener"/>
    <n v="1"/>
    <s v="Melia, Gmelina, Ongono, Faidherbia, Senna,"/>
    <d v="2022-08-28T00:00:00"/>
    <s v="Kitgum"/>
    <s v="Orom East"/>
    <n v="350"/>
    <n v="110"/>
    <n v="0"/>
    <n v="60"/>
    <n v="60"/>
    <n v="60"/>
    <n v="0"/>
    <n v="60"/>
    <n v="0"/>
    <n v="0.2717"/>
    <x v="1"/>
    <x v="1"/>
    <n v="4689"/>
    <n v="41"/>
    <n v="0.2717"/>
    <n v="11.139699999999999"/>
  </r>
  <r>
    <s v="rec5G6ribQltmacVL"/>
    <s v="Aloyo betrece - Agago | Kuywe | Gum anywala Gardener"/>
    <n v="1"/>
    <s v="Melia, Musizi, Gmelina, Senna,"/>
    <d v="2022-07-20T00:00:00"/>
    <s v="Agago"/>
    <s v="Kuywe"/>
    <n v="90"/>
    <n v="35"/>
    <n v="6"/>
    <n v="36"/>
    <n v="0"/>
    <n v="0"/>
    <n v="0"/>
    <n v="13"/>
    <n v="0"/>
    <n v="5.3999999999999999E-2"/>
    <x v="1"/>
    <x v="1"/>
    <n v="28307"/>
    <n v="38"/>
    <n v="5.3999999999999999E-2"/>
    <n v="2.052"/>
  </r>
  <r>
    <s v="recJ3BvEZnN4FfWqG"/>
    <s v="Alum Aster - Agago | Paimol | Amini ngo Gardener"/>
    <n v="1"/>
    <s v="Gmelina,"/>
    <d v="2022-05-13T00:00:00"/>
    <s v="Agago"/>
    <s v="Paimol"/>
    <n v="60"/>
    <n v="0"/>
    <n v="0"/>
    <n v="60"/>
    <n v="0"/>
    <n v="0"/>
    <n v="0"/>
    <n v="0"/>
    <n v="0"/>
    <n v="0.2606"/>
    <x v="1"/>
    <x v="1"/>
    <n v="40542"/>
    <n v="46"/>
    <n v="0.2606"/>
    <n v="11.9876"/>
  </r>
  <r>
    <s v="recEeyv165rsdr0XC"/>
    <s v="Alum christine - Agago | Kuywe | Yub paco ni Gardener"/>
    <n v="1"/>
    <s v="Melia, Musizi, Gmelina, Senna,"/>
    <d v="2022-08-17T00:00:00"/>
    <s v="Agago"/>
    <s v="Kuywe"/>
    <n v="110"/>
    <n v="55"/>
    <n v="5"/>
    <n v="25"/>
    <n v="0"/>
    <n v="0"/>
    <n v="0"/>
    <n v="25"/>
    <n v="0"/>
    <n v="1.4500000000000001E-2"/>
    <x v="1"/>
    <x v="1"/>
    <n v="13772"/>
    <n v="38"/>
    <n v="1.4500000000000001E-2"/>
    <n v="0.55100000000000005"/>
  </r>
  <r>
    <s v="recRNbivuowk8Lv75"/>
    <s v="Alum jusphine - Agago | Kuywe | Ogen rwot Gardener"/>
    <n v="1"/>
    <s v="Melia, Musizi, Gmelina,"/>
    <d v="2022-08-24T00:00:00"/>
    <s v="Agago"/>
    <s v="Kuywe"/>
    <n v="130"/>
    <n v="40"/>
    <n v="5"/>
    <n v="85"/>
    <n v="0"/>
    <n v="0"/>
    <n v="0"/>
    <n v="0"/>
    <n v="0"/>
    <n v="7.1599999999999997E-2"/>
    <x v="1"/>
    <x v="1"/>
    <n v="14832"/>
    <n v="45"/>
    <n v="7.1599999999999997E-2"/>
    <n v="3.222"/>
  </r>
  <r>
    <s v="recHaL9NMAkpZzk9a"/>
    <s v="Alur Vicky - Kitgum | Orom East | Dongo Lobo ber Gardener"/>
    <n v="1"/>
    <s v="Melia, Ongono, Faidherbia, Senna, Lebbek"/>
    <d v="2022-08-04T00:00:00"/>
    <s v="Kitgum"/>
    <s v="Orom East"/>
    <n v="310"/>
    <n v="150"/>
    <n v="0"/>
    <n v="0"/>
    <n v="50"/>
    <n v="50"/>
    <n v="0"/>
    <n v="50"/>
    <n v="10"/>
    <n v="0.3175"/>
    <x v="1"/>
    <x v="1"/>
    <n v="5449"/>
    <n v="34"/>
    <n v="0.3175"/>
    <n v="10.795"/>
  </r>
  <r>
    <s v="recXjNiH8enf4NmdC"/>
    <s v="Alwoc merry - Agago | Kuywe | Lobo cana Gardener"/>
    <n v="1"/>
    <s v="Melia, Gmelina, Faidherbia,"/>
    <d v="2022-07-13T00:00:00"/>
    <s v="Agago"/>
    <s v="Kuywe"/>
    <n v="90"/>
    <n v="50"/>
    <n v="0"/>
    <n v="20"/>
    <n v="0"/>
    <n v="20"/>
    <n v="0"/>
    <n v="0"/>
    <n v="0"/>
    <n v="0.1114"/>
    <x v="1"/>
    <x v="1"/>
    <n v="13946"/>
    <n v="37"/>
    <n v="0.1114"/>
    <n v="4.1218000000000004"/>
  </r>
  <r>
    <s v="recJkUDbEjZR3hkkj"/>
    <s v="Amato Grace - Kitgum | Orom East | Kipak rwot - Gardener"/>
    <n v="1"/>
    <s v="Melia, Musizi, Gmelina, Ongono, Opok, Senna,"/>
    <d v="2022-09-18T00:00:00"/>
    <s v="Kitgum"/>
    <s v="Orom East"/>
    <n v="412"/>
    <n v="100"/>
    <n v="90"/>
    <n v="55"/>
    <n v="100"/>
    <n v="0"/>
    <n v="2"/>
    <n v="65"/>
    <n v="0"/>
    <n v="0.18260000000000001"/>
    <x v="1"/>
    <x v="1"/>
    <n v="6035"/>
    <n v="46"/>
    <n v="0.18260000000000001"/>
    <n v="8.3996000000000013"/>
  </r>
  <r>
    <s v="recjz9Bh8hUU8NAJG"/>
    <s v="Amito Betty - Kitgum | Orom East | Tim tek United Gardener"/>
    <n v="1"/>
    <s v="Melia, Musizi, Gmelina, Ongono, Faidherbia,"/>
    <d v="2022-07-10T00:00:00"/>
    <s v="Kitgum"/>
    <s v="Orom East"/>
    <n v="258"/>
    <n v="70"/>
    <n v="88"/>
    <n v="50"/>
    <n v="20"/>
    <n v="30"/>
    <n v="0"/>
    <n v="0"/>
    <n v="0"/>
    <n v="0.49819999999999998"/>
    <x v="1"/>
    <x v="1"/>
    <n v="5054"/>
    <n v="39"/>
    <n v="0.49819999999999998"/>
    <n v="19.4298"/>
  </r>
  <r>
    <s v="recvm1svdLL1VOz1C"/>
    <s v="Amito Florence - Agago | Kuywe | Lobo cana Gardener"/>
    <n v="1"/>
    <s v="Melia, Gmelina,"/>
    <d v="2022-07-09T00:00:00"/>
    <s v="Agago"/>
    <s v="Kuywe"/>
    <n v="50"/>
    <n v="30"/>
    <n v="0"/>
    <n v="20"/>
    <n v="0"/>
    <n v="0"/>
    <n v="0"/>
    <n v="0"/>
    <n v="0"/>
    <n v="0.1731"/>
    <x v="1"/>
    <x v="1"/>
    <n v="40161"/>
    <n v="33"/>
    <n v="0.17330000000000001"/>
    <n v="5.7189000000000005"/>
  </r>
  <r>
    <s v="recAdidmjtNUhlyHZ"/>
    <s v="Amito scovia - Agago | Kuywe | Ogen rwot Gardener"/>
    <n v="1"/>
    <s v="Gmelina, Senna,"/>
    <d v="2022-08-20T00:00:00"/>
    <s v="Agago"/>
    <s v="Kuywe"/>
    <n v="170"/>
    <n v="0"/>
    <n v="0"/>
    <n v="150"/>
    <n v="0"/>
    <n v="0"/>
    <n v="0"/>
    <n v="20"/>
    <n v="0"/>
    <n v="0.1019"/>
    <x v="1"/>
    <x v="1"/>
    <n v="30729"/>
    <n v="44"/>
    <n v="0.1019"/>
    <n v="4.4836"/>
  </r>
  <r>
    <s v="recfVP9Y0NnkNerM9"/>
    <s v="Amolo santa - Agago | Paimol | Rubanga tek women's group - Gardener"/>
    <n v="1"/>
    <s v="Melia, Gmelina, Ongono,"/>
    <d v="2022-05-09T00:00:00"/>
    <s v="Agago"/>
    <s v="Paimol"/>
    <n v="90"/>
    <n v="25"/>
    <n v="0"/>
    <n v="30"/>
    <n v="35"/>
    <n v="0"/>
    <n v="0"/>
    <n v="0"/>
    <n v="0"/>
    <n v="0.21690000000000001"/>
    <x v="1"/>
    <x v="1"/>
    <n v="34683"/>
    <n v="41"/>
    <n v="0.21690000000000001"/>
    <n v="8.8929000000000009"/>
  </r>
  <r>
    <s v="recESXy6yaGI3cpAL"/>
    <s v="Amone Mathew - Kipak Rwot"/>
    <n v="1"/>
    <s v="Melia, Senna,"/>
    <d v="2022-08-22T00:00:00"/>
    <s v="Individual Farmer"/>
    <s v="Individual Farmer"/>
    <n v="22"/>
    <n v="5"/>
    <n v="0"/>
    <n v="0"/>
    <n v="0"/>
    <n v="0"/>
    <n v="0"/>
    <n v="17"/>
    <n v="0"/>
    <n v="6.6900000000000001E-2"/>
    <x v="1"/>
    <x v="1"/>
    <n v="6036"/>
    <n v="40"/>
    <n v="6.6900000000000001E-2"/>
    <n v="2.6760000000000002"/>
  </r>
  <r>
    <s v="recyw5x7hJZYVrQgy"/>
    <s v="Anek franka - Agago | Kuywe | Ogen rwot Gardener"/>
    <n v="1"/>
    <s v="Melia, Musizi, Gmelina, Senna,"/>
    <d v="2022-08-18T00:00:00"/>
    <s v="Agago"/>
    <s v="Kuywe"/>
    <n v="135"/>
    <n v="20"/>
    <n v="5"/>
    <n v="100"/>
    <n v="0"/>
    <n v="0"/>
    <n v="0"/>
    <n v="10"/>
    <n v="0"/>
    <n v="5.9299999999999999E-2"/>
    <x v="1"/>
    <x v="1"/>
    <n v="29593"/>
    <n v="40"/>
    <n v="5.9299999999999999E-2"/>
    <n v="2.3719999999999999"/>
  </r>
  <r>
    <s v="rechQyocANuBq2hxZ"/>
    <s v="Anek grace - Agago | Paimol | Cing ki cing - Gardener"/>
    <n v="1"/>
    <s v="Melia, Musizi, Gmelina,"/>
    <d v="1967-07-24T00:00:00"/>
    <s v="Agago"/>
    <s v="Paimol"/>
    <n v="473"/>
    <n v="236"/>
    <n v="207"/>
    <n v="30"/>
    <n v="0"/>
    <n v="0"/>
    <n v="0"/>
    <n v="0"/>
    <n v="0"/>
    <n v="1.18E-2"/>
    <x v="1"/>
    <x v="1"/>
    <n v="13961"/>
    <n v="37"/>
    <n v="1.1900000000000001E-2"/>
    <n v="0.44030000000000002"/>
  </r>
  <r>
    <s v="recAJxWybIuWcmCkE"/>
    <s v="Anek Grace - Kitgum | Orom East | Watwero Gardener"/>
    <n v="1"/>
    <s v="Melia, Gmelina, Ongono, Faidherbia, Senna,"/>
    <d v="2022-09-23T00:00:00"/>
    <s v="Individual Farmer"/>
    <s v="Individual Farmer"/>
    <n v="100"/>
    <n v="60"/>
    <n v="0"/>
    <n v="10"/>
    <n v="10"/>
    <n v="10"/>
    <n v="0"/>
    <n v="10"/>
    <n v="0"/>
    <n v="0.10730000000000001"/>
    <x v="1"/>
    <x v="1"/>
    <n v="3945"/>
    <n v="35"/>
    <n v="0.10730000000000001"/>
    <n v="3.7555000000000001"/>
  </r>
  <r>
    <s v="recBKLGnzB6uomCeR"/>
    <s v="Anek Irene pa yesu - Agago | Kuywe | Lobo cana Gardener"/>
    <n v="1"/>
    <s v="Melia, Senna,"/>
    <d v="2022-07-22T00:00:00"/>
    <s v="Agago"/>
    <s v="Kuywe"/>
    <n v="110"/>
    <n v="60"/>
    <n v="0"/>
    <n v="0"/>
    <n v="0"/>
    <n v="0"/>
    <n v="0"/>
    <n v="50"/>
    <n v="0"/>
    <n v="0.29349999999999998"/>
    <x v="1"/>
    <x v="1"/>
    <n v="13961"/>
    <n v="37"/>
    <n v="0.29349999999999998"/>
    <n v="10.859499999999999"/>
  </r>
  <r>
    <s v="rec0IP9qXJvkYpkHP"/>
    <s v="Anek Jennet - Agago | Kuywe | Tam pi Anyim Gardener"/>
    <n v="1"/>
    <s v="Gmelina,"/>
    <d v="2022-08-12T00:00:00"/>
    <s v="Agago"/>
    <s v="Kuywe"/>
    <n v="60"/>
    <n v="0"/>
    <n v="0"/>
    <n v="60"/>
    <n v="0"/>
    <n v="0"/>
    <n v="0"/>
    <n v="0"/>
    <n v="0"/>
    <n v="1.06E-2"/>
    <x v="1"/>
    <x v="1"/>
    <n v="14827"/>
    <n v="46"/>
    <n v="1.0500000000000001E-2"/>
    <n v="0.48300000000000004"/>
  </r>
  <r>
    <s v="recgvnypamHq4vlVY"/>
    <s v="Anena nighty - Agago | Lapono | Karenga water user's association Gardener"/>
    <n v="1"/>
    <s v="Melia, Gmelina, Senna,"/>
    <d v="2022-08-22T00:00:00"/>
    <s v="Agago"/>
    <s v="Lapono"/>
    <n v="179"/>
    <n v="120"/>
    <n v="0"/>
    <n v="35"/>
    <n v="0"/>
    <n v="0"/>
    <n v="0"/>
    <n v="24"/>
    <n v="0"/>
    <n v="0.1847"/>
    <x v="1"/>
    <x v="1"/>
    <n v="16142"/>
    <n v="46"/>
    <n v="0.1847"/>
    <n v="8.4962"/>
  </r>
  <r>
    <s v="recAzk7Uf6bFvlvyK"/>
    <s v="Angom Grace - Kitgum | Orom East | Ribe aye lonyo Gardener"/>
    <n v="1"/>
    <s v="Melia, Gmelina, Ongono, Faidherbia,"/>
    <d v="2022-07-25T00:00:00"/>
    <s v="Kitgum"/>
    <s v="Orom East"/>
    <n v="289"/>
    <n v="164"/>
    <n v="0"/>
    <n v="50"/>
    <n v="10"/>
    <n v="65"/>
    <n v="0"/>
    <n v="0"/>
    <n v="0"/>
    <n v="0.3523"/>
    <x v="1"/>
    <x v="1"/>
    <n v="5052"/>
    <n v="42"/>
    <n v="0.3523"/>
    <n v="14.7966"/>
  </r>
  <r>
    <s v="recof38EkWo83NGJd"/>
    <s v="Angom Rebecca - Kitgum | Orom East | Ribe aye lonyo Gardener"/>
    <n v="1"/>
    <s v="Melia, Gmelina, Ongono, Faidherbia, Senna,"/>
    <d v="2022-07-23T00:00:00"/>
    <s v="Kitgum"/>
    <s v="Orom East"/>
    <n v="205"/>
    <n v="20"/>
    <n v="0"/>
    <n v="50"/>
    <n v="20"/>
    <n v="65"/>
    <n v="0"/>
    <n v="50"/>
    <n v="0"/>
    <n v="6.9500000000000006E-2"/>
    <x v="1"/>
    <x v="1"/>
    <n v="5228"/>
    <n v="39"/>
    <n v="6.9500000000000006E-2"/>
    <n v="2.7105000000000001"/>
  </r>
  <r>
    <s v="rec1N7UeWKVdBvHQs"/>
    <s v="Anyeko monica - Agago | Lapono | Wagwoko lim Gardener"/>
    <n v="1"/>
    <s v="Melia, Musizi, Gmelina,"/>
    <d v="2022-08-22T00:00:00"/>
    <s v="Agago"/>
    <s v="Lapono"/>
    <n v="171"/>
    <n v="50"/>
    <n v="12"/>
    <n v="109"/>
    <n v="0"/>
    <n v="0"/>
    <n v="0"/>
    <n v="0"/>
    <n v="0"/>
    <n v="0.221"/>
    <x v="1"/>
    <x v="1"/>
    <n v="16717"/>
    <n v="36"/>
    <n v="0.221"/>
    <n v="7.9560000000000004"/>
  </r>
  <r>
    <s v="recALxchlQwKPuqtW"/>
    <s v="Anying Sabina - Agago | Adilang | Tam piwa Gardener"/>
    <n v="1"/>
    <s v="Melia, Gmelina,"/>
    <d v="2022-08-22T00:00:00"/>
    <s v="Agago"/>
    <s v="Adilang"/>
    <n v="130"/>
    <n v="50"/>
    <n v="0"/>
    <n v="80"/>
    <n v="0"/>
    <n v="0"/>
    <n v="0"/>
    <n v="0"/>
    <n v="0"/>
    <n v="2.7300000000000001E-2"/>
    <x v="1"/>
    <x v="1"/>
    <n v="23496"/>
    <n v="47"/>
    <n v="2.7300000000000001E-2"/>
    <n v="1.2831000000000001"/>
  </r>
  <r>
    <s v="recwRMNZVif4N4HBP"/>
    <s v="Anyon Susan - Agago | Adilang | Tam piwa Gardener"/>
    <n v="1"/>
    <s v="Melia, Musizi, Gmelina,"/>
    <d v="2022-08-22T00:00:00"/>
    <s v="Agago"/>
    <s v="Adilang"/>
    <n v="148"/>
    <n v="50"/>
    <n v="18"/>
    <n v="80"/>
    <n v="0"/>
    <n v="0"/>
    <n v="0"/>
    <n v="0"/>
    <n v="0"/>
    <n v="1.6199999999999999E-2"/>
    <x v="1"/>
    <x v="1"/>
    <n v="23496"/>
    <n v="47"/>
    <n v="1.6199999999999999E-2"/>
    <n v="0.76139999999999997"/>
  </r>
  <r>
    <s v="recERItwxACV4gpD0"/>
    <s v="Anyuwa PatrickOchido - Kitgum | Orom East | Tim tek United Gardener"/>
    <n v="1"/>
    <s v="Melia, Gmelina,"/>
    <d v="2022-08-22T00:00:00"/>
    <s v="Individual Farmer"/>
    <s v="Individual Farmer"/>
    <n v="148"/>
    <n v="142"/>
    <n v="0"/>
    <n v="6"/>
    <n v="0"/>
    <n v="0"/>
    <n v="0"/>
    <n v="0"/>
    <n v="0"/>
    <n v="1.1283000000000001"/>
    <x v="1"/>
    <x v="1"/>
    <n v="5449"/>
    <n v="34"/>
    <n v="1.1283000000000001"/>
    <n v="38.362200000000001"/>
  </r>
  <r>
    <s v="recSc3tCrWkNq4lAq"/>
    <s v="Anywar Policap - Agago | Kuywe | Cam badi Gardener"/>
    <n v="1"/>
    <s v="Melia,"/>
    <d v="2022-07-08T00:00:00"/>
    <s v="Agago"/>
    <s v="Kuywe"/>
    <n v="80"/>
    <n v="80"/>
    <n v="0"/>
    <n v="0"/>
    <n v="0"/>
    <n v="0"/>
    <n v="0"/>
    <n v="0"/>
    <n v="0"/>
    <n v="0.1009"/>
    <x v="1"/>
    <x v="1"/>
    <n v="35264"/>
    <n v="46"/>
    <n v="0.1009"/>
    <n v="4.6414"/>
  </r>
  <r>
    <s v="recEQ8jVBoUozmFcL"/>
    <s v="Aol Janet - Agago | Kuywe | Ogen rwot Gardener"/>
    <n v="1"/>
    <s v="Melia, Gmelina,"/>
    <d v="2022-08-15T00:00:00"/>
    <s v="Agago"/>
    <s v="Kuywe"/>
    <n v="120"/>
    <n v="100"/>
    <n v="0"/>
    <n v="20"/>
    <n v="0"/>
    <n v="0"/>
    <n v="0"/>
    <n v="0"/>
    <n v="0"/>
    <n v="0.1462"/>
    <x v="1"/>
    <x v="1"/>
    <n v="14477"/>
    <n v="48"/>
    <n v="0.1462"/>
    <n v="7.0175999999999998"/>
  </r>
  <r>
    <s v="rec3btbK6sqtM8QvK"/>
    <s v="Apio Rose - Agago | Lapono | Odong mon Gardener"/>
    <n v="1"/>
    <s v="Melia, Gmelina, Senna,"/>
    <d v="2022-08-22T00:00:00"/>
    <s v="Agago"/>
    <s v="Lapono"/>
    <n v="60"/>
    <n v="30"/>
    <n v="0"/>
    <n v="10"/>
    <n v="0"/>
    <n v="0"/>
    <n v="0"/>
    <n v="20"/>
    <n v="0"/>
    <n v="8.3999999999999995E-3"/>
    <x v="1"/>
    <x v="1"/>
    <n v="16892"/>
    <n v="40"/>
    <n v="8.3999999999999995E-3"/>
    <n v="0.33599999999999997"/>
  </r>
  <r>
    <s v="recZhyIJp9JyfwbMD"/>
    <s v="Apiyo christine - Agago | Adilang | Can lit Gardener"/>
    <n v="1"/>
    <s v="Melia, Musizi,"/>
    <d v="2022-09-15T00:00:00"/>
    <s v="Agago"/>
    <s v="Adilang"/>
    <n v="100"/>
    <n v="50"/>
    <n v="50"/>
    <n v="0"/>
    <n v="0"/>
    <n v="0"/>
    <n v="0"/>
    <n v="0"/>
    <n v="0"/>
    <n v="0.1077"/>
    <x v="1"/>
    <x v="1"/>
    <n v="23723"/>
    <n v="38"/>
    <n v="0.1077"/>
    <n v="4.0926"/>
  </r>
  <r>
    <s v="recBdHPzDy8LxnjNF"/>
    <s v="Apiyo Holgar - Kitgum | Orom East | Dongo Lobo ber Gardener"/>
    <n v="1"/>
    <s v="Gmelina, Senna,"/>
    <d v="2022-07-18T00:00:00"/>
    <s v="Kitgum"/>
    <s v="Orom East"/>
    <n v="120"/>
    <n v="0"/>
    <n v="0"/>
    <n v="70"/>
    <n v="0"/>
    <n v="0"/>
    <n v="0"/>
    <n v="50"/>
    <n v="0"/>
    <n v="0.22"/>
    <x v="1"/>
    <x v="1"/>
    <n v="5449"/>
    <n v="34"/>
    <n v="0.22"/>
    <n v="7.48"/>
  </r>
  <r>
    <s v="reciWl8nOfmMLvrNY"/>
    <s v="Apiyo Rose - Odong mon"/>
    <n v="1"/>
    <s v="Melia, Gmelina, Ongono, Senna,"/>
    <d v="2022-08-22T00:00:00"/>
    <s v="Individual Farmer"/>
    <s v="Individual Farmer"/>
    <n v="265"/>
    <n v="25"/>
    <n v="0"/>
    <n v="4"/>
    <n v="228"/>
    <n v="0"/>
    <n v="0"/>
    <n v="8"/>
    <n v="0"/>
    <n v="1.2111000000000001"/>
    <x v="1"/>
    <x v="1"/>
    <n v="16892"/>
    <n v="40"/>
    <n v="1.2111000000000001"/>
    <n v="48.444000000000003"/>
  </r>
  <r>
    <s v="rechuQ9kgrUpXtSLc"/>
    <s v="Apiyo Sicilia - Agago | Lapono | Onen kuc Gardener"/>
    <n v="1"/>
    <s v="Melia, Gmelina,"/>
    <d v="2022-08-27T00:00:00"/>
    <s v="Agago"/>
    <s v="Lapono"/>
    <n v="30"/>
    <n v="15"/>
    <n v="0"/>
    <n v="15"/>
    <n v="0"/>
    <n v="0"/>
    <n v="0"/>
    <n v="0"/>
    <n v="0"/>
    <n v="0.25659999999999999"/>
    <x v="1"/>
    <x v="1"/>
    <n v="13961"/>
    <n v="37"/>
    <n v="0.25659999999999999"/>
    <n v="9.4941999999999993"/>
  </r>
  <r>
    <s v="recRhwoDsTNnqDA1n"/>
    <s v="Apollo Milton - Agago | Patongo | God the provider Gardener"/>
    <n v="1"/>
    <s v="Melia, Musizi, Gmelina, Senna,"/>
    <d v="2022-07-10T00:00:00"/>
    <s v="Agago"/>
    <s v="Patongo"/>
    <n v="374"/>
    <n v="124"/>
    <n v="64"/>
    <n v="79"/>
    <n v="0"/>
    <n v="0"/>
    <n v="0"/>
    <n v="107"/>
    <n v="0"/>
    <n v="0.34920000000000001"/>
    <x v="1"/>
    <x v="1"/>
    <n v="23544"/>
    <n v="41"/>
    <n v="0.34920000000000001"/>
    <n v="14.3172"/>
  </r>
  <r>
    <s v="recImeDSSUNk7WFoG"/>
    <s v="Apora hillary - Agago | Lapono | Peko ma poto atura - Gardener"/>
    <n v="1"/>
    <s v="Melia, Gmelina, Senna,"/>
    <d v="2022-08-22T00:00:00"/>
    <s v="Agago"/>
    <s v="Lapono"/>
    <n v="109"/>
    <n v="16"/>
    <n v="0"/>
    <n v="42"/>
    <n v="0"/>
    <n v="0"/>
    <n v="0"/>
    <n v="51"/>
    <n v="0"/>
    <n v="0.13059999999999999"/>
    <x v="1"/>
    <x v="1"/>
    <n v="16892"/>
    <n v="40"/>
    <n v="0.13059999999999999"/>
    <n v="5.2240000000000002"/>
  </r>
  <r>
    <s v="rec9rY2O8w5ycpyGf"/>
    <s v="Apoto Elisuna - Agago | Kuywe | Kica ber Gardener"/>
    <n v="1"/>
    <s v="Melia,"/>
    <d v="2022-09-24T00:00:00"/>
    <s v="Agago"/>
    <s v="Kuywe"/>
    <n v="20"/>
    <n v="20"/>
    <n v="0"/>
    <n v="0"/>
    <n v="0"/>
    <n v="0"/>
    <n v="0"/>
    <n v="0"/>
    <n v="0"/>
    <n v="7.8299999999999995E-2"/>
    <x v="1"/>
    <x v="1"/>
    <n v="28807"/>
    <n v="41"/>
    <n v="7.8299999999999995E-2"/>
    <n v="3.2102999999999997"/>
  </r>
  <r>
    <s v="rec7lCg18jRgvYCnL"/>
    <s v="Arach Betty - Kitgum | Orom East | Atek ki lwak Gardener"/>
    <n v="1"/>
    <s v="Melia, Gmelina, Ongono, Faidherbia, Senna,"/>
    <d v="2022-08-26T00:00:00"/>
    <s v="Individual Farmer"/>
    <s v="Individual Farmer"/>
    <n v="60"/>
    <n v="10"/>
    <n v="0"/>
    <n v="10"/>
    <n v="20"/>
    <n v="10"/>
    <n v="0"/>
    <n v="10"/>
    <n v="0"/>
    <n v="9.2299999999999993E-2"/>
    <x v="1"/>
    <x v="1"/>
    <n v="4871"/>
    <n v="42"/>
    <n v="9.2299999999999993E-2"/>
    <n v="3.8765999999999998"/>
  </r>
  <r>
    <s v="recNDrsEzd9eDVpjf"/>
    <s v="Arach filda - Agago | Lapono | Karenga water user's association Gardener"/>
    <n v="1"/>
    <s v="Melia, Gmelina, Ongono, Senna,"/>
    <d v="2022-08-22T00:00:00"/>
    <s v="Agago"/>
    <s v="Lapono"/>
    <n v="209"/>
    <n v="120"/>
    <n v="0"/>
    <n v="35"/>
    <n v="30"/>
    <n v="0"/>
    <n v="0"/>
    <n v="24"/>
    <n v="0"/>
    <n v="7.3400000000000007E-2"/>
    <x v="1"/>
    <x v="1"/>
    <n v="16142"/>
    <n v="46"/>
    <n v="7.3400000000000007E-2"/>
    <n v="3.3764000000000003"/>
  </r>
  <r>
    <s v="recyxKoFnoCDpI5V7"/>
    <s v="Ario Sam Sam - Omoro | Lalogi | Mak mukemi Gardener"/>
    <n v="1"/>
    <s v="Melia, Musizi, Ongono,"/>
    <d v="2022-06-02T00:00:00"/>
    <s v="Omoro"/>
    <s v="Lalogi"/>
    <n v="42"/>
    <n v="10"/>
    <n v="17"/>
    <n v="0"/>
    <n v="15"/>
    <n v="0"/>
    <n v="0"/>
    <n v="0"/>
    <n v="0"/>
    <n v="0.1019"/>
    <x v="1"/>
    <x v="1"/>
    <n v="34101"/>
    <n v="39"/>
    <n v="0.1019"/>
    <n v="3.9741"/>
  </r>
  <r>
    <s v="recopvpGqHFJZUyOk"/>
    <s v="Aromorach Kelvin - Agago | Kuywe | Kica ber Gardener"/>
    <n v="1"/>
    <s v="Melia,"/>
    <d v="2022-09-30T00:00:00"/>
    <s v="Agago"/>
    <s v="Kuywe"/>
    <n v="12"/>
    <n v="12"/>
    <n v="0"/>
    <n v="0"/>
    <n v="0"/>
    <n v="0"/>
    <n v="0"/>
    <n v="0"/>
    <n v="0"/>
    <n v="0.13420000000000001"/>
    <x v="1"/>
    <x v="1"/>
    <n v="30896"/>
    <n v="44"/>
    <n v="0.13420000000000001"/>
    <n v="5.9048000000000007"/>
  </r>
  <r>
    <s v="recQmszmtjGHhYDyk"/>
    <s v="AROMORACH NANCY - KIPAKRWOT"/>
    <n v="1"/>
    <s v="Melia, Gmelina,"/>
    <d v="2022-08-22T00:00:00"/>
    <s v="Individual Farmer"/>
    <s v="Individual Farmer"/>
    <n v="18"/>
    <n v="6"/>
    <n v="0"/>
    <n v="12"/>
    <n v="0"/>
    <n v="0"/>
    <n v="0"/>
    <n v="0"/>
    <n v="0"/>
    <n v="0.14080000000000001"/>
    <x v="1"/>
    <x v="1"/>
    <n v="6232"/>
    <n v="37"/>
    <n v="0.14080000000000001"/>
    <n v="5.2096"/>
  </r>
  <r>
    <s v="recYXkuaQUgMMCdjq"/>
    <s v="Aryemo Alice - Kitgum | Orom East | Watwero Gardener"/>
    <n v="1"/>
    <s v="Melia, Musizi,"/>
    <d v="2022-10-06T00:00:00"/>
    <s v="Kitgum"/>
    <s v="Orom East"/>
    <n v="400"/>
    <n v="200"/>
    <n v="200"/>
    <n v="0"/>
    <n v="0"/>
    <n v="0"/>
    <n v="0"/>
    <n v="0"/>
    <n v="0"/>
    <n v="0.31819999999999998"/>
    <x v="1"/>
    <x v="1"/>
    <n v="4308"/>
    <n v="37"/>
    <n v="0.31819999999999998"/>
    <n v="11.773399999999999"/>
  </r>
  <r>
    <s v="recxOzmWP7N8gsDUv"/>
    <s v="Aryemo Madite - Agago | Lapono | Peko ma poto atura - Gardener"/>
    <n v="1"/>
    <s v="Melia, Gmelina, Ongono, Senna,"/>
    <d v="2022-09-04T00:00:00"/>
    <s v="Agago"/>
    <s v="Lapono"/>
    <n v="52"/>
    <n v="10"/>
    <n v="0"/>
    <n v="2"/>
    <n v="20"/>
    <n v="0"/>
    <n v="0"/>
    <n v="20"/>
    <n v="0"/>
    <n v="1.7899999999999999E-2"/>
    <x v="1"/>
    <x v="1"/>
    <n v="14116"/>
    <n v="40"/>
    <n v="1.78E-2"/>
    <n v="0.71199999999999997"/>
  </r>
  <r>
    <s v="recm5DmSZh6qVm5DY"/>
    <s v="Aryemo santina - Agago | Lapono | Odong mon Gardener"/>
    <n v="1"/>
    <s v="Melia, Musizi, Ongono, Opok, Senna, Lebbek"/>
    <d v="2022-08-22T00:00:00"/>
    <s v="Agago"/>
    <s v="Lapono"/>
    <n v="218"/>
    <n v="80"/>
    <n v="15"/>
    <n v="0"/>
    <n v="55"/>
    <n v="0"/>
    <n v="3"/>
    <n v="60"/>
    <n v="5"/>
    <n v="0.1346"/>
    <x v="1"/>
    <x v="1"/>
    <n v="16712"/>
    <n v="41"/>
    <n v="0.1346"/>
    <n v="5.5186000000000002"/>
  </r>
  <r>
    <s v="recBleGR0ugsdI0i8"/>
    <s v="Ataro Silver - Agago | Lapono | Odong mon Gardener"/>
    <n v="1"/>
    <s v="Gmelina, Senna, Lebbek"/>
    <d v="2022-08-27T00:00:00"/>
    <s v="Agago"/>
    <s v="Lapono"/>
    <n v="55"/>
    <n v="0"/>
    <n v="0"/>
    <n v="10"/>
    <n v="0"/>
    <n v="0"/>
    <n v="0"/>
    <n v="30"/>
    <n v="15"/>
    <n v="2.18E-2"/>
    <x v="1"/>
    <x v="1"/>
    <n v="16712"/>
    <n v="41"/>
    <n v="2.18E-2"/>
    <n v="0.89380000000000004"/>
  </r>
  <r>
    <s v="recxjji1lDjh1NAtN"/>
    <s v="Ateny David - Agago | Lapono | Onen kuc Gardener"/>
    <n v="1"/>
    <s v="Melia, Musizi, Gmelina,"/>
    <d v="2022-11-30T00:00:00"/>
    <s v="Agago"/>
    <s v="Lapono"/>
    <n v="33"/>
    <n v="15"/>
    <n v="3"/>
    <n v="15"/>
    <n v="0"/>
    <n v="0"/>
    <n v="0"/>
    <n v="0"/>
    <n v="0"/>
    <n v="3.5999999999999997E-2"/>
    <x v="1"/>
    <x v="1"/>
    <n v="30546"/>
    <n v="47"/>
    <n v="3.5999999999999997E-2"/>
    <n v="1.6919999999999999"/>
  </r>
  <r>
    <s v="recPNqgnBMb9TL6Qw"/>
    <s v="Atim Hellen - Dongolo Ber"/>
    <n v="1"/>
    <s v="Melia, Gmelina, Ongono,"/>
    <d v="2022-08-22T00:00:00"/>
    <s v="Individual Farmer"/>
    <s v="Individual Farmer"/>
    <n v="28"/>
    <n v="1"/>
    <n v="0"/>
    <n v="7"/>
    <n v="20"/>
    <n v="0"/>
    <n v="0"/>
    <n v="0"/>
    <n v="0"/>
    <n v="0.2414"/>
    <x v="1"/>
    <x v="1"/>
    <n v="5449"/>
    <n v="34"/>
    <n v="0.13489999999999999"/>
    <n v="4.5865999999999998"/>
  </r>
  <r>
    <s v="recPNqgnBMb9TL6Qw"/>
    <s v="Atim Hellen - Dongolo Ber"/>
    <n v="1"/>
    <s v="Melia, Gmelina, Ongono,"/>
    <d v="2022-08-22T00:00:00"/>
    <s v="Individual Farmer"/>
    <s v="Individual Farmer"/>
    <n v="28"/>
    <n v="1"/>
    <n v="0"/>
    <n v="7"/>
    <n v="20"/>
    <n v="0"/>
    <n v="0"/>
    <n v="0"/>
    <n v="0"/>
    <n v="0.2414"/>
    <x v="1"/>
    <x v="1"/>
    <n v="5450"/>
    <n v="40"/>
    <n v="0.10639999999999999"/>
    <n v="4.2560000000000002"/>
  </r>
  <r>
    <s v="recTyHo7KL3jKb1e1"/>
    <s v="Atimamgo Christine - Agago | Paimol | Rubanga tek women's group - Gardener"/>
    <n v="1"/>
    <s v="Melia, Gmelina, Ongono,"/>
    <d v="2022-07-05T00:00:00"/>
    <s v="Agago"/>
    <s v="Paimol"/>
    <n v="170"/>
    <n v="50"/>
    <n v="0"/>
    <n v="70"/>
    <n v="50"/>
    <n v="0"/>
    <n v="0"/>
    <n v="0"/>
    <n v="0"/>
    <n v="3.2000000000000001E-2"/>
    <x v="1"/>
    <x v="1"/>
    <n v="33454"/>
    <n v="41"/>
    <n v="3.2099999999999997E-2"/>
    <n v="1.3160999999999998"/>
  </r>
  <r>
    <s v="rec8NN7nVMnYkgiVw"/>
    <s v="Atoo Catherine - Agago | Lapono | Onen kuc Gardener"/>
    <n v="1"/>
    <s v="Melia, Gmelina,"/>
    <d v="2022-07-30T00:00:00"/>
    <s v="Agago"/>
    <s v="Lapono"/>
    <n v="30"/>
    <n v="15"/>
    <n v="0"/>
    <n v="15"/>
    <n v="0"/>
    <n v="0"/>
    <n v="0"/>
    <n v="0"/>
    <n v="0"/>
    <n v="2.4899999999999999E-2"/>
    <x v="1"/>
    <x v="1"/>
    <n v="33897"/>
    <n v="44"/>
    <n v="2.5000000000000001E-2"/>
    <n v="1.1000000000000001"/>
  </r>
  <r>
    <s v="rec4aSddrXE1ROMH1"/>
    <s v="Atoo Nicholina - Kitgum | Orom East | Ribe aye lonyo - Gardener"/>
    <n v="1"/>
    <s v="Melia, Gmelina,"/>
    <d v="2022-07-18T00:00:00"/>
    <s v="Kitgum"/>
    <s v="Orom East"/>
    <n v="250"/>
    <n v="200"/>
    <n v="0"/>
    <n v="50"/>
    <n v="0"/>
    <n v="0"/>
    <n v="0"/>
    <n v="0"/>
    <n v="0"/>
    <n v="8.9599999999999999E-2"/>
    <x v="1"/>
    <x v="1"/>
    <n v="5052"/>
    <n v="42"/>
    <n v="8.9599999999999999E-2"/>
    <n v="3.7631999999999999"/>
  </r>
  <r>
    <s v="recqTqNvN2TmFIHNf"/>
    <s v="Atoo Nicholina - Kitgum | Orom East | Ribe aye lonyo - Gardener"/>
    <n v="1"/>
    <s v="Faidherbia,"/>
    <d v="2022-07-18T00:00:00"/>
    <s v="Kitgum"/>
    <s v="Orom East"/>
    <n v="265"/>
    <n v="0"/>
    <n v="0"/>
    <n v="0"/>
    <n v="0"/>
    <n v="265"/>
    <n v="0"/>
    <n v="0"/>
    <n v="0"/>
    <n v="0.18820000000000001"/>
    <x v="1"/>
    <x v="1"/>
    <n v="5052"/>
    <n v="42"/>
    <n v="0.18820000000000001"/>
    <n v="7.9043999999999999"/>
  </r>
  <r>
    <s v="recIf492CQOCBDRqd"/>
    <s v="Atoo Nicholina - Tim tek United"/>
    <n v="1"/>
    <s v="Gmelina,"/>
    <d v="2022-08-22T00:00:00"/>
    <s v="Individual Farmer"/>
    <s v="Individual Farmer"/>
    <n v="26"/>
    <n v="0"/>
    <n v="0"/>
    <n v="26"/>
    <n v="0"/>
    <n v="0"/>
    <n v="0"/>
    <n v="0"/>
    <n v="0"/>
    <n v="0.26300000000000001"/>
    <x v="1"/>
    <x v="1"/>
    <n v="5052"/>
    <n v="42"/>
    <n v="0.26300000000000001"/>
    <n v="11.046000000000001"/>
  </r>
  <r>
    <s v="recKBEngnpz7nGr0E"/>
    <s v="Atto Anna Maria - Agago | Paimol | Tem gumi - Gardener"/>
    <n v="1"/>
    <s v="Melia, Musizi, Gmelina, Ongono,"/>
    <d v="2022-07-29T00:00:00"/>
    <s v="Agago"/>
    <s v="Paimol"/>
    <n v="327"/>
    <n v="80"/>
    <n v="90"/>
    <n v="60"/>
    <n v="97"/>
    <n v="0"/>
    <n v="0"/>
    <n v="0"/>
    <n v="0"/>
    <n v="3.3300000000000003E-2"/>
    <x v="1"/>
    <x v="1"/>
    <n v="14272"/>
    <n v="43"/>
    <n v="3.3300000000000003E-2"/>
    <n v="1.4319000000000002"/>
  </r>
  <r>
    <s v="recRF5pNi3H1lrxSZ"/>
    <s v="Auma Juliana - Peko ma poto atura"/>
    <n v="1"/>
    <s v="Melia, Gmelina, Senna,"/>
    <d v="2022-08-22T00:00:00"/>
    <s v="Individual Farmer"/>
    <s v="Individual Farmer"/>
    <n v="7"/>
    <n v="2"/>
    <n v="0"/>
    <n v="2"/>
    <n v="0"/>
    <n v="0"/>
    <n v="0"/>
    <n v="3"/>
    <n v="0"/>
    <n v="3.1899999999999998E-2"/>
    <x v="1"/>
    <x v="1"/>
    <n v="16892"/>
    <n v="40"/>
    <n v="3.1899999999999998E-2"/>
    <n v="1.2759999999999998"/>
  </r>
  <r>
    <s v="reckcpUKVeILAMvvE"/>
    <s v="Auma Dorine - Odong Mon"/>
    <n v="1"/>
    <s v="Melia, Senna,"/>
    <d v="2022-08-22T00:00:00"/>
    <s v="Individual Farmer"/>
    <s v="Individual Farmer"/>
    <n v="8"/>
    <n v="7"/>
    <n v="0"/>
    <n v="0"/>
    <n v="0"/>
    <n v="0"/>
    <n v="0"/>
    <n v="1"/>
    <n v="0"/>
    <n v="7.1999999999999998E-3"/>
    <x v="1"/>
    <x v="1"/>
    <n v="16713"/>
    <n v="42"/>
    <n v="7.1999999999999998E-3"/>
    <n v="0.3024"/>
  </r>
  <r>
    <s v="recmF92xdIdRsssWf"/>
    <s v="Auma magrate - Agago | Kuywe | Gum anywala Gardener"/>
    <n v="1"/>
    <s v="Melia, Musizi, Gmelina,"/>
    <d v="2022-08-22T00:00:00"/>
    <s v="Agago"/>
    <s v="Kuywe"/>
    <n v="80"/>
    <n v="30"/>
    <n v="5"/>
    <n v="45"/>
    <n v="0"/>
    <n v="0"/>
    <n v="0"/>
    <n v="0"/>
    <n v="0"/>
    <n v="0.26140000000000002"/>
    <x v="1"/>
    <x v="1"/>
    <n v="14832"/>
    <n v="45"/>
    <n v="0.26190000000000002"/>
    <n v="11.785500000000001"/>
  </r>
  <r>
    <s v="recWnVcKD3ITdnjvS"/>
    <s v="Auma Magret - Tim tek United"/>
    <n v="1"/>
    <s v="Senna,"/>
    <d v="2022-08-22T00:00:00"/>
    <s v="Individual Farmer"/>
    <s v="Individual Farmer"/>
    <n v="6"/>
    <n v="0"/>
    <n v="0"/>
    <n v="0"/>
    <n v="0"/>
    <n v="0"/>
    <n v="0"/>
    <n v="6"/>
    <n v="0"/>
    <n v="0.1724"/>
    <x v="1"/>
    <x v="1"/>
    <n v="5052"/>
    <n v="42"/>
    <n v="0.1724"/>
    <n v="7.2408000000000001"/>
  </r>
  <r>
    <s v="rec87iRtfJklozcFG"/>
    <s v="Auma Mangorette - Kitgum | Orom East | Dongo Lobo ber Gardener"/>
    <n v="1"/>
    <s v="Melia, Gmelina, Ongono,"/>
    <d v="2022-08-27T00:00:00"/>
    <s v="Kitgum"/>
    <s v="Orom East"/>
    <n v="175"/>
    <n v="100"/>
    <n v="0"/>
    <n v="25"/>
    <n v="50"/>
    <n v="0"/>
    <n v="0"/>
    <n v="0"/>
    <n v="0"/>
    <n v="0.20499999999999999"/>
    <x v="1"/>
    <x v="1"/>
    <n v="5052"/>
    <n v="42"/>
    <n v="0.20499999999999999"/>
    <n v="8.61"/>
  </r>
  <r>
    <s v="reciM9fRhAdv3Qgyj"/>
    <s v="Auma Mangorette Ekille - Kitgum | Orom East | Dongo Lobo ber Gardener"/>
    <n v="1"/>
    <s v="Melia, Gmelina, Ongono, Faidherbia, Senna, Lebbek"/>
    <d v="2022-08-25T00:00:00"/>
    <s v="Kitgum"/>
    <s v="Orom East"/>
    <n v="330"/>
    <n v="100"/>
    <n v="0"/>
    <n v="50"/>
    <n v="50"/>
    <n v="50"/>
    <n v="0"/>
    <n v="50"/>
    <n v="30"/>
    <n v="0.34760000000000002"/>
    <x v="1"/>
    <x v="1"/>
    <n v="5228"/>
    <n v="39"/>
    <n v="0.34760000000000002"/>
    <n v="13.5564"/>
  </r>
  <r>
    <s v="rec3VcmimyDLNdyBK"/>
    <s v="Auma Paska - Agago | Lapono | Onen kuc Gardener"/>
    <n v="1"/>
    <s v="Melia, Gmelina,"/>
    <d v="2022-08-22T00:00:00"/>
    <s v="Individual Farmer"/>
    <s v="Individual Farmer"/>
    <n v="8"/>
    <n v="3"/>
    <n v="0"/>
    <n v="5"/>
    <n v="0"/>
    <n v="0"/>
    <n v="0"/>
    <n v="0"/>
    <n v="0"/>
    <n v="2.3E-2"/>
    <x v="1"/>
    <x v="1"/>
    <n v="17308"/>
    <n v="43"/>
    <n v="2.3E-2"/>
    <n v="0.98899999999999999"/>
  </r>
  <r>
    <s v="recKQnzmBGQjYEz0M"/>
    <s v="Auma Rose - Agago | Lapono | Akem kwene farmer's group Gardener"/>
    <n v="1"/>
    <s v="Melia, Gmelina, Senna,"/>
    <d v="2022-08-22T00:00:00"/>
    <s v="Agago"/>
    <s v="Lapono"/>
    <n v="70"/>
    <n v="40"/>
    <n v="0"/>
    <n v="20"/>
    <n v="0"/>
    <n v="0"/>
    <n v="0"/>
    <n v="10"/>
    <n v="0"/>
    <n v="1.66E-2"/>
    <x v="1"/>
    <x v="1"/>
    <n v="17077"/>
    <n v="36"/>
    <n v="1.66E-2"/>
    <n v="0.59760000000000002"/>
  </r>
  <r>
    <s v="recbc2ZOzaSLZWjEF"/>
    <s v="Auma scovia - Agago | Kuywe | Ogen rwot Gardener"/>
    <n v="1"/>
    <s v="Melia, Gmelina,"/>
    <d v="2022-08-16T00:00:00"/>
    <s v="Agago"/>
    <s v="Kuywe"/>
    <n v="150"/>
    <n v="65"/>
    <n v="0"/>
    <n v="85"/>
    <n v="0"/>
    <n v="0"/>
    <n v="0"/>
    <n v="0"/>
    <n v="0"/>
    <n v="3.0800000000000001E-2"/>
    <x v="1"/>
    <x v="1"/>
    <n v="16892"/>
    <n v="40"/>
    <n v="3.0800000000000001E-2"/>
    <n v="1.232"/>
  </r>
  <r>
    <s v="rec2W6KlJZ0Dma9qL"/>
    <s v="Aunu Flo - Omoro | Lalogi | Mak mukemi Gardener"/>
    <n v="1"/>
    <s v="Melia,"/>
    <d v="2022-07-19T00:00:00"/>
    <s v="Omoro"/>
    <s v="Lalogi"/>
    <n v="27"/>
    <n v="27"/>
    <n v="0"/>
    <n v="0"/>
    <n v="0"/>
    <n v="0"/>
    <n v="0"/>
    <n v="0"/>
    <n v="0"/>
    <n v="9.11E-2"/>
    <x v="1"/>
    <x v="1"/>
    <n v="14646"/>
    <n v="41"/>
    <n v="9.11E-2"/>
    <n v="3.7351000000000001"/>
  </r>
  <r>
    <s v="rec9PSjQ5CQ37Bd5M"/>
    <s v="Awongo Nelson - Agago | Patongo | God the provider Gardener"/>
    <n v="1"/>
    <s v="Melia, Musizi, Gmelina, Senna,"/>
    <d v="2022-07-29T00:00:00"/>
    <s v="Agago"/>
    <s v="Patongo"/>
    <n v="289"/>
    <n v="99"/>
    <n v="44"/>
    <n v="79"/>
    <n v="0"/>
    <n v="0"/>
    <n v="0"/>
    <n v="67"/>
    <n v="0"/>
    <n v="0.23519999999999999"/>
    <x v="1"/>
    <x v="1"/>
    <n v="23544"/>
    <n v="41"/>
    <n v="0.23519999999999999"/>
    <n v="9.6432000000000002"/>
  </r>
  <r>
    <s v="recBXz1vZbTlAggyZ"/>
    <s v="Awor Christine - Agago | | Individual Farmer Gardener"/>
    <n v="1"/>
    <s v="Melia,"/>
    <d v="2022-10-18T00:00:00"/>
    <s v="Agago"/>
    <s v="Individual Farmer"/>
    <n v="450"/>
    <n v="450"/>
    <n v="0"/>
    <n v="0"/>
    <n v="0"/>
    <n v="0"/>
    <n v="0"/>
    <n v="0"/>
    <n v="0"/>
    <n v="0.20419999999999999"/>
    <x v="1"/>
    <x v="1"/>
    <n v="34332"/>
    <n v="21"/>
    <n v="0.20349999999999999"/>
    <n v="4.2734999999999994"/>
  </r>
  <r>
    <s v="rec3o4gbkJm8mqmVN"/>
    <s v="Ayaa irine - Agago | Kuywe | Yub paco ni Gardener"/>
    <n v="1"/>
    <s v="Melia, Gmelina,"/>
    <d v="2022-07-20T00:00:00"/>
    <s v="Agago"/>
    <s v="Kuywe"/>
    <n v="80"/>
    <n v="40"/>
    <n v="0"/>
    <n v="40"/>
    <n v="0"/>
    <n v="0"/>
    <n v="0"/>
    <n v="0"/>
    <n v="0"/>
    <n v="0.13320000000000001"/>
    <x v="1"/>
    <x v="1"/>
    <n v="14832"/>
    <n v="45"/>
    <n v="0.13320000000000001"/>
    <n v="5.9940000000000007"/>
  </r>
  <r>
    <s v="rec3eV8prO5lI8ZfZ"/>
    <s v="AYAA VICKY - Kipakrwot"/>
    <n v="1"/>
    <s v="Musizi, Gmelina,"/>
    <d v="2022-08-22T00:00:00"/>
    <s v="Individual Farmer"/>
    <s v="Individual Farmer"/>
    <n v="17"/>
    <n v="0"/>
    <n v="1"/>
    <n v="16"/>
    <n v="0"/>
    <n v="0"/>
    <n v="0"/>
    <n v="0"/>
    <n v="0"/>
    <n v="0.12479999999999999"/>
    <x v="1"/>
    <x v="1"/>
    <n v="6035"/>
    <n v="46"/>
    <n v="0.12479999999999999"/>
    <n v="5.7408000000000001"/>
  </r>
  <r>
    <s v="reczCoVj0Dl1M7OIU"/>
    <s v="Ayela grace - Agago | Adilang | Tam piwa Gardener"/>
    <n v="1"/>
    <s v="Melia, Gmelina, Ongono, Lebbek"/>
    <d v="2022-08-22T00:00:00"/>
    <s v="Agago"/>
    <s v="Adilang"/>
    <n v="187"/>
    <n v="50"/>
    <n v="0"/>
    <n v="30"/>
    <n v="100"/>
    <n v="0"/>
    <n v="0"/>
    <n v="0"/>
    <n v="7"/>
    <n v="3.8300000000000001E-2"/>
    <x v="1"/>
    <x v="1"/>
    <n v="23496"/>
    <n v="47"/>
    <n v="3.8300000000000001E-2"/>
    <n v="1.8001"/>
  </r>
  <r>
    <s v="reckC334DWhIlY5y7"/>
    <s v="Ayela Patrick chua - Agago | Kuywe | Ogen rwot Gardener"/>
    <n v="1"/>
    <s v="Melia, Musizi, Gmelina, Faidherbia, Senna, Lebbek"/>
    <d v="2022-07-10T00:00:00"/>
    <s v="Agago"/>
    <s v="Kuywe"/>
    <n v="380"/>
    <n v="160"/>
    <n v="10"/>
    <n v="40"/>
    <n v="0"/>
    <n v="60"/>
    <n v="0"/>
    <n v="100"/>
    <n v="10"/>
    <n v="0.50409999999999999"/>
    <x v="1"/>
    <x v="1"/>
    <n v="14477"/>
    <n v="48"/>
    <n v="0.50409999999999999"/>
    <n v="24.1968"/>
  </r>
  <r>
    <s v="rectAU6ihlsSDWCXv"/>
    <s v="Ayella celsio - Agago | Lapono | Karenga water user's association Gardener"/>
    <n v="1"/>
    <s v="Melia, Gmelina, Ongono, Senna,"/>
    <d v="2022-08-22T00:00:00"/>
    <s v="Agago"/>
    <s v="Lapono"/>
    <n v="194"/>
    <n v="105"/>
    <n v="0"/>
    <n v="35"/>
    <n v="30"/>
    <n v="0"/>
    <n v="0"/>
    <n v="24"/>
    <n v="0"/>
    <n v="0.12809999999999999"/>
    <x v="1"/>
    <x v="1"/>
    <n v="16142"/>
    <n v="46"/>
    <n v="0.12809999999999999"/>
    <n v="5.8925999999999998"/>
  </r>
  <r>
    <s v="recWJQnzAazpPFU3t"/>
    <s v="Ayella Charles - Agago | Lukole | Ripe Gardener"/>
    <n v="1"/>
    <s v="Melia, Musizi, Gmelina, Senna,"/>
    <d v="2022-08-22T00:00:00"/>
    <s v="Agago"/>
    <s v="Lukole"/>
    <n v="482"/>
    <n v="300"/>
    <n v="36"/>
    <n v="46"/>
    <n v="0"/>
    <n v="0"/>
    <n v="0"/>
    <n v="100"/>
    <n v="0"/>
    <n v="0.18310000000000001"/>
    <x v="1"/>
    <x v="1"/>
    <n v="19038"/>
    <n v="37"/>
    <n v="0.18310000000000001"/>
    <n v="6.7747000000000002"/>
  </r>
  <r>
    <s v="rec31hfxo2yXDNnMT"/>
    <s v="Ayella Richard - Agago | | Individual Farmer Gardener"/>
    <n v="1"/>
    <s v="Melia, Musizi, Gmelina, Faidherbia, Opok,"/>
    <d v="1945-06-18T00:00:00"/>
    <s v="Agago"/>
    <s v="Individual Farmer"/>
    <n v="338"/>
    <n v="90"/>
    <n v="120"/>
    <n v="23"/>
    <n v="0"/>
    <n v="100"/>
    <n v="5"/>
    <n v="0"/>
    <n v="0"/>
    <n v="0.43140000000000001"/>
    <x v="1"/>
    <x v="1"/>
    <n v="14477"/>
    <n v="48"/>
    <n v="0.43140000000000001"/>
    <n v="20.7072"/>
  </r>
  <r>
    <s v="recVlKnCKwSHZAW4z"/>
    <s v="Ayo Betty - Agago | Adilang | Tam piwa Gardener"/>
    <n v="1"/>
    <s v="Melia, Gmelina,"/>
    <d v="2022-08-22T00:00:00"/>
    <s v="Agago"/>
    <s v="Adilang"/>
    <n v="130"/>
    <n v="80"/>
    <n v="0"/>
    <n v="50"/>
    <n v="0"/>
    <n v="0"/>
    <n v="0"/>
    <n v="0"/>
    <n v="0"/>
    <n v="3.73E-2"/>
    <x v="1"/>
    <x v="1"/>
    <n v="23496"/>
    <n v="47"/>
    <n v="3.73E-2"/>
    <n v="1.7530999999999999"/>
  </r>
  <r>
    <s v="recwEXjB3Yj3Tj7X2"/>
    <s v="Ayo Maracella - Peko ma poto atura"/>
    <n v="1"/>
    <s v="Melia,"/>
    <d v="2022-08-22T00:00:00"/>
    <s v="Individual Farmer"/>
    <s v="Individual Farmer"/>
    <n v="1"/>
    <n v="1"/>
    <n v="0"/>
    <n v="0"/>
    <n v="0"/>
    <n v="0"/>
    <n v="0"/>
    <n v="0"/>
    <n v="0"/>
    <n v="2.7000000000000001E-3"/>
    <x v="1"/>
    <x v="1"/>
    <n v="16892"/>
    <n v="40"/>
    <n v="2.7000000000000001E-3"/>
    <n v="0.10800000000000001"/>
  </r>
  <r>
    <s v="reccmNAoYNCBUOeGH"/>
    <s v="Ayoo rose - Agago | Lapono | Peko ma poto atura - Gardener"/>
    <n v="1"/>
    <s v="Melia, Gmelina, Senna,"/>
    <d v="2022-08-22T00:00:00"/>
    <s v="Agago"/>
    <s v="Lapono"/>
    <n v="51"/>
    <n v="23"/>
    <n v="0"/>
    <n v="2"/>
    <n v="0"/>
    <n v="0"/>
    <n v="0"/>
    <n v="26"/>
    <n v="0"/>
    <n v="5.5800000000000002E-2"/>
    <x v="1"/>
    <x v="1"/>
    <n v="16892"/>
    <n v="40"/>
    <n v="5.5800000000000002E-2"/>
    <n v="2.2320000000000002"/>
  </r>
  <r>
    <s v="recCEkpQwvUqLMH3t"/>
    <s v="Ayoo santa - Agago | Lapono | Akem kwene farmer's group Gardener"/>
    <n v="1"/>
    <s v="Melia, Gmelina,"/>
    <d v="2022-08-15T00:00:00"/>
    <s v="Agago"/>
    <s v="Lapono"/>
    <n v="100"/>
    <n v="80"/>
    <n v="0"/>
    <n v="20"/>
    <n v="0"/>
    <n v="0"/>
    <n v="0"/>
    <n v="0"/>
    <n v="0"/>
    <n v="9.06E-2"/>
    <x v="1"/>
    <x v="1"/>
    <n v="17872"/>
    <n v="34"/>
    <n v="9.06E-2"/>
    <n v="3.0804"/>
  </r>
  <r>
    <s v="recvbLDErCqkhKtF0"/>
    <s v="Ayoo santa - Agago | Lapono | Akem kwene farmer's group Gardener"/>
    <n v="1"/>
    <s v="Melia, Gmelina, Senna,"/>
    <d v="2022-07-25T00:00:00"/>
    <s v="Agago"/>
    <s v="Lapono"/>
    <n v="72"/>
    <n v="50"/>
    <n v="0"/>
    <n v="20"/>
    <n v="0"/>
    <n v="0"/>
    <n v="0"/>
    <n v="2"/>
    <n v="0"/>
    <n v="8.9800000000000005E-2"/>
    <x v="1"/>
    <x v="1"/>
    <n v="33454"/>
    <n v="41"/>
    <n v="8.9800000000000005E-2"/>
    <n v="3.6818000000000004"/>
  </r>
  <r>
    <s v="recr8oJWeLvIBbwAh"/>
    <s v="Ayoo sisilia - Agago | Lapono | Karenga water user's association Gardener"/>
    <n v="1"/>
    <s v="Melia, Gmelina, Senna,"/>
    <d v="2022-08-22T00:00:00"/>
    <s v="Agago"/>
    <s v="Lapono"/>
    <n v="125"/>
    <n v="90"/>
    <n v="0"/>
    <n v="20"/>
    <n v="0"/>
    <n v="0"/>
    <n v="0"/>
    <n v="15"/>
    <n v="0"/>
    <n v="1.26E-2"/>
    <x v="1"/>
    <x v="1"/>
    <n v="16142"/>
    <n v="46"/>
    <n v="1.26E-2"/>
    <n v="0.5796"/>
  </r>
  <r>
    <s v="recGNqmeNnwzdymN3"/>
    <s v="Ayoo sofia - Agago | Paimol | Rubanga tek women's group - Gardener"/>
    <n v="1"/>
    <s v="Gmelina, Faidherbia,"/>
    <d v="2022-05-12T00:00:00"/>
    <s v="Agago"/>
    <s v="Paimol"/>
    <n v="105"/>
    <n v="0"/>
    <n v="0"/>
    <n v="60"/>
    <n v="0"/>
    <n v="45"/>
    <n v="0"/>
    <n v="0"/>
    <n v="0"/>
    <n v="2.53E-2"/>
    <x v="1"/>
    <x v="1"/>
    <n v="17265"/>
    <n v="33"/>
    <n v="2.6100000000000002E-2"/>
    <n v="0.86130000000000007"/>
  </r>
  <r>
    <s v="recrAPbCWSjpQY5fk"/>
    <s v="Ayoo vicky - Agago | Adilang | Can lit Gardener"/>
    <n v="1"/>
    <s v="Melia, Musizi,"/>
    <d v="2022-08-03T00:00:00"/>
    <s v="Agago"/>
    <s v="Adilang"/>
    <n v="100"/>
    <n v="50"/>
    <n v="50"/>
    <n v="0"/>
    <n v="0"/>
    <n v="0"/>
    <n v="0"/>
    <n v="0"/>
    <n v="0"/>
    <n v="0.1353"/>
    <x v="1"/>
    <x v="1"/>
    <n v="23326"/>
    <n v="46"/>
    <n v="0.1353"/>
    <n v="6.2237999999999998"/>
  </r>
  <r>
    <s v="recU5Z62wBem1cQjU"/>
    <s v="Charles Okello - Karenga water user kaket"/>
    <n v="1"/>
    <s v="Melia, Gmelina, Senna,"/>
    <d v="2022-08-22T00:00:00"/>
    <s v="Individual Farmer"/>
    <s v="Individual Farmer"/>
    <n v="23"/>
    <n v="18"/>
    <n v="0"/>
    <n v="3"/>
    <n v="0"/>
    <n v="0"/>
    <n v="0"/>
    <n v="2"/>
    <n v="0"/>
    <n v="4.41E-2"/>
    <x v="1"/>
    <x v="1"/>
    <n v="16142"/>
    <n v="46"/>
    <n v="4.41E-2"/>
    <n v="2.0286"/>
  </r>
  <r>
    <s v="rechApAO1gOmmesDX"/>
    <s v="Clik Franco Denis - Agago | | Individual Farmer Gardener"/>
    <n v="1"/>
    <s v="Melia,"/>
    <d v="2022-08-15T00:00:00"/>
    <s v="Agago"/>
    <s v="Individual Farmer"/>
    <n v="70"/>
    <n v="70"/>
    <n v="0"/>
    <n v="0"/>
    <n v="0"/>
    <n v="0"/>
    <n v="0"/>
    <n v="0"/>
    <n v="0"/>
    <n v="5.1000000000000004E-3"/>
    <x v="1"/>
    <x v="1"/>
    <n v="23111"/>
    <n v="39"/>
    <n v="5.1000000000000004E-3"/>
    <n v="0.19890000000000002"/>
  </r>
  <r>
    <s v="recNSWSeudxakB6hd"/>
    <s v="Clips Francis Denis - Agago | | Individual Farmer Gardener"/>
    <n v="1"/>
    <s v="Melia,"/>
    <d v="2022-08-05T00:00:00"/>
    <s v="Agago"/>
    <s v="Individual Farmer"/>
    <n v="65"/>
    <n v="65"/>
    <n v="0"/>
    <n v="0"/>
    <n v="0"/>
    <n v="0"/>
    <n v="0"/>
    <n v="0"/>
    <n v="0"/>
    <n v="0"/>
    <x v="1"/>
    <x v="1"/>
    <n v="23545"/>
    <n v="40"/>
    <n v="1E-4"/>
    <n v="4.0000000000000001E-3"/>
  </r>
  <r>
    <s v="recnm0FXSC4tzofwo"/>
    <s v="Dhh Rhh - Omoro | Lalogi | Acek ki kwene - Gardener"/>
    <n v="1"/>
    <s v="Melia,"/>
    <d v="2022-09-06T00:00:00"/>
    <s v="Omoro"/>
    <s v="Lalogi"/>
    <n v="600"/>
    <n v="600"/>
    <n v="0"/>
    <n v="0"/>
    <n v="0"/>
    <n v="0"/>
    <n v="0"/>
    <n v="0"/>
    <n v="0"/>
    <n v="6.6299999999999998E-2"/>
    <x v="1"/>
    <x v="1"/>
    <n v="35866"/>
    <n v="46"/>
    <n v="6.6299999999999998E-2"/>
    <n v="3.0497999999999998"/>
  </r>
  <r>
    <s v="reccJ0M5DXh80IGhi"/>
    <s v="Dorina okoda - Agago | Kuywe | Yub paco ni Gardener"/>
    <n v="1"/>
    <s v="Melia, Musizi, Gmelina, Senna,"/>
    <d v="2022-08-24T00:00:00"/>
    <s v="Agago"/>
    <s v="Kuywe"/>
    <n v="138"/>
    <n v="60"/>
    <n v="3"/>
    <n v="45"/>
    <n v="0"/>
    <n v="0"/>
    <n v="0"/>
    <n v="30"/>
    <n v="0"/>
    <n v="0.23810000000000001"/>
    <x v="1"/>
    <x v="1"/>
    <n v="21989"/>
    <n v="46"/>
    <n v="4.65E-2"/>
    <n v="2.1389999999999998"/>
  </r>
  <r>
    <s v="reccJ0M5DXh80IGhi"/>
    <s v="Dorina okoda - Agago | Kuywe | Yub paco ni Gardener"/>
    <n v="1"/>
    <s v="Melia, Musizi, Gmelina, Senna,"/>
    <d v="2022-08-24T00:00:00"/>
    <s v="Agago"/>
    <s v="Kuywe"/>
    <n v="138"/>
    <n v="60"/>
    <n v="3"/>
    <n v="45"/>
    <n v="0"/>
    <n v="0"/>
    <n v="0"/>
    <n v="30"/>
    <n v="0"/>
    <n v="0.23810000000000001"/>
    <x v="1"/>
    <x v="1"/>
    <n v="22057"/>
    <n v="44"/>
    <n v="0.1915"/>
    <n v="8.4260000000000002"/>
  </r>
  <r>
    <s v="recIOKQbSsT2pRXb4"/>
    <s v="Eddy Abiriga - Agago | Kuywe | Kica ber Gardener"/>
    <n v="1"/>
    <s v="Melia,"/>
    <d v="2022-10-05T00:00:00"/>
    <s v="Agago"/>
    <s v="Kuywe"/>
    <n v="30"/>
    <n v="30"/>
    <n v="0"/>
    <n v="0"/>
    <n v="0"/>
    <n v="0"/>
    <n v="0"/>
    <n v="0"/>
    <n v="0"/>
    <n v="0.2339"/>
    <x v="1"/>
    <x v="1"/>
    <n v="14832"/>
    <n v="45"/>
    <n v="0.2339"/>
    <n v="10.525499999999999"/>
  </r>
  <r>
    <s v="rec4wIdFTpyYqrYbo"/>
    <s v="Etia lamson - Agago | Patongo | God the provider Gardener"/>
    <n v="1"/>
    <s v="Melia, Musizi, Gmelina, Senna,"/>
    <d v="2022-04-24T00:00:00"/>
    <s v="Agago"/>
    <s v="Patongo"/>
    <n v="554"/>
    <n v="230"/>
    <n v="75"/>
    <n v="143"/>
    <n v="0"/>
    <n v="0"/>
    <n v="0"/>
    <n v="106"/>
    <n v="0"/>
    <n v="0.20069999999999999"/>
    <x v="1"/>
    <x v="1"/>
    <n v="23544"/>
    <n v="41"/>
    <n v="0.20069999999999999"/>
    <n v="8.2286999999999999"/>
  </r>
  <r>
    <s v="recstPsAcpJ08SOJI"/>
    <s v="Ewai Gerald - Agago | Patongo | God the provider Gardener"/>
    <n v="1"/>
    <s v="Gmelina,"/>
    <d v="2022-05-10T00:00:00"/>
    <s v="Agago"/>
    <s v="Patongo"/>
    <n v="86"/>
    <n v="0"/>
    <n v="0"/>
    <n v="86"/>
    <n v="0"/>
    <n v="0"/>
    <n v="0"/>
    <n v="0"/>
    <n v="0"/>
    <n v="0.14399999999999999"/>
    <x v="1"/>
    <x v="1"/>
    <n v="23544"/>
    <n v="41"/>
    <n v="0.14399999999999999"/>
    <n v="5.9039999999999999"/>
  </r>
  <r>
    <s v="reckyKWpdpcINxayb"/>
    <s v="Ewai John Bosco - Agago | Patongo | God the provider Gardener"/>
    <n v="1"/>
    <s v="Melia, Musizi, Gmelina, Ongono, Senna,"/>
    <d v="2022-06-14T00:00:00"/>
    <s v="Agago"/>
    <s v="Patongo"/>
    <n v="445"/>
    <n v="120"/>
    <n v="50"/>
    <n v="100"/>
    <n v="100"/>
    <n v="0"/>
    <n v="0"/>
    <n v="75"/>
    <n v="0"/>
    <n v="0.64170000000000005"/>
    <x v="1"/>
    <x v="1"/>
    <n v="23544"/>
    <n v="41"/>
    <n v="0.64170000000000005"/>
    <n v="26.309700000000003"/>
  </r>
  <r>
    <s v="recd9kX2EkkpeqlzJ"/>
    <s v="Ewoi Innocent - Agago | Patongo | God the provider Gardener"/>
    <n v="1"/>
    <s v="Melia, Musizi, Gmelina, Senna,"/>
    <d v="2022-11-24T00:00:00"/>
    <s v="Agago"/>
    <s v="Patongo"/>
    <n v="150"/>
    <n v="40"/>
    <n v="30"/>
    <n v="40"/>
    <n v="0"/>
    <n v="0"/>
    <n v="0"/>
    <n v="40"/>
    <n v="0"/>
    <n v="0.1221"/>
    <x v="1"/>
    <x v="1"/>
    <n v="23544"/>
    <n v="41"/>
    <n v="0.1221"/>
    <n v="5.0061"/>
  </r>
  <r>
    <s v="recRqVuECtrsYEZ1c"/>
    <s v="Hggg - Agago | Paimol | Paco matek cung ki bulu - Gardener"/>
    <n v="1"/>
    <s v="Melia, Gmelina,"/>
    <d v="2022-10-18T00:00:00"/>
    <s v="Agago"/>
    <s v="Paimol"/>
    <n v="152"/>
    <n v="52"/>
    <n v="0"/>
    <n v="100"/>
    <n v="0"/>
    <n v="0"/>
    <n v="0"/>
    <n v="0"/>
    <n v="0"/>
    <n v="2.63E-2"/>
    <x v="1"/>
    <x v="1"/>
    <n v="25241"/>
    <n v="21"/>
    <n v="2.63E-2"/>
    <n v="0.55230000000000001"/>
  </r>
  <r>
    <s v="rectQINFOVD5h1bsI"/>
    <s v="Joyce Laker - Note ber"/>
    <n v="1"/>
    <s v="Melia, Musizi, Gmelina, Ongono, Opok, Lebbek"/>
    <d v="2022-08-22T00:00:00"/>
    <s v="Individual Farmer"/>
    <s v="Individual Farmer"/>
    <n v="245"/>
    <n v="20"/>
    <n v="20"/>
    <n v="50"/>
    <n v="100"/>
    <n v="0"/>
    <n v="5"/>
    <n v="0"/>
    <n v="50"/>
    <n v="2.2000000000000001E-3"/>
    <x v="1"/>
    <x v="1"/>
    <n v="21090"/>
    <n v="40"/>
    <n v="2.2000000000000001E-3"/>
    <n v="8.8000000000000009E-2"/>
  </r>
  <r>
    <s v="recb4N1DLVzQRu4j3"/>
    <s v="Kiboto Malan Julius - Agago | Adilang | Labwo seeds community association Gardener"/>
    <n v="1"/>
    <s v="Melia, Gmelina,"/>
    <d v="2022-07-09T00:00:00"/>
    <s v="Agago"/>
    <s v="Adilang"/>
    <n v="150"/>
    <n v="15"/>
    <n v="0"/>
    <n v="135"/>
    <n v="0"/>
    <n v="0"/>
    <n v="0"/>
    <n v="0"/>
    <n v="0"/>
    <n v="6.0900000000000003E-2"/>
    <x v="1"/>
    <x v="1"/>
    <n v="23499"/>
    <n v="45"/>
    <n v="6.0900000000000003E-2"/>
    <n v="2.7404999999999999"/>
  </r>
  <r>
    <s v="rec9YCUXnQ35yNpcP"/>
    <s v="Kilama Joseph - Agago | Lukole | Ripe Gardener"/>
    <n v="1"/>
    <s v="Musizi, Gmelina,"/>
    <d v="2022-09-15T00:00:00"/>
    <s v="Agago"/>
    <s v="Lukole"/>
    <n v="138"/>
    <n v="0"/>
    <n v="63"/>
    <n v="75"/>
    <n v="0"/>
    <n v="0"/>
    <n v="0"/>
    <n v="0"/>
    <n v="0"/>
    <n v="0.1048"/>
    <x v="1"/>
    <x v="1"/>
    <n v="19038"/>
    <n v="37"/>
    <n v="0.1048"/>
    <n v="3.8776000000000002"/>
  </r>
  <r>
    <s v="recgK9X2YxIXlQ83S"/>
    <s v="Kilama kenneth - Agago | Paimol | Lacwec konya - Gardener"/>
    <n v="1"/>
    <s v="Melia, Musizi,"/>
    <d v="1991-05-03T00:00:00"/>
    <s v="Agago"/>
    <s v="Paimol"/>
    <n v="506"/>
    <n v="350"/>
    <n v="156"/>
    <n v="0"/>
    <n v="0"/>
    <n v="0"/>
    <n v="0"/>
    <n v="0"/>
    <n v="0"/>
    <n v="0.54990000000000006"/>
    <x v="1"/>
    <x v="1"/>
    <n v="14492"/>
    <n v="42"/>
    <n v="0.54990000000000006"/>
    <n v="23.095800000000004"/>
  </r>
  <r>
    <s v="recaQNt145Kqj4eFo"/>
    <s v="Kilama methew - Agago | Kuywe | Gum anywala Gardener"/>
    <n v="1"/>
    <s v="Musizi, Gmelina,"/>
    <d v="2022-05-15T00:00:00"/>
    <s v="Agago"/>
    <s v="Kuywe"/>
    <n v="42"/>
    <n v="0"/>
    <n v="12"/>
    <n v="30"/>
    <n v="0"/>
    <n v="0"/>
    <n v="0"/>
    <n v="0"/>
    <n v="0"/>
    <n v="0.1847"/>
    <x v="1"/>
    <x v="1"/>
    <n v="14285"/>
    <n v="41"/>
    <n v="0.1847"/>
    <n v="7.5727000000000002"/>
  </r>
  <r>
    <s v="recPSw76Lov7bkjXR"/>
    <s v="Kinyera David - Agago | Lukole | Ripe Gardener"/>
    <n v="1"/>
    <s v="Melia,"/>
    <d v="2022-10-15T00:00:00"/>
    <s v="Agago"/>
    <s v="Lukole"/>
    <n v="150"/>
    <n v="150"/>
    <n v="0"/>
    <n v="0"/>
    <n v="0"/>
    <n v="0"/>
    <n v="0"/>
    <n v="0"/>
    <n v="0"/>
    <n v="7.1199999999999999E-2"/>
    <x v="1"/>
    <x v="1"/>
    <n v="19038"/>
    <n v="37"/>
    <n v="7.1199999999999999E-2"/>
    <n v="2.6343999999999999"/>
  </r>
  <r>
    <s v="recZXPcxs5IfAk7Je"/>
    <s v="Kinyera ISSA - Agago | Lukole | Nen anyim Gardener"/>
    <n v="1"/>
    <s v="Melia, Musizi, Gmelina, Ongono, Senna,"/>
    <d v="2022-06-10T00:00:00"/>
    <s v="Agago"/>
    <s v="Lukole"/>
    <n v="605"/>
    <n v="215"/>
    <n v="50"/>
    <n v="75"/>
    <n v="125"/>
    <n v="0"/>
    <n v="0"/>
    <n v="140"/>
    <n v="0"/>
    <n v="0.2364"/>
    <x v="1"/>
    <x v="1"/>
    <n v="18443"/>
    <n v="43"/>
    <n v="0.2364"/>
    <n v="10.1652"/>
  </r>
  <r>
    <s v="recpie4xf4UJjhoNb"/>
    <s v="Kinyera Paul - Kitgum | Orom East | Atek ki lwak - Gardener"/>
    <n v="1"/>
    <s v="Melia, Gmelina, Ongono, Faidherbia, Senna,"/>
    <d v="2022-09-19T00:00:00"/>
    <s v="Kitgum"/>
    <s v="Orom East"/>
    <n v="300"/>
    <n v="100"/>
    <n v="0"/>
    <n v="50"/>
    <n v="50"/>
    <n v="50"/>
    <n v="0"/>
    <n v="50"/>
    <n v="0"/>
    <n v="9.6500000000000002E-2"/>
    <x v="1"/>
    <x v="1"/>
    <n v="4871"/>
    <n v="42"/>
    <n v="9.6500000000000002E-2"/>
    <n v="4.0529999999999999"/>
  </r>
  <r>
    <s v="recebUbBghgXM7vaM"/>
    <s v="Kiyera john - Agago | Adilang | Nyiki Nyiki farmer's group Gardener"/>
    <n v="1"/>
    <s v="Gmelina,"/>
    <d v="2022-05-11T00:00:00"/>
    <s v="Agago"/>
    <s v="Adilang"/>
    <n v="25"/>
    <n v="0"/>
    <n v="0"/>
    <n v="25"/>
    <n v="0"/>
    <n v="0"/>
    <n v="0"/>
    <n v="0"/>
    <n v="0"/>
    <n v="3.2899999999999999E-2"/>
    <x v="1"/>
    <x v="1"/>
    <n v="22554"/>
    <n v="43"/>
    <n v="3.2899999999999999E-2"/>
    <n v="1.4146999999999998"/>
  </r>
  <r>
    <s v="rec8bdtDIIbfjjTUC"/>
    <s v="Komakech bosco - Agago | Lapono | Wagwoko lim Gardener"/>
    <n v="1"/>
    <s v="Melia, Gmelina,"/>
    <d v="2022-08-22T00:00:00"/>
    <s v="Agago"/>
    <s v="Lapono"/>
    <n v="235"/>
    <n v="115"/>
    <n v="0"/>
    <n v="120"/>
    <n v="0"/>
    <n v="0"/>
    <n v="0"/>
    <n v="0"/>
    <n v="0"/>
    <n v="0.1429"/>
    <x v="1"/>
    <x v="1"/>
    <n v="16899"/>
    <n v="31"/>
    <n v="0.1429"/>
    <n v="4.4298999999999999"/>
  </r>
  <r>
    <s v="recZwZpbTCMyBv5jJ"/>
    <s v="Komakech moses - Kitgum | Orom East | Dongo Lobo ber Gardener"/>
    <n v="1"/>
    <s v="Melia, Gmelina, Ongono, Faidherbia, Senna,"/>
    <d v="2022-06-10T00:00:00"/>
    <s v="Kitgum"/>
    <s v="Orom East"/>
    <n v="607"/>
    <n v="87"/>
    <n v="0"/>
    <n v="320"/>
    <n v="100"/>
    <n v="50"/>
    <n v="0"/>
    <n v="50"/>
    <n v="0"/>
    <n v="0.34200000000000003"/>
    <x v="1"/>
    <x v="1"/>
    <n v="5229"/>
    <n v="44"/>
    <n v="0.34200000000000003"/>
    <n v="15.048000000000002"/>
  </r>
  <r>
    <s v="recJOKYepJRuzgxgG"/>
    <s v="Komakeh bosco - Agago | Lira - Palwo | Rippe aye teko Gardener"/>
    <n v="1"/>
    <s v="Melia,"/>
    <d v="2022-08-22T00:00:00"/>
    <s v="Agago"/>
    <s v="Lira - Palwo"/>
    <n v="60"/>
    <n v="60"/>
    <n v="0"/>
    <n v="0"/>
    <n v="0"/>
    <n v="0"/>
    <n v="0"/>
    <n v="0"/>
    <n v="0"/>
    <n v="0.39489999999999997"/>
    <x v="1"/>
    <x v="1"/>
    <n v="22138"/>
    <n v="44"/>
    <n v="0.39489999999999997"/>
    <n v="17.375599999999999"/>
  </r>
  <r>
    <s v="recPO328qJnCRBAmc"/>
    <s v="Labanya Ellen - Agago | Paimol | Cing ki cing - Gardener"/>
    <n v="1"/>
    <s v="Musizi,"/>
    <d v="2022-08-18T00:00:00"/>
    <s v="Agago"/>
    <s v="Paimol"/>
    <n v="200"/>
    <n v="0"/>
    <n v="200"/>
    <n v="0"/>
    <n v="0"/>
    <n v="0"/>
    <n v="0"/>
    <n v="0"/>
    <n v="0"/>
    <n v="4.0000000000000002E-4"/>
    <x v="1"/>
    <x v="1"/>
    <n v="22733"/>
    <n v="46"/>
    <n v="4.0000000000000002E-4"/>
    <n v="1.84E-2"/>
  </r>
  <r>
    <s v="recFhcysIAu3GXVW7"/>
    <s v="Labol Hellen - Agago | Kuywe | Rubanga tek ki lwak Cam badi Gardener"/>
    <n v="1"/>
    <s v="Melia, Gmelina, Ongono, Senna,"/>
    <d v="2022-08-18T00:00:00"/>
    <s v="Agago"/>
    <s v="Kuywe"/>
    <n v="120"/>
    <n v="40"/>
    <n v="0"/>
    <n v="25"/>
    <n v="30"/>
    <n v="0"/>
    <n v="0"/>
    <n v="25"/>
    <n v="0"/>
    <n v="5.5599999999999997E-2"/>
    <x v="1"/>
    <x v="1"/>
    <n v="30730"/>
    <n v="46"/>
    <n v="5.5599999999999997E-2"/>
    <n v="2.5575999999999999"/>
  </r>
  <r>
    <s v="recgCxm0wGhUFDsbQ"/>
    <s v="Labol Nigthy - Akem kwene"/>
    <n v="1"/>
    <s v="Gmelina,"/>
    <d v="2022-08-22T00:00:00"/>
    <s v="Individual Farmer"/>
    <s v="Individual Farmer"/>
    <n v="4"/>
    <n v="0"/>
    <n v="0"/>
    <n v="4"/>
    <n v="0"/>
    <n v="0"/>
    <n v="0"/>
    <n v="0"/>
    <n v="0"/>
    <n v="3.8699999999999998E-2"/>
    <x v="1"/>
    <x v="1"/>
    <n v="17266"/>
    <n v="37"/>
    <n v="3.8699999999999998E-2"/>
    <n v="1.4319"/>
  </r>
  <r>
    <s v="recgZcb5kl5Znqwmw"/>
    <s v="Labong Patrick - Kitgum | Orom East | Ribe aye lonyo Gardener"/>
    <n v="1"/>
    <s v="Melia, Gmelina, Ongono, Faidherbia, Senna, Lebbek"/>
    <d v="2022-07-17T00:00:00"/>
    <s v="Kitgum"/>
    <s v="Orom East"/>
    <n v="534"/>
    <n v="260"/>
    <n v="0"/>
    <n v="120"/>
    <n v="60"/>
    <n v="36"/>
    <n v="0"/>
    <n v="30"/>
    <n v="28"/>
    <n v="0.39839999999999998"/>
    <x v="1"/>
    <x v="1"/>
    <n v="5052"/>
    <n v="42"/>
    <n v="0.39839999999999998"/>
    <n v="16.732799999999997"/>
  </r>
  <r>
    <s v="rectHtwW2c4ZNnpcu"/>
    <s v="Labongo David - Agago | Lapono | Karenga water user's association Gardener"/>
    <n v="1"/>
    <s v="Melia, Musizi, Gmelina, Ongono, Senna,"/>
    <d v="2022-08-22T00:00:00"/>
    <s v="Agago"/>
    <s v="Lapono"/>
    <n v="215"/>
    <n v="100"/>
    <n v="15"/>
    <n v="20"/>
    <n v="50"/>
    <n v="0"/>
    <n v="0"/>
    <n v="30"/>
    <n v="0"/>
    <n v="0.35320000000000001"/>
    <x v="1"/>
    <x v="1"/>
    <n v="16142"/>
    <n v="46"/>
    <n v="0.35320000000000001"/>
    <n v="16.247199999999999"/>
  </r>
  <r>
    <s v="recp9eGRcTo3v3I6L"/>
    <s v="Laboye Christine - Kitgum | Orom East | Dongo Lobo ber Gardener"/>
    <n v="1"/>
    <s v="Melia, Gmelina, Ongono, Faidherbia, Senna, Lebbek"/>
    <d v="2022-08-15T00:00:00"/>
    <s v="Kitgum"/>
    <s v="Orom East"/>
    <n v="310"/>
    <n v="100"/>
    <n v="0"/>
    <n v="30"/>
    <n v="50"/>
    <n v="50"/>
    <n v="0"/>
    <n v="50"/>
    <n v="30"/>
    <n v="0.316"/>
    <x v="1"/>
    <x v="1"/>
    <n v="5054"/>
    <n v="39"/>
    <n v="1.37E-2"/>
    <n v="0.5343"/>
  </r>
  <r>
    <s v="recp9eGRcTo3v3I6L"/>
    <s v="Laboye Christine - Kitgum | Orom East | Dongo Lobo ber Gardener"/>
    <n v="1"/>
    <s v="Melia, Gmelina, Ongono, Faidherbia, Senna, Lebbek"/>
    <d v="2022-08-15T00:00:00"/>
    <s v="Kitgum"/>
    <s v="Orom East"/>
    <n v="310"/>
    <n v="100"/>
    <n v="0"/>
    <n v="30"/>
    <n v="50"/>
    <n v="50"/>
    <n v="0"/>
    <n v="50"/>
    <n v="30"/>
    <n v="0.316"/>
    <x v="1"/>
    <x v="1"/>
    <n v="5055"/>
    <n v="41"/>
    <n v="0.30230000000000001"/>
    <n v="12.394300000000001"/>
  </r>
  <r>
    <s v="recjb0LF1E53MA1Aw"/>
    <s v="Laker Josphine - Kitgum | Orom East | Atek ki lwak Gardener"/>
    <n v="1"/>
    <s v="Melia, Gmelina, Faidherbia, Senna,"/>
    <d v="2022-09-17T00:00:00"/>
    <s v="Individual Farmer"/>
    <s v="Individual Farmer"/>
    <n v="350"/>
    <n v="200"/>
    <n v="0"/>
    <n v="50"/>
    <n v="0"/>
    <n v="50"/>
    <n v="0"/>
    <n v="50"/>
    <n v="0"/>
    <n v="0.1797"/>
    <x v="1"/>
    <x v="1"/>
    <n v="4871"/>
    <n v="42"/>
    <n v="0.1797"/>
    <n v="7.5473999999999997"/>
  </r>
  <r>
    <s v="recAEAmdkhXm8BD9d"/>
    <s v="Laker Julius - Odong mon"/>
    <n v="1"/>
    <s v="Melia, Ongono,"/>
    <d v="2022-08-22T00:00:00"/>
    <s v="Individual Farmer"/>
    <s v="Individual Farmer"/>
    <n v="34"/>
    <n v="14"/>
    <n v="0"/>
    <n v="0"/>
    <n v="20"/>
    <n v="0"/>
    <n v="0"/>
    <n v="0"/>
    <n v="0"/>
    <n v="2.7E-2"/>
    <x v="1"/>
    <x v="1"/>
    <n v="16712"/>
    <n v="41"/>
    <n v="2.7E-2"/>
    <n v="1.107"/>
  </r>
  <r>
    <s v="recZ42jSYMEQFO53T"/>
    <s v="Lakot Betty - Kitgum | Orom East | Atek ki lwak Gardener"/>
    <n v="1"/>
    <s v="Melia, Ongono, Faidherbia, Senna, Lebbek"/>
    <d v="2022-09-29T00:00:00"/>
    <s v="Individual Farmer"/>
    <s v="Individual Farmer"/>
    <n v="395"/>
    <n v="200"/>
    <n v="0"/>
    <n v="0"/>
    <n v="50"/>
    <n v="50"/>
    <n v="0"/>
    <n v="40"/>
    <n v="55"/>
    <n v="0.13"/>
    <x v="1"/>
    <x v="1"/>
    <n v="4871"/>
    <n v="42"/>
    <n v="0.13"/>
    <n v="5.46"/>
  </r>
  <r>
    <s v="receck6ZhdAgzYwH6"/>
    <s v="Lakot Catherine - Kitgum | Orom East | Watwero Gardener"/>
    <n v="1"/>
    <s v="Melia, Gmelina, Ongono, Faidherbia, Senna, Lebbek"/>
    <d v="2022-09-16T00:00:00"/>
    <s v="Individual Farmer"/>
    <s v="Individual Farmer"/>
    <n v="350"/>
    <n v="100"/>
    <n v="0"/>
    <n v="50"/>
    <n v="50"/>
    <n v="50"/>
    <n v="0"/>
    <n v="50"/>
    <n v="50"/>
    <n v="0.21990000000000001"/>
    <x v="1"/>
    <x v="1"/>
    <n v="4688"/>
    <n v="37"/>
    <n v="0.21990000000000001"/>
    <n v="8.1363000000000003"/>
  </r>
  <r>
    <s v="recIPKmDGbqiLVrHX"/>
    <s v="Lakot Christine - Kitgum | Orom East | Dongo Lobo ber Gardener"/>
    <n v="1"/>
    <s v="Melia, Gmelina, Ongono, Faidherbia, Senna, Lebbek"/>
    <d v="2022-08-14T00:00:00"/>
    <s v="Kitgum"/>
    <s v="Orom East"/>
    <n v="206"/>
    <n v="40"/>
    <n v="0"/>
    <n v="50"/>
    <n v="30"/>
    <n v="51"/>
    <n v="0"/>
    <n v="25"/>
    <n v="10"/>
    <n v="0.12620000000000001"/>
    <x v="1"/>
    <x v="1"/>
    <n v="5228"/>
    <n v="39"/>
    <n v="0.12620000000000001"/>
    <n v="4.9218000000000002"/>
  </r>
  <r>
    <s v="recPIktqrp4vEWO1i"/>
    <s v="Lakot Everline - Kitgum | Orom East | Tim tek United Gardener"/>
    <n v="1"/>
    <s v="Melia, Gmelina, Ongono, Faidherbia, Senna,"/>
    <d v="2022-08-22T00:00:00"/>
    <s v="Kitgum"/>
    <s v="Orom East"/>
    <n v="346"/>
    <n v="84"/>
    <n v="0"/>
    <n v="15"/>
    <n v="32"/>
    <n v="207"/>
    <n v="0"/>
    <n v="8"/>
    <n v="0"/>
    <n v="0.32619999999999999"/>
    <x v="1"/>
    <x v="1"/>
    <n v="5449"/>
    <n v="34"/>
    <n v="0.32619999999999999"/>
    <n v="11.0908"/>
  </r>
  <r>
    <s v="recG49HixWPkcqrCK"/>
    <s v="Lakot Marta - Agago | Kuywe | Kica ber Gardener"/>
    <n v="1"/>
    <s v="Melia,"/>
    <d v="2022-10-09T00:00:00"/>
    <s v="Agago"/>
    <s v="Kuywe"/>
    <n v="40"/>
    <n v="40"/>
    <n v="0"/>
    <n v="0"/>
    <n v="0"/>
    <n v="0"/>
    <n v="0"/>
    <n v="0"/>
    <n v="0"/>
    <n v="3.7900000000000003E-2"/>
    <x v="1"/>
    <x v="1"/>
    <n v="14649"/>
    <n v="45"/>
    <n v="3.7900000000000003E-2"/>
    <n v="1.7055000000000002"/>
  </r>
  <r>
    <s v="recqSn2lElGn2BD28"/>
    <s v="Lakot poline - Agago | Lapono | Akem kwene farmer's group Gardener"/>
    <n v="1"/>
    <s v="Melia, Gmelina,"/>
    <d v="2022-08-22T00:00:00"/>
    <s v="Agago"/>
    <s v="Lapono"/>
    <n v="100"/>
    <n v="80"/>
    <n v="0"/>
    <n v="20"/>
    <n v="0"/>
    <n v="0"/>
    <n v="0"/>
    <n v="0"/>
    <n v="0"/>
    <n v="0.12909999999999999"/>
    <x v="1"/>
    <x v="1"/>
    <n v="17678"/>
    <n v="36"/>
    <n v="0.12909999999999999"/>
    <n v="4.6475999999999997"/>
  </r>
  <r>
    <s v="recNGNv62s0MKcml0"/>
    <s v="Lakot Poline - Akem kwene"/>
    <n v="1"/>
    <s v="Melia, Gmelina,"/>
    <d v="2022-08-22T00:00:00"/>
    <s v="Individual Farmer"/>
    <s v="Individual Farmer"/>
    <n v="33"/>
    <n v="27"/>
    <n v="0"/>
    <n v="6"/>
    <n v="0"/>
    <n v="0"/>
    <n v="0"/>
    <n v="0"/>
    <n v="0"/>
    <n v="4.9099999999999998E-2"/>
    <x v="1"/>
    <x v="1"/>
    <n v="17678"/>
    <n v="36"/>
    <n v="4.9099999999999998E-2"/>
    <n v="1.7675999999999998"/>
  </r>
  <r>
    <s v="recYzigc3hYl7eVpv"/>
    <s v="Lakot rendeta - Kitgum | Orom East | Watwero Gardener"/>
    <n v="1"/>
    <s v="Melia, Gmelina, Ongono, Senna,"/>
    <d v="2022-08-22T00:00:00"/>
    <s v="Individual Farmer"/>
    <s v="Individual Farmer"/>
    <n v="260"/>
    <n v="180"/>
    <n v="0"/>
    <n v="20"/>
    <n v="50"/>
    <n v="0"/>
    <n v="0"/>
    <n v="10"/>
    <n v="0"/>
    <n v="0.2059"/>
    <x v="1"/>
    <x v="1"/>
    <n v="5225"/>
    <n v="44"/>
    <n v="0.2059"/>
    <n v="9.0595999999999997"/>
  </r>
  <r>
    <s v="rec0WQDm6PFN23jBe"/>
    <s v="Lalam Christine - Agago | Lapono | Onen kuc Gardener"/>
    <n v="1"/>
    <s v="Melia, Gmelina,"/>
    <d v="2022-08-22T00:00:00"/>
    <s v="Individual Farmer"/>
    <s v="Individual Farmer"/>
    <n v="19"/>
    <n v="3"/>
    <n v="0"/>
    <n v="16"/>
    <n v="0"/>
    <n v="0"/>
    <n v="0"/>
    <n v="0"/>
    <n v="0"/>
    <n v="2.0799999999999999E-2"/>
    <x v="1"/>
    <x v="1"/>
    <n v="17308"/>
    <n v="43"/>
    <n v="2.0799999999999999E-2"/>
    <n v="0.89439999999999997"/>
  </r>
  <r>
    <s v="rec9qMDOBVoP9bETW"/>
    <s v="Lalam florence - Agago | Kuywe | Ogen rwot Gardener"/>
    <n v="1"/>
    <s v="Melia, Musizi, Gmelina, Senna,"/>
    <d v="2022-08-25T00:00:00"/>
    <s v="Agago"/>
    <s v="Kuywe"/>
    <n v="190"/>
    <n v="65"/>
    <n v="5"/>
    <n v="100"/>
    <n v="0"/>
    <n v="0"/>
    <n v="0"/>
    <n v="20"/>
    <n v="0"/>
    <n v="1.1299999999999999E-2"/>
    <x v="1"/>
    <x v="1"/>
    <n v="17308"/>
    <n v="43"/>
    <n v="1.1299999999999999E-2"/>
    <n v="0.48589999999999994"/>
  </r>
  <r>
    <s v="reclLtwJxV2mm4Ewl"/>
    <s v="Lalam ida - Agago | Lapono | Karenga water user's association Gardener"/>
    <n v="1"/>
    <s v="Melia, Musizi, Ongono, Senna,"/>
    <d v="2022-07-20T00:00:00"/>
    <s v="Agago"/>
    <s v="Lapono"/>
    <n v="155"/>
    <n v="90"/>
    <n v="5"/>
    <n v="0"/>
    <n v="30"/>
    <n v="0"/>
    <n v="0"/>
    <n v="30"/>
    <n v="0"/>
    <n v="5.5899999999999998E-2"/>
    <x v="1"/>
    <x v="1"/>
    <n v="16142"/>
    <n v="46"/>
    <n v="5.5899999999999998E-2"/>
    <n v="2.5714000000000001"/>
  </r>
  <r>
    <s v="rectpoFXkJbEzgBhY"/>
    <s v="Lamunu Betty - Kitgum | Orom East | Dongo Lobo ber Gardener"/>
    <n v="1"/>
    <s v="Faidherbia,"/>
    <d v="2022-09-05T00:00:00"/>
    <s v="Kitgum"/>
    <s v="Orom East"/>
    <n v="100"/>
    <n v="0"/>
    <n v="0"/>
    <n v="0"/>
    <n v="0"/>
    <n v="100"/>
    <n v="0"/>
    <n v="0"/>
    <n v="0"/>
    <n v="0.1091"/>
    <x v="1"/>
    <x v="1"/>
    <n v="5052"/>
    <n v="42"/>
    <n v="0.1091"/>
    <n v="4.5822000000000003"/>
  </r>
  <r>
    <s v="recn4Bt9KtTCyTSXo"/>
    <s v="Lamunu Irine - Kitgum | Orom East | Ribe aye lonyo Gardener"/>
    <n v="1"/>
    <s v="Melia, Gmelina, Ongono, Faidherbia,"/>
    <d v="2022-08-04T00:00:00"/>
    <s v="Kitgum"/>
    <s v="Orom East"/>
    <n v="355"/>
    <n v="220"/>
    <n v="0"/>
    <n v="50"/>
    <n v="20"/>
    <n v="65"/>
    <n v="0"/>
    <n v="0"/>
    <n v="0"/>
    <n v="0.33700000000000002"/>
    <x v="1"/>
    <x v="1"/>
    <n v="5228"/>
    <n v="39"/>
    <n v="0.33700000000000002"/>
    <n v="13.143000000000001"/>
  </r>
  <r>
    <s v="rectq6qFGdkqEs9vz"/>
    <s v="Lamunu Rose - Kitgum | Orom East | Dongo Lobo ber Gardener"/>
    <n v="1"/>
    <s v="Melia, Gmelina, Ongono, Faidherbia, Senna, Lebbek"/>
    <d v="2022-08-22T00:00:00"/>
    <s v="Individual Farmer"/>
    <s v="Individual Farmer"/>
    <n v="166"/>
    <n v="50"/>
    <n v="0"/>
    <n v="31"/>
    <n v="20"/>
    <n v="30"/>
    <n v="0"/>
    <n v="25"/>
    <n v="10"/>
    <n v="0.75229999999999997"/>
    <x v="1"/>
    <x v="1"/>
    <n v="5228"/>
    <n v="39"/>
    <n v="0.75229999999999997"/>
    <n v="29.339700000000001"/>
  </r>
  <r>
    <s v="recR621uebHcfL7Pa"/>
    <s v="Lanyero jenet - Agago | Kuywe | Ogen rwot Gardener"/>
    <n v="1"/>
    <s v="Melia, Gmelina,"/>
    <d v="1945-08-03T00:00:00"/>
    <s v="Agago"/>
    <s v="Kuywe"/>
    <n v="235"/>
    <n v="130"/>
    <n v="0"/>
    <n v="105"/>
    <n v="0"/>
    <n v="0"/>
    <n v="0"/>
    <n v="0"/>
    <n v="0"/>
    <n v="9.6600000000000005E-2"/>
    <x v="1"/>
    <x v="1"/>
    <n v="14477"/>
    <n v="48"/>
    <n v="9.6600000000000005E-2"/>
    <n v="4.6368"/>
  </r>
  <r>
    <s v="recUJzDY7pD1uKS1Z"/>
    <s v="Lapica Grace - Kitgum | Orom East | Ribe aye lonyo Gardener"/>
    <n v="1"/>
    <s v="Melia, Gmelina, Faidherbia, Senna,"/>
    <d v="2022-09-15T00:00:00"/>
    <s v="Kitgum"/>
    <s v="Orom East"/>
    <n v="444"/>
    <n v="220"/>
    <n v="0"/>
    <n v="50"/>
    <n v="0"/>
    <n v="166"/>
    <n v="0"/>
    <n v="8"/>
    <n v="0"/>
    <n v="0.24440000000000001"/>
    <x v="1"/>
    <x v="1"/>
    <n v="5052"/>
    <n v="42"/>
    <n v="0.24440000000000001"/>
    <n v="10.264800000000001"/>
  </r>
  <r>
    <s v="recbwR1c0NfwmrHWY"/>
    <s v="Lapogo nekosira - Agago | Lira - Palwo | Nen ki wangi Gardener"/>
    <n v="1"/>
    <s v="Melia, Musizi, Ongono,"/>
    <d v="2022-08-22T00:00:00"/>
    <s v="Agago"/>
    <s v="Lira - Palwo"/>
    <n v="115"/>
    <n v="25"/>
    <n v="8"/>
    <n v="0"/>
    <n v="82"/>
    <n v="0"/>
    <n v="0"/>
    <n v="0"/>
    <n v="0"/>
    <n v="6.4100000000000004E-2"/>
    <x v="1"/>
    <x v="1"/>
    <n v="21729"/>
    <n v="38"/>
    <n v="6.9999999999999999E-4"/>
    <n v="2.6599999999999999E-2"/>
  </r>
  <r>
    <s v="recbwR1c0NfwmrHWY"/>
    <s v="Lapogo nekosira - Agago | Lira - Palwo | Nen ki wangi Gardener"/>
    <n v="1"/>
    <s v="Melia, Musizi, Ongono,"/>
    <d v="2022-08-22T00:00:00"/>
    <s v="Agago"/>
    <s v="Lira - Palwo"/>
    <n v="115"/>
    <n v="25"/>
    <n v="8"/>
    <n v="0"/>
    <n v="82"/>
    <n v="0"/>
    <n v="0"/>
    <n v="0"/>
    <n v="0"/>
    <n v="6.4100000000000004E-2"/>
    <x v="1"/>
    <x v="1"/>
    <n v="21730"/>
    <n v="41"/>
    <n v="6.3299999999999995E-2"/>
    <n v="2.5952999999999999"/>
  </r>
  <r>
    <s v="recnEAXxdKGdbRhT9"/>
    <s v="Latabu irene - Agago | Adilang | Tam piwa Gardener"/>
    <n v="1"/>
    <s v="Melia, Gmelina, Ongono,"/>
    <d v="2022-08-22T00:00:00"/>
    <s v="Agago"/>
    <s v="Adilang"/>
    <n v="200"/>
    <n v="50"/>
    <n v="0"/>
    <n v="50"/>
    <n v="100"/>
    <n v="0"/>
    <n v="0"/>
    <n v="0"/>
    <n v="0"/>
    <n v="1.8700000000000001E-2"/>
    <x v="1"/>
    <x v="1"/>
    <n v="23496"/>
    <n v="47"/>
    <n v="1.8700000000000001E-2"/>
    <n v="0.87890000000000001"/>
  </r>
  <r>
    <s v="recIpJurGwLjYgC4c"/>
    <s v="Latiya Paul okeny - Kitgum | Orom East | Tim tek United Gardener"/>
    <n v="1"/>
    <s v="Melia, Musizi,"/>
    <d v="2022-08-20T00:00:00"/>
    <s v="Kitgum"/>
    <s v="Orom East"/>
    <n v="350"/>
    <n v="150"/>
    <n v="200"/>
    <n v="0"/>
    <n v="0"/>
    <n v="0"/>
    <n v="0"/>
    <n v="0"/>
    <n v="0"/>
    <n v="1.1964999999999999"/>
    <x v="1"/>
    <x v="1"/>
    <n v="4695"/>
    <n v="36"/>
    <n v="1.1964999999999999"/>
    <n v="43.073999999999998"/>
  </r>
  <r>
    <s v="rec2X8xJXFNugMVLF"/>
    <s v="Lawino sisilia - Agago | Lira - Palwo | Nen ki wangi Gardener"/>
    <n v="1"/>
    <s v="Melia, Musizi, Gmelina, Ongono,"/>
    <d v="2022-08-22T00:00:00"/>
    <s v="Agago"/>
    <s v="Lira - Palwo"/>
    <n v="218"/>
    <n v="100"/>
    <n v="8"/>
    <n v="25"/>
    <n v="85"/>
    <n v="0"/>
    <n v="0"/>
    <n v="0"/>
    <n v="0"/>
    <n v="8.4699999999999998E-2"/>
    <x v="1"/>
    <x v="1"/>
    <n v="21730"/>
    <n v="41"/>
    <n v="8.4699999999999998E-2"/>
    <n v="3.4726999999999997"/>
  </r>
  <r>
    <s v="recDePGyl9lrAUwKQ"/>
    <s v="Layer Esther - Agago | Paimol | Rubanga tek women's group - Gardener"/>
    <n v="1"/>
    <s v="Melia, Gmelina, Ongono, Senna,"/>
    <d v="2022-11-03T00:00:00"/>
    <s v="Agago"/>
    <s v="Paimol"/>
    <n v="260"/>
    <n v="50"/>
    <n v="0"/>
    <n v="90"/>
    <n v="50"/>
    <n v="0"/>
    <n v="0"/>
    <n v="70"/>
    <n v="0"/>
    <n v="0.1108"/>
    <x v="1"/>
    <x v="1"/>
    <n v="22057"/>
    <n v="44"/>
    <n v="0.1108"/>
    <n v="4.8751999999999995"/>
  </r>
  <r>
    <s v="rec5vnJNci6lNUbkp"/>
    <s v="Layet Betty - Kitgum | Orom East | Dongo Lobo ber - Gardener"/>
    <n v="1"/>
    <s v="Melia, Gmelina, Ongono, Faidherbia, Senna, Lebbek"/>
    <d v="2022-08-06T00:00:00"/>
    <s v="Kitgum"/>
    <s v="Orom East"/>
    <n v="300"/>
    <n v="100"/>
    <n v="0"/>
    <n v="50"/>
    <n v="40"/>
    <n v="50"/>
    <n v="0"/>
    <n v="40"/>
    <n v="20"/>
    <n v="0.23080000000000001"/>
    <x v="1"/>
    <x v="1"/>
    <n v="5229"/>
    <n v="44"/>
    <n v="0.23080000000000001"/>
    <n v="10.155200000000001"/>
  </r>
  <r>
    <s v="rec0uzoSd6Oj2mI2C"/>
    <s v="Layet Margret - Agago | Adilang | Can lit Gardener"/>
    <n v="1"/>
    <s v="Melia, Musizi,"/>
    <d v="2022-09-27T00:00:00"/>
    <s v="Agago"/>
    <s v="Adilang"/>
    <n v="110"/>
    <n v="60"/>
    <n v="50"/>
    <n v="0"/>
    <n v="0"/>
    <n v="0"/>
    <n v="0"/>
    <n v="0"/>
    <n v="0"/>
    <n v="7.6700000000000004E-2"/>
    <x v="1"/>
    <x v="1"/>
    <n v="23133"/>
    <n v="41"/>
    <n v="1.4800000000000001E-2"/>
    <n v="0.60680000000000001"/>
  </r>
  <r>
    <s v="rec0uzoSd6Oj2mI2C"/>
    <s v="Layet Margret - Agago | Adilang | Can lit Gardener"/>
    <n v="1"/>
    <s v="Melia, Musizi,"/>
    <d v="2022-09-27T00:00:00"/>
    <s v="Agago"/>
    <s v="Adilang"/>
    <n v="110"/>
    <n v="60"/>
    <n v="50"/>
    <n v="0"/>
    <n v="0"/>
    <n v="0"/>
    <n v="0"/>
    <n v="0"/>
    <n v="0"/>
    <n v="7.6700000000000004E-2"/>
    <x v="1"/>
    <x v="1"/>
    <n v="23326"/>
    <n v="46"/>
    <n v="6.1800000000000001E-2"/>
    <n v="2.8428"/>
  </r>
  <r>
    <s v="recSiikoOrb8VKe1H"/>
    <s v="Maruru Joseph - Kitgum | Orom East | Tim tek United Gardener"/>
    <n v="1"/>
    <s v="Melia, Musizi, Gmelina, Ongono,"/>
    <d v="2022-06-25T00:00:00"/>
    <s v="Kitgum"/>
    <s v="Orom East"/>
    <n v="463"/>
    <n v="77"/>
    <n v="90"/>
    <n v="295"/>
    <n v="1"/>
    <n v="0"/>
    <n v="0"/>
    <n v="0"/>
    <n v="0"/>
    <n v="0.3306"/>
    <x v="1"/>
    <x v="1"/>
    <n v="5053"/>
    <n v="41"/>
    <n v="0.18809999999999999"/>
    <n v="7.7120999999999995"/>
  </r>
  <r>
    <s v="recSiikoOrb8VKe1H"/>
    <s v="Maruru Joseph - Kitgum | Orom East | Tim tek United Gardener"/>
    <n v="1"/>
    <s v="Melia, Musizi, Gmelina, Ongono,"/>
    <d v="2022-06-25T00:00:00"/>
    <s v="Kitgum"/>
    <s v="Orom East"/>
    <n v="463"/>
    <n v="77"/>
    <n v="90"/>
    <n v="295"/>
    <n v="1"/>
    <n v="0"/>
    <n v="0"/>
    <n v="0"/>
    <n v="0"/>
    <n v="0.3306"/>
    <x v="1"/>
    <x v="1"/>
    <n v="5228"/>
    <n v="39"/>
    <n v="0.14249999999999999"/>
    <n v="5.5574999999999992"/>
  </r>
  <r>
    <s v="recwrAyZkVyMovZJm"/>
    <s v="Menya Sam - Agago | Lukole | Nen anyim Gardener"/>
    <n v="1"/>
    <s v="Musizi, Gmelina, Senna,"/>
    <d v="2022-08-18T00:00:00"/>
    <s v="Agago"/>
    <s v="Lukole"/>
    <n v="300"/>
    <n v="0"/>
    <n v="100"/>
    <n v="100"/>
    <n v="0"/>
    <n v="0"/>
    <n v="0"/>
    <n v="100"/>
    <n v="0"/>
    <n v="0.1208"/>
    <x v="1"/>
    <x v="1"/>
    <n v="18634"/>
    <n v="47"/>
    <n v="0.1208"/>
    <n v="5.6776"/>
  </r>
  <r>
    <s v="recnB7CjRjqlWAPk6"/>
    <s v="Moto Jimmy - Agago | Lira - Palwo | Nen ki wangi Gardener"/>
    <n v="1"/>
    <s v="Melia, Gmelina,"/>
    <d v="2022-08-22T00:00:00"/>
    <s v="Agago"/>
    <s v="Lira - Palwo"/>
    <n v="550"/>
    <n v="400"/>
    <n v="0"/>
    <n v="150"/>
    <n v="0"/>
    <n v="0"/>
    <n v="0"/>
    <n v="0"/>
    <n v="0"/>
    <n v="2.4799999999999999E-2"/>
    <x v="1"/>
    <x v="1"/>
    <n v="14489"/>
    <n v="35"/>
    <n v="2.4799999999999999E-2"/>
    <n v="0.86799999999999999"/>
  </r>
  <r>
    <s v="recqUlEwev7zII9Mm"/>
    <s v="Mweka Samuel - Agago | Kuywe | Cam badi Gardener"/>
    <n v="1"/>
    <s v="Melia,"/>
    <d v="2022-07-06T00:00:00"/>
    <s v="Agago"/>
    <s v="Kuywe"/>
    <n v="160"/>
    <n v="160"/>
    <n v="0"/>
    <n v="0"/>
    <n v="0"/>
    <n v="0"/>
    <n v="0"/>
    <n v="0"/>
    <n v="0"/>
    <n v="0.1477"/>
    <x v="1"/>
    <x v="1"/>
    <n v="30547"/>
    <n v="45"/>
    <n v="0.1477"/>
    <n v="6.6464999999999996"/>
  </r>
  <r>
    <s v="rec1WOvjkGRxVimq8"/>
    <s v="Nagombe Charles - Agago | Patongo | Gang ber ki yen Gardener"/>
    <n v="1"/>
    <s v="Melia, Gmelina,"/>
    <d v="2022-04-14T00:00:00"/>
    <s v="Agago"/>
    <s v="Patongo"/>
    <n v="205"/>
    <n v="150"/>
    <n v="0"/>
    <n v="55"/>
    <n v="0"/>
    <n v="0"/>
    <n v="0"/>
    <n v="0"/>
    <n v="0"/>
    <n v="0.12790000000000001"/>
    <x v="1"/>
    <x v="1"/>
    <n v="22923"/>
    <n v="37"/>
    <n v="0.12790000000000001"/>
    <n v="4.7323000000000004"/>
  </r>
  <r>
    <s v="recyTAaPxJtkECyIl"/>
    <s v="Nyeko santo - Agago | Adilang | Nyiki Nyiki farmer's group Gardener"/>
    <n v="1"/>
    <s v="Melia, Musizi, Senna,"/>
    <d v="2022-05-26T00:00:00"/>
    <s v="Agago"/>
    <s v="Adilang"/>
    <n v="110"/>
    <n v="50"/>
    <n v="20"/>
    <n v="0"/>
    <n v="0"/>
    <n v="0"/>
    <n v="0"/>
    <n v="40"/>
    <n v="0"/>
    <n v="0.1031"/>
    <x v="1"/>
    <x v="1"/>
    <n v="22554"/>
    <n v="43"/>
    <n v="0.1031"/>
    <n v="4.4333"/>
  </r>
  <r>
    <s v="rechMu2DympWahKtU"/>
    <s v="Obonyo Richard Callwel - Agago | | Individual Farmer Gardener"/>
    <n v="1"/>
    <s v="Melia,"/>
    <d v="2022-08-22T00:00:00"/>
    <s v="Agago"/>
    <s v="Individual Farmer"/>
    <n v="150"/>
    <n v="150"/>
    <n v="0"/>
    <n v="0"/>
    <n v="0"/>
    <n v="0"/>
    <n v="0"/>
    <n v="0"/>
    <n v="0"/>
    <n v="7.1999999999999995E-2"/>
    <x v="1"/>
    <x v="1"/>
    <n v="22915"/>
    <n v="35"/>
    <n v="3.61E-2"/>
    <n v="1.2635000000000001"/>
  </r>
  <r>
    <s v="rechMu2DympWahKtU"/>
    <s v="Obonyo Richard Callwel - Agago | | Individual Farmer Gardener"/>
    <n v="1"/>
    <s v="Melia,"/>
    <d v="2022-08-22T00:00:00"/>
    <s v="Agago"/>
    <s v="Individual Farmer"/>
    <n v="150"/>
    <n v="150"/>
    <n v="0"/>
    <n v="0"/>
    <n v="0"/>
    <n v="0"/>
    <n v="0"/>
    <n v="0"/>
    <n v="0"/>
    <n v="7.1999999999999995E-2"/>
    <x v="1"/>
    <x v="1"/>
    <n v="22916"/>
    <n v="39"/>
    <n v="3.5999999999999997E-2"/>
    <n v="1.4039999999999999"/>
  </r>
  <r>
    <s v="recRJiGztFe1AmnZE"/>
    <s v="Obor Charles - Agago | Kuywe | Cam badi Gardener"/>
    <n v="1"/>
    <s v="Melia,"/>
    <d v="2022-07-09T00:00:00"/>
    <s v="Agago"/>
    <s v="Kuywe"/>
    <n v="160"/>
    <n v="160"/>
    <n v="0"/>
    <n v="0"/>
    <n v="0"/>
    <n v="0"/>
    <n v="0"/>
    <n v="0"/>
    <n v="0"/>
    <n v="0.36530000000000001"/>
    <x v="1"/>
    <x v="1"/>
    <n v="28809"/>
    <n v="38"/>
    <n v="0.36530000000000001"/>
    <n v="13.881400000000001"/>
  </r>
  <r>
    <s v="recUsbpEPuMOQsEWi"/>
    <s v="Obu James - Agago | Lukole | Nen anyim Gardener"/>
    <n v="1"/>
    <s v="Melia,"/>
    <d v="2022-07-20T00:00:00"/>
    <s v="Agago"/>
    <s v="Lukole"/>
    <n v="120"/>
    <n v="120"/>
    <n v="0"/>
    <n v="0"/>
    <n v="0"/>
    <n v="0"/>
    <n v="0"/>
    <n v="0"/>
    <n v="0"/>
    <n v="7.3800000000000004E-2"/>
    <x v="1"/>
    <x v="1"/>
    <n v="18634"/>
    <n v="47"/>
    <n v="7.3800000000000004E-2"/>
    <n v="3.4686000000000003"/>
  </r>
  <r>
    <s v="recdAUh7OJ0RQflBE"/>
    <s v="Obur James - Agago | Lukole | Nen anyim Gardener"/>
    <n v="1"/>
    <s v="Melia, Senna,"/>
    <d v="2022-08-13T00:00:00"/>
    <s v="Agago"/>
    <s v="Lukole"/>
    <n v="110"/>
    <n v="10"/>
    <n v="0"/>
    <n v="0"/>
    <n v="0"/>
    <n v="0"/>
    <n v="0"/>
    <n v="100"/>
    <n v="0"/>
    <n v="0.1234"/>
    <x v="1"/>
    <x v="1"/>
    <n v="18633"/>
    <n v="34"/>
    <n v="0.1234"/>
    <n v="4.1955999999999998"/>
  </r>
  <r>
    <s v="recvsKxnsX79vXfa0"/>
    <s v="Obur James - Agago | Lukole | Nen anyim Gardener"/>
    <n v="1"/>
    <s v="Gmelina,"/>
    <d v="2022-08-18T00:00:00"/>
    <s v="Agago"/>
    <s v="Lukole"/>
    <n v="100"/>
    <n v="0"/>
    <n v="0"/>
    <n v="100"/>
    <n v="0"/>
    <n v="0"/>
    <n v="0"/>
    <n v="0"/>
    <n v="0"/>
    <n v="8.4699999999999998E-2"/>
    <x v="1"/>
    <x v="1"/>
    <n v="18634"/>
    <n v="47"/>
    <n v="8.4699999999999998E-2"/>
    <n v="3.9809000000000001"/>
  </r>
  <r>
    <s v="recwhi0ARAnA8oCxX"/>
    <s v="Obwoch Bosco - Agago | Lukole | Adding trees Gardener"/>
    <n v="1"/>
    <s v="Musizi, Ongono,"/>
    <d v="2022-06-08T00:00:00"/>
    <s v="Agago"/>
    <s v="Lukole"/>
    <n v="448"/>
    <n v="0"/>
    <n v="160"/>
    <n v="0"/>
    <n v="288"/>
    <n v="0"/>
    <n v="0"/>
    <n v="0"/>
    <n v="0"/>
    <n v="0.4199"/>
    <x v="1"/>
    <x v="1"/>
    <n v="19036"/>
    <n v="48"/>
    <n v="0.4199"/>
    <n v="20.155200000000001"/>
  </r>
  <r>
    <s v="recmTZPFixQaJ5wd1"/>
    <s v="Obwona Charles - Agago | Kuywe | Rubanga tek ki lwak Cam badi Gardener"/>
    <n v="1"/>
    <s v="Melia, Gmelina, Ongono,"/>
    <d v="2022-08-16T00:00:00"/>
    <s v="Agago"/>
    <s v="Kuywe"/>
    <n v="125"/>
    <n v="60"/>
    <n v="0"/>
    <n v="45"/>
    <n v="20"/>
    <n v="0"/>
    <n v="0"/>
    <n v="0"/>
    <n v="0"/>
    <n v="2.2599999999999999E-2"/>
    <x v="1"/>
    <x v="1"/>
    <n v="33277"/>
    <n v="44"/>
    <n v="2.2599999999999999E-2"/>
    <n v="0.99439999999999995"/>
  </r>
  <r>
    <s v="reccDopvwNSB1UBie"/>
    <s v="Obwona jhon - Agago | Kuywe | Lobo cana Gardener"/>
    <n v="1"/>
    <s v="Melia, Musizi, Gmelina, Faidherbia,"/>
    <d v="2022-07-14T00:00:00"/>
    <s v="Agago"/>
    <s v="Kuywe"/>
    <n v="187"/>
    <n v="100"/>
    <n v="2"/>
    <n v="55"/>
    <n v="0"/>
    <n v="30"/>
    <n v="0"/>
    <n v="0"/>
    <n v="0"/>
    <n v="1.67E-2"/>
    <x v="1"/>
    <x v="1"/>
    <n v="14647"/>
    <n v="42"/>
    <n v="1.67E-2"/>
    <n v="0.70140000000000002"/>
  </r>
  <r>
    <s v="recr1BIcvN8wf5JRc"/>
    <s v="Ocaya charles - Agago | Paimol | Anyim mito yele - Gardener"/>
    <n v="1"/>
    <s v="Melia, Musizi, Gmelina, Ongono,"/>
    <d v="2022-08-10T00:00:00"/>
    <s v="Agago"/>
    <s v="Paimol"/>
    <n v="474"/>
    <n v="75"/>
    <n v="78"/>
    <n v="120"/>
    <n v="201"/>
    <n v="0"/>
    <n v="0"/>
    <n v="0"/>
    <n v="0"/>
    <n v="2.76E-2"/>
    <x v="1"/>
    <x v="1"/>
    <n v="14272"/>
    <n v="43"/>
    <n v="2.76E-2"/>
    <n v="1.1868000000000001"/>
  </r>
  <r>
    <s v="recG0L2m6jH0NSLzE"/>
    <s v="Ocaya Francis - Agago | Paimol | Rubanga tek women's group - Gardener"/>
    <n v="1"/>
    <s v="Melia,"/>
    <d v="2022-09-18T00:00:00"/>
    <s v="Agago"/>
    <s v="Paimol"/>
    <n v="113"/>
    <n v="113"/>
    <n v="0"/>
    <n v="0"/>
    <n v="0"/>
    <n v="0"/>
    <n v="0"/>
    <n v="0"/>
    <n v="0"/>
    <n v="1.6799999999999999E-2"/>
    <x v="1"/>
    <x v="1"/>
    <n v="16105"/>
    <n v="46"/>
    <n v="1.6799999999999999E-2"/>
    <n v="0.77279999999999993"/>
  </r>
  <r>
    <s v="recAd43reSiOdtqKq"/>
    <s v="Ocean benon - Agago | Adilang | Can lit Gardener"/>
    <n v="1"/>
    <s v="Melia, Musizi,"/>
    <d v="2022-09-08T00:00:00"/>
    <s v="Agago"/>
    <s v="Adilang"/>
    <n v="200"/>
    <n v="100"/>
    <n v="100"/>
    <n v="0"/>
    <n v="0"/>
    <n v="0"/>
    <n v="0"/>
    <n v="0"/>
    <n v="0"/>
    <n v="0.2218"/>
    <x v="1"/>
    <x v="1"/>
    <n v="23723"/>
    <n v="38"/>
    <n v="0.2218"/>
    <n v="8.4283999999999999"/>
  </r>
  <r>
    <s v="reccLFAzr3o92Voct"/>
    <s v="Ocen Largo - Akem kwene"/>
    <n v="1"/>
    <s v="Melia, Gmelina,"/>
    <d v="2022-08-22T00:00:00"/>
    <s v="Individual Farmer"/>
    <s v="Individual Farmer"/>
    <n v="28"/>
    <n v="15"/>
    <n v="0"/>
    <n v="13"/>
    <n v="0"/>
    <n v="0"/>
    <n v="0"/>
    <n v="0"/>
    <n v="0"/>
    <n v="1.6400000000000001E-2"/>
    <x v="1"/>
    <x v="1"/>
    <n v="17264"/>
    <n v="43"/>
    <n v="1.6400000000000001E-2"/>
    <n v="0.70520000000000005"/>
  </r>
  <r>
    <s v="recOE5CUVXV47M4Qp"/>
    <s v="Ocen peter - Agago | Lapono | Odong mon Gardener"/>
    <n v="1"/>
    <s v="Melia, Ongono, Senna,"/>
    <d v="2022-08-22T00:00:00"/>
    <s v="Agago"/>
    <s v="Lapono"/>
    <n v="502"/>
    <n v="57"/>
    <n v="0"/>
    <n v="0"/>
    <n v="400"/>
    <n v="0"/>
    <n v="0"/>
    <n v="45"/>
    <n v="0"/>
    <n v="0.2492"/>
    <x v="1"/>
    <x v="1"/>
    <n v="16713"/>
    <n v="42"/>
    <n v="0.2492"/>
    <n v="10.4664"/>
  </r>
  <r>
    <s v="reck3L4StJzChlk2c"/>
    <s v="Ocen Peter - Odong Mon"/>
    <n v="1"/>
    <s v="Melia, Ongono, Senna,"/>
    <d v="2022-08-22T00:00:00"/>
    <s v="Individual Farmer"/>
    <s v="Individual Farmer"/>
    <n v="223"/>
    <n v="10"/>
    <n v="0"/>
    <n v="0"/>
    <n v="200"/>
    <n v="0"/>
    <n v="0"/>
    <n v="13"/>
    <n v="0"/>
    <n v="0.21110000000000001"/>
    <x v="1"/>
    <x v="1"/>
    <n v="16712"/>
    <n v="41"/>
    <n v="0.21110000000000001"/>
    <n v="8.6551000000000009"/>
  </r>
  <r>
    <s v="rec8DhzXzYAEb8bYY"/>
    <s v="Oceng kasto laegn - Agago | Lapono | Karenga water user's association Gardener"/>
    <n v="1"/>
    <s v="Melia, Gmelina, Senna,"/>
    <d v="2022-08-22T00:00:00"/>
    <s v="Agago"/>
    <s v="Lapono"/>
    <n v="400"/>
    <n v="280"/>
    <n v="0"/>
    <n v="85"/>
    <n v="0"/>
    <n v="0"/>
    <n v="0"/>
    <n v="35"/>
    <n v="0"/>
    <n v="0.47420000000000001"/>
    <x v="1"/>
    <x v="1"/>
    <n v="16142"/>
    <n v="46"/>
    <n v="0.47420000000000001"/>
    <n v="21.813200000000002"/>
  </r>
  <r>
    <s v="recCTw8wFN8ySAvdy"/>
    <s v="Ochen Kamilo - Akem kwene"/>
    <n v="1"/>
    <s v="Melia, Gmelina,"/>
    <d v="2022-08-22T00:00:00"/>
    <s v="Individual Farmer"/>
    <s v="Individual Farmer"/>
    <n v="50"/>
    <n v="39"/>
    <n v="0"/>
    <n v="11"/>
    <n v="0"/>
    <n v="0"/>
    <n v="0"/>
    <n v="0"/>
    <n v="0"/>
    <n v="6.25E-2"/>
    <x v="1"/>
    <x v="1"/>
    <n v="17266"/>
    <n v="37"/>
    <n v="6.25E-2"/>
    <n v="2.3125"/>
  </r>
  <r>
    <s v="reco7zqJPPNLfuwpx"/>
    <s v="Ochen lazara - Agago | Paimol | Anyim mito yele - Gardener"/>
    <n v="1"/>
    <s v="Melia, Ongono,"/>
    <d v="1944-12-29T00:00:00"/>
    <s v="Agago"/>
    <s v="Paimol"/>
    <n v="246"/>
    <n v="139"/>
    <n v="0"/>
    <n v="0"/>
    <n v="107"/>
    <n v="0"/>
    <n v="0"/>
    <n v="0"/>
    <n v="0"/>
    <n v="0.34810000000000002"/>
    <x v="1"/>
    <x v="1"/>
    <n v="14491"/>
    <n v="41"/>
    <n v="0.34810000000000002"/>
    <n v="14.2721"/>
  </r>
  <r>
    <s v="recQw7Q86c1RvfyAw"/>
    <s v="Ocing Jovin - Agago | Paimol | Gen kweri young farmer's association - Gardener"/>
    <n v="1"/>
    <s v="Melia, Musizi, Gmelina, Ongono,"/>
    <d v="2022-09-06T00:00:00"/>
    <s v="Agago"/>
    <s v="Paimol"/>
    <n v="1306"/>
    <n v="180"/>
    <n v="311"/>
    <n v="615"/>
    <n v="200"/>
    <n v="0"/>
    <n v="0"/>
    <n v="0"/>
    <n v="0"/>
    <n v="1.9699999999999999E-2"/>
    <x v="1"/>
    <x v="1"/>
    <n v="33454"/>
    <n v="41"/>
    <n v="1.9699999999999999E-2"/>
    <n v="0.80769999999999997"/>
  </r>
  <r>
    <s v="recYtjQGASiIcFX04"/>
    <s v="Oding George - Agago | Kuywe | Cam badi Gardener"/>
    <n v="1"/>
    <s v="Melia,"/>
    <d v="2022-07-13T00:00:00"/>
    <s v="Agago"/>
    <s v="Kuywe"/>
    <n v="60"/>
    <n v="60"/>
    <n v="0"/>
    <n v="0"/>
    <n v="0"/>
    <n v="0"/>
    <n v="0"/>
    <n v="0"/>
    <n v="0"/>
    <n v="1.2500000000000001E-2"/>
    <x v="1"/>
    <x v="1"/>
    <n v="14116"/>
    <n v="40"/>
    <n v="1.32E-2"/>
    <n v="0.52800000000000002"/>
  </r>
  <r>
    <s v="rec45P7mAyCn6fWpw"/>
    <s v="Odok Peter - Akem kwene"/>
    <n v="1"/>
    <s v="Melia, Gmelina,"/>
    <d v="2022-08-22T00:00:00"/>
    <s v="Individual Farmer"/>
    <s v="Individual Farmer"/>
    <n v="22"/>
    <n v="11"/>
    <n v="0"/>
    <n v="11"/>
    <n v="0"/>
    <n v="0"/>
    <n v="0"/>
    <n v="0"/>
    <n v="0"/>
    <n v="4.8899999999999999E-2"/>
    <x v="1"/>
    <x v="1"/>
    <n v="17265"/>
    <n v="33"/>
    <n v="4.8899999999999999E-2"/>
    <n v="1.6136999999999999"/>
  </r>
  <r>
    <s v="recGVk7F3ZPQsscef"/>
    <s v="Odok Peter - Akem kwene"/>
    <n v="1"/>
    <s v="Gmelina,"/>
    <d v="2022-08-22T00:00:00"/>
    <s v="Individual Farmer"/>
    <s v="Individual Farmer"/>
    <n v="17"/>
    <n v="0"/>
    <n v="0"/>
    <n v="17"/>
    <n v="0"/>
    <n v="0"/>
    <n v="0"/>
    <n v="0"/>
    <n v="0"/>
    <n v="4.4400000000000002E-2"/>
    <x v="1"/>
    <x v="1"/>
    <n v="17264"/>
    <n v="43"/>
    <n v="4.4400000000000002E-2"/>
    <n v="1.9092"/>
  </r>
  <r>
    <s v="recvUw62FD1zoEo6g"/>
    <s v="Odong Alfons - Agago | | Individual Farmer Gardener"/>
    <n v="1"/>
    <s v="Melia,"/>
    <d v="2022-08-22T00:00:00"/>
    <s v="Agago"/>
    <s v="Individual Farmer"/>
    <n v="350"/>
    <n v="350"/>
    <n v="0"/>
    <n v="0"/>
    <n v="0"/>
    <n v="0"/>
    <n v="0"/>
    <n v="0"/>
    <n v="0"/>
    <n v="0.34639999999999999"/>
    <x v="1"/>
    <x v="1"/>
    <n v="22733"/>
    <n v="46"/>
    <n v="0.10780000000000001"/>
    <n v="4.9588000000000001"/>
  </r>
  <r>
    <s v="recvUw62FD1zoEo6g"/>
    <s v="Odong Alfons - Agago | | Individual Farmer Gardener"/>
    <n v="1"/>
    <s v="Melia,"/>
    <d v="2022-08-22T00:00:00"/>
    <s v="Agago"/>
    <s v="Individual Farmer"/>
    <n v="350"/>
    <n v="350"/>
    <n v="0"/>
    <n v="0"/>
    <n v="0"/>
    <n v="0"/>
    <n v="0"/>
    <n v="0"/>
    <n v="0"/>
    <n v="0.34639999999999999"/>
    <x v="1"/>
    <x v="1"/>
    <n v="22926"/>
    <n v="43"/>
    <n v="0.2387"/>
    <n v="10.264099999999999"/>
  </r>
  <r>
    <s v="rec2gMKeOPfImh6GD"/>
    <s v="Odong Geoffrey - Agago | | Individual Farmer Gardener"/>
    <n v="1"/>
    <s v="Melia,"/>
    <d v="2022-08-22T00:00:00"/>
    <s v="Agago"/>
    <s v="Individual Farmer"/>
    <n v="250"/>
    <n v="250"/>
    <n v="0"/>
    <n v="0"/>
    <n v="0"/>
    <n v="0"/>
    <n v="0"/>
    <n v="0"/>
    <n v="0"/>
    <n v="0.1782"/>
    <x v="1"/>
    <x v="1"/>
    <n v="22537"/>
    <n v="44"/>
    <n v="0.1782"/>
    <n v="7.8407999999999998"/>
  </r>
  <r>
    <s v="recCg2ZStba3nND1k"/>
    <s v="Odong John Bosco - Agago | Adilang | Akem ki kweri Gardener"/>
    <n v="1"/>
    <s v="Melia, Gmelina, Ongono, Lebbek"/>
    <d v="2022-10-07T00:00:00"/>
    <s v="Agago"/>
    <s v="Adilang"/>
    <n v="1360"/>
    <n v="780"/>
    <n v="0"/>
    <n v="150"/>
    <n v="380"/>
    <n v="0"/>
    <n v="0"/>
    <n v="0"/>
    <n v="50"/>
    <n v="0.99850000000000005"/>
    <x v="1"/>
    <x v="1"/>
    <n v="23933"/>
    <n v="41"/>
    <n v="0.99850000000000005"/>
    <n v="40.938500000000005"/>
  </r>
  <r>
    <s v="recVoXYq6PLaOVQFX"/>
    <s v="Odong jovine - Agago | Lira - Palwo | Nen ki wangi Gardener"/>
    <n v="1"/>
    <s v="Melia, Musizi, Gmelina, Ongono, Faidherbia,"/>
    <d v="2022-08-22T00:00:00"/>
    <s v="Agago"/>
    <s v="Lira - Palwo"/>
    <n v="240"/>
    <n v="92"/>
    <n v="10"/>
    <n v="18"/>
    <n v="85"/>
    <n v="35"/>
    <n v="0"/>
    <n v="0"/>
    <n v="0"/>
    <n v="0.4113"/>
    <x v="1"/>
    <x v="1"/>
    <n v="21729"/>
    <n v="38"/>
    <n v="0.17330000000000001"/>
    <n v="6.5853999999999999"/>
  </r>
  <r>
    <s v="recVoXYq6PLaOVQFX"/>
    <s v="Odong jovine - Agago | Lira - Palwo | Nen ki wangi Gardener"/>
    <n v="1"/>
    <s v="Melia, Musizi, Gmelina, Ongono, Faidherbia,"/>
    <d v="2022-08-22T00:00:00"/>
    <s v="Agago"/>
    <s v="Lira - Palwo"/>
    <n v="240"/>
    <n v="92"/>
    <n v="10"/>
    <n v="18"/>
    <n v="85"/>
    <n v="35"/>
    <n v="0"/>
    <n v="0"/>
    <n v="0"/>
    <n v="0.4113"/>
    <x v="1"/>
    <x v="1"/>
    <n v="21730"/>
    <n v="41"/>
    <n v="0.2379"/>
    <n v="9.7538999999999998"/>
  </r>
  <r>
    <s v="recIR8RfnJPaC2BKp"/>
    <s v="Odong Richard - Agago | | Individual Farmer Gardener"/>
    <n v="1"/>
    <s v="Melia,"/>
    <d v="2022-10-11T00:00:00"/>
    <s v="Agago"/>
    <s v="Individual Farmer"/>
    <n v="200"/>
    <n v="200"/>
    <n v="0"/>
    <n v="0"/>
    <n v="0"/>
    <n v="0"/>
    <n v="0"/>
    <n v="0"/>
    <n v="0"/>
    <n v="7.1599999999999997E-2"/>
    <x v="1"/>
    <x v="1"/>
    <n v="22733"/>
    <n v="46"/>
    <n v="7.1599999999999997E-2"/>
    <n v="3.2935999999999996"/>
  </r>
  <r>
    <s v="recrVoyYlKRbr6Tkl"/>
    <s v="Odongkara geofry - Kitgum | Orom East | Watwero Gardener"/>
    <n v="1"/>
    <s v="Melia, Gmelina, Ongono, Faidherbia, Senna, Lebbek"/>
    <d v="2022-08-22T00:00:00"/>
    <s v="Individual Farmer"/>
    <s v="Individual Farmer"/>
    <n v="309"/>
    <n v="100"/>
    <n v="0"/>
    <n v="29"/>
    <n v="50"/>
    <n v="50"/>
    <n v="0"/>
    <n v="50"/>
    <n v="30"/>
    <n v="2.6100000000000002E-2"/>
    <x v="1"/>
    <x v="1"/>
    <n v="4688"/>
    <n v="37"/>
    <n v="2.6100000000000002E-2"/>
    <n v="0.96570000000000011"/>
  </r>
  <r>
    <s v="rec9RBdeIdN8IsOUY"/>
    <s v="Odongo Bonny - Agago | | Individual Farmer Gardener"/>
    <n v="1"/>
    <s v="Melia, Gmelina,"/>
    <d v="2022-10-05T00:00:00"/>
    <s v="Agago"/>
    <s v="Individual Farmer"/>
    <n v="22"/>
    <n v="12"/>
    <n v="0"/>
    <n v="10"/>
    <n v="0"/>
    <n v="0"/>
    <n v="0"/>
    <n v="0"/>
    <n v="0"/>
    <n v="2.6100000000000002E-2"/>
    <x v="1"/>
    <x v="1"/>
    <n v="35429"/>
    <n v="55"/>
    <n v="2.6100000000000002E-2"/>
    <n v="1.4355"/>
  </r>
  <r>
    <s v="recWoJoYATnJQiHCC"/>
    <s v="Odongo Robert - Agago | Patongo | Ribbe ber Gardener"/>
    <n v="1"/>
    <s v="Melia,"/>
    <d v="2022-06-06T00:00:00"/>
    <s v="Agago"/>
    <s v="Patongo"/>
    <n v="520"/>
    <n v="520"/>
    <n v="0"/>
    <n v="0"/>
    <n v="0"/>
    <n v="0"/>
    <n v="0"/>
    <n v="0"/>
    <n v="0"/>
    <n v="0.443"/>
    <x v="1"/>
    <x v="1"/>
    <n v="23111"/>
    <n v="39"/>
    <n v="0.443"/>
    <n v="17.277000000000001"/>
  </r>
  <r>
    <s v="recBnURDdymVE9FQo"/>
    <s v="Odongo Samuel - Omoro | Lalogi | Ogwete community Gardener"/>
    <n v="1"/>
    <s v="Melia,"/>
    <d v="2022-07-21T00:00:00"/>
    <s v="Omoro"/>
    <s v="Lalogi"/>
    <n v="35"/>
    <n v="35"/>
    <n v="0"/>
    <n v="0"/>
    <n v="0"/>
    <n v="0"/>
    <n v="0"/>
    <n v="0"/>
    <n v="0"/>
    <n v="0.16200000000000001"/>
    <x v="1"/>
    <x v="1"/>
    <n v="34929"/>
    <n v="37"/>
    <n v="0.16200000000000001"/>
    <n v="5.9939999999999998"/>
  </r>
  <r>
    <s v="recQVJAOMehfUNZun"/>
    <s v="Odora Risard - Agago | Paimol | Amini ngo Gardener"/>
    <n v="1"/>
    <s v="Gmelina, Faidherbia,"/>
    <d v="2022-05-18T00:00:00"/>
    <s v="Agago"/>
    <s v="Paimol"/>
    <n v="72"/>
    <n v="0"/>
    <n v="0"/>
    <n v="22"/>
    <n v="0"/>
    <n v="50"/>
    <n v="0"/>
    <n v="0"/>
    <n v="0"/>
    <n v="0"/>
    <x v="1"/>
    <x v="1"/>
    <n v="14477"/>
    <n v="48"/>
    <n v="0"/>
    <n v="0"/>
  </r>
  <r>
    <s v="recuG4pBfPbva8cpN"/>
    <s v="Odur Bosco - Agago | | Individual Farmer Gardener"/>
    <n v="1"/>
    <s v="Gmelina,"/>
    <d v="2022-10-29T00:00:00"/>
    <s v="Agago"/>
    <s v="Individual Farmer"/>
    <n v="20"/>
    <n v="0"/>
    <n v="0"/>
    <n v="20"/>
    <n v="0"/>
    <n v="0"/>
    <n v="0"/>
    <n v="0"/>
    <n v="0"/>
    <n v="5.7999999999999996E-3"/>
    <x v="1"/>
    <x v="1"/>
    <n v="13772"/>
    <n v="38"/>
    <n v="5.7999999999999996E-3"/>
    <n v="0.22039999999999998"/>
  </r>
  <r>
    <s v="recJ0bZgK3Ty6A0Im"/>
    <s v="Ogenga john - Agago | Lira - Palwo | Waribu tam - Gardener"/>
    <n v="1"/>
    <s v="Melia, Gmelina, Ongono, Senna, Lebbek"/>
    <d v="2022-08-22T00:00:00"/>
    <s v="Agago"/>
    <s v="Lira - Palwo"/>
    <n v="158"/>
    <n v="60"/>
    <n v="0"/>
    <n v="23"/>
    <n v="40"/>
    <n v="0"/>
    <n v="0"/>
    <n v="25"/>
    <n v="10"/>
    <n v="0.2994"/>
    <x v="1"/>
    <x v="1"/>
    <n v="21729"/>
    <n v="38"/>
    <n v="0.2994"/>
    <n v="11.3772"/>
  </r>
  <r>
    <s v="recfGJXwQIy6RORpW"/>
    <s v="Ojara Charles - Agago | Kuywe | Kica ber Gardener"/>
    <n v="1"/>
    <s v="Melia,"/>
    <d v="2022-10-29T00:00:00"/>
    <s v="Agago"/>
    <s v="Kuywe"/>
    <n v="15"/>
    <n v="15"/>
    <n v="0"/>
    <n v="0"/>
    <n v="0"/>
    <n v="0"/>
    <n v="0"/>
    <n v="0"/>
    <n v="0"/>
    <n v="2.7900000000000001E-2"/>
    <x v="1"/>
    <x v="1"/>
    <n v="34683"/>
    <n v="41"/>
    <n v="2.7900000000000001E-2"/>
    <n v="1.1439000000000001"/>
  </r>
  <r>
    <s v="recwwIElWYDPjrU8m"/>
    <s v="Ojara Dominic - Agago | | Individual Farmer Gardener"/>
    <n v="1"/>
    <s v="Melia,"/>
    <d v="2022-10-17T00:00:00"/>
    <s v="Agago"/>
    <s v="Individual Farmer"/>
    <n v="900"/>
    <n v="900"/>
    <n v="0"/>
    <n v="0"/>
    <n v="0"/>
    <n v="0"/>
    <n v="0"/>
    <n v="0"/>
    <n v="0"/>
    <n v="1.7600000000000001E-2"/>
    <x v="1"/>
    <x v="1"/>
    <n v="14116"/>
    <n v="40"/>
    <n v="1.7600000000000001E-2"/>
    <n v="0.70400000000000007"/>
  </r>
  <r>
    <s v="recsucUyJWFZ36VV4"/>
    <s v="Ojara Samuel Baker - Omoro | Lalogi | Pee Icaa Gardener"/>
    <n v="1"/>
    <s v="Melia, Ongono, Senna,"/>
    <d v="2022-08-22T00:00:00"/>
    <s v="Omoro"/>
    <s v="Lalogi"/>
    <n v="645"/>
    <n v="345"/>
    <n v="0"/>
    <n v="0"/>
    <n v="150"/>
    <n v="0"/>
    <n v="0"/>
    <n v="150"/>
    <n v="0"/>
    <n v="0.32369999999999999"/>
    <x v="1"/>
    <x v="1"/>
    <n v="22670"/>
    <n v="44"/>
    <n v="0.32369999999999999"/>
    <n v="14.242799999999999"/>
  </r>
  <r>
    <s v="rec7hXgojStGUQd98"/>
    <s v="Ojera Alex - Agago | Paimol | Gen kweri young farmer's association - Gardener"/>
    <n v="1"/>
    <s v="Melia, Gmelina, Ongono,"/>
    <d v="2022-07-24T00:00:00"/>
    <s v="Agago"/>
    <s v="Paimol"/>
    <n v="264"/>
    <n v="60"/>
    <n v="0"/>
    <n v="124"/>
    <n v="80"/>
    <n v="0"/>
    <n v="0"/>
    <n v="0"/>
    <n v="0"/>
    <n v="0.25719999999999998"/>
    <x v="1"/>
    <x v="1"/>
    <n v="30546"/>
    <n v="47"/>
    <n v="0.25719999999999998"/>
    <n v="12.0884"/>
  </r>
  <r>
    <s v="recEd9RRLEc7N9rld"/>
    <s v="Ojok Charles - Agago | | Individual Farmer Gardener"/>
    <n v="1"/>
    <s v="Melia, Musizi,"/>
    <d v="2022-09-21T00:00:00"/>
    <s v="Agago"/>
    <s v="Individual Farmer"/>
    <n v="160"/>
    <n v="108"/>
    <n v="52"/>
    <n v="0"/>
    <n v="0"/>
    <n v="0"/>
    <n v="0"/>
    <n v="0"/>
    <n v="0"/>
    <n v="0.14169999999999999"/>
    <x v="1"/>
    <x v="1"/>
    <n v="35264"/>
    <n v="46"/>
    <n v="0.14169999999999999"/>
    <n v="6.5181999999999993"/>
  </r>
  <r>
    <s v="reclhaselXSXcryPV"/>
    <s v="Ojok Francish - Agago | | Individual Farmer Gardener"/>
    <n v="1"/>
    <s v="Melia,"/>
    <d v="2022-12-25T00:00:00"/>
    <s v="Agago"/>
    <s v="Individual Farmer"/>
    <n v="189"/>
    <n v="189"/>
    <n v="0"/>
    <n v="0"/>
    <n v="0"/>
    <n v="0"/>
    <n v="0"/>
    <n v="0"/>
    <n v="0"/>
    <n v="8.6699999999999999E-2"/>
    <x v="1"/>
    <x v="1"/>
    <n v="30547"/>
    <n v="45"/>
    <n v="8.7300000000000003E-2"/>
    <n v="3.9285000000000001"/>
  </r>
  <r>
    <s v="recxTS2zJYJhyD26I"/>
    <s v="Ojok Lawrence - Agago | Paimol | Rubanga tek women's group - Gardener"/>
    <n v="1"/>
    <s v="Melia, Gmelina, Ongono,"/>
    <d v="2022-05-23T00:00:00"/>
    <s v="Agago"/>
    <s v="Paimol"/>
    <n v="1050"/>
    <n v="400"/>
    <n v="0"/>
    <n v="150"/>
    <n v="500"/>
    <n v="0"/>
    <n v="0"/>
    <n v="0"/>
    <n v="0"/>
    <n v="5.8400000000000001E-2"/>
    <x v="1"/>
    <x v="1"/>
    <n v="35085"/>
    <n v="42"/>
    <n v="5.8400000000000001E-2"/>
    <n v="2.4527999999999999"/>
  </r>
  <r>
    <s v="recn9WA6rcyQ4eusI"/>
    <s v="Ojok mathew - Agago | Kuywe | Gum anywala Gardener"/>
    <n v="1"/>
    <s v="Melia, Musizi, Gmelina, Senna,"/>
    <d v="2022-08-14T00:00:00"/>
    <s v="Agago"/>
    <s v="Kuywe"/>
    <n v="78"/>
    <n v="40"/>
    <n v="6"/>
    <n v="12"/>
    <n v="0"/>
    <n v="0"/>
    <n v="0"/>
    <n v="20"/>
    <n v="0"/>
    <n v="2.1899999999999999E-2"/>
    <x v="1"/>
    <x v="1"/>
    <n v="14489"/>
    <n v="35"/>
    <n v="2.1899999999999999E-2"/>
    <n v="0.76649999999999996"/>
  </r>
  <r>
    <s v="recJNYNwWT2Cmx6jb"/>
    <s v="Ojok peter - Agago | Kuywe | Rubanga tek ki lwak Cam badi Gardener"/>
    <n v="1"/>
    <s v="Melia, Gmelina, Ongono, Senna,"/>
    <d v="2022-08-13T00:00:00"/>
    <s v="Agago"/>
    <s v="Kuywe"/>
    <n v="130"/>
    <n v="45"/>
    <n v="0"/>
    <n v="45"/>
    <n v="20"/>
    <n v="0"/>
    <n v="0"/>
    <n v="20"/>
    <n v="0"/>
    <n v="2.5100000000000001E-2"/>
    <x v="1"/>
    <x v="1"/>
    <n v="30730"/>
    <n v="46"/>
    <n v="2.5100000000000001E-2"/>
    <n v="1.1546000000000001"/>
  </r>
  <r>
    <s v="rectIUkLgp584qI2y"/>
    <s v="Ojok punto - Agago | Lapono | Akem kwene farmer's group Gardener"/>
    <n v="1"/>
    <s v="Melia, Gmelina,"/>
    <d v="2022-06-25T00:00:00"/>
    <s v="Agago"/>
    <s v="Lapono"/>
    <n v="114"/>
    <n v="90"/>
    <n v="0"/>
    <n v="24"/>
    <n v="0"/>
    <n v="0"/>
    <n v="0"/>
    <n v="0"/>
    <n v="0"/>
    <n v="0.78129999999999999"/>
    <x v="1"/>
    <x v="1"/>
    <n v="17077"/>
    <n v="36"/>
    <n v="0.78129999999999999"/>
    <n v="28.126799999999999"/>
  </r>
  <r>
    <s v="recRwj9PgoYdpQQfH"/>
    <s v="Ojok Robert - Agago | Lukole | Nen anyim Gardener"/>
    <n v="1"/>
    <s v="Melia, Musizi, Gmelina, Senna,"/>
    <d v="2022-07-28T00:00:00"/>
    <s v="Agago"/>
    <s v="Lukole"/>
    <n v="460"/>
    <n v="150"/>
    <n v="100"/>
    <n v="100"/>
    <n v="0"/>
    <n v="0"/>
    <n v="0"/>
    <n v="110"/>
    <n v="0"/>
    <n v="0.1152"/>
    <x v="1"/>
    <x v="1"/>
    <n v="18633"/>
    <n v="34"/>
    <n v="0.1152"/>
    <n v="3.9167999999999998"/>
  </r>
  <r>
    <s v="recwmvXmhUlBBna4j"/>
    <s v="Ojwea robert - Agago | Lapono | Karenga water user's association Gardener"/>
    <n v="1"/>
    <s v="Melia, Musizi, Gmelina, Senna,"/>
    <d v="2022-08-22T00:00:00"/>
    <s v="Agago"/>
    <s v="Lapono"/>
    <n v="215"/>
    <n v="120"/>
    <n v="15"/>
    <n v="50"/>
    <n v="0"/>
    <n v="0"/>
    <n v="0"/>
    <n v="30"/>
    <n v="0"/>
    <n v="0.54269999999999996"/>
    <x v="1"/>
    <x v="1"/>
    <n v="15777"/>
    <n v="42"/>
    <n v="0.54269999999999996"/>
    <n v="22.793399999999998"/>
  </r>
  <r>
    <s v="recojnJFdjbugxcOm"/>
    <s v="Ojwiya Robert - Karenga water user"/>
    <n v="1"/>
    <s v="Melia, Gmelina, Ongono, Senna,"/>
    <d v="2022-08-22T00:00:00"/>
    <s v="Individual Farmer"/>
    <s v="Individual Farmer"/>
    <n v="84"/>
    <n v="61"/>
    <n v="0"/>
    <n v="16"/>
    <n v="3"/>
    <n v="0"/>
    <n v="0"/>
    <n v="4"/>
    <n v="0"/>
    <n v="2.0400000000000001E-2"/>
    <x v="1"/>
    <x v="1"/>
    <n v="15948"/>
    <n v="41"/>
    <n v="2.0400000000000001E-2"/>
    <n v="0.83640000000000003"/>
  </r>
  <r>
    <s v="recUSHpIviRKwxvBf"/>
    <s v="Okech Bosco - Atek Ki Lwak"/>
    <n v="1"/>
    <s v="Gmelina, Ongono, Senna,"/>
    <d v="2022-08-22T00:00:00"/>
    <s v="Individual Farmer"/>
    <s v="Individual Farmer"/>
    <n v="20"/>
    <n v="0"/>
    <n v="0"/>
    <n v="2"/>
    <n v="14"/>
    <n v="0"/>
    <n v="0"/>
    <n v="4"/>
    <n v="0"/>
    <n v="0.21479999999999999"/>
    <x v="1"/>
    <x v="1"/>
    <n v="4870"/>
    <n v="47"/>
    <n v="0.15110000000000001"/>
    <n v="7.101700000000001"/>
  </r>
  <r>
    <s v="recUSHpIviRKwxvBf"/>
    <s v="Okech Bosco - Atek Ki Lwak"/>
    <n v="1"/>
    <s v="Gmelina, Ongono, Senna,"/>
    <d v="2022-08-22T00:00:00"/>
    <s v="Individual Farmer"/>
    <s v="Individual Farmer"/>
    <n v="20"/>
    <n v="0"/>
    <n v="0"/>
    <n v="2"/>
    <n v="14"/>
    <n v="0"/>
    <n v="0"/>
    <n v="4"/>
    <n v="0"/>
    <n v="0.21479999999999999"/>
    <x v="1"/>
    <x v="1"/>
    <n v="4871"/>
    <n v="42"/>
    <n v="5.2200000000000003E-2"/>
    <n v="2.1924000000000001"/>
  </r>
  <r>
    <s v="recUSHpIviRKwxvBf"/>
    <s v="Okech Bosco - Atek Ki Lwak"/>
    <n v="1"/>
    <s v="Gmelina, Ongono, Senna,"/>
    <d v="2022-08-22T00:00:00"/>
    <s v="Individual Farmer"/>
    <s v="Individual Farmer"/>
    <n v="20"/>
    <n v="0"/>
    <n v="0"/>
    <n v="2"/>
    <n v="14"/>
    <n v="0"/>
    <n v="0"/>
    <n v="4"/>
    <n v="0"/>
    <n v="0.21479999999999999"/>
    <x v="1"/>
    <x v="1"/>
    <n v="5050"/>
    <n v="44"/>
    <n v="1.15E-2"/>
    <n v="0.50600000000000001"/>
  </r>
  <r>
    <s v="rec5TRWkLxtjqmb3k"/>
    <s v="Okello baptise - Agago | Lapono | Odong mon Gardener"/>
    <n v="1"/>
    <s v="Melia, Gmelina, Ongono, Lebbek"/>
    <d v="2022-08-22T00:00:00"/>
    <s v="Agago"/>
    <s v="Lapono"/>
    <n v="133"/>
    <n v="49"/>
    <n v="0"/>
    <n v="5"/>
    <n v="70"/>
    <n v="0"/>
    <n v="0"/>
    <n v="0"/>
    <n v="9"/>
    <n v="0.23350000000000001"/>
    <x v="1"/>
    <x v="1"/>
    <n v="16712"/>
    <n v="41"/>
    <n v="0.23350000000000001"/>
    <n v="9.573500000000001"/>
  </r>
  <r>
    <s v="recZ9TswyGzY6mZnJ"/>
    <s v="Okello Bosco - Agago | Paimol | Gen kweri young farmer's association - Gardener"/>
    <n v="1"/>
    <s v="Musizi, Gmelina,"/>
    <d v="2022-08-05T00:00:00"/>
    <s v="Agago"/>
    <s v="Paimol"/>
    <n v="268"/>
    <n v="0"/>
    <n v="96"/>
    <n v="172"/>
    <n v="0"/>
    <n v="0"/>
    <n v="0"/>
    <n v="0"/>
    <n v="0"/>
    <n v="6.5799999999999997E-2"/>
    <x v="1"/>
    <x v="1"/>
    <n v="16103"/>
    <n v="46"/>
    <n v="6.5799999999999997E-2"/>
    <n v="3.0267999999999997"/>
  </r>
  <r>
    <s v="recrv1TM4G91IERgE"/>
    <s v="Okello Charles - Agago | Kuywe | Cam badi Gardener"/>
    <n v="1"/>
    <s v="Melia,"/>
    <d v="2022-08-10T00:00:00"/>
    <s v="Agago"/>
    <s v="Kuywe"/>
    <n v="80"/>
    <n v="80"/>
    <n v="0"/>
    <n v="0"/>
    <n v="0"/>
    <n v="0"/>
    <n v="0"/>
    <n v="0"/>
    <n v="0"/>
    <n v="2.35E-2"/>
    <x v="1"/>
    <x v="1"/>
    <n v="14115"/>
    <n v="39"/>
    <n v="2.35E-2"/>
    <n v="0.91649999999999998"/>
  </r>
  <r>
    <s v="recpCDEIfkUngxWLT"/>
    <s v="Okello Charles max - Agago | Lukole | Atim ki koma Gardener"/>
    <n v="1"/>
    <s v="Melia, Gmelina, Senna,"/>
    <d v="2022-08-26T00:00:00"/>
    <s v="Agago"/>
    <s v="Lukole"/>
    <n v="985"/>
    <n v="185"/>
    <n v="0"/>
    <n v="600"/>
    <n v="0"/>
    <n v="0"/>
    <n v="0"/>
    <n v="200"/>
    <n v="0"/>
    <n v="0.46560000000000001"/>
    <x v="1"/>
    <x v="1"/>
    <n v="18634"/>
    <n v="47"/>
    <n v="0.46560000000000001"/>
    <n v="21.883200000000002"/>
  </r>
  <r>
    <s v="recxmiAmsSiZ0hJK4"/>
    <s v="Okello Charles max - Agago | Lukole | Atim ki koma Gardener"/>
    <n v="1"/>
    <s v="Melia, Musizi, Ongono, Senna,"/>
    <d v="2022-08-17T00:00:00"/>
    <s v="Agago"/>
    <s v="Lukole"/>
    <n v="718"/>
    <n v="160"/>
    <n v="160"/>
    <n v="0"/>
    <n v="347"/>
    <n v="0"/>
    <n v="0"/>
    <n v="51"/>
    <n v="0"/>
    <n v="0.4047"/>
    <x v="1"/>
    <x v="1"/>
    <n v="18634"/>
    <n v="47"/>
    <n v="0.4047"/>
    <n v="19.020900000000001"/>
  </r>
  <r>
    <s v="recydFgriYZFUVx29"/>
    <s v="Okello cosmas - Agago | | Individual Farmer Gardener"/>
    <n v="1"/>
    <s v="Melia, Senna,"/>
    <d v="2022-11-20T00:00:00"/>
    <s v="Agago"/>
    <s v="Individual Farmer"/>
    <n v="330"/>
    <n v="300"/>
    <n v="0"/>
    <n v="0"/>
    <n v="0"/>
    <n v="0"/>
    <n v="0"/>
    <n v="30"/>
    <n v="0"/>
    <n v="0.1542"/>
    <x v="1"/>
    <x v="1"/>
    <n v="14475"/>
    <n v="46"/>
    <n v="9.7000000000000003E-2"/>
    <n v="4.4619999999999997"/>
  </r>
  <r>
    <s v="recydFgriYZFUVx29"/>
    <s v="Okello cosmas - Agago | | Individual Farmer Gardener"/>
    <n v="1"/>
    <s v="Melia, Senna,"/>
    <d v="2022-11-20T00:00:00"/>
    <s v="Agago"/>
    <s v="Individual Farmer"/>
    <n v="330"/>
    <n v="300"/>
    <n v="0"/>
    <n v="0"/>
    <n v="0"/>
    <n v="0"/>
    <n v="0"/>
    <n v="30"/>
    <n v="0"/>
    <n v="0.1542"/>
    <x v="1"/>
    <x v="1"/>
    <n v="14476"/>
    <n v="43"/>
    <n v="5.7299999999999997E-2"/>
    <n v="2.4638999999999998"/>
  </r>
  <r>
    <s v="recUO8FbDNXwmoMf5"/>
    <s v="Okello John - Agago | Lukole | Gang ber ki mon Gardener"/>
    <n v="1"/>
    <s v="Melia, Musizi,"/>
    <d v="2022-07-23T00:00:00"/>
    <s v="Agago"/>
    <s v="Lukole"/>
    <n v="29"/>
    <n v="25"/>
    <n v="4"/>
    <n v="0"/>
    <n v="0"/>
    <n v="0"/>
    <n v="0"/>
    <n v="0"/>
    <n v="0"/>
    <n v="3.4099999999999998E-2"/>
    <x v="1"/>
    <x v="1"/>
    <n v="18249"/>
    <n v="37"/>
    <n v="3.4099999999999998E-2"/>
    <n v="1.2617"/>
  </r>
  <r>
    <s v="recV0Ky2XlqsuMpK6"/>
    <s v="Okello Martin - Agago | Patongo | God the provider Gardener"/>
    <n v="1"/>
    <s v="Melia, Musizi, Gmelina, Ongono,"/>
    <d v="2022-05-11T00:00:00"/>
    <s v="Agago"/>
    <s v="Patongo"/>
    <n v="125"/>
    <n v="45"/>
    <n v="7"/>
    <n v="43"/>
    <n v="30"/>
    <n v="0"/>
    <n v="0"/>
    <n v="0"/>
    <n v="0"/>
    <n v="0.59130000000000005"/>
    <x v="1"/>
    <x v="1"/>
    <n v="23544"/>
    <n v="41"/>
    <n v="0.59130000000000005"/>
    <n v="24.243300000000001"/>
  </r>
  <r>
    <s v="rec6QYCkz3V3VfEhf"/>
    <s v="Okello namson - Agago | Lapono | Akem kwene farmer's group Gardener"/>
    <n v="1"/>
    <s v="Musizi,"/>
    <d v="2022-08-22T00:00:00"/>
    <s v="Agago"/>
    <s v="Lapono"/>
    <n v="350"/>
    <n v="0"/>
    <n v="350"/>
    <n v="0"/>
    <n v="0"/>
    <n v="0"/>
    <n v="0"/>
    <n v="0"/>
    <n v="0"/>
    <n v="0.35170000000000001"/>
    <x v="1"/>
    <x v="1"/>
    <n v="17079"/>
    <n v="40"/>
    <n v="0.35170000000000001"/>
    <n v="14.068000000000001"/>
  </r>
  <r>
    <s v="recMycuJlBBvAjEis"/>
    <s v="Okello otim James - Agago | Patongo | Gang ber ki yen Gardener"/>
    <n v="1"/>
    <s v="Melia, Musizi, Gmelina, Senna,"/>
    <d v="2022-07-13T00:00:00"/>
    <s v="Agago"/>
    <s v="Patongo"/>
    <n v="213"/>
    <n v="165"/>
    <n v="2"/>
    <n v="42"/>
    <n v="0"/>
    <n v="0"/>
    <n v="0"/>
    <n v="4"/>
    <n v="0"/>
    <n v="0.2099"/>
    <x v="1"/>
    <x v="1"/>
    <n v="22923"/>
    <n v="37"/>
    <n v="0.2099"/>
    <n v="7.7663000000000002"/>
  </r>
  <r>
    <s v="rec8cFzyADzoAQhEn"/>
    <s v="Okello richard - Agago | Kuywe | Yub paco ni Gardener"/>
    <n v="1"/>
    <s v="Melia, Gmelina, Senna,"/>
    <d v="2022-06-15T00:00:00"/>
    <s v="Agago"/>
    <s v="Kuywe"/>
    <n v="84"/>
    <n v="14"/>
    <n v="0"/>
    <n v="60"/>
    <n v="0"/>
    <n v="0"/>
    <n v="0"/>
    <n v="10"/>
    <n v="0"/>
    <n v="4.82E-2"/>
    <x v="1"/>
    <x v="1"/>
    <n v="35866"/>
    <n v="46"/>
    <n v="4.82E-2"/>
    <n v="2.2172000000000001"/>
  </r>
  <r>
    <s v="recEMWmOIJkoWWGVe"/>
    <s v="Okello Robert - Agago | Lukole | Gang ber ki mon Gardener"/>
    <n v="1"/>
    <s v="Musizi, Gmelina,"/>
    <d v="2022-06-24T00:00:00"/>
    <s v="Agago"/>
    <s v="Lukole"/>
    <n v="70"/>
    <n v="0"/>
    <n v="15"/>
    <n v="55"/>
    <n v="0"/>
    <n v="0"/>
    <n v="0"/>
    <n v="0"/>
    <n v="0"/>
    <n v="7.0300000000000001E-2"/>
    <x v="1"/>
    <x v="1"/>
    <n v="18634"/>
    <n v="47"/>
    <n v="7.0300000000000001E-2"/>
    <n v="3.3041"/>
  </r>
  <r>
    <s v="recQS8mxNZcUkP8kX"/>
    <s v="Okello Sisto - Agago | Adilang | Can lit Gardener"/>
    <n v="1"/>
    <s v="Melia,"/>
    <d v="2022-08-23T00:00:00"/>
    <s v="Agago"/>
    <s v="Adilang"/>
    <n v="50"/>
    <n v="50"/>
    <n v="0"/>
    <n v="0"/>
    <n v="0"/>
    <n v="0"/>
    <n v="0"/>
    <n v="0"/>
    <n v="0"/>
    <n v="1.6199999999999999E-2"/>
    <x v="1"/>
    <x v="1"/>
    <n v="23133"/>
    <n v="41"/>
    <n v="1.6199999999999999E-2"/>
    <n v="0.66420000000000001"/>
  </r>
  <r>
    <s v="recDiguZPZHxnNt1w"/>
    <s v="Okello Stephanie - Omoro | Lalogi | Lok i tam Gardener"/>
    <n v="1"/>
    <s v="Musizi,"/>
    <d v="2022-08-07T00:00:00"/>
    <s v="Omoro"/>
    <s v="Lalogi"/>
    <n v="81"/>
    <n v="0"/>
    <n v="81"/>
    <n v="0"/>
    <n v="0"/>
    <n v="0"/>
    <n v="0"/>
    <n v="0"/>
    <n v="0"/>
    <n v="0.29120000000000001"/>
    <x v="1"/>
    <x v="1"/>
    <n v="36622"/>
    <n v="47"/>
    <n v="0.29120000000000001"/>
    <n v="13.686400000000001"/>
  </r>
  <r>
    <s v="recQO4Fk1C4nqCmVK"/>
    <s v="Okello willy - Agago | Kuywe | Gum anywala Gardener"/>
    <n v="1"/>
    <s v="Melia, Musizi, Gmelina,"/>
    <d v="2022-07-15T00:00:00"/>
    <s v="Agago"/>
    <s v="Kuywe"/>
    <n v="72"/>
    <n v="40"/>
    <n v="12"/>
    <n v="20"/>
    <n v="0"/>
    <n v="0"/>
    <n v="0"/>
    <n v="0"/>
    <n v="0"/>
    <n v="0.21029999999999999"/>
    <x v="1"/>
    <x v="1"/>
    <n v="28378"/>
    <n v="46"/>
    <n v="0.21029999999999999"/>
    <n v="9.6738"/>
  </r>
  <r>
    <s v="recRnj8PJNMEBinBB"/>
    <s v="Okema Charles - Agago | Lukole | Can mito diro Gardener"/>
    <n v="1"/>
    <s v="Melia, Gmelina, Ongono, Senna,"/>
    <d v="2022-08-18T00:00:00"/>
    <s v="Agago"/>
    <s v="Lukole"/>
    <n v="496"/>
    <n v="30"/>
    <n v="0"/>
    <n v="66"/>
    <n v="200"/>
    <n v="0"/>
    <n v="0"/>
    <n v="200"/>
    <n v="0"/>
    <n v="0.1993"/>
    <x v="1"/>
    <x v="1"/>
    <n v="18049"/>
    <n v="46"/>
    <n v="0.1993"/>
    <n v="9.1677999999999997"/>
  </r>
  <r>
    <s v="reczJan1LMCGwGiZI"/>
    <s v="Okeng Moses - Agago | Patongo | God the provider Gardener"/>
    <n v="1"/>
    <s v="Melia, Musizi, Gmelina, Ongono, Senna,"/>
    <d v="2022-05-13T00:00:00"/>
    <s v="Agago"/>
    <s v="Patongo"/>
    <n v="205"/>
    <n v="50"/>
    <n v="20"/>
    <n v="30"/>
    <n v="65"/>
    <n v="0"/>
    <n v="0"/>
    <n v="40"/>
    <n v="0"/>
    <n v="0.26119999999999999"/>
    <x v="1"/>
    <x v="1"/>
    <n v="23544"/>
    <n v="41"/>
    <n v="0.26119999999999999"/>
    <n v="10.709199999999999"/>
  </r>
  <r>
    <s v="recKGFhJ3K3PYmGxB"/>
    <s v="Okeny Bosco - Kitgum | Orom East | Watwero Gardener"/>
    <n v="1"/>
    <s v="Melia, Gmelina, Ongono, Senna, Lebbek"/>
    <d v="2022-08-22T00:00:00"/>
    <s v="Individual Farmer"/>
    <s v="Individual Farmer"/>
    <n v="160"/>
    <n v="50"/>
    <n v="0"/>
    <n v="20"/>
    <n v="50"/>
    <n v="0"/>
    <n v="0"/>
    <n v="20"/>
    <n v="20"/>
    <n v="1.6000000000000001E-3"/>
    <x v="1"/>
    <x v="1"/>
    <n v="4870"/>
    <n v="47"/>
    <n v="1.6000000000000001E-3"/>
    <n v="7.5200000000000003E-2"/>
  </r>
  <r>
    <s v="reco5LwLwJrPU8icD"/>
    <s v="Okeny Charles - Kitgum | Orom East | Atek ki lwak - Gardener"/>
    <n v="1"/>
    <s v="Melia, Ongono, Senna,"/>
    <d v="2022-09-14T00:00:00"/>
    <s v="Kitgum"/>
    <s v="Orom East"/>
    <n v="130"/>
    <n v="100"/>
    <n v="0"/>
    <n v="0"/>
    <n v="10"/>
    <n v="0"/>
    <n v="0"/>
    <n v="20"/>
    <n v="0"/>
    <n v="0.10249999999999999"/>
    <x v="1"/>
    <x v="1"/>
    <n v="4871"/>
    <n v="42"/>
    <n v="0.10249999999999999"/>
    <n v="4.3049999999999997"/>
  </r>
  <r>
    <s v="rec11EdJOXaELoNUh"/>
    <s v="Okeny Daniel - Kitgum | Orom East | Kipak rwot - Gardener"/>
    <n v="1"/>
    <s v="Melia, Musizi, Gmelina, Ongono, Opok, Senna,"/>
    <d v="2022-09-21T00:00:00"/>
    <s v="Kitgum"/>
    <s v="Orom East"/>
    <n v="412"/>
    <n v="100"/>
    <n v="90"/>
    <n v="55"/>
    <n v="100"/>
    <n v="0"/>
    <n v="2"/>
    <n v="65"/>
    <n v="0"/>
    <n v="0.1462"/>
    <x v="1"/>
    <x v="1"/>
    <n v="6036"/>
    <n v="40"/>
    <n v="0.1462"/>
    <n v="5.8479999999999999"/>
  </r>
  <r>
    <s v="recQq9ceiQN7U2cdA"/>
    <s v="Okeny Ivan - Kitgum | Orom East | Waryemo Can Gardener"/>
    <n v="1"/>
    <s v="Melia, Gmelina, Senna,"/>
    <d v="2022-08-08T00:00:00"/>
    <s v="Kitgum"/>
    <s v="Orom East"/>
    <n v="80"/>
    <n v="50"/>
    <n v="0"/>
    <n v="20"/>
    <n v="0"/>
    <n v="0"/>
    <n v="0"/>
    <n v="10"/>
    <n v="0"/>
    <n v="0.2172"/>
    <x v="1"/>
    <x v="1"/>
    <n v="5052"/>
    <n v="42"/>
    <n v="0.2172"/>
    <n v="9.1224000000000007"/>
  </r>
  <r>
    <s v="recXgVn5f4S7ijnf9"/>
    <s v="Okidi Charles - Agago | Adilang | Tam piwa Gardener"/>
    <n v="1"/>
    <s v="Melia, Gmelina,"/>
    <d v="2022-08-22T00:00:00"/>
    <s v="Agago"/>
    <s v="Adilang"/>
    <n v="100"/>
    <n v="50"/>
    <n v="0"/>
    <n v="50"/>
    <n v="0"/>
    <n v="0"/>
    <n v="0"/>
    <n v="0"/>
    <n v="0"/>
    <n v="3.1099999999999999E-2"/>
    <x v="1"/>
    <x v="1"/>
    <n v="23497"/>
    <n v="51"/>
    <n v="3.1099999999999999E-2"/>
    <n v="1.5861000000000001"/>
  </r>
  <r>
    <s v="rec45d7GZUISwZHnI"/>
    <s v="Okidi Joseph - Agago | Adilang | Tam piwa Gardener"/>
    <n v="1"/>
    <s v="Melia, Gmelina, Ongono,"/>
    <d v="2022-08-22T00:00:00"/>
    <s v="Agago"/>
    <s v="Adilang"/>
    <n v="484"/>
    <n v="144"/>
    <n v="0"/>
    <n v="50"/>
    <n v="290"/>
    <n v="0"/>
    <n v="0"/>
    <n v="0"/>
    <n v="0"/>
    <n v="0.10059999999999999"/>
    <x v="1"/>
    <x v="1"/>
    <n v="23496"/>
    <n v="47"/>
    <n v="0.10059999999999999"/>
    <n v="4.7282000000000002"/>
  </r>
  <r>
    <s v="recJnoaPYgFb8T0nO"/>
    <s v="Okidi Charles - Agago | Paimol | Amini ngo Gardener"/>
    <n v="1"/>
    <s v="Gmelina, Faidherbia,"/>
    <d v="2022-05-12T00:00:00"/>
    <s v="Agago"/>
    <s v="Paimol"/>
    <n v="59"/>
    <n v="0"/>
    <n v="0"/>
    <n v="35"/>
    <n v="0"/>
    <n v="24"/>
    <n v="0"/>
    <n v="0"/>
    <n v="0"/>
    <n v="6.3E-3"/>
    <x v="1"/>
    <x v="1"/>
    <n v="13956"/>
    <n v="44"/>
    <n v="6.1000000000000004E-3"/>
    <n v="0.26840000000000003"/>
  </r>
  <r>
    <s v="recM4TKVOpEnx7SgH"/>
    <s v="Okidi george - Agago | Adilang | Labwo seeds community association Gardener"/>
    <n v="1"/>
    <s v="Melia, Musizi,"/>
    <d v="2022-10-07T00:00:00"/>
    <s v="Agago"/>
    <s v="Adilang"/>
    <n v="180"/>
    <n v="165"/>
    <n v="15"/>
    <n v="0"/>
    <n v="0"/>
    <n v="0"/>
    <n v="0"/>
    <n v="0"/>
    <n v="0"/>
    <n v="0.11849999999999999"/>
    <x v="1"/>
    <x v="1"/>
    <n v="22554"/>
    <n v="43"/>
    <n v="0.11849999999999999"/>
    <n v="5.0954999999999995"/>
  </r>
  <r>
    <s v="recY4LTEaAICgi5wP"/>
    <s v="Okidi george - Agago | Adilang | Nyiki Nyiki farmer's group Gardener"/>
    <n v="1"/>
    <s v="Melia, Musizi, Gmelina,"/>
    <d v="2022-05-07T00:00:00"/>
    <s v="Agago"/>
    <s v="Adilang"/>
    <n v="110"/>
    <n v="50"/>
    <n v="10"/>
    <n v="50"/>
    <n v="0"/>
    <n v="0"/>
    <n v="0"/>
    <n v="0"/>
    <n v="0"/>
    <n v="0.20530000000000001"/>
    <x v="1"/>
    <x v="1"/>
    <n v="22554"/>
    <n v="43"/>
    <n v="0.20530000000000001"/>
    <n v="8.8278999999999996"/>
  </r>
  <r>
    <s v="recQr4UApx32E53dB"/>
    <s v="Okidi John - Agago | Lukole | Nen anyim Gardener"/>
    <n v="1"/>
    <s v="Melia,"/>
    <d v="2022-05-28T00:00:00"/>
    <s v="Agago"/>
    <s v="Lukole"/>
    <n v="95"/>
    <n v="95"/>
    <n v="0"/>
    <n v="0"/>
    <n v="0"/>
    <n v="0"/>
    <n v="0"/>
    <n v="0"/>
    <n v="0"/>
    <n v="3.7199999999999997E-2"/>
    <x v="1"/>
    <x v="1"/>
    <n v="18443"/>
    <n v="43"/>
    <n v="3.7199999999999997E-2"/>
    <n v="1.5995999999999999"/>
  </r>
  <r>
    <s v="reccp0jwAJRMODpcE"/>
    <s v="Okidi joseph - Agago | Lukole | Alwee trees Gardener"/>
    <n v="1"/>
    <s v="Melia,"/>
    <d v="2022-08-22T00:00:00"/>
    <s v="Agago"/>
    <s v="Lukole"/>
    <n v="130"/>
    <n v="130"/>
    <n v="0"/>
    <n v="0"/>
    <n v="0"/>
    <n v="0"/>
    <n v="0"/>
    <n v="0"/>
    <n v="0"/>
    <n v="0.12640000000000001"/>
    <x v="1"/>
    <x v="1"/>
    <n v="22346"/>
    <n v="39"/>
    <n v="0.12640000000000001"/>
    <n v="4.9296000000000006"/>
  </r>
  <r>
    <s v="recxilGKxovHYzhYD"/>
    <s v="Okidi keneth - Agago | Lira - Palwo | Nen ki wangi Gardener"/>
    <n v="1"/>
    <s v="Melia,"/>
    <d v="2022-08-22T00:00:00"/>
    <s v="Agago"/>
    <s v="Lira - Palwo"/>
    <n v="177"/>
    <n v="177"/>
    <n v="0"/>
    <n v="0"/>
    <n v="0"/>
    <n v="0"/>
    <n v="0"/>
    <n v="0"/>
    <n v="0"/>
    <n v="0.27500000000000002"/>
    <x v="1"/>
    <x v="1"/>
    <n v="21547"/>
    <n v="40"/>
    <n v="0.27500000000000002"/>
    <n v="11"/>
  </r>
  <r>
    <s v="rec0tfV8mvtHwRlhJ"/>
    <s v="Okidi santo - Agago | Lapono | Peko ma poto atura - Gardener"/>
    <n v="1"/>
    <s v="Melia, Gmelina, Faidherbia,"/>
    <d v="2022-08-22T00:00:00"/>
    <s v="Agago"/>
    <s v="Lapono"/>
    <n v="73"/>
    <n v="23"/>
    <n v="0"/>
    <n v="20"/>
    <n v="0"/>
    <n v="30"/>
    <n v="0"/>
    <n v="0"/>
    <n v="0"/>
    <n v="0.35149999999999998"/>
    <x v="1"/>
    <x v="1"/>
    <n v="17308"/>
    <n v="43"/>
    <n v="0.35149999999999998"/>
    <n v="15.1145"/>
  </r>
  <r>
    <s v="recITe4nVNAdTwYyh"/>
    <s v="Okidi santo - Agago | Lapono | Peko ma poto atura - Gardener"/>
    <n v="1"/>
    <s v="Gmelina,"/>
    <d v="2022-08-22T00:00:00"/>
    <s v="Individual Farmer"/>
    <s v="Individual Farmer"/>
    <n v="7"/>
    <n v="0"/>
    <n v="0"/>
    <n v="7"/>
    <n v="0"/>
    <n v="0"/>
    <n v="0"/>
    <n v="0"/>
    <n v="0"/>
    <n v="3.2899999999999999E-2"/>
    <x v="1"/>
    <x v="1"/>
    <n v="17263"/>
    <n v="42"/>
    <n v="3.2899999999999999E-2"/>
    <n v="1.3817999999999999"/>
  </r>
  <r>
    <s v="rec1aYG17NVAlkI1f"/>
    <s v="Okidi simon - Agago | Lapono | Karenga water user's association Gardener"/>
    <n v="1"/>
    <s v="Melia, Gmelina, Senna,"/>
    <d v="2022-06-17T00:00:00"/>
    <s v="Agago"/>
    <s v="Lapono"/>
    <n v="150"/>
    <n v="90"/>
    <n v="0"/>
    <n v="30"/>
    <n v="0"/>
    <n v="0"/>
    <n v="0"/>
    <n v="30"/>
    <n v="0"/>
    <n v="9.0999999999999998E-2"/>
    <x v="1"/>
    <x v="1"/>
    <n v="16142"/>
    <n v="46"/>
    <n v="9.0999999999999998E-2"/>
    <n v="4.1859999999999999"/>
  </r>
  <r>
    <s v="recx27ceTUY1199qF"/>
    <s v="Okongo Jackson Otim - Kitgum | Orom East | Tim tek United Gardener"/>
    <n v="1"/>
    <s v="Melia,"/>
    <d v="2022-08-20T00:00:00"/>
    <s v="Kitgum"/>
    <s v="Orom East"/>
    <n v="132"/>
    <n v="132"/>
    <n v="0"/>
    <n v="0"/>
    <n v="0"/>
    <n v="0"/>
    <n v="0"/>
    <n v="0"/>
    <n v="0"/>
    <n v="0.75970000000000004"/>
    <x v="1"/>
    <x v="1"/>
    <n v="4499"/>
    <n v="40"/>
    <n v="0.75970000000000004"/>
    <n v="30.388000000000002"/>
  </r>
  <r>
    <s v="recj7kcssaB4yMgEX"/>
    <s v="Okot Charles - Agago | Lukole | Atim ki koma Gardener"/>
    <n v="1"/>
    <s v="Melia, Gmelina,"/>
    <d v="2022-04-15T00:00:00"/>
    <s v="Agago"/>
    <s v="Lukole"/>
    <n v="45"/>
    <n v="30"/>
    <n v="0"/>
    <n v="15"/>
    <n v="0"/>
    <n v="0"/>
    <n v="0"/>
    <n v="0"/>
    <n v="0"/>
    <n v="4.87E-2"/>
    <x v="1"/>
    <x v="1"/>
    <n v="18812"/>
    <n v="40"/>
    <n v="4.87E-2"/>
    <n v="1.948"/>
  </r>
  <r>
    <s v="recbE1kdqnhz92koy"/>
    <s v="Okot Denis - Agago | Kuywe | Kica ber Gardener"/>
    <n v="1"/>
    <s v="Melia,"/>
    <d v="2022-05-28T00:00:00"/>
    <s v="Agago"/>
    <s v="Kuywe"/>
    <n v="7"/>
    <n v="7"/>
    <n v="0"/>
    <n v="0"/>
    <n v="0"/>
    <n v="0"/>
    <n v="0"/>
    <n v="0"/>
    <n v="0"/>
    <n v="2.5999999999999999E-2"/>
    <x v="1"/>
    <x v="1"/>
    <n v="14115"/>
    <n v="39"/>
    <n v="2.5899999999999999E-2"/>
    <n v="1.0101"/>
  </r>
  <r>
    <s v="recpGtIXtFmFMy7LP"/>
    <s v="Okot Denise Denise - Agago | Lukole | Ripe Gardener"/>
    <n v="1"/>
    <s v="Melia, Gmelina, Ongono, Senna,"/>
    <d v="2022-08-22T00:00:00"/>
    <s v="Agago"/>
    <s v="Lukole"/>
    <n v="440"/>
    <n v="140"/>
    <n v="0"/>
    <n v="140"/>
    <n v="55"/>
    <n v="0"/>
    <n v="0"/>
    <n v="105"/>
    <n v="0"/>
    <n v="0.1207"/>
    <x v="1"/>
    <x v="1"/>
    <n v="19235"/>
    <n v="45"/>
    <n v="0.1207"/>
    <n v="5.4314999999999998"/>
  </r>
  <r>
    <s v="recYX96jpL4DVTzcg"/>
    <s v="Okot Geoffrey - Kitgum | Orom East | Kipak rwot - Gardener"/>
    <n v="1"/>
    <s v="Melia, Musizi, Gmelina, Ongono, Opok, Senna,"/>
    <d v="2022-09-23T00:00:00"/>
    <s v="Kitgum"/>
    <s v="Orom East"/>
    <n v="412"/>
    <n v="100"/>
    <n v="90"/>
    <n v="55"/>
    <n v="100"/>
    <n v="0"/>
    <n v="2"/>
    <n v="65"/>
    <n v="0"/>
    <n v="0.57520000000000004"/>
    <x v="1"/>
    <x v="1"/>
    <n v="6231"/>
    <n v="41"/>
    <n v="0.57520000000000004"/>
    <n v="23.583200000000001"/>
  </r>
  <r>
    <s v="rechhWOKKcaQe13eM"/>
    <s v="Okot jimmy - Agago | Paimol | Rubanga tek women's group - Gardener"/>
    <n v="1"/>
    <s v="Melia,"/>
    <d v="2022-09-11T00:00:00"/>
    <s v="Agago"/>
    <s v="Paimol"/>
    <n v="140"/>
    <n v="140"/>
    <n v="0"/>
    <n v="0"/>
    <n v="0"/>
    <n v="0"/>
    <n v="0"/>
    <n v="0"/>
    <n v="0"/>
    <n v="0.1278"/>
    <x v="1"/>
    <x v="1"/>
    <n v="14832"/>
    <n v="45"/>
    <n v="0.1278"/>
    <n v="5.7509999999999994"/>
  </r>
  <r>
    <s v="rec9m80CiQjsJ20yi"/>
    <s v="Okot Patrick - Agago | Lapono | Odong mon Gardener"/>
    <n v="1"/>
    <s v="Melia,"/>
    <d v="2022-09-17T00:00:00"/>
    <s v="Agago"/>
    <s v="Lapono"/>
    <n v="25"/>
    <n v="25"/>
    <n v="0"/>
    <n v="0"/>
    <n v="0"/>
    <n v="0"/>
    <n v="0"/>
    <n v="0"/>
    <n v="0"/>
    <n v="2.06E-2"/>
    <x v="1"/>
    <x v="1"/>
    <n v="16712"/>
    <n v="41"/>
    <n v="2.06E-2"/>
    <n v="0.84460000000000002"/>
  </r>
  <r>
    <s v="recQnMHNe6McYntAj"/>
    <s v="Okot richard - Agago | Kuywe | Cam badi Gardener"/>
    <n v="1"/>
    <s v="Melia,"/>
    <d v="2022-08-12T00:00:00"/>
    <s v="Agago"/>
    <s v="Kuywe"/>
    <n v="120"/>
    <n v="120"/>
    <n v="0"/>
    <n v="0"/>
    <n v="0"/>
    <n v="0"/>
    <n v="0"/>
    <n v="0"/>
    <n v="0"/>
    <n v="0.04"/>
    <x v="1"/>
    <x v="1"/>
    <n v="16103"/>
    <n v="46"/>
    <n v="4.02E-2"/>
    <n v="1.8492"/>
  </r>
  <r>
    <s v="recHZDv3qr8K1Isu7"/>
    <s v="Okot richard - Agago | Kuywe | Rubanga tek ki lwak Cam badi Gardener"/>
    <n v="1"/>
    <s v="Melia, Gmelina, Ongono, Senna,"/>
    <d v="2022-08-25T00:00:00"/>
    <s v="Agago"/>
    <s v="Kuywe"/>
    <n v="125"/>
    <n v="40"/>
    <n v="0"/>
    <n v="45"/>
    <n v="20"/>
    <n v="0"/>
    <n v="0"/>
    <n v="20"/>
    <n v="0"/>
    <n v="0.10059999999999999"/>
    <x v="1"/>
    <x v="1"/>
    <n v="14829"/>
    <n v="47"/>
    <n v="0.10059999999999999"/>
    <n v="4.7282000000000002"/>
  </r>
  <r>
    <s v="recPCz3MSmGyozeaW"/>
    <s v="Okot Santos - Agago | Kuywe | Kica ber Gardener"/>
    <n v="1"/>
    <s v="Melia,"/>
    <d v="2022-10-22T00:00:00"/>
    <s v="Agago"/>
    <s v="Kuywe"/>
    <n v="20"/>
    <n v="20"/>
    <n v="0"/>
    <n v="0"/>
    <n v="0"/>
    <n v="0"/>
    <n v="0"/>
    <n v="0"/>
    <n v="0"/>
    <n v="0.1087"/>
    <x v="1"/>
    <x v="1"/>
    <n v="33873"/>
    <n v="43"/>
    <n v="0.1087"/>
    <n v="4.6741000000000001"/>
  </r>
  <r>
    <s v="reczFZje4cJfoO2aD"/>
    <s v="Okot Simon - Agago | Kuywe | Lobo cana Gardener"/>
    <n v="1"/>
    <s v="Melia, Gmelina,"/>
    <d v="2022-07-08T00:00:00"/>
    <s v="Agago"/>
    <s v="Kuywe"/>
    <n v="70"/>
    <n v="30"/>
    <n v="0"/>
    <n v="40"/>
    <n v="0"/>
    <n v="0"/>
    <n v="0"/>
    <n v="0"/>
    <n v="0"/>
    <n v="1.9800000000000002E-2"/>
    <x v="1"/>
    <x v="1"/>
    <n v="15010"/>
    <n v="42"/>
    <n v="1.9800000000000002E-2"/>
    <n v="0.83160000000000012"/>
  </r>
  <r>
    <s v="recxV4ifdFVnVKvVN"/>
    <s v="Okullo morish - Agago | Kuywe | Gum anywala Gardener"/>
    <n v="1"/>
    <s v="Melia, Musizi, Gmelina,"/>
    <d v="2022-08-17T00:00:00"/>
    <s v="Agago"/>
    <s v="Kuywe"/>
    <n v="74"/>
    <n v="40"/>
    <n v="10"/>
    <n v="24"/>
    <n v="0"/>
    <n v="0"/>
    <n v="0"/>
    <n v="0"/>
    <n v="0"/>
    <n v="6.6299999999999998E-2"/>
    <x v="1"/>
    <x v="1"/>
    <n v="29208"/>
    <n v="45"/>
    <n v="6.6299999999999998E-2"/>
    <n v="2.9834999999999998"/>
  </r>
  <r>
    <s v="recPR1XdQW5QVlJZm"/>
    <s v="Okullu sibirino - Agago | Adilang | Adilang community group Gardener"/>
    <n v="1"/>
    <s v="Melia, Musizi,"/>
    <d v="2022-09-15T00:00:00"/>
    <s v="Agago"/>
    <s v="Adilang"/>
    <n v="597"/>
    <n v="263"/>
    <n v="334"/>
    <n v="0"/>
    <n v="0"/>
    <n v="0"/>
    <n v="0"/>
    <n v="0"/>
    <n v="0"/>
    <n v="0.40350000000000003"/>
    <x v="1"/>
    <x v="1"/>
    <n v="23132"/>
    <n v="39"/>
    <n v="0.40350000000000003"/>
    <n v="15.736500000000001"/>
  </r>
  <r>
    <s v="reczGplYFmHENjdLb"/>
    <s v="Okure Richard - Agago | Paimol | Rubanga tek women's group - Gardener"/>
    <n v="1"/>
    <s v="Melia, Musizi,"/>
    <d v="1945-05-07T00:00:00"/>
    <s v="Agago"/>
    <s v="Paimol"/>
    <n v="888"/>
    <n v="702"/>
    <n v="186"/>
    <n v="0"/>
    <n v="0"/>
    <n v="0"/>
    <n v="0"/>
    <n v="0"/>
    <n v="0"/>
    <n v="2.8799999999999999E-2"/>
    <x v="1"/>
    <x v="1"/>
    <n v="30546"/>
    <n v="47"/>
    <n v="2.8799999999999999E-2"/>
    <n v="1.3535999999999999"/>
  </r>
  <r>
    <s v="reccKyhdLt9bjUGXo"/>
    <s v="Okwa Teriza - Agago | Patongo | Nen Anyim Gardener"/>
    <n v="1"/>
    <s v="Melia,"/>
    <d v="2022-07-22T00:00:00"/>
    <s v="Agago"/>
    <s v="Patongo"/>
    <n v="216"/>
    <n v="216"/>
    <n v="0"/>
    <n v="0"/>
    <n v="0"/>
    <n v="0"/>
    <n v="0"/>
    <n v="0"/>
    <n v="0"/>
    <n v="0.36509999999999998"/>
    <x v="1"/>
    <x v="1"/>
    <n v="22144"/>
    <n v="41"/>
    <n v="0.36509999999999998"/>
    <n v="14.969099999999999"/>
  </r>
  <r>
    <s v="recRQr3dsN0dQy45i"/>
    <s v="Okwera Ankle - Agago | Lukole | Nen anyim Gardener"/>
    <n v="1"/>
    <s v="Melia, Ongono, Senna,"/>
    <d v="2022-08-25T00:00:00"/>
    <s v="Agago"/>
    <s v="Lukole"/>
    <n v="105"/>
    <n v="50"/>
    <n v="0"/>
    <n v="0"/>
    <n v="15"/>
    <n v="0"/>
    <n v="0"/>
    <n v="40"/>
    <n v="0"/>
    <n v="9.7900000000000001E-2"/>
    <x v="1"/>
    <x v="1"/>
    <n v="18247"/>
    <n v="44"/>
    <n v="9.7900000000000001E-2"/>
    <n v="4.3075999999999999"/>
  </r>
  <r>
    <s v="recsdziaq6HBlTvzE"/>
    <s v="Okwera francis - Agago | Adilang | Can lit Gardener"/>
    <n v="1"/>
    <s v="Melia, Musizi,"/>
    <d v="2022-05-05T00:00:00"/>
    <s v="Agago"/>
    <s v="Adilang"/>
    <n v="815"/>
    <n v="415"/>
    <n v="400"/>
    <n v="0"/>
    <n v="0"/>
    <n v="0"/>
    <n v="0"/>
    <n v="0"/>
    <n v="0"/>
    <n v="0.74280000000000002"/>
    <x v="1"/>
    <x v="1"/>
    <n v="23133"/>
    <n v="41"/>
    <n v="0.31830000000000003"/>
    <n v="13.050300000000002"/>
  </r>
  <r>
    <s v="recsdziaq6HBlTvzE"/>
    <s v="Okwera francis - Agago | Adilang | Can lit Gardener"/>
    <n v="1"/>
    <s v="Melia, Musizi,"/>
    <d v="2022-05-05T00:00:00"/>
    <s v="Agago"/>
    <s v="Adilang"/>
    <n v="815"/>
    <n v="415"/>
    <n v="400"/>
    <n v="0"/>
    <n v="0"/>
    <n v="0"/>
    <n v="0"/>
    <n v="0"/>
    <n v="0"/>
    <n v="0.74280000000000002"/>
    <x v="1"/>
    <x v="1"/>
    <n v="23326"/>
    <n v="46"/>
    <n v="0.42449999999999999"/>
    <n v="19.527000000000001"/>
  </r>
  <r>
    <s v="rec9JXRmPBIceQq46"/>
    <s v="Okwera Simon Peter - Agago | | Individual Farmer Gardener"/>
    <n v="1"/>
    <s v="Melia,"/>
    <d v="2022-08-22T00:00:00"/>
    <s v="Agago"/>
    <s v="Individual Farmer"/>
    <n v="250"/>
    <n v="250"/>
    <n v="0"/>
    <n v="0"/>
    <n v="0"/>
    <n v="0"/>
    <n v="0"/>
    <n v="0"/>
    <n v="0"/>
    <n v="0.70340000000000003"/>
    <x v="1"/>
    <x v="1"/>
    <n v="22722"/>
    <n v="39"/>
    <n v="0.70030000000000003"/>
    <n v="27.311700000000002"/>
  </r>
  <r>
    <s v="rec9JXRmPBIceQq46"/>
    <s v="Okwera Simon Peter - Agago | | Individual Farmer Gardener"/>
    <n v="1"/>
    <s v="Melia,"/>
    <d v="2022-08-22T00:00:00"/>
    <s v="Agago"/>
    <s v="Individual Farmer"/>
    <n v="250"/>
    <n v="250"/>
    <n v="0"/>
    <n v="0"/>
    <n v="0"/>
    <n v="0"/>
    <n v="0"/>
    <n v="0"/>
    <n v="0"/>
    <n v="0.70340000000000003"/>
    <x v="1"/>
    <x v="1"/>
    <n v="22915"/>
    <n v="35"/>
    <n v="3.0999999999999999E-3"/>
    <n v="0.1085"/>
  </r>
  <r>
    <s v="recROcIfIH117e0xA"/>
    <s v="Olanya aldo - Agago | Adilang | Can lit Gardener"/>
    <n v="1"/>
    <s v="Melia, Musizi, Gmelina,"/>
    <d v="2022-09-20T00:00:00"/>
    <s v="Agago"/>
    <s v="Adilang"/>
    <n v="160"/>
    <n v="50"/>
    <n v="100"/>
    <n v="10"/>
    <n v="0"/>
    <n v="0"/>
    <n v="0"/>
    <n v="0"/>
    <n v="0"/>
    <n v="5.8200000000000002E-2"/>
    <x v="1"/>
    <x v="1"/>
    <n v="23499"/>
    <n v="45"/>
    <n v="5.8200000000000002E-2"/>
    <n v="2.6190000000000002"/>
  </r>
  <r>
    <s v="recHkzY2ODz8kTQWg"/>
    <s v="Olanya Alfred - Agago | Lukole | Nen anyim Gardener"/>
    <n v="1"/>
    <s v="Melia, Gmelina, Senna,"/>
    <d v="2022-07-26T00:00:00"/>
    <s v="Agago"/>
    <s v="Lukole"/>
    <n v="185"/>
    <n v="120"/>
    <n v="0"/>
    <n v="10"/>
    <n v="0"/>
    <n v="0"/>
    <n v="0"/>
    <n v="55"/>
    <n v="0"/>
    <n v="6.8199999999999997E-2"/>
    <x v="1"/>
    <x v="1"/>
    <n v="18634"/>
    <n v="47"/>
    <n v="6.8199999999999997E-2"/>
    <n v="3.2054"/>
  </r>
  <r>
    <s v="recIyGemCdgwqNUfK"/>
    <s v="Olanya Paul Edmond - Kitgum | Orom East | Tim tek United Gardener"/>
    <n v="1"/>
    <s v="Melia, Musizi, Gmelina,"/>
    <d v="2022-06-19T00:00:00"/>
    <s v="Kitgum"/>
    <s v="Orom East"/>
    <n v="345"/>
    <n v="87"/>
    <n v="90"/>
    <n v="168"/>
    <n v="0"/>
    <n v="0"/>
    <n v="0"/>
    <n v="0"/>
    <n v="0"/>
    <n v="0.42499999999999999"/>
    <x v="1"/>
    <x v="1"/>
    <n v="5053"/>
    <n v="41"/>
    <n v="0.28710000000000002"/>
    <n v="11.771100000000001"/>
  </r>
  <r>
    <s v="recIyGemCdgwqNUfK"/>
    <s v="Olanya Paul Edmond - Kitgum | Orom East | Tim tek United Gardener"/>
    <n v="1"/>
    <s v="Melia, Musizi, Gmelina,"/>
    <d v="2022-06-19T00:00:00"/>
    <s v="Kitgum"/>
    <s v="Orom East"/>
    <n v="345"/>
    <n v="87"/>
    <n v="90"/>
    <n v="168"/>
    <n v="0"/>
    <n v="0"/>
    <n v="0"/>
    <n v="0"/>
    <n v="0"/>
    <n v="0.42499999999999999"/>
    <x v="1"/>
    <x v="1"/>
    <n v="5228"/>
    <n v="39"/>
    <n v="0.13789999999999999"/>
    <n v="5.3780999999999999"/>
  </r>
  <r>
    <s v="rec06EPTaIKmh6cd2"/>
    <s v="Oloya David - Kitgum | Orom East | Atek ki lwak Gardener"/>
    <n v="1"/>
    <s v="Melia, Gmelina, Ongono, Faidherbia, Senna, Lebbek"/>
    <d v="2022-08-25T00:00:00"/>
    <s v="Individual Farmer"/>
    <s v="Individual Farmer"/>
    <n v="778"/>
    <n v="300"/>
    <n v="0"/>
    <n v="58"/>
    <n v="100"/>
    <n v="150"/>
    <n v="0"/>
    <n v="120"/>
    <n v="50"/>
    <n v="0.49430000000000002"/>
    <x v="1"/>
    <x v="1"/>
    <n v="4870"/>
    <n v="47"/>
    <n v="0.49430000000000002"/>
    <n v="23.232099999999999"/>
  </r>
  <r>
    <s v="recJX5EzPLZvJ9xsS"/>
    <s v="Olwen y Joseph - Agago | Lukole | Adding trees Gardener"/>
    <n v="1"/>
    <s v="Melia, Gmelina, Ongono,"/>
    <d v="2022-06-16T00:00:00"/>
    <s v="Agago"/>
    <s v="Lukole"/>
    <n v="444"/>
    <n v="130"/>
    <n v="0"/>
    <n v="42"/>
    <n v="272"/>
    <n v="0"/>
    <n v="0"/>
    <n v="0"/>
    <n v="0"/>
    <n v="0.38929999999999998"/>
    <x v="1"/>
    <x v="1"/>
    <n v="19036"/>
    <n v="48"/>
    <n v="0.38929999999999998"/>
    <n v="18.686399999999999"/>
  </r>
  <r>
    <s v="recyvXKAjqPRRUu6S"/>
    <s v="Olwoc philips - Agago | Lapono | Akem kwene farmer's group Gardener"/>
    <n v="1"/>
    <s v="Melia, Gmelina,"/>
    <d v="2022-08-14T00:00:00"/>
    <s v="Agago"/>
    <s v="Lapono"/>
    <n v="100"/>
    <n v="80"/>
    <n v="0"/>
    <n v="20"/>
    <n v="0"/>
    <n v="0"/>
    <n v="0"/>
    <n v="0"/>
    <n v="0"/>
    <n v="0.1434"/>
    <x v="1"/>
    <x v="1"/>
    <n v="17077"/>
    <n v="36"/>
    <n v="0.1434"/>
    <n v="5.1623999999999999"/>
  </r>
  <r>
    <s v="rec7dS7tGIaNqNJFn"/>
    <s v="Olwoch pilice - Agago | Lapono | Akem kwene farmer's group Gardener"/>
    <n v="1"/>
    <s v="Melia, Musizi,"/>
    <d v="2022-08-11T00:00:00"/>
    <s v="Agago"/>
    <s v="Lapono"/>
    <n v="186"/>
    <n v="120"/>
    <n v="66"/>
    <n v="0"/>
    <n v="0"/>
    <n v="0"/>
    <n v="0"/>
    <n v="0"/>
    <n v="0"/>
    <n v="0.45479999999999998"/>
    <x v="1"/>
    <x v="1"/>
    <n v="17077"/>
    <n v="36"/>
    <n v="0.45479999999999998"/>
    <n v="16.372799999999998"/>
  </r>
  <r>
    <s v="reclxdobgSHoM0pxD"/>
    <s v="Omara Alizeo - Agago | Patongo | Gang ber ki yen Gardener"/>
    <n v="1"/>
    <s v="Melia, Gmelina,"/>
    <d v="2022-05-10T00:00:00"/>
    <s v="Agago"/>
    <s v="Patongo"/>
    <n v="50"/>
    <n v="25"/>
    <n v="0"/>
    <n v="25"/>
    <n v="0"/>
    <n v="0"/>
    <n v="0"/>
    <n v="0"/>
    <n v="0"/>
    <n v="6.6400000000000001E-2"/>
    <x v="1"/>
    <x v="1"/>
    <n v="22923"/>
    <n v="37"/>
    <n v="6.6400000000000001E-2"/>
    <n v="2.4567999999999999"/>
  </r>
  <r>
    <s v="rec0p80xbpvQqq6lD"/>
    <s v="Omara Deo - Agago | | Individual Farmer Gardener"/>
    <n v="1"/>
    <s v="Melia, Musizi, Senna,"/>
    <d v="2022-05-10T00:00:00"/>
    <s v="Agago"/>
    <s v="Individual Farmer"/>
    <n v="248"/>
    <n v="176"/>
    <n v="42"/>
    <n v="0"/>
    <n v="0"/>
    <n v="0"/>
    <n v="0"/>
    <n v="30"/>
    <n v="0"/>
    <n v="0.24160000000000001"/>
    <x v="1"/>
    <x v="1"/>
    <n v="23111"/>
    <n v="39"/>
    <n v="0.24160000000000001"/>
    <n v="9.4223999999999997"/>
  </r>
  <r>
    <s v="recF325JYF7jqcE6s"/>
    <s v="Omony Robert - Kitgum | Orom East | Ribe aye lonyo Gardener"/>
    <n v="1"/>
    <s v="Melia, Gmelina, Senna,"/>
    <d v="2022-08-22T00:00:00"/>
    <s v="Individual Farmer"/>
    <s v="Individual Farmer"/>
    <n v="350"/>
    <n v="200"/>
    <n v="0"/>
    <n v="100"/>
    <n v="0"/>
    <n v="0"/>
    <n v="0"/>
    <n v="50"/>
    <n v="0"/>
    <n v="2.1700000000000001E-2"/>
    <x v="1"/>
    <x v="1"/>
    <n v="4308"/>
    <n v="37"/>
    <n v="2.1700000000000001E-2"/>
    <n v="0.80290000000000006"/>
  </r>
  <r>
    <s v="recBYeu1Y1rYHFcCr"/>
    <s v="Omoro Andrew - Agago | Kuywe | Tam pi Anyim Gardener"/>
    <n v="1"/>
    <s v="Melia,"/>
    <d v="2022-08-27T00:00:00"/>
    <s v="Agago"/>
    <s v="Kuywe"/>
    <n v="77"/>
    <n v="77"/>
    <n v="0"/>
    <n v="0"/>
    <n v="0"/>
    <n v="0"/>
    <n v="0"/>
    <n v="0"/>
    <n v="0"/>
    <n v="3.7199999999999997E-2"/>
    <x v="1"/>
    <x v="1"/>
    <n v="14828"/>
    <n v="45"/>
    <n v="3.7199999999999997E-2"/>
    <n v="1.6739999999999999"/>
  </r>
  <r>
    <s v="reczEkYGNLypdzutk"/>
    <s v="Omwony kwirino - Agago | Lapono | Akem kwene farmer's group Gardener"/>
    <n v="1"/>
    <s v="Melia, Musizi, Gmelina, Faidherbia,"/>
    <d v="2022-08-24T00:00:00"/>
    <s v="Agago"/>
    <s v="Lapono"/>
    <n v="296"/>
    <n v="30"/>
    <n v="84"/>
    <n v="122"/>
    <n v="0"/>
    <n v="60"/>
    <n v="0"/>
    <n v="0"/>
    <n v="0"/>
    <n v="0.27239999999999998"/>
    <x v="1"/>
    <x v="1"/>
    <n v="17265"/>
    <n v="33"/>
    <n v="0.27239999999999998"/>
    <n v="8.9891999999999985"/>
  </r>
  <r>
    <s v="recgNoBwj1zdh70k2"/>
    <s v="Onek albino - Agago | Lira - Palwo | Nen ki wangi Gardener"/>
    <n v="1"/>
    <s v="Melia, Musizi, Gmelina, Ongono,"/>
    <d v="2022-08-22T00:00:00"/>
    <s v="Agago"/>
    <s v="Lira - Palwo"/>
    <n v="445"/>
    <n v="183"/>
    <n v="58"/>
    <n v="48"/>
    <n v="156"/>
    <n v="0"/>
    <n v="0"/>
    <n v="0"/>
    <n v="0"/>
    <n v="0.18959999999999999"/>
    <x v="1"/>
    <x v="1"/>
    <n v="21730"/>
    <n v="41"/>
    <n v="0.18959999999999999"/>
    <n v="7.7736000000000001"/>
  </r>
  <r>
    <s v="recHWHH9Bp3IE728x"/>
    <s v="Onek Yoran - Kitgum | Orom East | Watwero Gardener"/>
    <n v="1"/>
    <s v="Melia, Gmelina, Senna,"/>
    <d v="2022-09-19T00:00:00"/>
    <s v="Individual Farmer"/>
    <s v="Individual Farmer"/>
    <n v="45"/>
    <n v="10"/>
    <n v="0"/>
    <n v="25"/>
    <n v="0"/>
    <n v="0"/>
    <n v="0"/>
    <n v="10"/>
    <n v="0"/>
    <n v="0.1187"/>
    <x v="1"/>
    <x v="1"/>
    <n v="4688"/>
    <n v="37"/>
    <n v="0.1187"/>
    <n v="4.3918999999999997"/>
  </r>
  <r>
    <s v="recWOhLIVwxaXj3XY"/>
    <s v="Onencan CHristopher - Agago | Kuywe | Gum anywala Gardener"/>
    <n v="1"/>
    <s v="Musizi, Gmelina,"/>
    <d v="2022-07-20T00:00:00"/>
    <s v="Agago"/>
    <s v="Kuywe"/>
    <n v="72"/>
    <n v="0"/>
    <n v="12"/>
    <n v="60"/>
    <n v="0"/>
    <n v="0"/>
    <n v="0"/>
    <n v="0"/>
    <n v="0"/>
    <n v="4.0000000000000001E-3"/>
    <x v="1"/>
    <x v="1"/>
    <n v="23545"/>
    <n v="40"/>
    <n v="4.0000000000000001E-3"/>
    <n v="0.16"/>
  </r>
  <r>
    <s v="recM72ealeH2MNJQl"/>
    <s v="Onencan jackob - Agago | | Individual Farmer Gardener"/>
    <n v="1"/>
    <s v="Melia, Senna,"/>
    <d v="2022-09-28T00:00:00"/>
    <s v="Agago"/>
    <s v="Individual Farmer"/>
    <n v="80"/>
    <n v="50"/>
    <n v="0"/>
    <n v="0"/>
    <n v="0"/>
    <n v="0"/>
    <n v="0"/>
    <n v="30"/>
    <n v="0"/>
    <n v="3.7999999999999999E-2"/>
    <x v="1"/>
    <x v="1"/>
    <n v="14117"/>
    <n v="41"/>
    <n v="3.7999999999999999E-2"/>
    <n v="1.5580000000000001"/>
  </r>
  <r>
    <s v="recWq77gM3szvLLv4"/>
    <s v="Ongwech James - Kitgum | Orom East | Watwero Gardener"/>
    <n v="1"/>
    <s v="Melia, Musizi,"/>
    <d v="2022-08-22T00:00:00"/>
    <s v="Individual Farmer"/>
    <s v="Individual Farmer"/>
    <n v="350"/>
    <n v="300"/>
    <n v="50"/>
    <n v="0"/>
    <n v="0"/>
    <n v="0"/>
    <n v="0"/>
    <n v="0"/>
    <n v="0"/>
    <n v="1.6446000000000001"/>
    <x v="1"/>
    <x v="1"/>
    <n v="5052"/>
    <n v="42"/>
    <n v="0.2127"/>
    <n v="8.9334000000000007"/>
  </r>
  <r>
    <s v="recWq77gM3szvLLv4"/>
    <s v="Ongwech James - Kitgum | Orom East | Watwero Gardener"/>
    <n v="1"/>
    <s v="Melia, Musizi,"/>
    <d v="2022-08-22T00:00:00"/>
    <s v="Individual Farmer"/>
    <s v="Individual Farmer"/>
    <n v="350"/>
    <n v="300"/>
    <n v="50"/>
    <n v="0"/>
    <n v="0"/>
    <n v="0"/>
    <n v="0"/>
    <n v="0"/>
    <n v="0"/>
    <n v="1.6446000000000001"/>
    <x v="1"/>
    <x v="1"/>
    <n v="5226"/>
    <n v="39"/>
    <n v="1.4318"/>
    <n v="55.840199999999996"/>
  </r>
  <r>
    <s v="recJOZq8JbRnnZkBR"/>
    <s v="Onying Josephine - Akem kwene"/>
    <n v="1"/>
    <s v="Melia, Gmelina,"/>
    <d v="2022-08-22T00:00:00"/>
    <s v="Individual Farmer"/>
    <s v="Individual Farmer"/>
    <n v="11"/>
    <n v="4"/>
    <n v="0"/>
    <n v="7"/>
    <n v="0"/>
    <n v="0"/>
    <n v="0"/>
    <n v="0"/>
    <n v="0"/>
    <n v="0.12870000000000001"/>
    <x v="1"/>
    <x v="1"/>
    <n v="17265"/>
    <n v="33"/>
    <n v="0.1288"/>
    <n v="4.2504"/>
  </r>
  <r>
    <s v="recbn9sQOb3lByXBl"/>
    <s v="Onying Korina - Agago | Paimol | Cing ki cing - Gardener"/>
    <n v="1"/>
    <s v="Musizi,"/>
    <d v="2022-08-20T00:00:00"/>
    <s v="Agago"/>
    <s v="Paimol"/>
    <n v="50"/>
    <n v="0"/>
    <n v="50"/>
    <n v="0"/>
    <n v="0"/>
    <n v="0"/>
    <n v="0"/>
    <n v="0"/>
    <n v="0"/>
    <n v="3.5200000000000002E-2"/>
    <x v="1"/>
    <x v="1"/>
    <n v="13961"/>
    <n v="37"/>
    <n v="3.5200000000000002E-2"/>
    <n v="1.3024"/>
  </r>
  <r>
    <s v="recpTdqdTlFvpPSow"/>
    <s v="Onyuk Bosco - Agago | Lapono | Akem kwene farmer's group Gardener"/>
    <n v="1"/>
    <s v="Melia, Gmelina,"/>
    <d v="2022-08-22T00:00:00"/>
    <s v="Agago"/>
    <s v="Lapono"/>
    <n v="55"/>
    <n v="25"/>
    <n v="0"/>
    <n v="30"/>
    <n v="0"/>
    <n v="0"/>
    <n v="0"/>
    <n v="0"/>
    <n v="0"/>
    <n v="3.2399999999999998E-2"/>
    <x v="1"/>
    <x v="1"/>
    <n v="16895"/>
    <n v="41"/>
    <n v="3.2399999999999998E-2"/>
    <n v="1.3284"/>
  </r>
  <r>
    <s v="recV23FpTah00byhp"/>
    <s v="Oola Dickson Peter - Agago | Lira - Palwo | Rippe aye teko Gardener"/>
    <n v="1"/>
    <s v="Melia,"/>
    <d v="2022-08-22T00:00:00"/>
    <s v="Agago"/>
    <s v="Lira - Palwo"/>
    <n v="150"/>
    <n v="150"/>
    <n v="0"/>
    <n v="0"/>
    <n v="0"/>
    <n v="0"/>
    <n v="0"/>
    <n v="0"/>
    <n v="0"/>
    <n v="0.17150000000000001"/>
    <x v="1"/>
    <x v="1"/>
    <n v="22345"/>
    <n v="39"/>
    <n v="0.17150000000000001"/>
    <n v="6.6885000000000003"/>
  </r>
  <r>
    <s v="recXwKLTLzmdNOUhp"/>
    <s v="Opio Charles - Agago | Lukole | Can mito diro Gardener"/>
    <n v="1"/>
    <s v="Gmelina,"/>
    <d v="2022-07-23T00:00:00"/>
    <s v="Agago"/>
    <s v="Lukole"/>
    <n v="504"/>
    <n v="0"/>
    <n v="0"/>
    <n v="504"/>
    <n v="0"/>
    <n v="0"/>
    <n v="0"/>
    <n v="0"/>
    <n v="0"/>
    <n v="0.23899999999999999"/>
    <x v="1"/>
    <x v="1"/>
    <n v="18249"/>
    <n v="37"/>
    <n v="0.1736"/>
    <n v="6.4232000000000005"/>
  </r>
  <r>
    <s v="recXwKLTLzmdNOUhp"/>
    <s v="Opio Charles - Agago | Lukole | Can mito diro Gardener"/>
    <n v="1"/>
    <s v="Gmelina,"/>
    <d v="2022-07-23T00:00:00"/>
    <s v="Agago"/>
    <s v="Lukole"/>
    <n v="504"/>
    <n v="0"/>
    <n v="0"/>
    <n v="504"/>
    <n v="0"/>
    <n v="0"/>
    <n v="0"/>
    <n v="0"/>
    <n v="0"/>
    <n v="0.23899999999999999"/>
    <x v="1"/>
    <x v="1"/>
    <n v="18250"/>
    <n v="43"/>
    <n v="6.5299999999999997E-2"/>
    <n v="2.8079000000000001"/>
  </r>
  <r>
    <s v="rechMtcoth6yH6ObX"/>
    <s v="Opio Charles - Agago | Lukole | Can mito diro Gardener"/>
    <n v="1"/>
    <s v="Melia, Musizi, Ongono, Senna,"/>
    <d v="2022-08-22T00:00:00"/>
    <s v="Agago"/>
    <s v="Lukole"/>
    <n v="1286"/>
    <n v="420"/>
    <n v="40"/>
    <n v="0"/>
    <n v="378"/>
    <n v="0"/>
    <n v="0"/>
    <n v="448"/>
    <n v="0"/>
    <n v="0.26950000000000002"/>
    <x v="1"/>
    <x v="1"/>
    <n v="18249"/>
    <n v="37"/>
    <n v="0.26950000000000002"/>
    <n v="9.9715000000000007"/>
  </r>
  <r>
    <s v="recryr8GJmOs7RzZC"/>
    <s v="Opio james - Agago | Paimol | Lacwec konya - Gardener"/>
    <n v="1"/>
    <s v="Melia,"/>
    <d v="2022-11-13T00:00:00"/>
    <s v="Agago"/>
    <s v="Paimol"/>
    <n v="345"/>
    <n v="345"/>
    <n v="0"/>
    <n v="0"/>
    <n v="0"/>
    <n v="0"/>
    <n v="0"/>
    <n v="0"/>
    <n v="0"/>
    <n v="0.41880000000000001"/>
    <x v="1"/>
    <x v="1"/>
    <n v="14492"/>
    <n v="42"/>
    <n v="0.41880000000000001"/>
    <n v="17.589600000000001"/>
  </r>
  <r>
    <s v="recbsZwsh4iTQprk9"/>
    <s v="Opio Joseph - Agago | Kuywe | Kica ber Gardener"/>
    <n v="1"/>
    <s v="Melia,"/>
    <d v="2022-09-20T00:00:00"/>
    <s v="Agago"/>
    <s v="Kuywe"/>
    <n v="20"/>
    <n v="20"/>
    <n v="0"/>
    <n v="0"/>
    <n v="0"/>
    <n v="0"/>
    <n v="0"/>
    <n v="0"/>
    <n v="0"/>
    <n v="7.5899999999999995E-2"/>
    <x v="1"/>
    <x v="1"/>
    <n v="34306"/>
    <n v="42"/>
    <n v="7.5899999999999995E-2"/>
    <n v="3.1877999999999997"/>
  </r>
  <r>
    <s v="recIXXC0nJffB2qiz"/>
    <s v="Opio matia - Agago | Lira - Palwo | Nen ki wangi Gardener"/>
    <n v="1"/>
    <s v="Melia, Musizi, Ongono, Lebbek"/>
    <d v="2022-07-20T00:00:00"/>
    <s v="Agago"/>
    <s v="Lira - Palwo"/>
    <n v="460"/>
    <n v="180"/>
    <n v="10"/>
    <n v="0"/>
    <n v="120"/>
    <n v="0"/>
    <n v="0"/>
    <n v="0"/>
    <n v="150"/>
    <n v="0.247"/>
    <x v="1"/>
    <x v="1"/>
    <n v="21547"/>
    <n v="40"/>
    <n v="0.247"/>
    <n v="9.879999999999999"/>
  </r>
  <r>
    <s v="recdtP4qxjNGKnIYk"/>
    <s v="Opira bosco - Agago | Lapono | Wagwoko lim Gardener"/>
    <n v="1"/>
    <s v="Melia, Musizi, Gmelina,"/>
    <d v="2022-08-22T00:00:00"/>
    <s v="Agago"/>
    <s v="Lapono"/>
    <n v="350"/>
    <n v="100"/>
    <n v="38"/>
    <n v="212"/>
    <n v="0"/>
    <n v="0"/>
    <n v="0"/>
    <n v="0"/>
    <n v="0"/>
    <n v="0.37309999999999999"/>
    <x v="1"/>
    <x v="1"/>
    <n v="16718"/>
    <n v="50"/>
    <n v="0.1303"/>
    <n v="6.5149999999999997"/>
  </r>
  <r>
    <s v="recdtP4qxjNGKnIYk"/>
    <s v="Opira bosco - Agago | Lapono | Wagwoko lim Gardener"/>
    <n v="1"/>
    <s v="Melia, Musizi, Gmelina,"/>
    <d v="2022-08-22T00:00:00"/>
    <s v="Agago"/>
    <s v="Lapono"/>
    <n v="350"/>
    <n v="100"/>
    <n v="38"/>
    <n v="212"/>
    <n v="0"/>
    <n v="0"/>
    <n v="0"/>
    <n v="0"/>
    <n v="0"/>
    <n v="0.37309999999999999"/>
    <x v="1"/>
    <x v="1"/>
    <n v="16901"/>
    <n v="43"/>
    <n v="0.24249999999999999"/>
    <n v="10.4275"/>
  </r>
  <r>
    <s v="recxv9tAZfkWrMnYL"/>
    <s v="Opira stephen - Agago | | Individual Farmer Gardener"/>
    <n v="1"/>
    <s v="Melia, Lebbek"/>
    <d v="2022-08-22T00:00:00"/>
    <s v="Agago"/>
    <s v="Individual Farmer"/>
    <n v="63"/>
    <n v="60"/>
    <n v="0"/>
    <n v="0"/>
    <n v="0"/>
    <n v="0"/>
    <n v="0"/>
    <n v="0"/>
    <n v="3"/>
    <n v="0.6391"/>
    <x v="1"/>
    <x v="1"/>
    <n v="22341"/>
    <n v="38"/>
    <n v="0.12790000000000001"/>
    <n v="4.8602000000000007"/>
  </r>
  <r>
    <s v="recxv9tAZfkWrMnYL"/>
    <s v="Opira stephen - Agago | | Individual Farmer Gardener"/>
    <n v="1"/>
    <s v="Melia, Lebbek"/>
    <d v="2022-08-22T00:00:00"/>
    <s v="Agago"/>
    <s v="Individual Farmer"/>
    <n v="63"/>
    <n v="60"/>
    <n v="0"/>
    <n v="0"/>
    <n v="0"/>
    <n v="0"/>
    <n v="0"/>
    <n v="0"/>
    <n v="3"/>
    <n v="0.6391"/>
    <x v="1"/>
    <x v="1"/>
    <n v="22722"/>
    <n v="39"/>
    <n v="0.51119999999999999"/>
    <n v="19.936799999999998"/>
  </r>
  <r>
    <s v="recy7VZRs5IjRniQP"/>
    <s v="Opobo methue - Agago | Paimol | Amini ngo Gardener"/>
    <n v="1"/>
    <s v="Gmelina,"/>
    <d v="2022-05-19T00:00:00"/>
    <s v="Agago"/>
    <s v="Paimol"/>
    <n v="22"/>
    <n v="0"/>
    <n v="0"/>
    <n v="22"/>
    <n v="0"/>
    <n v="0"/>
    <n v="0"/>
    <n v="0"/>
    <n v="0"/>
    <n v="1.2200000000000001E-2"/>
    <x v="1"/>
    <x v="1"/>
    <n v="13772"/>
    <n v="38"/>
    <n v="1.2200000000000001E-2"/>
    <n v="0.46360000000000001"/>
  </r>
  <r>
    <s v="recfxzEK5lNq9gVDq"/>
    <s v="Opoka John - Onen kuc"/>
    <n v="1"/>
    <s v="Melia, Gmelina,"/>
    <d v="2022-08-22T00:00:00"/>
    <s v="Individual Farmer"/>
    <s v="Individual Farmer"/>
    <n v="9"/>
    <n v="3"/>
    <n v="0"/>
    <n v="6"/>
    <n v="0"/>
    <n v="0"/>
    <n v="0"/>
    <n v="0"/>
    <n v="0"/>
    <n v="3.5900000000000001E-2"/>
    <x v="1"/>
    <x v="1"/>
    <n v="17308"/>
    <n v="43"/>
    <n v="3.5900000000000001E-2"/>
    <n v="1.5437000000000001"/>
  </r>
  <r>
    <s v="recNuopVI82YMOIDL"/>
    <s v="Opoka John - Agago | Lapono | Onen kuc Gardener"/>
    <n v="1"/>
    <s v="Melia, Gmelina,"/>
    <d v="2022-07-30T00:00:00"/>
    <s v="Agago"/>
    <s v="Lapono"/>
    <n v="40"/>
    <n v="20"/>
    <n v="0"/>
    <n v="20"/>
    <n v="0"/>
    <n v="0"/>
    <n v="0"/>
    <n v="0"/>
    <n v="0"/>
    <n v="1.5599999999999999E-2"/>
    <x v="1"/>
    <x v="1"/>
    <n v="17308"/>
    <n v="43"/>
    <n v="1.5800000000000002E-2"/>
    <n v="0.67940000000000011"/>
  </r>
  <r>
    <s v="recEQ2YpV3swA6lJe"/>
    <s v="Opwa Yoram - Atek Ki Lwak"/>
    <n v="1"/>
    <s v="Gmelina, Senna,"/>
    <d v="2022-08-22T00:00:00"/>
    <s v="Individual Farmer"/>
    <s v="Individual Farmer"/>
    <n v="33"/>
    <n v="0"/>
    <n v="0"/>
    <n v="11"/>
    <n v="0"/>
    <n v="0"/>
    <n v="0"/>
    <n v="22"/>
    <n v="0"/>
    <n v="0.26879999999999998"/>
    <x v="1"/>
    <x v="1"/>
    <n v="4870"/>
    <n v="47"/>
    <n v="0.151"/>
    <n v="7.0969999999999995"/>
  </r>
  <r>
    <s v="recEQ2YpV3swA6lJe"/>
    <s v="Opwa Yoram - Atek Ki Lwak"/>
    <n v="1"/>
    <s v="Gmelina, Senna,"/>
    <d v="2022-08-22T00:00:00"/>
    <s v="Individual Farmer"/>
    <s v="Individual Farmer"/>
    <n v="33"/>
    <n v="0"/>
    <n v="0"/>
    <n v="11"/>
    <n v="0"/>
    <n v="0"/>
    <n v="0"/>
    <n v="22"/>
    <n v="0"/>
    <n v="0.26879999999999998"/>
    <x v="1"/>
    <x v="1"/>
    <n v="4871"/>
    <n v="42"/>
    <n v="0.1178"/>
    <n v="4.9476000000000004"/>
  </r>
  <r>
    <s v="recLM0eJOTTzbmXDG"/>
    <s v="Opwa Yuram - Kitgum | Orom East | Atek ki lwak - Gardener"/>
    <n v="1"/>
    <s v="Melia, Gmelina, Ongono, Faidherbia, Senna,"/>
    <d v="2022-09-11T00:00:00"/>
    <s v="Kitgum"/>
    <s v="Orom East"/>
    <n v="300"/>
    <n v="100"/>
    <n v="0"/>
    <n v="50"/>
    <n v="50"/>
    <n v="50"/>
    <n v="0"/>
    <n v="50"/>
    <n v="0"/>
    <n v="0.1145"/>
    <x v="1"/>
    <x v="1"/>
    <n v="4870"/>
    <n v="47"/>
    <n v="0.1145"/>
    <n v="5.3815"/>
  </r>
  <r>
    <s v="rectvKjHy3XvZEi7J"/>
    <s v="Opwonya david - Agago | Lira - Palwo | Nen ki wangi Gardener"/>
    <n v="1"/>
    <s v="Melia, Musizi, Gmelina, Ongono,"/>
    <d v="2022-06-16T00:00:00"/>
    <s v="Agago"/>
    <s v="Lira - Palwo"/>
    <n v="553"/>
    <n v="224"/>
    <n v="19"/>
    <n v="34"/>
    <n v="276"/>
    <n v="0"/>
    <n v="0"/>
    <n v="0"/>
    <n v="0"/>
    <n v="0.1646"/>
    <x v="1"/>
    <x v="1"/>
    <n v="21730"/>
    <n v="41"/>
    <n v="0.1646"/>
    <n v="6.7485999999999997"/>
  </r>
  <r>
    <s v="recrAcN5hD0VXocxb"/>
    <s v="Opwonya Denise - Agago | Kuywe | Rubanga tek ki lwak Cam badi Gardener"/>
    <n v="1"/>
    <s v="Melia, Gmelina, Ongono, Senna,"/>
    <d v="2022-08-24T00:00:00"/>
    <s v="Agago"/>
    <s v="Kuywe"/>
    <n v="210"/>
    <n v="50"/>
    <n v="0"/>
    <n v="100"/>
    <n v="30"/>
    <n v="0"/>
    <n v="0"/>
    <n v="30"/>
    <n v="0"/>
    <n v="2.4500000000000001E-2"/>
    <x v="1"/>
    <x v="1"/>
    <n v="15192"/>
    <n v="43"/>
    <n v="2.4500000000000001E-2"/>
    <n v="1.0535000000000001"/>
  </r>
  <r>
    <s v="recY0QAvBcMLVvBrj"/>
    <s v="Oryem Bosco.L - Kitgum | Orom East | Atek ki lwak Gardener"/>
    <n v="1"/>
    <s v="Melia, Gmelina, Ongono, Senna,"/>
    <d v="2022-08-22T00:00:00"/>
    <s v="Individual Farmer"/>
    <s v="Individual Farmer"/>
    <n v="290"/>
    <n v="200"/>
    <n v="0"/>
    <n v="20"/>
    <n v="50"/>
    <n v="0"/>
    <n v="0"/>
    <n v="20"/>
    <n v="0"/>
    <n v="8.6999999999999994E-3"/>
    <x v="1"/>
    <x v="1"/>
    <n v="4871"/>
    <n v="42"/>
    <n v="8.6999999999999994E-3"/>
    <n v="0.36539999999999995"/>
  </r>
  <r>
    <s v="recMPDR5PhPkvm23p"/>
    <s v="Oryem Charles - Agago | Kuywe | Cam badi Gardener"/>
    <n v="1"/>
    <s v="Melia,"/>
    <d v="2022-06-25T00:00:00"/>
    <s v="Agago"/>
    <s v="Kuywe"/>
    <n v="80"/>
    <n v="80"/>
    <n v="0"/>
    <n v="0"/>
    <n v="0"/>
    <n v="0"/>
    <n v="0"/>
    <n v="0"/>
    <n v="0"/>
    <n v="2.5700000000000001E-2"/>
    <x v="1"/>
    <x v="1"/>
    <n v="15915"/>
    <n v="47"/>
    <n v="2.5700000000000001E-2"/>
    <n v="1.2079"/>
  </r>
  <r>
    <s v="recSnG5xN238ARZpe"/>
    <s v="Oryem Devit - Agago | Paimol | Amini ngo Gardener"/>
    <n v="1"/>
    <s v="Gmelina,"/>
    <d v="2022-05-13T00:00:00"/>
    <s v="Agago"/>
    <s v="Paimol"/>
    <n v="50"/>
    <n v="0"/>
    <n v="0"/>
    <n v="50"/>
    <n v="0"/>
    <n v="0"/>
    <n v="0"/>
    <n v="0"/>
    <n v="0"/>
    <n v="1.8100000000000002E-2"/>
    <x v="1"/>
    <x v="1"/>
    <n v="13772"/>
    <n v="38"/>
    <n v="1.8100000000000002E-2"/>
    <n v="0.68780000000000008"/>
  </r>
  <r>
    <s v="rec0ma3OPB9d64oU5"/>
    <s v="Oryem Samuel - Agago | Lukole | Gang ber ki mon Gardener"/>
    <n v="1"/>
    <s v="Melia, Musizi, Gmelina, Ongono,"/>
    <d v="2022-08-11T00:00:00"/>
    <s v="Agago"/>
    <s v="Lukole"/>
    <n v="1668"/>
    <n v="750"/>
    <n v="58"/>
    <n v="300"/>
    <n v="560"/>
    <n v="0"/>
    <n v="0"/>
    <n v="0"/>
    <n v="0"/>
    <n v="0.37009999999999998"/>
    <x v="1"/>
    <x v="1"/>
    <n v="18812"/>
    <n v="40"/>
    <n v="0.37009999999999998"/>
    <n v="14.803999999999998"/>
  </r>
  <r>
    <s v="receaZtZQTRFdJWxj"/>
    <s v="Oteuma Bosco - Agago | Lukole | Nen anyim Gardener"/>
    <n v="1"/>
    <s v="Melia, Musizi, Gmelina, Ongono, Senna,"/>
    <d v="2022-05-19T00:00:00"/>
    <s v="Agago"/>
    <s v="Lukole"/>
    <n v="1450"/>
    <n v="500"/>
    <n v="50"/>
    <n v="50"/>
    <n v="500"/>
    <n v="0"/>
    <n v="0"/>
    <n v="350"/>
    <n v="0"/>
    <n v="0.47760000000000002"/>
    <x v="1"/>
    <x v="1"/>
    <n v="18443"/>
    <n v="43"/>
    <n v="0.47760000000000002"/>
    <n v="20.536799999999999"/>
  </r>
  <r>
    <s v="recngDEyHER4urM3d"/>
    <s v="Otim james - Agago | Kuywe | Yub paco ni Gardener"/>
    <n v="1"/>
    <s v="Melia, Musizi, Gmelina, Ongono, Senna,"/>
    <d v="1945-02-28T00:00:00"/>
    <s v="Agago"/>
    <s v="Kuywe"/>
    <n v="1560"/>
    <n v="410"/>
    <n v="320"/>
    <n v="330"/>
    <n v="200"/>
    <n v="0"/>
    <n v="0"/>
    <n v="300"/>
    <n v="0"/>
    <n v="0.71540000000000004"/>
    <x v="1"/>
    <x v="1"/>
    <n v="14832"/>
    <n v="45"/>
    <n v="0.71540000000000004"/>
    <n v="32.193000000000005"/>
  </r>
  <r>
    <s v="recl1TEpvwZdNcuVK"/>
    <s v="Otoo Mathew - Agago | Lukole | Can mito diro Gardener"/>
    <n v="1"/>
    <s v="Melia, Gmelina, Senna,"/>
    <d v="2022-09-22T00:00:00"/>
    <s v="Agago"/>
    <s v="Lukole"/>
    <n v="235"/>
    <n v="20"/>
    <n v="0"/>
    <n v="15"/>
    <n v="0"/>
    <n v="0"/>
    <n v="0"/>
    <n v="200"/>
    <n v="0"/>
    <n v="0.13869999999999999"/>
    <x v="1"/>
    <x v="1"/>
    <n v="18249"/>
    <n v="37"/>
    <n v="0.13869999999999999"/>
    <n v="5.1318999999999999"/>
  </r>
  <r>
    <s v="recaaL1bT53SblevZ"/>
    <s v="Otto Alfred - Agago | Lukole | Gang ber ki mon Gardener"/>
    <n v="1"/>
    <s v="Melia,"/>
    <d v="2022-09-24T00:00:00"/>
    <s v="Agago"/>
    <s v="Lukole"/>
    <n v="325"/>
    <n v="325"/>
    <n v="0"/>
    <n v="0"/>
    <n v="0"/>
    <n v="0"/>
    <n v="0"/>
    <n v="0"/>
    <n v="0"/>
    <n v="0.14119999999999999"/>
    <x v="1"/>
    <x v="1"/>
    <n v="18049"/>
    <n v="46"/>
    <n v="5.0599999999999999E-2"/>
    <n v="2.3275999999999999"/>
  </r>
  <r>
    <s v="recaaL1bT53SblevZ"/>
    <s v="Otto Alfred - Agago | Lukole | Gang ber ki mon Gardener"/>
    <n v="1"/>
    <s v="Melia,"/>
    <d v="2022-09-24T00:00:00"/>
    <s v="Agago"/>
    <s v="Lukole"/>
    <n v="325"/>
    <n v="325"/>
    <n v="0"/>
    <n v="0"/>
    <n v="0"/>
    <n v="0"/>
    <n v="0"/>
    <n v="0"/>
    <n v="0"/>
    <n v="0.14119999999999999"/>
    <x v="1"/>
    <x v="1"/>
    <n v="18249"/>
    <n v="37"/>
    <n v="9.0700000000000003E-2"/>
    <n v="3.3559000000000001"/>
  </r>
  <r>
    <s v="recX0BKbtpuSWViFm"/>
    <s v="Otukene Simba - Agago | Lukole | Ripe Gardener"/>
    <n v="1"/>
    <s v="Melia,"/>
    <d v="2022-08-22T00:00:00"/>
    <s v="Agago"/>
    <s v="Lukole"/>
    <n v="300"/>
    <n v="300"/>
    <n v="0"/>
    <n v="0"/>
    <n v="0"/>
    <n v="0"/>
    <n v="0"/>
    <n v="0"/>
    <n v="0"/>
    <n v="0.36120000000000002"/>
    <x v="1"/>
    <x v="1"/>
    <n v="19038"/>
    <n v="37"/>
    <n v="0.23419999999999999"/>
    <n v="8.6654"/>
  </r>
  <r>
    <s v="recX0BKbtpuSWViFm"/>
    <s v="Otukene Simba - Agago | Lukole | Ripe Gardener"/>
    <n v="1"/>
    <s v="Melia,"/>
    <d v="2022-08-22T00:00:00"/>
    <s v="Agago"/>
    <s v="Lukole"/>
    <n v="300"/>
    <n v="300"/>
    <n v="0"/>
    <n v="0"/>
    <n v="0"/>
    <n v="0"/>
    <n v="0"/>
    <n v="0"/>
    <n v="0"/>
    <n v="0.36120000000000002"/>
    <x v="1"/>
    <x v="1"/>
    <n v="19235"/>
    <n v="45"/>
    <n v="0.127"/>
    <n v="5.7149999999999999"/>
  </r>
  <r>
    <s v="recqb7Yr26snoncxs"/>
    <s v="Owiny tonny - Agago | Patongo | Gang ber ki yen Gardener"/>
    <n v="1"/>
    <s v="Melia, Ongono,"/>
    <d v="2022-06-20T00:00:00"/>
    <s v="Agago"/>
    <s v="Patongo"/>
    <n v="515"/>
    <n v="165"/>
    <n v="0"/>
    <n v="0"/>
    <n v="350"/>
    <n v="0"/>
    <n v="0"/>
    <n v="0"/>
    <n v="0"/>
    <n v="0.71579999999999999"/>
    <x v="1"/>
    <x v="1"/>
    <n v="22923"/>
    <n v="37"/>
    <n v="0.71579999999999999"/>
    <n v="26.4846"/>
  </r>
  <r>
    <s v="rec6Icvi3AMnCE1BH"/>
    <s v="Owona Aldo - Akem kwene"/>
    <n v="1"/>
    <s v="Melia, Gmelina,"/>
    <d v="2022-08-22T00:00:00"/>
    <s v="Individual Farmer"/>
    <s v="Individual Farmer"/>
    <n v="40"/>
    <n v="8"/>
    <n v="0"/>
    <n v="32"/>
    <n v="0"/>
    <n v="0"/>
    <n v="0"/>
    <n v="0"/>
    <n v="0"/>
    <n v="5.5599999999999997E-2"/>
    <x v="1"/>
    <x v="1"/>
    <n v="17077"/>
    <n v="36"/>
    <n v="5.57E-2"/>
    <n v="2.0051999999999999"/>
  </r>
  <r>
    <s v="rec9OBMc0p5hPTeWL"/>
    <s v="Oyela jusphine - Agago | Kuywe | Gum anywala Gardener"/>
    <n v="1"/>
    <s v="Melia, Musizi, Gmelina,"/>
    <d v="2022-08-24T00:00:00"/>
    <s v="Agago"/>
    <s v="Kuywe"/>
    <n v="76"/>
    <n v="40"/>
    <n v="12"/>
    <n v="24"/>
    <n v="0"/>
    <n v="0"/>
    <n v="0"/>
    <n v="0"/>
    <n v="0"/>
    <n v="1.7999999999999999E-2"/>
    <x v="1"/>
    <x v="1"/>
    <n v="14115"/>
    <n v="39"/>
    <n v="1.7999999999999999E-2"/>
    <n v="0.70199999999999996"/>
  </r>
  <r>
    <s v="recUp0oH1QhhWeMuH"/>
    <s v="Oyela Nighty - Agago | Kuywe | Kica ber Gardener"/>
    <n v="1"/>
    <s v="Melia,"/>
    <d v="2022-09-24T00:00:00"/>
    <s v="Agago"/>
    <s v="Kuywe"/>
    <n v="20"/>
    <n v="20"/>
    <n v="0"/>
    <n v="0"/>
    <n v="0"/>
    <n v="0"/>
    <n v="0"/>
    <n v="0"/>
    <n v="0"/>
    <n v="1.06E-2"/>
    <x v="1"/>
    <x v="1"/>
    <n v="14115"/>
    <n v="39"/>
    <n v="1.06E-2"/>
    <n v="0.41339999999999999"/>
  </r>
  <r>
    <s v="recyCouB6lk9RZQGc"/>
    <s v="Oyela Scovia - Agago | Kuywe | Kica ber Gardener"/>
    <n v="1"/>
    <s v="Melia,"/>
    <d v="2022-10-02T00:00:00"/>
    <s v="Agago"/>
    <s v="Kuywe"/>
    <n v="20"/>
    <n v="20"/>
    <n v="0"/>
    <n v="0"/>
    <n v="0"/>
    <n v="0"/>
    <n v="0"/>
    <n v="0"/>
    <n v="0"/>
    <n v="1.84E-2"/>
    <x v="1"/>
    <x v="1"/>
    <n v="14272"/>
    <n v="43"/>
    <n v="1.83E-2"/>
    <n v="0.78690000000000004"/>
  </r>
  <r>
    <s v="recOYNtNrmiOGlgT3"/>
    <s v="Oyella Grace - Agago | Paimol | Cing ki cing - Gardener"/>
    <n v="1"/>
    <s v="Melia, Musizi, Gmelina,"/>
    <d v="2022-08-25T00:00:00"/>
    <s v="Agago"/>
    <s v="Paimol"/>
    <n v="210"/>
    <n v="60"/>
    <n v="110"/>
    <n v="40"/>
    <n v="0"/>
    <n v="0"/>
    <n v="0"/>
    <n v="0"/>
    <n v="0"/>
    <n v="0.23699999999999999"/>
    <x v="1"/>
    <x v="1"/>
    <n v="13961"/>
    <n v="37"/>
    <n v="0.23699999999999999"/>
    <n v="8.7690000000000001"/>
  </r>
  <r>
    <s v="recFWP1niLoxdH06p"/>
    <s v="Oyella Josephine - Agago | Kuywe | Gum anywala Gardener"/>
    <n v="1"/>
    <s v="Melia, Musizi,"/>
    <d v="2022-07-12T00:00:00"/>
    <s v="Agago"/>
    <s v="Kuywe"/>
    <n v="72"/>
    <n v="60"/>
    <n v="12"/>
    <n v="0"/>
    <n v="0"/>
    <n v="0"/>
    <n v="0"/>
    <n v="0"/>
    <n v="0"/>
    <n v="1.7100000000000001E-2"/>
    <x v="1"/>
    <x v="1"/>
    <n v="16103"/>
    <n v="46"/>
    <n v="1.7100000000000001E-2"/>
    <n v="0.78660000000000008"/>
  </r>
  <r>
    <s v="recINLzDNU48LR63R"/>
    <s v="Oyella Josephine - Agago | Paimol | Cing ki cing - Gardener"/>
    <n v="1"/>
    <s v="Melia, Musizi, Gmelina,"/>
    <d v="2022-09-18T00:00:00"/>
    <s v="Agago"/>
    <s v="Paimol"/>
    <n v="256"/>
    <n v="106"/>
    <n v="100"/>
    <n v="50"/>
    <n v="0"/>
    <n v="0"/>
    <n v="0"/>
    <n v="0"/>
    <n v="0"/>
    <n v="0.40239999999999998"/>
    <x v="1"/>
    <x v="1"/>
    <n v="13961"/>
    <n v="37"/>
    <n v="0.40239999999999998"/>
    <n v="14.8888"/>
  </r>
  <r>
    <s v="recSqbZbpvdNLdISy"/>
    <s v="Oyet David - Agago | Paimol | Bedo abeda pe konye - Gardener"/>
    <n v="1"/>
    <s v="Melia,"/>
    <d v="2022-08-23T00:00:00"/>
    <s v="Agago"/>
    <s v="Paimol"/>
    <n v="147"/>
    <n v="147"/>
    <n v="0"/>
    <n v="0"/>
    <n v="0"/>
    <n v="0"/>
    <n v="0"/>
    <n v="0"/>
    <n v="0"/>
    <n v="0.22450000000000001"/>
    <x v="1"/>
    <x v="1"/>
    <n v="14282"/>
    <n v="38"/>
    <n v="0.22450000000000001"/>
    <n v="8.5310000000000006"/>
  </r>
  <r>
    <s v="recx6vcg5yvTEsFG9"/>
    <s v="Oyet devit - Agago | Paimol | Bedo abeda pe konye - Gardener"/>
    <n v="1"/>
    <s v="Melia, Musizi,"/>
    <d v="2023-05-20T00:00:00"/>
    <s v="Agago"/>
    <s v="Paimol"/>
    <n v="241"/>
    <n v="140"/>
    <n v="101"/>
    <n v="0"/>
    <n v="0"/>
    <n v="0"/>
    <n v="0"/>
    <n v="0"/>
    <n v="0"/>
    <n v="0.15840000000000001"/>
    <x v="1"/>
    <x v="1"/>
    <n v="30387"/>
    <n v="39"/>
    <n v="0.15840000000000001"/>
    <n v="6.1776000000000009"/>
  </r>
  <r>
    <s v="recq3evjDQh80tjOh"/>
    <s v="Oyo Samuel Baker - Agago | Adilang | Tam piwa Gardener"/>
    <n v="1"/>
    <s v="Melia,"/>
    <d v="2022-08-22T00:00:00"/>
    <s v="Agago"/>
    <s v="Adilang"/>
    <n v="100"/>
    <n v="100"/>
    <n v="0"/>
    <n v="0"/>
    <n v="0"/>
    <n v="0"/>
    <n v="0"/>
    <n v="0"/>
    <n v="0"/>
    <n v="4.6899999999999997E-2"/>
    <x v="1"/>
    <x v="1"/>
    <n v="23496"/>
    <n v="47"/>
    <n v="4.6899999999999997E-2"/>
    <n v="2.2042999999999999"/>
  </r>
  <r>
    <s v="recUfzX99BEv5V46t"/>
    <s v="Oyo joseph - Agago | Lapono | Karenga water user's association Gardener"/>
    <n v="1"/>
    <s v="Melia, Musizi, Gmelina, Ongono, Senna,"/>
    <d v="2022-08-22T00:00:00"/>
    <s v="Agago"/>
    <s v="Lapono"/>
    <n v="281"/>
    <n v="200"/>
    <n v="6"/>
    <n v="20"/>
    <n v="25"/>
    <n v="0"/>
    <n v="0"/>
    <n v="30"/>
    <n v="0"/>
    <n v="0.37140000000000001"/>
    <x v="1"/>
    <x v="1"/>
    <n v="15948"/>
    <n v="41"/>
    <n v="4.9500000000000002E-2"/>
    <n v="2.0295000000000001"/>
  </r>
  <r>
    <s v="recUfzX99BEv5V46t"/>
    <s v="Oyo joseph - Agago | Lapono | Karenga water user's association Gardener"/>
    <n v="1"/>
    <s v="Melia, Musizi, Gmelina, Ongono, Senna,"/>
    <d v="2022-08-22T00:00:00"/>
    <s v="Agago"/>
    <s v="Lapono"/>
    <n v="281"/>
    <n v="200"/>
    <n v="6"/>
    <n v="20"/>
    <n v="25"/>
    <n v="0"/>
    <n v="0"/>
    <n v="30"/>
    <n v="0"/>
    <n v="0.37140000000000001"/>
    <x v="1"/>
    <x v="1"/>
    <n v="16142"/>
    <n v="46"/>
    <n v="0.32179999999999997"/>
    <n v="14.8028"/>
  </r>
  <r>
    <s v="recl8R7URiwfhmtaz"/>
    <s v="Oyugi Rafael - Agago | Lapono | Akem kwene farmer's group Gardener"/>
    <n v="1"/>
    <s v="Melia, Musizi, Gmelina,"/>
    <d v="2022-07-06T00:00:00"/>
    <s v="Agago"/>
    <s v="Lapono"/>
    <n v="189"/>
    <n v="80"/>
    <n v="10"/>
    <n v="99"/>
    <n v="0"/>
    <n v="0"/>
    <n v="0"/>
    <n v="0"/>
    <n v="0"/>
    <n v="9.6500000000000002E-2"/>
    <x v="1"/>
    <x v="1"/>
    <n v="17265"/>
    <n v="33"/>
    <n v="9.6500000000000002E-2"/>
    <n v="3.1844999999999999"/>
  </r>
  <r>
    <s v="reciLbsgevTjywqaT"/>
    <s v="Pandaliya Owiny - Agago | Lapono | Onen kuc Gardener"/>
    <n v="1"/>
    <s v="Melia, Musizi, Gmelina,"/>
    <d v="2022-10-29T00:00:00"/>
    <s v="Agago"/>
    <s v="Lapono"/>
    <n v="33"/>
    <n v="15"/>
    <n v="2"/>
    <n v="16"/>
    <n v="0"/>
    <n v="0"/>
    <n v="0"/>
    <n v="0"/>
    <n v="0"/>
    <n v="2.3E-2"/>
    <x v="1"/>
    <x v="1"/>
    <n v="14489"/>
    <n v="35"/>
    <n v="2.3E-2"/>
    <n v="0.80499999999999994"/>
  </r>
  <r>
    <s v="rec2S5f3z2zldLWZ9"/>
    <s v="Patrick Woko Raeh - Agago | Lukole | Gang ber ki mon Gardener"/>
    <n v="1"/>
    <s v="Musizi, Gmelina,"/>
    <d v="2022-06-16T00:00:00"/>
    <s v="Agago"/>
    <s v="Lukole"/>
    <n v="70"/>
    <n v="0"/>
    <n v="15"/>
    <n v="55"/>
    <n v="0"/>
    <n v="0"/>
    <n v="0"/>
    <n v="0"/>
    <n v="0"/>
    <n v="2.5700000000000001E-2"/>
    <x v="1"/>
    <x v="1"/>
    <n v="18634"/>
    <n v="47"/>
    <n v="2.5700000000000001E-2"/>
    <n v="1.2079"/>
  </r>
  <r>
    <s v="rec5WVQxq3sKxraDL"/>
    <s v="Plum baptis - Agago | Kuywe | Ogen rwot Gardener"/>
    <n v="1"/>
    <s v="Melia, Musizi, Gmelina, Senna,"/>
    <d v="2022-08-16T00:00:00"/>
    <s v="Agago"/>
    <s v="Kuywe"/>
    <n v="325"/>
    <n v="130"/>
    <n v="10"/>
    <n v="160"/>
    <n v="0"/>
    <n v="0"/>
    <n v="0"/>
    <n v="25"/>
    <n v="0"/>
    <n v="0.2031"/>
    <x v="1"/>
    <x v="1"/>
    <n v="14646"/>
    <n v="41"/>
    <n v="0.2031"/>
    <n v="8.3270999999999997"/>
  </r>
  <r>
    <s v="recKVGnWiCQRZA9v4"/>
    <s v="Rabeca okulu - Agago | Adilang | Adilang community group Gardener"/>
    <n v="1"/>
    <s v="Melia, Ongono,"/>
    <d v="2022-10-14T00:00:00"/>
    <s v="Agago"/>
    <s v="Adilang"/>
    <n v="1425"/>
    <n v="625"/>
    <n v="0"/>
    <n v="0"/>
    <n v="800"/>
    <n v="0"/>
    <n v="0"/>
    <n v="0"/>
    <n v="0"/>
    <n v="0.43990000000000001"/>
    <x v="1"/>
    <x v="1"/>
    <n v="23132"/>
    <n v="39"/>
    <n v="0.43990000000000001"/>
    <n v="17.156100000000002"/>
  </r>
  <r>
    <s v="rec9Y1p1Vq36Q6vNc"/>
    <s v="Rwot oyera Jefa - Agago | | Individual Farmer Gardener"/>
    <n v="1"/>
    <s v="Melia,"/>
    <d v="2022-10-17T00:00:00"/>
    <s v="Agago"/>
    <s v="Individual Farmer"/>
    <n v="900"/>
    <n v="900"/>
    <n v="0"/>
    <n v="0"/>
    <n v="0"/>
    <n v="0"/>
    <n v="0"/>
    <n v="0"/>
    <n v="0"/>
    <n v="4.2700000000000002E-2"/>
    <x v="1"/>
    <x v="1"/>
    <n v="28019"/>
    <n v="48"/>
    <n v="4.2700000000000002E-2"/>
    <n v="2.0495999999999999"/>
  </r>
  <r>
    <s v="recM0mMterjJbU9f6"/>
    <s v="santa poline - Agago | Lapono | Akem kwene farmer's group Gardener"/>
    <n v="1"/>
    <s v="Melia, Musizi,"/>
    <d v="2022-07-25T00:00:00"/>
    <s v="Agago"/>
    <s v="Lapono"/>
    <n v="24"/>
    <n v="20"/>
    <n v="4"/>
    <n v="0"/>
    <n v="0"/>
    <n v="0"/>
    <n v="0"/>
    <n v="0"/>
    <n v="0"/>
    <n v="2.1100000000000001E-2"/>
    <x v="1"/>
    <x v="1"/>
    <n v="17265"/>
    <n v="33"/>
    <n v="2.1100000000000001E-2"/>
    <n v="0.69630000000000003"/>
  </r>
  <r>
    <s v="recRtwAn6ldKRxTfl"/>
    <s v="Sizitino Odoch - Agago | | Individual Farmer Gardener"/>
    <n v="1"/>
    <s v="Melia,"/>
    <d v="2022-10-29T00:00:00"/>
    <s v="Agago"/>
    <s v="Individual Farmer"/>
    <n v="215"/>
    <n v="215"/>
    <n v="0"/>
    <n v="0"/>
    <n v="0"/>
    <n v="0"/>
    <n v="0"/>
    <n v="0"/>
    <n v="0"/>
    <n v="2.8000000000000001E-2"/>
    <x v="1"/>
    <x v="1"/>
    <n v="22925"/>
    <n v="38"/>
    <n v="2.8000000000000001E-2"/>
    <n v="1.0640000000000001"/>
  </r>
  <r>
    <s v="recov0xEO5fIOF1ME"/>
    <s v="Tonano Joseph - Akem kwene"/>
    <n v="1"/>
    <s v="Melia, Gmelina,"/>
    <d v="2022-08-22T00:00:00"/>
    <s v="Individual Farmer"/>
    <s v="Individual Farmer"/>
    <n v="15"/>
    <n v="6"/>
    <n v="0"/>
    <n v="9"/>
    <n v="0"/>
    <n v="0"/>
    <n v="0"/>
    <n v="0"/>
    <n v="0"/>
    <n v="8.0399999999999999E-2"/>
    <x v="1"/>
    <x v="1"/>
    <n v="17266"/>
    <n v="37"/>
    <n v="8.0399999999999999E-2"/>
    <n v="2.9748000000000001"/>
  </r>
  <r>
    <s v="rec8ppEkJAqdwgwP8"/>
    <s v="Tookema France - Agago | Paimol | Cing ki cing - Gardener"/>
    <n v="1"/>
    <s v="Melia,"/>
    <d v="2022-08-11T00:00:00"/>
    <s v="Agago"/>
    <s v="Paimol"/>
    <n v="111"/>
    <n v="111"/>
    <n v="0"/>
    <n v="0"/>
    <n v="0"/>
    <n v="0"/>
    <n v="0"/>
    <n v="0"/>
    <n v="0"/>
    <n v="0.1888"/>
    <x v="1"/>
    <x v="1"/>
    <n v="13962"/>
    <n v="41"/>
    <n v="0.1888"/>
    <n v="7.740800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5C90CE-C964-0743-8BC1-3CDD1E95E38F}" name="PivotTable2" cacheId="942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14:Q20" firstHeaderRow="1" firstDataRow="1" firstDataCol="1"/>
  <pivotFields count="23">
    <pivotField showAll="0"/>
    <pivotField showAll="0"/>
    <pivotField showAll="0"/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numFmtId="2" showAll="0"/>
    <pivotField dataField="1" showAll="0"/>
  </pivotFields>
  <rowFields count="2">
    <field x="18"/>
    <field x="17"/>
  </rowFields>
  <rowItems count="6">
    <i>
      <x/>
    </i>
    <i r="1">
      <x/>
    </i>
    <i>
      <x v="1"/>
    </i>
    <i r="1">
      <x/>
    </i>
    <i r="1">
      <x v="1"/>
    </i>
    <i t="grand">
      <x/>
    </i>
  </rowItems>
  <colItems count="1">
    <i/>
  </colItems>
  <dataFields count="1">
    <dataField name="Sum of GSOC * area_FAOSOC (tC)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E6CD63-00E0-4CFF-9AAB-E81B7B787CFD}" name="Table2" displayName="Table2" ref="B2:M58" headerRowDxfId="14" dataDxfId="13" totalsRowDxfId="12">
  <tableColumns count="12">
    <tableColumn id="1" xr3:uid="{135D7366-E23E-4896-B139-36D8AFE8A654}" name="Columna1" dataDxfId="11"/>
    <tableColumn id="2" xr3:uid="{2E9AC7E9-A4E6-40AF-A61F-F1C834C5B327}" name="Columna2" dataDxfId="10"/>
    <tableColumn id="3" xr3:uid="{C2E8BF51-ADB1-4DA8-83DB-FCAD5DEC627B}" name="Columna3" dataDxfId="9"/>
    <tableColumn id="4" xr3:uid="{2B602402-3124-4111-BB6D-3AF45B5E2C70}" name="Column1" dataDxfId="8"/>
    <tableColumn id="19" xr3:uid="{0FB3C91A-C840-4AC8-ABD8-928E79E930F1}" name="Columna42" dataDxfId="7"/>
    <tableColumn id="5" xr3:uid="{3C80EB27-3503-4B34-A9EF-2242C8E18A2B}" name="Columna20" dataDxfId="6"/>
    <tableColumn id="6" xr3:uid="{57912BEC-3A0C-4302-AA38-F5BB4C16A4FB}" name="Columna5" dataDxfId="5"/>
    <tableColumn id="7" xr3:uid="{AD8FA9CF-F32B-4F89-BF96-13E9FC4E3D4A}" name="Columna6" dataDxfId="4"/>
    <tableColumn id="17" xr3:uid="{1F317639-750B-4A71-A468-BC0C2D66BEA0}" name="Column2" dataDxfId="3"/>
    <tableColumn id="20" xr3:uid="{7F7AF163-656B-4ED0-A070-6B4DAD8B52E9}" name="Column3" dataDxfId="2"/>
    <tableColumn id="21" xr3:uid="{2DAB1400-167E-4714-A499-46B6F14953B5}" name="Column4" dataDxfId="1">
      <calculatedColumnFormula>+EXP(-1.085+0.9256*LN(#REF!))/#REF!</calculatedColumnFormula>
    </tableColumn>
    <tableColumn id="22" xr3:uid="{286F4BA9-B064-48D8-941B-7E7D4BF186A5}" name="Column5" dataDxfId="0">
      <calculatedColumnFormula>+#REF!*(1+Table2[[#This Row],[Column4]])</calculatedColumnFormula>
    </tableColumn>
  </tableColumns>
  <tableStyleInfo name="Senegalia polyacantha 2x2 Fores-style" showFirstColumn="1" showLastColumn="1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" dT="2023-08-29T13:15:52.09" personId="{3A8DA550-A89F-244F-91BB-AA4C766ED5C7}" id="{699F4794-7740-2947-B102-F81DFC79F048}">
    <text>Eq.1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2723619942</xltc2:checksum>
        <xltc2:hyperlink startIndex="16" length="83" url="https://cdm.unfccc.int/methodologies/ARmethodologies/tools/ar-am-tool-16-v1.1.0.pdf"/>
      </x:ext>
    </extLst>
  </threadedComment>
  <threadedComment ref="J1" dT="2023-08-29T13:15:52.09" personId="{3A8DA550-A89F-244F-91BB-AA4C766ED5C7}" id="{163259B7-CAFB-7D4B-8F53-4CD6202F4C07}">
    <text>Eq.1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2723619942</xltc2:checksum>
        <xltc2:hyperlink startIndex="16" length="83" url="https://cdm.unfccc.int/methodologies/ARmethodologies/tools/ar-am-tool-16-v1.1.0.pdf"/>
      </x:ext>
    </extLst>
  </threadedComment>
  <threadedComment ref="N1" dT="2023-08-29T13:15:52.09" personId="{3A8DA550-A89F-244F-91BB-AA4C766ED5C7}" id="{88AE8804-86EA-F343-B17E-98E6E7214257}">
    <text>Eq.1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2723619942</xltc2:checksum>
        <xltc2:hyperlink startIndex="16" length="83" url="https://cdm.unfccc.int/methodologies/ARmethodologies/tools/ar-am-tool-16-v1.1.0.pdf"/>
      </x:ext>
    </extLst>
  </threadedComment>
  <threadedComment ref="F5" dT="2023-08-29T13:21:28.99" personId="{3A8DA550-A89F-244F-91BB-AA4C766ED5C7}" id="{63528953-37FE-2645-8795-52358AF8C532}">
    <text>According to IPCC Soil classes and IPCC climate; earthmap.org</text>
  </threadedComment>
  <threadedComment ref="G5" dT="2023-08-29T13:22:34.51" personId="{3A8DA550-A89F-244F-91BB-AA4C766ED5C7}" id="{52F33E09-257E-F745-AC5F-12A06E9C0CA5}">
    <text xml:space="preserve">Table 3; AR/AM tool https://cdm.unfccc.int/methodologies/ARmethodologies/tools/ar-am-tool-16-v1.1.0.pdf
</text>
    <extLst>
      <x:ext xmlns:xltc2="http://schemas.microsoft.com/office/spreadsheetml/2020/threadedcomments2" uri="{F7C98A9C-CBB3-438F-8F68-D28B6AF4A901}">
        <xltc2:checksum>2678991312</xltc2:checksum>
        <xltc2:hyperlink startIndex="20" length="83" url="https://cdm.unfccc.int/methodologies/ARmethodologies/tools/ar-am-tool-16-v1.1.0.pdf"/>
      </x:ext>
    </extLst>
  </threadedComment>
  <threadedComment ref="J5" dT="2023-08-29T13:21:28.99" personId="{3A8DA550-A89F-244F-91BB-AA4C766ED5C7}" id="{4A35AEC7-877C-FE43-AD09-62410B732FB6}">
    <text>According to IPCC Soil classes and IPCC climate; earthmap.org</text>
  </threadedComment>
  <threadedComment ref="K5" dT="2023-08-29T13:22:34.51" personId="{3A8DA550-A89F-244F-91BB-AA4C766ED5C7}" id="{EE43E1FA-DB30-F14F-BD0B-080E693BFFA2}">
    <text xml:space="preserve">Table 3; AR/AM tool https://cdm.unfccc.int/methodologies/ARmethodologies/tools/ar-am-tool-16-v1.1.0.pdf
</text>
    <extLst>
      <x:ext xmlns:xltc2="http://schemas.microsoft.com/office/spreadsheetml/2020/threadedcomments2" uri="{F7C98A9C-CBB3-438F-8F68-D28B6AF4A901}">
        <xltc2:checksum>2678991312</xltc2:checksum>
        <xltc2:hyperlink startIndex="20" length="83" url="https://cdm.unfccc.int/methodologies/ARmethodologies/tools/ar-am-tool-16-v1.1.0.pdf"/>
      </x:ext>
    </extLst>
  </threadedComment>
  <threadedComment ref="N5" dT="2023-08-29T13:21:38.86" personId="{3A8DA550-A89F-244F-91BB-AA4C766ED5C7}" id="{4489B12E-AFCE-CB42-AF5F-D12CFD1A4D6D}">
    <text>According to IPCC Soil classes and IPCC climate; earthmap.org</text>
  </threadedComment>
  <threadedComment ref="O5" dT="2023-08-29T13:22:34.51" personId="{3A8DA550-A89F-244F-91BB-AA4C766ED5C7}" id="{3A4C4700-7697-D64C-AE00-3D46440C18DB}">
    <text xml:space="preserve">Table 3; AR/AM tool https://cdm.unfccc.int/methodologies/ARmethodologies/tools/ar-am-tool-16-v1.1.0.pdf
</text>
    <extLst>
      <x:ext xmlns:xltc2="http://schemas.microsoft.com/office/spreadsheetml/2020/threadedcomments2" uri="{F7C98A9C-CBB3-438F-8F68-D28B6AF4A901}">
        <xltc2:checksum>2678991312</xltc2:checksum>
        <xltc2:hyperlink startIndex="20" length="83" url="https://cdm.unfccc.int/methodologies/ARmethodologies/tools/ar-am-tool-16-v1.1.0.pdf"/>
      </x:ext>
    </extLst>
  </threadedComment>
  <threadedComment ref="F6" dT="2023-08-29T13:26:47.33" personId="{3A8DA550-A89F-244F-91BB-AA4C766ED5C7}" id="{03C8886E-D7E0-D643-9C7A-529C6E66D889}">
    <text>Table 4 ,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3817600897</xltc2:checksum>
        <xltc2:hyperlink startIndex="21" length="83" url="https://cdm.unfccc.int/methodologies/ARmethodologies/tools/ar-am-tool-16-v1.1.0.pdf"/>
      </x:ext>
    </extLst>
  </threadedComment>
  <threadedComment ref="G6" dT="2023-08-29T13:26:56.17" personId="{3A8DA550-A89F-244F-91BB-AA4C766ED5C7}" id="{13679C8A-E05D-284B-8F1D-CA130720CFA0}">
    <text>Tropical montane - short term cultivated</text>
  </threadedComment>
  <threadedComment ref="J6" dT="2023-08-29T13:26:47.33" personId="{3A8DA550-A89F-244F-91BB-AA4C766ED5C7}" id="{09067A34-0B89-AE42-BDF8-7CD17FEB4967}">
    <text>Table 4 ,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3817600897</xltc2:checksum>
        <xltc2:hyperlink startIndex="21" length="83" url="https://cdm.unfccc.int/methodologies/ARmethodologies/tools/ar-am-tool-16-v1.1.0.pdf"/>
      </x:ext>
    </extLst>
  </threadedComment>
  <threadedComment ref="K6" dT="2023-08-29T13:26:56.17" personId="{3A8DA550-A89F-244F-91BB-AA4C766ED5C7}" id="{32DEF03A-EBA1-BD45-989D-EDB1DBCDA467}">
    <text>Tropical moist</text>
  </threadedComment>
  <threadedComment ref="N6" dT="2023-08-29T13:26:47.33" personId="{3A8DA550-A89F-244F-91BB-AA4C766ED5C7}" id="{92F2E375-7B27-214B-9C54-0EAF0E21CA13}">
    <text>Table 4 ,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3817600897</xltc2:checksum>
        <xltc2:hyperlink startIndex="21" length="83" url="https://cdm.unfccc.int/methodologies/ARmethodologies/tools/ar-am-tool-16-v1.1.0.pdf"/>
      </x:ext>
    </extLst>
  </threadedComment>
  <threadedComment ref="O6" dT="2023-08-29T13:26:56.17" personId="{3A8DA550-A89F-244F-91BB-AA4C766ED5C7}" id="{B2B42E77-47FC-1043-AC15-9390F528F9FA}">
    <text>Tropical montane</text>
  </threadedComment>
  <threadedComment ref="F7" dT="2023-08-29T13:28:26.00" personId="{3A8DA550-A89F-244F-91BB-AA4C766ED5C7}" id="{A81BFB23-46BA-2E42-8F3F-B5170DED7536}">
    <text>Table 4 ,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3817600897</xltc2:checksum>
        <xltc2:hyperlink startIndex="21" length="83" url="https://cdm.unfccc.int/methodologies/ARmethodologies/tools/ar-am-tool-16-v1.1.0.pdf"/>
      </x:ext>
    </extLst>
  </threadedComment>
  <threadedComment ref="G7" dT="2023-08-29T13:28:06.64" personId="{3A8DA550-A89F-244F-91BB-AA4C766ED5C7}" id="{8D97F692-297B-2A44-8491-E5B4F4BB3426}">
    <text>reduced tillage, tropical montane</text>
  </threadedComment>
  <threadedComment ref="J7" dT="2023-08-29T13:28:26.00" personId="{3A8DA550-A89F-244F-91BB-AA4C766ED5C7}" id="{2966336D-F729-3A49-BB9E-303FBA978E07}">
    <text>Table 4 ,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3817600897</xltc2:checksum>
        <xltc2:hyperlink startIndex="21" length="83" url="https://cdm.unfccc.int/methodologies/ARmethodologies/tools/ar-am-tool-16-v1.1.0.pdf"/>
      </x:ext>
    </extLst>
  </threadedComment>
  <threadedComment ref="K7" dT="2023-08-29T13:28:06.64" personId="{3A8DA550-A89F-244F-91BB-AA4C766ED5C7}" id="{CAA30A41-258F-A942-8710-F6037EDA6B99}">
    <text>reduced tillage, tropical moist</text>
  </threadedComment>
  <threadedComment ref="N7" dT="2023-08-29T13:28:26.00" personId="{3A8DA550-A89F-244F-91BB-AA4C766ED5C7}" id="{872C449D-3D2B-E84F-819A-BE721C373936}">
    <text>Table 4 ,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3817600897</xltc2:checksum>
        <xltc2:hyperlink startIndex="21" length="83" url="https://cdm.unfccc.int/methodologies/ARmethodologies/tools/ar-am-tool-16-v1.1.0.pdf"/>
      </x:ext>
    </extLst>
  </threadedComment>
  <threadedComment ref="O7" dT="2023-08-29T13:28:06.64" personId="{3A8DA550-A89F-244F-91BB-AA4C766ED5C7}" id="{4ECB0C06-8598-7F4B-BCF9-BF6A0F396BD3}">
    <text>reduced tillage, tropical montane</text>
  </threadedComment>
  <threadedComment ref="F8" dT="2023-08-29T13:29:09.71" personId="{3A8DA550-A89F-244F-91BB-AA4C766ED5C7}" id="{A0F9EB51-605F-4F47-9038-E19A165D2BE4}">
    <text xml:space="preserve">Table 5, AR/AM tool https://cdm.unfccc.int/methodologies/ARmethodologies/tools/ar-am-tool-16-v1.1.0.pdf
</text>
    <extLst>
      <x:ext xmlns:xltc2="http://schemas.microsoft.com/office/spreadsheetml/2020/threadedcomments2" uri="{F7C98A9C-CBB3-438F-8F68-D28B6AF4A901}">
        <xltc2:checksum>1964373164</xltc2:checksum>
        <xltc2:hyperlink startIndex="20" length="83" url="https://cdm.unfccc.int/methodologies/ARmethodologies/tools/ar-am-tool-16-v1.1.0.pdf"/>
      </x:ext>
    </extLst>
  </threadedComment>
  <threadedComment ref="G8" dT="2023-08-29T13:29:26.06" personId="{3A8DA550-A89F-244F-91BB-AA4C766ED5C7}" id="{346DF7F8-7A4A-6641-8829-F368C1D0F1F1}">
    <text>Low, tropical montane</text>
  </threadedComment>
  <threadedComment ref="J8" dT="2023-08-29T13:29:09.71" personId="{3A8DA550-A89F-244F-91BB-AA4C766ED5C7}" id="{2CD6561A-FB2D-B441-B7E9-5C3938825255}">
    <text xml:space="preserve">Table 5, AR/AM tool https://cdm.unfccc.int/methodologies/ARmethodologies/tools/ar-am-tool-16-v1.1.0.pdf
</text>
    <extLst>
      <x:ext xmlns:xltc2="http://schemas.microsoft.com/office/spreadsheetml/2020/threadedcomments2" uri="{F7C98A9C-CBB3-438F-8F68-D28B6AF4A901}">
        <xltc2:checksum>1964373164</xltc2:checksum>
        <xltc2:hyperlink startIndex="20" length="83" url="https://cdm.unfccc.int/methodologies/ARmethodologies/tools/ar-am-tool-16-v1.1.0.pdf"/>
      </x:ext>
    </extLst>
  </threadedComment>
  <threadedComment ref="K8" dT="2023-08-29T13:29:26.06" personId="{3A8DA550-A89F-244F-91BB-AA4C766ED5C7}" id="{CF141A17-A0CE-1B47-8272-673ED8A1749E}">
    <text>Low, tropical moist</text>
  </threadedComment>
  <threadedComment ref="N8" dT="2023-08-29T13:29:09.71" personId="{3A8DA550-A89F-244F-91BB-AA4C766ED5C7}" id="{3B2AD769-A866-744E-AB5B-95D8898FD53C}">
    <text xml:space="preserve">Table 5, AR/AM tool https://cdm.unfccc.int/methodologies/ARmethodologies/tools/ar-am-tool-16-v1.1.0.pdf
</text>
    <extLst>
      <x:ext xmlns:xltc2="http://schemas.microsoft.com/office/spreadsheetml/2020/threadedcomments2" uri="{F7C98A9C-CBB3-438F-8F68-D28B6AF4A901}">
        <xltc2:checksum>1964373164</xltc2:checksum>
        <xltc2:hyperlink startIndex="20" length="83" url="https://cdm.unfccc.int/methodologies/ARmethodologies/tools/ar-am-tool-16-v1.1.0.pdf"/>
      </x:ext>
    </extLst>
  </threadedComment>
  <threadedComment ref="O8" dT="2023-08-29T13:29:26.06" personId="{3A8DA550-A89F-244F-91BB-AA4C766ED5C7}" id="{E8D00283-90A7-E54A-A385-2C8344813992}">
    <text>Low, tropical montane</text>
  </threadedComment>
  <threadedComment ref="F10" dT="2023-08-29T13:52:33.24" personId="{3A8DA550-A89F-244F-91BB-AA4C766ED5C7}" id="{9A5A54DE-6991-174E-BAF3-EB9A7F951C58}">
    <text>Eq.2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1762415690</xltc2:checksum>
        <xltc2:hyperlink startIndex="16" length="83" url="https://cdm.unfccc.int/methodologies/ARmethodologies/tools/ar-am-tool-16-v1.1.0.pdf"/>
      </x:ext>
    </extLst>
  </threadedComment>
  <threadedComment ref="J10" dT="2023-08-29T13:52:33.24" personId="{3A8DA550-A89F-244F-91BB-AA4C766ED5C7}" id="{0720E60C-9ABB-3845-B8B2-303401239502}">
    <text>Eq.2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1762415690</xltc2:checksum>
        <xltc2:hyperlink startIndex="16" length="83" url="https://cdm.unfccc.int/methodologies/ARmethodologies/tools/ar-am-tool-16-v1.1.0.pdf"/>
      </x:ext>
    </extLst>
  </threadedComment>
  <threadedComment ref="N10" dT="2023-08-29T13:52:33.24" personId="{3A8DA550-A89F-244F-91BB-AA4C766ED5C7}" id="{FCB7BF25-7911-3D41-AECE-8AF9397410B2}">
    <text>Eq.2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1762415690</xltc2:checksum>
        <xltc2:hyperlink startIndex="16" length="83" url="https://cdm.unfccc.int/methodologies/ARmethodologies/tools/ar-am-tool-16-v1.1.0.pdf"/>
      </x:ext>
    </extLst>
  </threadedComment>
  <threadedComment ref="F14" dT="2023-08-29T13:52:56.64" personId="{3A8DA550-A89F-244F-91BB-AA4C766ED5C7}" id="{E6AB97B9-F6BD-0546-9E56-ACF88B6A3DE7}">
    <text>Eq.6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1915284341</xltc2:checksum>
        <xltc2:hyperlink startIndex="16" length="83" url="https://cdm.unfccc.int/methodologies/ARmethodologies/tools/ar-am-tool-16-v1.1.0.pdf"/>
      </x:ext>
    </extLst>
  </threadedComment>
  <threadedComment ref="J14" dT="2023-08-29T13:52:56.64" personId="{3A8DA550-A89F-244F-91BB-AA4C766ED5C7}" id="{275D0476-A6F7-0C4E-AB21-A4D755B0A76E}">
    <text>Eq.6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1915284341</xltc2:checksum>
        <xltc2:hyperlink startIndex="16" length="83" url="https://cdm.unfccc.int/methodologies/ARmethodologies/tools/ar-am-tool-16-v1.1.0.pdf"/>
      </x:ext>
    </extLst>
  </threadedComment>
  <threadedComment ref="N14" dT="2023-08-29T13:52:56.64" personId="{3A8DA550-A89F-244F-91BB-AA4C766ED5C7}" id="{9FC3A0F2-4E04-3A42-B1D5-57D0984E3C58}">
    <text>Eq.6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1915284341</xltc2:checksum>
        <xltc2:hyperlink startIndex="16" length="83" url="https://cdm.unfccc.int/methodologies/ARmethodologies/tools/ar-am-tool-16-v1.1.0.pdf"/>
      </x:ext>
    </extLst>
  </threadedComment>
  <threadedComment ref="F21" dT="2023-08-29T13:52:56.64" personId="{3A8DA550-A89F-244F-91BB-AA4C766ED5C7}" id="{84A5D01E-2FC6-D143-A893-C7992476710E}">
    <text>Eq.8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3537335804</xltc2:checksum>
        <xltc2:hyperlink startIndex="16" length="83" url="https://cdm.unfccc.int/methodologies/ARmethodologies/tools/ar-am-tool-16-v1.1.0.pdf"/>
      </x:ext>
    </extLst>
  </threadedComment>
  <threadedComment ref="J21" dT="2023-08-29T13:52:56.64" personId="{3A8DA550-A89F-244F-91BB-AA4C766ED5C7}" id="{09480E94-6B26-BB48-A97C-EA880B2A523C}">
    <text>Eq.8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3537335804</xltc2:checksum>
        <xltc2:hyperlink startIndex="16" length="83" url="https://cdm.unfccc.int/methodologies/ARmethodologies/tools/ar-am-tool-16-v1.1.0.pdf"/>
      </x:ext>
    </extLst>
  </threadedComment>
  <threadedComment ref="N21" dT="2023-08-29T13:52:56.64" personId="{3A8DA550-A89F-244F-91BB-AA4C766ED5C7}" id="{5C6BD459-E5B4-D44F-95A0-523409F07332}">
    <text>Eq.8 AR/AM tool https://cdm.unfccc.int/methodologies/ARmethodologies/tools/ar-am-tool-16-v1.1.0.pdf</text>
    <extLst>
      <x:ext xmlns:xltc2="http://schemas.microsoft.com/office/spreadsheetml/2020/threadedcomments2" uri="{F7C98A9C-CBB3-438F-8F68-D28B6AF4A901}">
        <xltc2:checksum>3537335804</xltc2:checksum>
        <xltc2:hyperlink startIndex="16" length="83" url="https://cdm.unfccc.int/methodologies/ARmethodologies/tools/ar-am-tool-16-v1.1.0.pdf"/>
      </x:ext>
    </extLs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R3" dT="2024-02-29T08:11:19.65" personId="{4D4DAD06-DE8C-304C-9E21-6866A4C86C31}" id="{F6E882C4-DAD8-D940-A969-46E0F0D60AA0}">
    <text>Please calculated the LA according to the following guideline
https://verra.org/wp-content/uploads/2018/03/VCS-Guidance-Harvesting-Examples_0.pdf</text>
    <extLst>
      <x:ext xmlns:xltc2="http://schemas.microsoft.com/office/spreadsheetml/2020/threadedcomments2" uri="{F7C98A9C-CBB3-438F-8F68-D28B6AF4A901}">
        <xltc2:checksum>1330860375</xltc2:checksum>
        <xltc2:hyperlink startIndex="63" length="83" url="https://verra.org/wp-content/uploads/2018/03/VCS-Guidance-Harvesting-Examples_0.pdf"/>
      </x:ext>
    </extLst>
  </threadedComment>
  <threadedComment ref="C55" dT="2025-02-06T12:29:57.90" personId="{3A8DA550-A89F-244F-91BB-AA4C766ED5C7}" id="{421591E4-0F7B-4CC7-B38C-8EB048C298DB}">
    <text>Accountable days for 2022 (22nd august to 31st december)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L1" dT="2024-10-18T17:50:59.89" personId="{3A8DA550-A89F-244F-91BB-AA4C766ED5C7}" id="{88DA001E-9B5D-884F-B53E-46624EF934A5}">
    <text>Source: Global Soil Organic Carbon Map v 1.5 (FAO)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1.xml"/><Relationship Id="rId4" Type="http://schemas.microsoft.com/office/2017/10/relationships/threadedComment" Target="../threadedComments/threadedComment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074EE-3F94-D24E-B0FE-7700FF2652B8}">
  <sheetPr>
    <tabColor theme="6" tint="0.79998168889431442"/>
  </sheetPr>
  <dimension ref="A2:AQ324"/>
  <sheetViews>
    <sheetView zoomScale="70" zoomScaleNormal="70" workbookViewId="0">
      <selection activeCell="C358" sqref="C358"/>
    </sheetView>
  </sheetViews>
  <sheetFormatPr defaultColWidth="9.88671875" defaultRowHeight="16.5" outlineLevelRow="1"/>
  <cols>
    <col min="1" max="1" width="2.33203125" style="162" customWidth="1"/>
    <col min="2" max="2" width="25.5546875" style="162" bestFit="1" customWidth="1"/>
    <col min="3" max="3" width="14.6640625" style="162" customWidth="1"/>
    <col min="4" max="4" width="15.88671875" style="227" bestFit="1" customWidth="1"/>
    <col min="5" max="5" width="10.33203125" style="227" bestFit="1" customWidth="1"/>
    <col min="6" max="7" width="11.5546875" style="227" bestFit="1" customWidth="1"/>
    <col min="8" max="34" width="12.44140625" style="227" bestFit="1" customWidth="1"/>
    <col min="35" max="43" width="12.44140625" style="162" bestFit="1" customWidth="1"/>
    <col min="44" max="16384" width="9.88671875" style="162"/>
  </cols>
  <sheetData>
    <row r="2" spans="1:43">
      <c r="B2" s="163"/>
      <c r="C2" s="163"/>
      <c r="D2" s="163"/>
    </row>
    <row r="3" spans="1:43" s="222" customFormat="1" ht="13.5" customHeight="1">
      <c r="A3" s="215" t="s">
        <v>0</v>
      </c>
      <c r="B3" s="216" t="s">
        <v>1</v>
      </c>
      <c r="C3" s="216"/>
      <c r="D3" s="217"/>
      <c r="E3" s="218"/>
      <c r="F3" s="219"/>
      <c r="G3" s="220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</row>
    <row r="4" spans="1:43">
      <c r="D4" s="227">
        <v>2022</v>
      </c>
      <c r="E4" s="227">
        <v>2023</v>
      </c>
      <c r="F4" s="227">
        <v>2024</v>
      </c>
      <c r="G4" s="227">
        <v>2025</v>
      </c>
      <c r="H4" s="227">
        <v>2026</v>
      </c>
      <c r="I4" s="227">
        <v>2027</v>
      </c>
      <c r="J4" s="227">
        <v>2028</v>
      </c>
      <c r="K4" s="227">
        <v>2029</v>
      </c>
      <c r="L4" s="227">
        <v>2030</v>
      </c>
      <c r="M4" s="227">
        <v>2031</v>
      </c>
      <c r="N4" s="227">
        <v>2032</v>
      </c>
      <c r="O4" s="227">
        <v>2033</v>
      </c>
      <c r="P4" s="227">
        <v>2034</v>
      </c>
      <c r="Q4" s="227">
        <v>2035</v>
      </c>
      <c r="R4" s="227">
        <v>2036</v>
      </c>
      <c r="S4" s="227">
        <v>2037</v>
      </c>
      <c r="T4" s="227">
        <v>2038</v>
      </c>
      <c r="U4" s="227">
        <v>2039</v>
      </c>
      <c r="V4" s="227">
        <v>2040</v>
      </c>
      <c r="W4" s="227">
        <v>2041</v>
      </c>
      <c r="X4" s="227">
        <v>2042</v>
      </c>
      <c r="Y4" s="227">
        <v>2043</v>
      </c>
      <c r="Z4" s="227">
        <v>2044</v>
      </c>
      <c r="AA4" s="227">
        <v>2045</v>
      </c>
      <c r="AB4" s="227">
        <v>2046</v>
      </c>
      <c r="AC4" s="227">
        <v>2047</v>
      </c>
      <c r="AD4" s="227">
        <v>2048</v>
      </c>
      <c r="AE4" s="227">
        <v>2049</v>
      </c>
      <c r="AF4" s="227">
        <v>2050</v>
      </c>
      <c r="AG4" s="227">
        <v>2051</v>
      </c>
      <c r="AH4" s="227">
        <v>2052</v>
      </c>
      <c r="AI4" s="227">
        <v>2053</v>
      </c>
      <c r="AJ4" s="227">
        <v>2054</v>
      </c>
      <c r="AK4" s="227">
        <v>2055</v>
      </c>
      <c r="AL4" s="227">
        <v>2056</v>
      </c>
      <c r="AM4" s="227">
        <v>2057</v>
      </c>
      <c r="AN4" s="227">
        <v>2058</v>
      </c>
      <c r="AO4" s="227">
        <v>2059</v>
      </c>
      <c r="AP4" s="227">
        <v>2060</v>
      </c>
      <c r="AQ4" s="227">
        <v>2061</v>
      </c>
    </row>
    <row r="5" spans="1:43">
      <c r="AI5" s="227"/>
      <c r="AJ5" s="227"/>
      <c r="AK5" s="227"/>
      <c r="AL5" s="227"/>
      <c r="AM5" s="227"/>
      <c r="AN5" s="227"/>
      <c r="AO5" s="227"/>
      <c r="AP5" s="227"/>
      <c r="AQ5" s="227"/>
    </row>
    <row r="6" spans="1:43" s="222" customFormat="1" ht="12.95" customHeight="1">
      <c r="B6" s="240" t="s">
        <v>2</v>
      </c>
      <c r="C6" s="224"/>
      <c r="D6" s="223"/>
      <c r="E6" s="225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</row>
    <row r="7" spans="1:43">
      <c r="B7" s="237" t="s">
        <v>3</v>
      </c>
      <c r="C7" s="235" t="s">
        <v>4</v>
      </c>
      <c r="D7" s="229">
        <f>+'Planted Trees'!C9</f>
        <v>36039</v>
      </c>
      <c r="E7" s="229">
        <f>+'Planted Trees'!D9</f>
        <v>630000</v>
      </c>
      <c r="F7" s="229">
        <f>+'Planted Trees'!E9</f>
        <v>2924999.9999999991</v>
      </c>
      <c r="G7" s="229">
        <f>+'Planted Trees'!F9</f>
        <v>4050000</v>
      </c>
      <c r="H7" s="229">
        <f>+'Planted Trees'!G9</f>
        <v>5154545.4545454541</v>
      </c>
      <c r="I7" s="229">
        <f>+'Planted Trees'!H9</f>
        <v>6627272.7272727257</v>
      </c>
      <c r="J7" s="229">
        <f>+'Planted Trees'!I9</f>
        <v>7363636.3636363624</v>
      </c>
      <c r="K7" s="229">
        <f>+'Planted Trees'!J9</f>
        <v>7363636.3636363624</v>
      </c>
      <c r="L7" s="229">
        <f>+'Planted Trees'!K9</f>
        <v>7363636.3636363624</v>
      </c>
      <c r="M7" s="229">
        <f>+'Planted Trees'!L9</f>
        <v>0</v>
      </c>
      <c r="N7" s="229">
        <f>+'Planted Trees'!M9</f>
        <v>0</v>
      </c>
      <c r="O7" s="229">
        <f>+'Planted Trees'!N9</f>
        <v>0</v>
      </c>
      <c r="P7" s="229">
        <f>+'Planted Trees'!O9</f>
        <v>0</v>
      </c>
      <c r="Q7" s="229">
        <f>+'Planted Trees'!P9</f>
        <v>0</v>
      </c>
      <c r="R7" s="229">
        <f>+'Planted Trees'!Q9</f>
        <v>0</v>
      </c>
      <c r="S7" s="229">
        <f>+'Planted Trees'!R9</f>
        <v>0</v>
      </c>
      <c r="T7" s="229">
        <f>+'Planted Trees'!S9</f>
        <v>0</v>
      </c>
      <c r="U7" s="229">
        <f>+'Planted Trees'!T9</f>
        <v>0</v>
      </c>
      <c r="V7" s="229">
        <f>+'Planted Trees'!U9</f>
        <v>0</v>
      </c>
      <c r="W7" s="229">
        <f>+'Planted Trees'!V9</f>
        <v>0</v>
      </c>
      <c r="X7" s="229">
        <f>+'Planted Trees'!W9</f>
        <v>0</v>
      </c>
      <c r="Y7" s="229">
        <f>+'Planted Trees'!X9</f>
        <v>0</v>
      </c>
      <c r="Z7" s="229">
        <f>+'Planted Trees'!Y9</f>
        <v>0</v>
      </c>
      <c r="AA7" s="229">
        <f>+'Planted Trees'!Z9</f>
        <v>0</v>
      </c>
      <c r="AB7" s="229">
        <f>+'Planted Trees'!AA9</f>
        <v>0</v>
      </c>
      <c r="AC7" s="229">
        <f>+'Planted Trees'!AB9</f>
        <v>0</v>
      </c>
      <c r="AD7" s="229">
        <f>+'Planted Trees'!AC9</f>
        <v>0</v>
      </c>
      <c r="AE7" s="229">
        <f>+'Planted Trees'!AD9</f>
        <v>0</v>
      </c>
      <c r="AF7" s="229">
        <f>+'Planted Trees'!AE9</f>
        <v>0</v>
      </c>
      <c r="AG7" s="229">
        <f>+'Planted Trees'!AF9</f>
        <v>0</v>
      </c>
      <c r="AH7" s="229">
        <f>+'Planted Trees'!AG9</f>
        <v>0</v>
      </c>
      <c r="AI7" s="229">
        <f>+'Planted Trees'!AH9</f>
        <v>0</v>
      </c>
      <c r="AJ7" s="229">
        <f>+'Planted Trees'!AI9</f>
        <v>0</v>
      </c>
      <c r="AK7" s="229">
        <f>+'Planted Trees'!AJ9</f>
        <v>0</v>
      </c>
      <c r="AL7" s="229">
        <f>+'Planted Trees'!AK9</f>
        <v>0</v>
      </c>
      <c r="AM7" s="229">
        <f>+'Planted Trees'!AL9</f>
        <v>0</v>
      </c>
      <c r="AN7" s="229">
        <f>+'Planted Trees'!AM9</f>
        <v>0</v>
      </c>
      <c r="AO7" s="229">
        <f>+'Planted Trees'!AN9</f>
        <v>0</v>
      </c>
      <c r="AP7" s="229">
        <f>+'Planted Trees'!AO9</f>
        <v>0</v>
      </c>
      <c r="AQ7" s="229">
        <f>+'Planted Trees'!AP9</f>
        <v>0</v>
      </c>
    </row>
    <row r="8" spans="1:43">
      <c r="B8" s="238" t="s">
        <v>5</v>
      </c>
      <c r="C8" s="236" t="s">
        <v>4</v>
      </c>
      <c r="D8" s="234">
        <f>+'Planted Trees'!C10</f>
        <v>36039</v>
      </c>
      <c r="E8" s="234">
        <f>+'Planted Trees'!D10</f>
        <v>666039</v>
      </c>
      <c r="F8" s="234">
        <f>+'Planted Trees'!E10</f>
        <v>3591038.9999999991</v>
      </c>
      <c r="G8" s="234">
        <f>+'Planted Trees'!F10</f>
        <v>7641038.9999999991</v>
      </c>
      <c r="H8" s="234">
        <f>+'Planted Trees'!G10</f>
        <v>12795584.454545453</v>
      </c>
      <c r="I8" s="234">
        <f>+'Planted Trees'!H10</f>
        <v>19422857.18181818</v>
      </c>
      <c r="J8" s="234">
        <f>+'Planted Trees'!I10</f>
        <v>26786493.545454543</v>
      </c>
      <c r="K8" s="234">
        <f>+'Planted Trees'!J10</f>
        <v>34150129.909090906</v>
      </c>
      <c r="L8" s="234">
        <f>+'Planted Trees'!K10</f>
        <v>41513766.272727266</v>
      </c>
      <c r="M8" s="234">
        <f>+'Planted Trees'!L10</f>
        <v>41513766.272727266</v>
      </c>
      <c r="N8" s="234">
        <f>+'Planted Trees'!M10</f>
        <v>41513766.272727266</v>
      </c>
      <c r="O8" s="234">
        <f>+'Planted Trees'!N10</f>
        <v>41513766.272727266</v>
      </c>
      <c r="P8" s="234">
        <f>+'Planted Trees'!O10</f>
        <v>41513766.272727266</v>
      </c>
      <c r="Q8" s="234">
        <f>+'Planted Trees'!P10</f>
        <v>41513766.272727266</v>
      </c>
      <c r="R8" s="234">
        <f>+'Planted Trees'!Q10</f>
        <v>41513766.272727266</v>
      </c>
      <c r="S8" s="234">
        <f>+'Planted Trees'!R10</f>
        <v>41513766.272727266</v>
      </c>
      <c r="T8" s="234">
        <f>+'Planted Trees'!S10</f>
        <v>41513766.272727266</v>
      </c>
      <c r="U8" s="234">
        <f>+'Planted Trees'!T10</f>
        <v>41513766.272727266</v>
      </c>
      <c r="V8" s="234">
        <f>+'Planted Trees'!U10</f>
        <v>41513766.272727266</v>
      </c>
      <c r="W8" s="234">
        <f>+'Planted Trees'!V10</f>
        <v>41513766.272727266</v>
      </c>
      <c r="X8" s="234">
        <f>+'Planted Trees'!W10</f>
        <v>41513766.272727266</v>
      </c>
      <c r="Y8" s="234">
        <f>+'Planted Trees'!X10</f>
        <v>41513766.272727266</v>
      </c>
      <c r="Z8" s="234">
        <f>+'Planted Trees'!Y10</f>
        <v>41513766.272727266</v>
      </c>
      <c r="AA8" s="234">
        <f>+'Planted Trees'!Z10</f>
        <v>41513766.272727266</v>
      </c>
      <c r="AB8" s="234">
        <f>+'Planted Trees'!AA10</f>
        <v>41513766.272727266</v>
      </c>
      <c r="AC8" s="234">
        <f>+'Planted Trees'!AB10</f>
        <v>41513766.272727266</v>
      </c>
      <c r="AD8" s="234">
        <f>+'Planted Trees'!AC10</f>
        <v>41513766.272727266</v>
      </c>
      <c r="AE8" s="234">
        <f>+'Planted Trees'!AD10</f>
        <v>41513766.272727266</v>
      </c>
      <c r="AF8" s="234">
        <f>+'Planted Trees'!AE10</f>
        <v>41513766.272727266</v>
      </c>
      <c r="AG8" s="234">
        <f>+'Planted Trees'!AF10</f>
        <v>41513766.272727266</v>
      </c>
      <c r="AH8" s="234">
        <f>+'Planted Trees'!AG10</f>
        <v>41513766.272727266</v>
      </c>
      <c r="AI8" s="234">
        <f>+'Planted Trees'!AH10</f>
        <v>41513766.272727266</v>
      </c>
      <c r="AJ8" s="234">
        <f>+'Planted Trees'!AI10</f>
        <v>41513766.272727266</v>
      </c>
      <c r="AK8" s="234">
        <f>+'Planted Trees'!AJ10</f>
        <v>41513766.272727266</v>
      </c>
      <c r="AL8" s="234">
        <f>+'Planted Trees'!AK10</f>
        <v>41513766.272727266</v>
      </c>
      <c r="AM8" s="234">
        <f>+'Planted Trees'!AL10</f>
        <v>41513766.272727266</v>
      </c>
      <c r="AN8" s="234">
        <f>+'Planted Trees'!AM10</f>
        <v>41513766.272727266</v>
      </c>
      <c r="AO8" s="234">
        <f>+'Planted Trees'!AN10</f>
        <v>41513766.272727266</v>
      </c>
      <c r="AP8" s="234">
        <f>+'Planted Trees'!AO10</f>
        <v>41513766.272727266</v>
      </c>
      <c r="AQ8" s="234">
        <f>+'Planted Trees'!AP10</f>
        <v>41513766.272727266</v>
      </c>
    </row>
    <row r="9" spans="1:43">
      <c r="B9" s="237"/>
    </row>
    <row r="10" spans="1:43" s="233" customFormat="1">
      <c r="B10" s="237"/>
      <c r="C10" s="235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</row>
    <row r="11" spans="1:43" s="222" customFormat="1" ht="12.95" customHeight="1">
      <c r="B11" s="240" t="s">
        <v>6</v>
      </c>
      <c r="C11" s="224"/>
      <c r="D11" s="223"/>
      <c r="E11" s="225"/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6"/>
      <c r="AF11" s="226"/>
      <c r="AG11" s="226"/>
      <c r="AH11" s="226"/>
      <c r="AI11" s="226"/>
      <c r="AJ11" s="226"/>
      <c r="AK11" s="226"/>
      <c r="AL11" s="226"/>
      <c r="AM11" s="226"/>
      <c r="AN11" s="226"/>
      <c r="AO11" s="226"/>
      <c r="AP11" s="226"/>
      <c r="AQ11" s="226"/>
    </row>
    <row r="12" spans="1:43">
      <c r="B12" s="237" t="s">
        <v>7</v>
      </c>
      <c r="C12" s="235" t="s">
        <v>4</v>
      </c>
      <c r="D12" s="229">
        <f>+'Planted Trees'!C44</f>
        <v>13413</v>
      </c>
      <c r="E12" s="229">
        <f>+'Planted Trees'!D44</f>
        <v>756000</v>
      </c>
      <c r="F12" s="229">
        <f>+'Planted Trees'!E44</f>
        <v>3510000</v>
      </c>
      <c r="G12" s="229">
        <f>+'Planted Trees'!F44</f>
        <v>4860000</v>
      </c>
      <c r="H12" s="229">
        <f>+'Planted Trees'!G44</f>
        <v>6185454.5454545449</v>
      </c>
      <c r="I12" s="229">
        <f>+'Planted Trees'!H44</f>
        <v>7952727.2727272706</v>
      </c>
      <c r="J12" s="229">
        <f>+'Planted Trees'!I44</f>
        <v>8836363.6363636348</v>
      </c>
      <c r="K12" s="229">
        <f>+'Planted Trees'!J44</f>
        <v>8836363.6363636348</v>
      </c>
      <c r="L12" s="229">
        <f>+'Planted Trees'!K44</f>
        <v>8836363.6363636348</v>
      </c>
      <c r="M12" s="229">
        <f>+'Planted Trees'!L44</f>
        <v>0</v>
      </c>
      <c r="N12" s="229">
        <f>+'Planted Trees'!M44</f>
        <v>0</v>
      </c>
      <c r="O12" s="229">
        <f>+'Planted Trees'!N44</f>
        <v>0</v>
      </c>
      <c r="P12" s="229">
        <f>+'Planted Trees'!O44</f>
        <v>0</v>
      </c>
      <c r="Q12" s="229">
        <f>+'Planted Trees'!P44</f>
        <v>0</v>
      </c>
      <c r="R12" s="229">
        <f>+'Planted Trees'!Q44</f>
        <v>0</v>
      </c>
      <c r="S12" s="229">
        <f>+'Planted Trees'!R44</f>
        <v>0</v>
      </c>
      <c r="T12" s="229">
        <f>+'Planted Trees'!S44</f>
        <v>0</v>
      </c>
      <c r="U12" s="229">
        <f>+'Planted Trees'!T44</f>
        <v>0</v>
      </c>
      <c r="V12" s="229">
        <f>+'Planted Trees'!U44</f>
        <v>0</v>
      </c>
      <c r="W12" s="229">
        <f>+'Planted Trees'!V44</f>
        <v>0</v>
      </c>
      <c r="X12" s="229">
        <f>+'Planted Trees'!W44</f>
        <v>0</v>
      </c>
      <c r="Y12" s="229">
        <f>+'Planted Trees'!X44</f>
        <v>0</v>
      </c>
      <c r="Z12" s="229">
        <f>+'Planted Trees'!Y44</f>
        <v>0</v>
      </c>
      <c r="AA12" s="229">
        <f>+'Planted Trees'!Z44</f>
        <v>0</v>
      </c>
      <c r="AB12" s="229">
        <f>+'Planted Trees'!AA44</f>
        <v>0</v>
      </c>
      <c r="AC12" s="229">
        <f>+'Planted Trees'!AB44</f>
        <v>0</v>
      </c>
      <c r="AD12" s="229">
        <f>+'Planted Trees'!AC44</f>
        <v>0</v>
      </c>
      <c r="AE12" s="229">
        <f>+'Planted Trees'!AD44</f>
        <v>0</v>
      </c>
      <c r="AF12" s="229">
        <f>+'Planted Trees'!AE44</f>
        <v>0</v>
      </c>
      <c r="AG12" s="229">
        <f>+'Planted Trees'!AF44</f>
        <v>0</v>
      </c>
      <c r="AH12" s="229">
        <f>+'Planted Trees'!AG44</f>
        <v>0</v>
      </c>
      <c r="AI12" s="229">
        <f>+'Planted Trees'!AH44</f>
        <v>0</v>
      </c>
      <c r="AJ12" s="229">
        <f>+'Planted Trees'!AI44</f>
        <v>0</v>
      </c>
      <c r="AK12" s="229">
        <f>+'Planted Trees'!AJ44</f>
        <v>0</v>
      </c>
      <c r="AL12" s="229">
        <f>+'Planted Trees'!AK44</f>
        <v>0</v>
      </c>
      <c r="AM12" s="229">
        <f>+'Planted Trees'!AL44</f>
        <v>0</v>
      </c>
      <c r="AN12" s="229">
        <f>+'Planted Trees'!AM44</f>
        <v>0</v>
      </c>
      <c r="AO12" s="229">
        <f>+'Planted Trees'!AN44</f>
        <v>0</v>
      </c>
      <c r="AP12" s="229">
        <f>+'Planted Trees'!AO44</f>
        <v>0</v>
      </c>
      <c r="AQ12" s="229">
        <f>+'Planted Trees'!AP44</f>
        <v>0</v>
      </c>
    </row>
    <row r="13" spans="1:43">
      <c r="B13" s="238" t="s">
        <v>8</v>
      </c>
      <c r="C13" s="236" t="s">
        <v>4</v>
      </c>
      <c r="D13" s="234">
        <f>+($D12*D$33)</f>
        <v>9.0591473391239852</v>
      </c>
      <c r="E13" s="234">
        <f>+($D12*E$33)+($E12*D$33)</f>
        <v>563.12312828592951</v>
      </c>
      <c r="F13" s="234">
        <f>+($D12*F$33)+($E12*E$33)+($F12*D$33)</f>
        <v>5446.8185880856481</v>
      </c>
      <c r="G13" s="234">
        <f>+($D12*G$33)+($E12*F$33)+($F12*E$33)+($G12*D$33)</f>
        <v>23766.164179182822</v>
      </c>
      <c r="H13" s="234">
        <f>+($D12*H$33)+($E12*G$33)+($F12*F$33)+($G12*E$33)+($H12*D$33)</f>
        <v>65249.92007217434</v>
      </c>
      <c r="I13" s="234">
        <f>+($D12*I$33)+($E12*H$33)+($F12*G$33)+($G12*F$33)+($H12*E$33)+($I12*D$33)</f>
        <v>134659.03117688335</v>
      </c>
      <c r="J13" s="234">
        <f>+($D12*J$33)+($E12*I$33)+($F12*H$33)+($G12*G$33)+($H12*F$33)+($I12*E$33)+($J12*D$33)</f>
        <v>222839.86996941717</v>
      </c>
      <c r="K13" s="234">
        <f>+($D12*K$33)+($E12*J$33)+($F12*I$33)+($G12*H$33)+($H12*G$33)+($I12*F$33)+($J12*E$33)+($K12*D$33)</f>
        <v>354384.44346681208</v>
      </c>
      <c r="L13" s="234">
        <f t="shared" ref="L13:AQ13" si="0">+($D12*L$33)+($E12*K$33)+($F12*J$33)+($G12*I$33)+($H12*H$33)+($I12*G$33)+($J12*F$33)+($K12*E$33)+($L12*D$33)</f>
        <v>524149.87477849092</v>
      </c>
      <c r="M13" s="234">
        <f t="shared" si="0"/>
        <v>679643.47777315881</v>
      </c>
      <c r="N13" s="234">
        <f t="shared" si="0"/>
        <v>845112.79096411576</v>
      </c>
      <c r="O13" s="234">
        <f t="shared" si="0"/>
        <v>1003965.7736553525</v>
      </c>
      <c r="P13" s="234">
        <f t="shared" si="0"/>
        <v>1064826.1880999624</v>
      </c>
      <c r="Q13" s="234">
        <f t="shared" si="0"/>
        <v>1178118.6726977688</v>
      </c>
      <c r="R13" s="234">
        <f t="shared" si="0"/>
        <v>1257040.0765262919</v>
      </c>
      <c r="S13" s="234">
        <f t="shared" si="0"/>
        <v>1200004.6884603421</v>
      </c>
      <c r="T13" s="234">
        <f t="shared" si="0"/>
        <v>1286328.34601139</v>
      </c>
      <c r="U13" s="234">
        <f t="shared" si="0"/>
        <v>1321845.1887684336</v>
      </c>
      <c r="V13" s="234">
        <f t="shared" si="0"/>
        <v>1200004.6884603421</v>
      </c>
      <c r="W13" s="234">
        <f t="shared" si="0"/>
        <v>1286328.34601139</v>
      </c>
      <c r="X13" s="234">
        <f t="shared" si="0"/>
        <v>1321524.8220333566</v>
      </c>
      <c r="Y13" s="234">
        <f t="shared" si="0"/>
        <v>1181508.4561078688</v>
      </c>
      <c r="Z13" s="234">
        <f t="shared" si="0"/>
        <v>1177642.012437725</v>
      </c>
      <c r="AA13" s="234">
        <f t="shared" si="0"/>
        <v>1085672.5657343757</v>
      </c>
      <c r="AB13" s="234">
        <f t="shared" si="0"/>
        <v>862502.14358448796</v>
      </c>
      <c r="AC13" s="234">
        <f t="shared" si="0"/>
        <v>810551.53297878278</v>
      </c>
      <c r="AD13" s="234">
        <f t="shared" si="0"/>
        <v>681709.56641391967</v>
      </c>
      <c r="AE13" s="234">
        <f t="shared" si="0"/>
        <v>489228.57870060555</v>
      </c>
      <c r="AF13" s="234">
        <f t="shared" si="0"/>
        <v>524149.87477849092</v>
      </c>
      <c r="AG13" s="234">
        <f t="shared" si="0"/>
        <v>679643.47777315881</v>
      </c>
      <c r="AH13" s="234">
        <f t="shared" si="0"/>
        <v>845112.79096411576</v>
      </c>
      <c r="AI13" s="234">
        <f t="shared" si="0"/>
        <v>1003965.7736553525</v>
      </c>
      <c r="AJ13" s="234">
        <f t="shared" si="0"/>
        <v>1064826.1880999624</v>
      </c>
      <c r="AK13" s="234">
        <f t="shared" si="0"/>
        <v>1178118.6726977688</v>
      </c>
      <c r="AL13" s="234">
        <f t="shared" si="0"/>
        <v>1257040.0765262919</v>
      </c>
      <c r="AM13" s="234">
        <f t="shared" si="0"/>
        <v>1200004.6884603421</v>
      </c>
      <c r="AN13" s="234">
        <f t="shared" si="0"/>
        <v>1286328.34601139</v>
      </c>
      <c r="AO13" s="234">
        <f t="shared" si="0"/>
        <v>1321845.1887684336</v>
      </c>
      <c r="AP13" s="234">
        <f t="shared" si="0"/>
        <v>1200004.6884603421</v>
      </c>
      <c r="AQ13" s="234">
        <f t="shared" si="0"/>
        <v>1286328.34601139</v>
      </c>
    </row>
    <row r="14" spans="1:43">
      <c r="B14" s="237"/>
    </row>
    <row r="15" spans="1:43">
      <c r="B15" s="237"/>
    </row>
    <row r="16" spans="1:43" s="222" customFormat="1" ht="12.95" customHeight="1">
      <c r="B16" s="240" t="s">
        <v>9</v>
      </c>
      <c r="C16" s="224"/>
      <c r="D16" s="223"/>
      <c r="E16" s="225"/>
      <c r="F16" s="226"/>
      <c r="G16" s="226"/>
      <c r="H16" s="226"/>
      <c r="I16" s="226"/>
      <c r="J16" s="226"/>
      <c r="K16" s="226"/>
      <c r="L16" s="226"/>
      <c r="M16" s="226"/>
      <c r="N16" s="226"/>
      <c r="O16" s="226"/>
      <c r="P16" s="226"/>
      <c r="Q16" s="226"/>
      <c r="R16" s="226"/>
      <c r="S16" s="226"/>
      <c r="T16" s="226"/>
      <c r="U16" s="226"/>
      <c r="V16" s="226"/>
      <c r="W16" s="226"/>
      <c r="X16" s="226"/>
      <c r="Y16" s="226"/>
      <c r="Z16" s="226"/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26"/>
      <c r="AM16" s="226"/>
      <c r="AN16" s="226"/>
      <c r="AO16" s="226"/>
      <c r="AP16" s="226"/>
      <c r="AQ16" s="226"/>
    </row>
    <row r="17" spans="1:43">
      <c r="B17" s="237" t="s">
        <v>7</v>
      </c>
      <c r="C17" s="235" t="s">
        <v>4</v>
      </c>
      <c r="D17" s="229">
        <f>SUM('Planted Trees'!C17:C19)</f>
        <v>124659</v>
      </c>
      <c r="E17" s="229">
        <f>SUM('Planted Trees'!D17:D19)</f>
        <v>1008000</v>
      </c>
      <c r="F17" s="229">
        <f>SUM('Planted Trees'!E17:E19)</f>
        <v>4680000</v>
      </c>
      <c r="G17" s="229">
        <f>SUM('Planted Trees'!F17:F19)</f>
        <v>6480000</v>
      </c>
      <c r="H17" s="229">
        <f>SUM('Planted Trees'!G17:G19)</f>
        <v>8247272.7272727266</v>
      </c>
      <c r="I17" s="229">
        <f>SUM('Planted Trees'!H17:H19)</f>
        <v>10603636.363636361</v>
      </c>
      <c r="J17" s="229">
        <f>SUM('Planted Trees'!I17:I19)</f>
        <v>11781818.18181818</v>
      </c>
      <c r="K17" s="229">
        <f>SUM('Planted Trees'!J17:J19)</f>
        <v>11781818.18181818</v>
      </c>
      <c r="L17" s="229">
        <f>SUM('Planted Trees'!K17:K19)</f>
        <v>11781818.18181818</v>
      </c>
      <c r="M17" s="229">
        <f>SUM('Planted Trees'!L17:L19)</f>
        <v>44877.24</v>
      </c>
      <c r="N17" s="229">
        <f>SUM('Planted Trees'!M17:M19)</f>
        <v>800984.52</v>
      </c>
      <c r="O17" s="229">
        <f>SUM('Planted Trees'!N17:N19)</f>
        <v>3718080</v>
      </c>
      <c r="P17" s="229">
        <f>SUM('Planted Trees'!O17:O19)</f>
        <v>5673600</v>
      </c>
      <c r="Q17" s="229">
        <f>SUM('Planted Trees'!P17:P19)</f>
        <v>7304727.2727272725</v>
      </c>
      <c r="R17" s="229">
        <f>SUM('Planted Trees'!Q17:Q19)</f>
        <v>9423204.5127272718</v>
      </c>
      <c r="S17" s="229">
        <f>SUM('Planted Trees'!R17:R19)</f>
        <v>10731403.636363635</v>
      </c>
      <c r="T17" s="229">
        <f>SUM('Planted Trees'!S17:S19)</f>
        <v>11213672.727272725</v>
      </c>
      <c r="U17" s="229">
        <f>SUM('Planted Trees'!T17:T19)</f>
        <v>11357672.727272725</v>
      </c>
      <c r="V17" s="229">
        <f>SUM('Planted Trees'!U17:U19)</f>
        <v>2589749.9672727268</v>
      </c>
      <c r="W17" s="229">
        <f>SUM('Planted Trees'!V17:V19)</f>
        <v>1614370.9090909089</v>
      </c>
      <c r="X17" s="229">
        <f>SUM('Planted Trees'!W17:W19)</f>
        <v>4534249.9745454546</v>
      </c>
      <c r="Y17" s="229">
        <f>SUM('Planted Trees'!X17:X19)</f>
        <v>6028625.4545454541</v>
      </c>
      <c r="Z17" s="229">
        <f>SUM('Planted Trees'!Y17:Y19)</f>
        <v>7959272.7272727266</v>
      </c>
      <c r="AA17" s="229">
        <f>SUM('Planted Trees'!Z17:Z19)</f>
        <v>9095563.6363636348</v>
      </c>
      <c r="AB17" s="229">
        <f>SUM('Planted Trees'!AA17:AA19)</f>
        <v>10273745.454545453</v>
      </c>
      <c r="AC17" s="229">
        <f>SUM('Planted Trees'!AB17:AB19)</f>
        <v>10650763.636363635</v>
      </c>
      <c r="AD17" s="229">
        <f>SUM('Planted Trees'!AC17:AC19)</f>
        <v>10839272.727272725</v>
      </c>
      <c r="AE17" s="229">
        <f>SUM('Planted Trees'!AD17:AD19)</f>
        <v>1929968.1490909087</v>
      </c>
      <c r="AF17" s="229">
        <f>SUM('Planted Trees'!AE17:AE19)</f>
        <v>2696048.1490909089</v>
      </c>
      <c r="AG17" s="229">
        <f>SUM('Planted Trees'!AF17:AF19)</f>
        <v>3637440</v>
      </c>
      <c r="AH17" s="229">
        <f>SUM('Planted Trees'!AG17:AG19)</f>
        <v>5334104.5199999996</v>
      </c>
      <c r="AI17" s="229">
        <f>SUM('Planted Trees'!AH17:AH19)</f>
        <v>6947607.2727272725</v>
      </c>
      <c r="AJ17" s="229">
        <f>SUM('Planted Trees'!AI17:AI19)</f>
        <v>9467345.4545454532</v>
      </c>
      <c r="AK17" s="229">
        <f>SUM('Planted Trees'!AJ17:AJ19)</f>
        <v>10839272.727272725</v>
      </c>
      <c r="AL17" s="229">
        <f>SUM('Planted Trees'!AK17:AK19)</f>
        <v>11216290.909090908</v>
      </c>
      <c r="AM17" s="229">
        <f>SUM('Planted Trees'!AL17:AL19)</f>
        <v>11593309.09090909</v>
      </c>
      <c r="AN17" s="229">
        <f>SUM('Planted Trees'!AM17:AM19)</f>
        <v>2872513.6036363631</v>
      </c>
      <c r="AO17" s="229">
        <f>SUM('Planted Trees'!AN17:AN19)</f>
        <v>2651170.9090909087</v>
      </c>
      <c r="AP17" s="229">
        <f>SUM('Planted Trees'!AO17:AO19)</f>
        <v>5441890.9090909082</v>
      </c>
      <c r="AQ17" s="229">
        <f>SUM('Planted Trees'!AP17:AP19)</f>
        <v>4924800</v>
      </c>
    </row>
    <row r="18" spans="1:43">
      <c r="B18" s="238" t="s">
        <v>10</v>
      </c>
      <c r="C18" s="236" t="s">
        <v>4</v>
      </c>
      <c r="D18" s="234">
        <f>SUM('Planted Trees'!C23:C25)</f>
        <v>0</v>
      </c>
      <c r="E18" s="234">
        <f>SUM('Planted Trees'!D23:D25)</f>
        <v>0</v>
      </c>
      <c r="F18" s="234">
        <f>SUM('Planted Trees'!E23:E25)</f>
        <v>0</v>
      </c>
      <c r="G18" s="234">
        <f>SUM('Planted Trees'!F23:F25)</f>
        <v>0</v>
      </c>
      <c r="H18" s="234">
        <f>SUM('Planted Trees'!G23:G25)</f>
        <v>0</v>
      </c>
      <c r="I18" s="234">
        <f>SUM('Planted Trees'!H23:H25)</f>
        <v>0</v>
      </c>
      <c r="J18" s="234">
        <f>SUM('Planted Trees'!I23:I25)</f>
        <v>0</v>
      </c>
      <c r="K18" s="234">
        <f>SUM('Planted Trees'!J23:J25)</f>
        <v>0</v>
      </c>
      <c r="L18" s="234">
        <f>SUM('Planted Trees'!K23:K25)</f>
        <v>0</v>
      </c>
      <c r="M18" s="234">
        <f>SUM('Planted Trees'!L23:L25)</f>
        <v>44877.24</v>
      </c>
      <c r="N18" s="234">
        <f>SUM('Planted Trees'!M23:M25)</f>
        <v>800984.52</v>
      </c>
      <c r="O18" s="234">
        <f>SUM('Planted Trees'!N23:N25)</f>
        <v>3718080</v>
      </c>
      <c r="P18" s="234">
        <f>SUM('Planted Trees'!O23:O25)</f>
        <v>5673600</v>
      </c>
      <c r="Q18" s="234">
        <f>SUM('Planted Trees'!P23:P25)</f>
        <v>7304727.2727272725</v>
      </c>
      <c r="R18" s="234">
        <f>SUM('Planted Trees'!Q23:Q25)</f>
        <v>9423204.5127272718</v>
      </c>
      <c r="S18" s="234">
        <f>SUM('Planted Trees'!R23:R25)</f>
        <v>10731403.636363635</v>
      </c>
      <c r="T18" s="234">
        <f>SUM('Planted Trees'!S23:S25)</f>
        <v>11213672.727272725</v>
      </c>
      <c r="U18" s="234">
        <f>SUM('Planted Trees'!T23:T25)</f>
        <v>11357672.727272725</v>
      </c>
      <c r="V18" s="234">
        <f>SUM('Planted Trees'!U23:U25)</f>
        <v>2589749.9672727268</v>
      </c>
      <c r="W18" s="234">
        <f>SUM('Planted Trees'!V23:V25)</f>
        <v>1614370.9090909089</v>
      </c>
      <c r="X18" s="234">
        <f>SUM('Planted Trees'!W23:W25)</f>
        <v>4534249.9745454546</v>
      </c>
      <c r="Y18" s="234">
        <f>SUM('Planted Trees'!X23:X25)</f>
        <v>6028625.4545454541</v>
      </c>
      <c r="Z18" s="234">
        <f>SUM('Planted Trees'!Y23:Y25)</f>
        <v>7959272.7272727266</v>
      </c>
      <c r="AA18" s="234">
        <f>SUM('Planted Trees'!Z23:Z25)</f>
        <v>9095563.6363636348</v>
      </c>
      <c r="AB18" s="234">
        <f>SUM('Planted Trees'!AA23:AA25)</f>
        <v>10273745.454545453</v>
      </c>
      <c r="AC18" s="234">
        <f>SUM('Planted Trees'!AB23:AB25)</f>
        <v>10650763.636363635</v>
      </c>
      <c r="AD18" s="234">
        <f>SUM('Planted Trees'!AC23:AC25)</f>
        <v>10839272.727272725</v>
      </c>
      <c r="AE18" s="234">
        <f>SUM('Planted Trees'!AD23:AD25)</f>
        <v>1929968.1490909087</v>
      </c>
      <c r="AF18" s="234">
        <f>SUM('Planted Trees'!AE23:AE25)</f>
        <v>2696048.1490909089</v>
      </c>
      <c r="AG18" s="234">
        <f>SUM('Planted Trees'!AF23:AF25)</f>
        <v>3637440</v>
      </c>
      <c r="AH18" s="234">
        <f>SUM('Planted Trees'!AG23:AG25)</f>
        <v>5334104.5199999996</v>
      </c>
      <c r="AI18" s="234">
        <f>SUM('Planted Trees'!AH23:AH25)</f>
        <v>6947607.2727272725</v>
      </c>
      <c r="AJ18" s="234">
        <f>SUM('Planted Trees'!AI23:AI25)</f>
        <v>9467345.4545454532</v>
      </c>
      <c r="AK18" s="234">
        <f>SUM('Planted Trees'!AJ23:AJ25)</f>
        <v>10839272.727272725</v>
      </c>
      <c r="AL18" s="234">
        <f>SUM('Planted Trees'!AK23:AK25)</f>
        <v>11216290.909090908</v>
      </c>
      <c r="AM18" s="234">
        <f>SUM('Planted Trees'!AL23:AL25)</f>
        <v>11593309.09090909</v>
      </c>
      <c r="AN18" s="234">
        <f>SUM('Planted Trees'!AM23:AM25)</f>
        <v>2872513.6036363631</v>
      </c>
      <c r="AO18" s="234">
        <f>SUM('Planted Trees'!AN23:AN25)</f>
        <v>2651170.9090909087</v>
      </c>
      <c r="AP18" s="234">
        <f>SUM('Planted Trees'!AO23:AO25)</f>
        <v>5441890.9090909082</v>
      </c>
      <c r="AQ18" s="234">
        <f>SUM('Planted Trees'!AP23:AP25)</f>
        <v>4924800</v>
      </c>
    </row>
    <row r="19" spans="1:43">
      <c r="B19" s="237"/>
      <c r="C19" s="235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29"/>
    </row>
    <row r="20" spans="1:43" s="222" customFormat="1" ht="12.95" customHeight="1">
      <c r="B20" s="240" t="s">
        <v>11</v>
      </c>
      <c r="C20" s="224"/>
      <c r="D20" s="223"/>
      <c r="E20" s="225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</row>
    <row r="21" spans="1:43">
      <c r="B21" s="237" t="s">
        <v>12</v>
      </c>
      <c r="C21" s="235" t="s">
        <v>4</v>
      </c>
      <c r="D21" s="229">
        <f>D7+D12+D17</f>
        <v>174111</v>
      </c>
      <c r="E21" s="229">
        <f t="shared" ref="E21:L21" si="1">E7+E12+E17</f>
        <v>2394000</v>
      </c>
      <c r="F21" s="229">
        <f t="shared" si="1"/>
        <v>11115000</v>
      </c>
      <c r="G21" s="229">
        <f t="shared" si="1"/>
        <v>15390000</v>
      </c>
      <c r="H21" s="229">
        <f t="shared" si="1"/>
        <v>19587272.727272727</v>
      </c>
      <c r="I21" s="229">
        <f t="shared" si="1"/>
        <v>25183636.36363636</v>
      </c>
      <c r="J21" s="229">
        <f t="shared" si="1"/>
        <v>27981818.181818176</v>
      </c>
      <c r="K21" s="229">
        <f t="shared" si="1"/>
        <v>27981818.181818176</v>
      </c>
      <c r="L21" s="229">
        <f t="shared" si="1"/>
        <v>27981818.181818176</v>
      </c>
      <c r="M21" s="229">
        <f>M7+M12</f>
        <v>0</v>
      </c>
      <c r="N21" s="229">
        <f>N7+N12</f>
        <v>0</v>
      </c>
      <c r="O21" s="229">
        <f t="shared" ref="O21:AQ21" si="2">O7+O12</f>
        <v>0</v>
      </c>
      <c r="P21" s="229">
        <f t="shared" si="2"/>
        <v>0</v>
      </c>
      <c r="Q21" s="229">
        <f t="shared" si="2"/>
        <v>0</v>
      </c>
      <c r="R21" s="229">
        <f t="shared" si="2"/>
        <v>0</v>
      </c>
      <c r="S21" s="229">
        <f t="shared" si="2"/>
        <v>0</v>
      </c>
      <c r="T21" s="229">
        <f t="shared" si="2"/>
        <v>0</v>
      </c>
      <c r="U21" s="229">
        <f t="shared" si="2"/>
        <v>0</v>
      </c>
      <c r="V21" s="229">
        <f t="shared" si="2"/>
        <v>0</v>
      </c>
      <c r="W21" s="229">
        <f t="shared" si="2"/>
        <v>0</v>
      </c>
      <c r="X21" s="229">
        <f t="shared" si="2"/>
        <v>0</v>
      </c>
      <c r="Y21" s="229">
        <f t="shared" si="2"/>
        <v>0</v>
      </c>
      <c r="Z21" s="229">
        <f t="shared" si="2"/>
        <v>0</v>
      </c>
      <c r="AA21" s="229">
        <f t="shared" si="2"/>
        <v>0</v>
      </c>
      <c r="AB21" s="229">
        <f t="shared" si="2"/>
        <v>0</v>
      </c>
      <c r="AC21" s="229">
        <f t="shared" si="2"/>
        <v>0</v>
      </c>
      <c r="AD21" s="229">
        <f t="shared" si="2"/>
        <v>0</v>
      </c>
      <c r="AE21" s="229">
        <f t="shared" si="2"/>
        <v>0</v>
      </c>
      <c r="AF21" s="229">
        <f t="shared" si="2"/>
        <v>0</v>
      </c>
      <c r="AG21" s="229">
        <f t="shared" si="2"/>
        <v>0</v>
      </c>
      <c r="AH21" s="229">
        <f t="shared" si="2"/>
        <v>0</v>
      </c>
      <c r="AI21" s="229">
        <f t="shared" si="2"/>
        <v>0</v>
      </c>
      <c r="AJ21" s="229">
        <f t="shared" si="2"/>
        <v>0</v>
      </c>
      <c r="AK21" s="229">
        <f t="shared" si="2"/>
        <v>0</v>
      </c>
      <c r="AL21" s="229">
        <f t="shared" si="2"/>
        <v>0</v>
      </c>
      <c r="AM21" s="229">
        <f t="shared" si="2"/>
        <v>0</v>
      </c>
      <c r="AN21" s="229">
        <f t="shared" si="2"/>
        <v>0</v>
      </c>
      <c r="AO21" s="229">
        <f t="shared" si="2"/>
        <v>0</v>
      </c>
      <c r="AP21" s="229">
        <f t="shared" si="2"/>
        <v>0</v>
      </c>
      <c r="AQ21" s="229">
        <f t="shared" si="2"/>
        <v>0</v>
      </c>
    </row>
    <row r="22" spans="1:43">
      <c r="B22" s="237" t="s">
        <v>13</v>
      </c>
      <c r="C22" s="235" t="s">
        <v>4</v>
      </c>
      <c r="D22" s="229">
        <f>SUM($D$21:D21)</f>
        <v>174111</v>
      </c>
      <c r="E22" s="229">
        <f>SUM($D$21:E21)</f>
        <v>2568111</v>
      </c>
      <c r="F22" s="229">
        <f>SUM($D$21:F21)</f>
        <v>13683111</v>
      </c>
      <c r="G22" s="229">
        <f>SUM($D$21:G21)</f>
        <v>29073111</v>
      </c>
      <c r="H22" s="229">
        <f>SUM($D$21:H21)</f>
        <v>48660383.727272727</v>
      </c>
      <c r="I22" s="229">
        <f>SUM($D$21:I21)</f>
        <v>73844020.090909094</v>
      </c>
      <c r="J22" s="229">
        <f>SUM($D$21:J21)</f>
        <v>101825838.27272727</v>
      </c>
      <c r="K22" s="229">
        <f>SUM($D$21:K21)</f>
        <v>129807656.45454544</v>
      </c>
      <c r="L22" s="229">
        <f>SUM($D$21:L21)</f>
        <v>157789474.63636363</v>
      </c>
      <c r="M22" s="229">
        <f>SUM($D$21:M21)</f>
        <v>157789474.63636363</v>
      </c>
      <c r="N22" s="229">
        <f>SUM($D$21:N21)</f>
        <v>157789474.63636363</v>
      </c>
      <c r="O22" s="229">
        <f>SUM($D$21:O21)</f>
        <v>157789474.63636363</v>
      </c>
      <c r="P22" s="229">
        <f>SUM($D$21:P21)</f>
        <v>157789474.63636363</v>
      </c>
      <c r="Q22" s="229">
        <f>SUM($D$21:Q21)</f>
        <v>157789474.63636363</v>
      </c>
      <c r="R22" s="229">
        <f>SUM($D$21:R21)</f>
        <v>157789474.63636363</v>
      </c>
      <c r="S22" s="229">
        <f>SUM($D$21:S21)</f>
        <v>157789474.63636363</v>
      </c>
      <c r="T22" s="229">
        <f>SUM($D$21:T21)</f>
        <v>157789474.63636363</v>
      </c>
      <c r="U22" s="229">
        <f>SUM($D$21:U21)</f>
        <v>157789474.63636363</v>
      </c>
      <c r="V22" s="229">
        <f>SUM($D$21:V21)</f>
        <v>157789474.63636363</v>
      </c>
      <c r="W22" s="229">
        <f>SUM($D$21:W21)</f>
        <v>157789474.63636363</v>
      </c>
      <c r="X22" s="229">
        <f>SUM($D$21:X21)</f>
        <v>157789474.63636363</v>
      </c>
      <c r="Y22" s="229">
        <f>SUM($D$21:Y21)</f>
        <v>157789474.63636363</v>
      </c>
      <c r="Z22" s="229">
        <f>SUM($D$21:Z21)</f>
        <v>157789474.63636363</v>
      </c>
      <c r="AA22" s="229">
        <f>SUM($D$21:AA21)</f>
        <v>157789474.63636363</v>
      </c>
      <c r="AB22" s="229">
        <f>SUM($D$21:AB21)</f>
        <v>157789474.63636363</v>
      </c>
      <c r="AC22" s="229">
        <f>SUM($D$21:AC21)</f>
        <v>157789474.63636363</v>
      </c>
      <c r="AD22" s="229">
        <f>SUM($D$21:AD21)</f>
        <v>157789474.63636363</v>
      </c>
      <c r="AE22" s="229">
        <f>SUM($D$21:AE21)</f>
        <v>157789474.63636363</v>
      </c>
      <c r="AF22" s="229">
        <f>SUM($D$21:AF21)</f>
        <v>157789474.63636363</v>
      </c>
      <c r="AG22" s="229">
        <f>SUM($D$21:AG21)</f>
        <v>157789474.63636363</v>
      </c>
      <c r="AH22" s="229">
        <f>SUM($D$21:AH21)</f>
        <v>157789474.63636363</v>
      </c>
      <c r="AI22" s="229">
        <f>SUM($D$21:AI21)</f>
        <v>157789474.63636363</v>
      </c>
      <c r="AJ22" s="229">
        <f>SUM($D$21:AJ21)</f>
        <v>157789474.63636363</v>
      </c>
      <c r="AK22" s="229">
        <f>SUM($D$21:AK21)</f>
        <v>157789474.63636363</v>
      </c>
      <c r="AL22" s="229">
        <f>SUM($D$21:AL21)</f>
        <v>157789474.63636363</v>
      </c>
      <c r="AM22" s="229">
        <f>SUM($D$21:AM21)</f>
        <v>157789474.63636363</v>
      </c>
      <c r="AN22" s="229">
        <f>SUM($D$21:AN21)</f>
        <v>157789474.63636363</v>
      </c>
      <c r="AO22" s="229">
        <f>SUM($D$21:AO21)</f>
        <v>157789474.63636363</v>
      </c>
      <c r="AP22" s="229">
        <f>SUM($D$21:AP21)</f>
        <v>157789474.63636363</v>
      </c>
      <c r="AQ22" s="229">
        <f>SUM($D$21:AQ21)</f>
        <v>157789474.63636363</v>
      </c>
    </row>
    <row r="23" spans="1:43">
      <c r="B23" s="239"/>
      <c r="C23" s="163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</row>
    <row r="24" spans="1:43" s="222" customFormat="1" ht="13.5" customHeight="1">
      <c r="A24" s="215" t="s">
        <v>0</v>
      </c>
      <c r="B24" s="216" t="s">
        <v>14</v>
      </c>
      <c r="C24" s="216"/>
      <c r="D24" s="217"/>
      <c r="E24" s="218"/>
      <c r="F24" s="219"/>
      <c r="G24" s="220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</row>
    <row r="25" spans="1:43">
      <c r="B25" s="239"/>
      <c r="C25" s="163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AI25" s="227"/>
      <c r="AJ25" s="227"/>
      <c r="AK25" s="227"/>
      <c r="AL25" s="227"/>
      <c r="AM25" s="227"/>
      <c r="AN25" s="227"/>
      <c r="AO25" s="227"/>
      <c r="AP25" s="227"/>
      <c r="AQ25" s="227"/>
    </row>
    <row r="26" spans="1:43">
      <c r="B26" s="239" t="s">
        <v>15</v>
      </c>
      <c r="C26" s="328" t="s">
        <v>16</v>
      </c>
      <c r="D26" s="229"/>
      <c r="E26" s="229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AI26" s="227"/>
      <c r="AJ26" s="227"/>
      <c r="AK26" s="227"/>
      <c r="AL26" s="227"/>
      <c r="AM26" s="227"/>
      <c r="AN26" s="227"/>
      <c r="AO26" s="227"/>
      <c r="AP26" s="227"/>
      <c r="AQ26" s="227"/>
    </row>
    <row r="27" spans="1:43">
      <c r="B27" s="239"/>
      <c r="C27" s="163"/>
      <c r="D27" s="229"/>
      <c r="E27" s="229"/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AI27" s="227"/>
      <c r="AJ27" s="227"/>
      <c r="AK27" s="227"/>
      <c r="AL27" s="227"/>
      <c r="AM27" s="227"/>
      <c r="AN27" s="227"/>
      <c r="AO27" s="227"/>
      <c r="AP27" s="227"/>
      <c r="AQ27" s="227"/>
    </row>
    <row r="28" spans="1:43">
      <c r="B28" s="239" t="s">
        <v>17</v>
      </c>
      <c r="C28" s="235" t="s">
        <v>18</v>
      </c>
      <c r="D28" s="229" cm="1">
        <f t="array" ref="D28:AQ28">_xlfn.SEQUENCE(1,40)</f>
        <v>1</v>
      </c>
      <c r="E28" s="229">
        <v>2</v>
      </c>
      <c r="F28" s="229">
        <v>3</v>
      </c>
      <c r="G28" s="229">
        <v>4</v>
      </c>
      <c r="H28" s="229">
        <v>5</v>
      </c>
      <c r="I28" s="229">
        <v>6</v>
      </c>
      <c r="J28" s="229">
        <v>7</v>
      </c>
      <c r="K28" s="229">
        <v>8</v>
      </c>
      <c r="L28" s="229">
        <v>9</v>
      </c>
      <c r="M28" s="229">
        <v>10</v>
      </c>
      <c r="N28" s="229">
        <v>11</v>
      </c>
      <c r="O28" s="229">
        <v>12</v>
      </c>
      <c r="P28" s="229">
        <v>13</v>
      </c>
      <c r="Q28" s="229">
        <v>14</v>
      </c>
      <c r="R28" s="227">
        <v>15</v>
      </c>
      <c r="S28" s="227">
        <v>16</v>
      </c>
      <c r="T28" s="227">
        <v>17</v>
      </c>
      <c r="U28" s="227">
        <v>18</v>
      </c>
      <c r="V28" s="227">
        <v>19</v>
      </c>
      <c r="W28" s="227">
        <v>20</v>
      </c>
      <c r="X28" s="227">
        <v>21</v>
      </c>
      <c r="Y28" s="227">
        <v>22</v>
      </c>
      <c r="Z28" s="227">
        <v>23</v>
      </c>
      <c r="AA28" s="227">
        <v>24</v>
      </c>
      <c r="AB28" s="227">
        <v>25</v>
      </c>
      <c r="AC28" s="227">
        <v>26</v>
      </c>
      <c r="AD28" s="227">
        <v>27</v>
      </c>
      <c r="AE28" s="227">
        <v>28</v>
      </c>
      <c r="AF28" s="227">
        <v>29</v>
      </c>
      <c r="AG28" s="227">
        <v>30</v>
      </c>
      <c r="AH28" s="227">
        <v>31</v>
      </c>
      <c r="AI28" s="227">
        <v>32</v>
      </c>
      <c r="AJ28" s="227">
        <v>33</v>
      </c>
      <c r="AK28" s="227">
        <v>34</v>
      </c>
      <c r="AL28" s="227">
        <v>35</v>
      </c>
      <c r="AM28" s="227">
        <v>36</v>
      </c>
      <c r="AN28" s="227">
        <v>37</v>
      </c>
      <c r="AO28" s="227">
        <v>38</v>
      </c>
      <c r="AP28" s="227">
        <v>39</v>
      </c>
      <c r="AQ28" s="227">
        <v>40</v>
      </c>
    </row>
    <row r="29" spans="1:43">
      <c r="B29" s="237" t="s">
        <v>2</v>
      </c>
      <c r="C29" s="235" t="s">
        <v>19</v>
      </c>
      <c r="D29" s="247">
        <f>+'Growth-rates'!F26</f>
        <v>1.0321464225419271E-3</v>
      </c>
      <c r="E29" s="247">
        <f>+'Growth-rates'!G26</f>
        <v>6.0115270203998138E-3</v>
      </c>
      <c r="F29" s="247">
        <f>+'Growth-rates'!H26</f>
        <v>1.2624529676011353E-2</v>
      </c>
      <c r="G29" s="247">
        <f>+'Growth-rates'!I26</f>
        <v>2.2486877793298381E-2</v>
      </c>
      <c r="H29" s="247">
        <f>+'Growth-rates'!J26</f>
        <v>3.6929456729391061E-2</v>
      </c>
      <c r="I29" s="247">
        <f>+'Growth-rates'!K26</f>
        <v>5.5735041105005399E-2</v>
      </c>
      <c r="J29" s="247">
        <f>+'Growth-rates'!L26</f>
        <v>5.5735041105005399E-2</v>
      </c>
      <c r="K29" s="247">
        <f>+'Growth-rates'!M26</f>
        <v>5.5735041105005399E-2</v>
      </c>
      <c r="L29" s="247">
        <f>+'Growth-rates'!N26</f>
        <v>5.5735041105005399E-2</v>
      </c>
      <c r="M29" s="247">
        <f>+'Growth-rates'!O26</f>
        <v>5.5735041105005399E-2</v>
      </c>
      <c r="N29" s="247">
        <f>+'Growth-rates'!P26</f>
        <v>5.5735041105005399E-2</v>
      </c>
      <c r="O29" s="247">
        <f>+'Growth-rates'!Q26</f>
        <v>5.5735041105005399E-2</v>
      </c>
      <c r="P29" s="247">
        <f>+'Growth-rates'!R26</f>
        <v>5.5735041105005399E-2</v>
      </c>
      <c r="Q29" s="247">
        <f>+'Growth-rates'!S26</f>
        <v>5.5735041105005399E-2</v>
      </c>
      <c r="R29" s="247">
        <f>+'Growth-rates'!T26</f>
        <v>5.5735041105005399E-2</v>
      </c>
      <c r="S29" s="247">
        <f>+'Growth-rates'!U26</f>
        <v>5.5735041105005399E-2</v>
      </c>
      <c r="T29" s="247">
        <f>+'Growth-rates'!V26</f>
        <v>5.5735041105005399E-2</v>
      </c>
      <c r="U29" s="247">
        <f>+'Growth-rates'!W26</f>
        <v>5.5735041105005399E-2</v>
      </c>
      <c r="V29" s="247">
        <f>+'Growth-rates'!X26</f>
        <v>5.5735041105005399E-2</v>
      </c>
      <c r="W29" s="247">
        <f>+'Growth-rates'!Y26</f>
        <v>5.5735041105005399E-2</v>
      </c>
      <c r="X29" s="247">
        <f>+'Growth-rates'!Z26</f>
        <v>5.5735041105005399E-2</v>
      </c>
      <c r="Y29" s="247">
        <f>+'Growth-rates'!AA26</f>
        <v>5.5735041105005399E-2</v>
      </c>
      <c r="Z29" s="247">
        <f>+'Growth-rates'!AB26</f>
        <v>5.5735041105005399E-2</v>
      </c>
      <c r="AA29" s="247">
        <f>+'Growth-rates'!AC26</f>
        <v>5.5735041105005399E-2</v>
      </c>
      <c r="AB29" s="247">
        <f>+'Growth-rates'!AD26</f>
        <v>5.5735041105005399E-2</v>
      </c>
      <c r="AC29" s="247">
        <f>+'Growth-rates'!AE26</f>
        <v>5.5735041105005399E-2</v>
      </c>
      <c r="AD29" s="247">
        <f>+'Growth-rates'!AF26</f>
        <v>5.5735041105005399E-2</v>
      </c>
      <c r="AE29" s="247">
        <f>+'Growth-rates'!AG26</f>
        <v>5.5735041105005399E-2</v>
      </c>
      <c r="AF29" s="247">
        <f>+'Growth-rates'!AH26</f>
        <v>5.5735041105005399E-2</v>
      </c>
      <c r="AG29" s="247">
        <f>+'Growth-rates'!AI26</f>
        <v>5.5735041105005399E-2</v>
      </c>
      <c r="AH29" s="247">
        <f>+'Growth-rates'!AJ26</f>
        <v>5.5735041105005399E-2</v>
      </c>
      <c r="AI29" s="247">
        <f>+'Growth-rates'!AK26</f>
        <v>5.5735041105005399E-2</v>
      </c>
      <c r="AJ29" s="247">
        <f>+'Growth-rates'!AL26</f>
        <v>5.5735041105005399E-2</v>
      </c>
      <c r="AK29" s="247">
        <f>+'Growth-rates'!AM26</f>
        <v>5.5735041105005399E-2</v>
      </c>
      <c r="AL29" s="247">
        <f>+'Growth-rates'!AN26</f>
        <v>5.5735041105005399E-2</v>
      </c>
      <c r="AM29" s="247">
        <f>+'Growth-rates'!AO26</f>
        <v>5.5735041105005399E-2</v>
      </c>
      <c r="AN29" s="247">
        <f>+'Growth-rates'!AP26</f>
        <v>5.5735041105005399E-2</v>
      </c>
      <c r="AO29" s="247">
        <f>+'Growth-rates'!AQ26</f>
        <v>5.5735041105005399E-2</v>
      </c>
      <c r="AP29" s="247">
        <f>+'Growth-rates'!AR26</f>
        <v>5.5735041105005399E-2</v>
      </c>
      <c r="AQ29" s="247">
        <f>+'Growth-rates'!AS26</f>
        <v>5.5735041105005399E-2</v>
      </c>
    </row>
    <row r="30" spans="1:43">
      <c r="B30" s="239" t="s">
        <v>20</v>
      </c>
      <c r="C30" s="235" t="s">
        <v>19</v>
      </c>
      <c r="D30" s="247">
        <f>+'Growth-rates'!F7</f>
        <v>4.7280000000000004E-3</v>
      </c>
      <c r="E30" s="247">
        <f>+'Growth-rates'!G7</f>
        <v>7.9080000000000001E-3</v>
      </c>
      <c r="F30" s="247">
        <f>+'Growth-rates'!H7</f>
        <v>1.2168E-2</v>
      </c>
      <c r="G30" s="247">
        <f>+'Growth-rates'!I7</f>
        <v>1.9584000000000001E-2</v>
      </c>
      <c r="H30" s="247">
        <f>+'Growth-rates'!J7</f>
        <v>3.6527999999999998E-2</v>
      </c>
      <c r="I30" s="247">
        <f>+'Growth-rates'!K7</f>
        <v>6.4416000000000001E-2</v>
      </c>
      <c r="J30" s="247">
        <f>+'Growth-rates'!L7</f>
        <v>9.2303999999999997E-2</v>
      </c>
      <c r="K30" s="247">
        <f>+'Growth-rates'!M7</f>
        <v>0.12019199999999999</v>
      </c>
      <c r="L30" s="247">
        <f>+'Growth-rates'!N7</f>
        <v>0.14807999999999999</v>
      </c>
      <c r="M30" s="247">
        <f>+'Growth-rates'!O7</f>
        <v>0.17596799999999999</v>
      </c>
      <c r="N30" s="247">
        <f>+'Growth-rates'!P7</f>
        <v>0.20385599999999998</v>
      </c>
      <c r="O30" s="247">
        <f>+'Growth-rates'!Q7</f>
        <v>4.7280000000000004E-3</v>
      </c>
      <c r="P30" s="247">
        <f>+'Growth-rates'!R7</f>
        <v>7.9080000000000001E-3</v>
      </c>
      <c r="Q30" s="247">
        <f>+'Growth-rates'!S7</f>
        <v>1.2168E-2</v>
      </c>
      <c r="R30" s="247">
        <f>+'Growth-rates'!T7</f>
        <v>1.9584000000000001E-2</v>
      </c>
      <c r="S30" s="247">
        <f>+'Growth-rates'!U7</f>
        <v>3.6527999999999998E-2</v>
      </c>
      <c r="T30" s="247">
        <f>+'Growth-rates'!V7</f>
        <v>6.4416000000000001E-2</v>
      </c>
      <c r="U30" s="247">
        <f>+'Growth-rates'!W7</f>
        <v>9.2303999999999997E-2</v>
      </c>
      <c r="V30" s="247">
        <f>+'Growth-rates'!X7</f>
        <v>0.12019199999999999</v>
      </c>
      <c r="W30" s="247">
        <f>+'Growth-rates'!Y7</f>
        <v>0.14807999999999999</v>
      </c>
      <c r="X30" s="247">
        <f>+'Growth-rates'!Z7</f>
        <v>0.17596799999999999</v>
      </c>
      <c r="Y30" s="247">
        <f>+'Growth-rates'!AA7</f>
        <v>0.20385599999999998</v>
      </c>
      <c r="Z30" s="247">
        <f>+'Growth-rates'!AB7</f>
        <v>4.7280000000000004E-3</v>
      </c>
      <c r="AA30" s="247">
        <f>+'Growth-rates'!AC7</f>
        <v>7.9080000000000001E-3</v>
      </c>
      <c r="AB30" s="247">
        <f>+'Growth-rates'!AD7</f>
        <v>1.2168E-2</v>
      </c>
      <c r="AC30" s="247">
        <f>+'Growth-rates'!AE7</f>
        <v>1.9584000000000001E-2</v>
      </c>
      <c r="AD30" s="247">
        <f>+'Growth-rates'!AF7</f>
        <v>3.6527999999999998E-2</v>
      </c>
      <c r="AE30" s="247">
        <f>+'Growth-rates'!AG7</f>
        <v>6.4416000000000001E-2</v>
      </c>
      <c r="AF30" s="247">
        <f>+'Growth-rates'!AH7</f>
        <v>9.2303999999999997E-2</v>
      </c>
      <c r="AG30" s="247">
        <f>+'Growth-rates'!AI7</f>
        <v>0.12019199999999999</v>
      </c>
      <c r="AH30" s="247">
        <f>+'Growth-rates'!AJ7</f>
        <v>0.14807999999999999</v>
      </c>
      <c r="AI30" s="247">
        <f>+'Growth-rates'!AK7</f>
        <v>0.17596799999999999</v>
      </c>
      <c r="AJ30" s="247">
        <f>+'Growth-rates'!AL7</f>
        <v>0.20385599999999998</v>
      </c>
      <c r="AK30" s="247">
        <f>+'Growth-rates'!AM7</f>
        <v>4.7280000000000004E-3</v>
      </c>
      <c r="AL30" s="247">
        <f>+'Growth-rates'!AN7</f>
        <v>7.9080000000000001E-3</v>
      </c>
      <c r="AM30" s="247">
        <f>+'Growth-rates'!AO7</f>
        <v>1.2168E-2</v>
      </c>
      <c r="AN30" s="247">
        <f>+'Growth-rates'!AP7</f>
        <v>1.9584000000000001E-2</v>
      </c>
      <c r="AO30" s="247">
        <f>+'Growth-rates'!AQ7</f>
        <v>3.6527999999999998E-2</v>
      </c>
      <c r="AP30" s="247">
        <f>+'Growth-rates'!AR7</f>
        <v>6.4416000000000001E-2</v>
      </c>
      <c r="AQ30" s="247">
        <f>+'Growth-rates'!AS7</f>
        <v>9.2303999999999997E-2</v>
      </c>
    </row>
    <row r="31" spans="1:43">
      <c r="B31" s="239" t="s">
        <v>21</v>
      </c>
      <c r="C31" s="235" t="s">
        <v>19</v>
      </c>
      <c r="D31" s="247">
        <f>+'Growth-rates'!F13</f>
        <v>1.8613310245223038E-3</v>
      </c>
      <c r="E31" s="247">
        <f>+'Growth-rates'!G13</f>
        <v>1.0729354460064183E-2</v>
      </c>
      <c r="F31" s="247">
        <f>+'Growth-rates'!H13</f>
        <v>2.4761821046176361E-2</v>
      </c>
      <c r="G31" s="247">
        <f>+'Growth-rates'!I13</f>
        <v>4.4308104571972047E-2</v>
      </c>
      <c r="H31" s="247">
        <f>+'Growth-rates'!J13</f>
        <v>7.0881254571550617E-2</v>
      </c>
      <c r="I31" s="247">
        <f>+'Growth-rates'!K13</f>
        <v>0.10509494283876561</v>
      </c>
      <c r="J31" s="247">
        <f>+'Growth-rates'!L13</f>
        <v>0.14600063151862577</v>
      </c>
      <c r="K31" s="247">
        <f>+'Growth-rates'!M13</f>
        <v>0.19234777400272074</v>
      </c>
      <c r="L31" s="247">
        <f>+'Growth-rates'!N13</f>
        <v>0.24437196668468711</v>
      </c>
      <c r="M31" s="247">
        <f>+'Growth-rates'!O13</f>
        <v>0.30147679746424594</v>
      </c>
      <c r="N31" s="247">
        <f>+'Growth-rates'!P13</f>
        <v>0.37097670183301612</v>
      </c>
      <c r="O31" s="247">
        <f>+'Growth-rates'!Q13</f>
        <v>1.8613310245223038E-3</v>
      </c>
      <c r="P31" s="247">
        <f>+'Growth-rates'!R13</f>
        <v>1.0729354460064183E-2</v>
      </c>
      <c r="Q31" s="247">
        <f>+'Growth-rates'!S13</f>
        <v>2.4761821046176361E-2</v>
      </c>
      <c r="R31" s="247">
        <f>+'Growth-rates'!T13</f>
        <v>4.4308104571972047E-2</v>
      </c>
      <c r="S31" s="247">
        <f>+'Growth-rates'!U13</f>
        <v>7.0881254571550617E-2</v>
      </c>
      <c r="T31" s="247">
        <f>+'Growth-rates'!V13</f>
        <v>0.10509494283876561</v>
      </c>
      <c r="U31" s="247">
        <f>+'Growth-rates'!W13</f>
        <v>0.14600063151862577</v>
      </c>
      <c r="V31" s="247">
        <f>+'Growth-rates'!X13</f>
        <v>0.19234777400272074</v>
      </c>
      <c r="W31" s="247">
        <f>+'Growth-rates'!Y13</f>
        <v>0.24437196668468711</v>
      </c>
      <c r="X31" s="247">
        <f>+'Growth-rates'!Z13</f>
        <v>0.30147679746424594</v>
      </c>
      <c r="Y31" s="247">
        <f>+'Growth-rates'!AA13</f>
        <v>0.37097670183301612</v>
      </c>
      <c r="Z31" s="247">
        <f>+'Growth-rates'!AB13</f>
        <v>1.8613310245223038E-3</v>
      </c>
      <c r="AA31" s="247">
        <f>+'Growth-rates'!AC13</f>
        <v>1.0729354460064183E-2</v>
      </c>
      <c r="AB31" s="247">
        <f>+'Growth-rates'!AD13</f>
        <v>2.4761821046176361E-2</v>
      </c>
      <c r="AC31" s="247">
        <f>+'Growth-rates'!AE13</f>
        <v>4.4308104571972047E-2</v>
      </c>
      <c r="AD31" s="247">
        <f>+'Growth-rates'!AF13</f>
        <v>7.0881254571550617E-2</v>
      </c>
      <c r="AE31" s="247">
        <f>+'Growth-rates'!AG13</f>
        <v>0.10509494283876561</v>
      </c>
      <c r="AF31" s="247">
        <f>+'Growth-rates'!AH13</f>
        <v>0.14600063151862577</v>
      </c>
      <c r="AG31" s="247">
        <f>+'Growth-rates'!AI13</f>
        <v>0.19234777400272074</v>
      </c>
      <c r="AH31" s="247">
        <f>+'Growth-rates'!AJ13</f>
        <v>0.24437196668468711</v>
      </c>
      <c r="AI31" s="247">
        <f>+'Growth-rates'!AK13</f>
        <v>0.30147679746424594</v>
      </c>
      <c r="AJ31" s="247">
        <f>+'Growth-rates'!AL13</f>
        <v>0.37097670183301612</v>
      </c>
      <c r="AK31" s="247">
        <f>+'Growth-rates'!AM13</f>
        <v>1.8613310245223038E-3</v>
      </c>
      <c r="AL31" s="247">
        <f>+'Growth-rates'!AN13</f>
        <v>1.0729354460064183E-2</v>
      </c>
      <c r="AM31" s="247">
        <f>+'Growth-rates'!AO13</f>
        <v>2.4761821046176361E-2</v>
      </c>
      <c r="AN31" s="247">
        <f>+'Growth-rates'!AP13</f>
        <v>4.4308104571972047E-2</v>
      </c>
      <c r="AO31" s="247">
        <f>+'Growth-rates'!AQ13</f>
        <v>7.0881254571550617E-2</v>
      </c>
      <c r="AP31" s="247">
        <f>+'Growth-rates'!AR13</f>
        <v>0.10509494283876561</v>
      </c>
      <c r="AQ31" s="247">
        <f>+'Growth-rates'!AS13</f>
        <v>0.14600063151862577</v>
      </c>
    </row>
    <row r="32" spans="1:43">
      <c r="B32" s="239" t="s">
        <v>22</v>
      </c>
      <c r="C32" s="235" t="s">
        <v>19</v>
      </c>
      <c r="D32" s="247">
        <f>+'Growth-rates'!F19</f>
        <v>3.0424305838419696E-3</v>
      </c>
      <c r="E32" s="247">
        <f>+'Growth-rates'!G19</f>
        <v>1.7733488643563812E-2</v>
      </c>
      <c r="F32" s="247">
        <f>+'Growth-rates'!H19</f>
        <v>4.031407695233348E-2</v>
      </c>
      <c r="G32" s="247">
        <f>+'Growth-rates'!I19</f>
        <v>7.2387966132038822E-2</v>
      </c>
      <c r="H32" s="247">
        <f>+'Growth-rates'!J19</f>
        <v>0.11667541327347526</v>
      </c>
      <c r="I32" s="247">
        <f>+'Growth-rates'!K19</f>
        <v>0.17259988866951723</v>
      </c>
      <c r="J32" s="247">
        <f>+'Growth-rates'!L19</f>
        <v>0.23805453939324267</v>
      </c>
      <c r="K32" s="247">
        <f>+'Growth-rates'!M19</f>
        <v>0.32475378247498388</v>
      </c>
      <c r="L32" s="247">
        <f>+'Growth-rates'!N19</f>
        <v>0.4287694636940993</v>
      </c>
      <c r="M32" s="247">
        <f>+'Growth-rates'!O19</f>
        <v>0.54907295246839283</v>
      </c>
      <c r="N32" s="247">
        <f>+'Growth-rates'!P19</f>
        <v>0.68512768190617646</v>
      </c>
      <c r="O32" s="247">
        <f>+'Growth-rates'!Q19</f>
        <v>0.83035492647679388</v>
      </c>
      <c r="P32" s="247">
        <f>+'Growth-rates'!R19</f>
        <v>0.97983187735160149</v>
      </c>
      <c r="Q32" s="247">
        <f>+'Growth-rates'!S19</f>
        <v>1.1404464420195264</v>
      </c>
      <c r="R32" s="247">
        <f>+'Growth-rates'!T19</f>
        <v>1.3129332224879684</v>
      </c>
      <c r="S32" s="247">
        <f>+'Growth-rates'!U19</f>
        <v>3.0424305838419696E-3</v>
      </c>
      <c r="T32" s="247">
        <f>+'Growth-rates'!V19</f>
        <v>1.7733488643563812E-2</v>
      </c>
      <c r="U32" s="247">
        <f>+'Growth-rates'!W19</f>
        <v>4.031407695233348E-2</v>
      </c>
      <c r="V32" s="247">
        <f>+'Growth-rates'!X19</f>
        <v>7.2387966132038822E-2</v>
      </c>
      <c r="W32" s="247">
        <f>+'Growth-rates'!Y19</f>
        <v>0.11667541327347526</v>
      </c>
      <c r="X32" s="247">
        <f>+'Growth-rates'!Z19</f>
        <v>0.17259988866951723</v>
      </c>
      <c r="Y32" s="247">
        <f>+'Growth-rates'!AA19</f>
        <v>0.23805453939324267</v>
      </c>
      <c r="Z32" s="247">
        <f>+'Growth-rates'!AB19</f>
        <v>0.32475378247498388</v>
      </c>
      <c r="AA32" s="247">
        <f>+'Growth-rates'!AC19</f>
        <v>0.4287694636940993</v>
      </c>
      <c r="AB32" s="247">
        <f>+'Growth-rates'!AD19</f>
        <v>0.54907295246839283</v>
      </c>
      <c r="AC32" s="247">
        <f>+'Growth-rates'!AE19</f>
        <v>0.68512768190617646</v>
      </c>
      <c r="AD32" s="247">
        <f>+'Growth-rates'!AF19</f>
        <v>0.83035492647679388</v>
      </c>
      <c r="AE32" s="247">
        <f>+'Growth-rates'!AG19</f>
        <v>0.97983187735160149</v>
      </c>
      <c r="AF32" s="247">
        <f>+'Growth-rates'!AH19</f>
        <v>1.1404464420195264</v>
      </c>
      <c r="AG32" s="247">
        <f>+'Growth-rates'!AI19</f>
        <v>1.3129332224879684</v>
      </c>
      <c r="AH32" s="247">
        <f>+'Growth-rates'!AJ19</f>
        <v>3.0424305838419696E-3</v>
      </c>
      <c r="AI32" s="247">
        <f>+'Growth-rates'!AK19</f>
        <v>1.7733488643563812E-2</v>
      </c>
      <c r="AJ32" s="247">
        <f>+'Growth-rates'!AL19</f>
        <v>4.031407695233348E-2</v>
      </c>
      <c r="AK32" s="247">
        <f>+'Growth-rates'!AM19</f>
        <v>7.2387966132038822E-2</v>
      </c>
      <c r="AL32" s="247">
        <f>+'Growth-rates'!AN19</f>
        <v>0.11667541327347526</v>
      </c>
      <c r="AM32" s="247">
        <f>+'Growth-rates'!AO19</f>
        <v>0.17259988866951723</v>
      </c>
      <c r="AN32" s="247">
        <f>+'Growth-rates'!AP19</f>
        <v>0.23805453939324267</v>
      </c>
      <c r="AO32" s="247">
        <f>+'Growth-rates'!AQ19</f>
        <v>0.32475378247498388</v>
      </c>
      <c r="AP32" s="247">
        <f>+'Growth-rates'!AR19</f>
        <v>0.4287694636940993</v>
      </c>
      <c r="AQ32" s="247">
        <f>+'Growth-rates'!AS19</f>
        <v>0.54907295246839283</v>
      </c>
    </row>
    <row r="33" spans="1:43">
      <c r="B33" s="239" t="s">
        <v>23</v>
      </c>
      <c r="C33" s="235" t="s">
        <v>19</v>
      </c>
      <c r="D33" s="247">
        <f>+'Growth-rates'!F32</f>
        <v>6.7540053225408081E-4</v>
      </c>
      <c r="E33" s="247">
        <f>+'Growth-rates'!G32</f>
        <v>3.9156285619804986E-3</v>
      </c>
      <c r="F33" s="247">
        <f>+'Growth-rates'!H32</f>
        <v>8.644414151686243E-3</v>
      </c>
      <c r="G33" s="247">
        <f>+'Growth-rates'!I32</f>
        <v>1.5260138761026016E-2</v>
      </c>
      <c r="H33" s="247">
        <f>+'Growth-rates'!J32</f>
        <v>1.2208111008820813E-2</v>
      </c>
      <c r="I33" s="247">
        <f>+'Growth-rates'!K32</f>
        <v>1.9648155217542117E-2</v>
      </c>
      <c r="J33" s="247">
        <f>+'Growth-rates'!L32</f>
        <v>2.9335647517018927E-2</v>
      </c>
      <c r="K33" s="247">
        <f>+'Growth-rates'!M32</f>
        <v>1.5260138761026016E-2</v>
      </c>
      <c r="L33" s="247">
        <f>+'Growth-rates'!N32</f>
        <v>2.4560194021927644E-2</v>
      </c>
      <c r="M33" s="247">
        <f>+'Growth-rates'!O32</f>
        <v>3.6669559396273657E-2</v>
      </c>
      <c r="N33" s="247">
        <f>+'Growth-rates'!P32</f>
        <v>1.5260138761026016E-2</v>
      </c>
      <c r="O33" s="247">
        <f>+'Growth-rates'!Q32</f>
        <v>2.4560194021927644E-2</v>
      </c>
      <c r="P33" s="247">
        <f>+'Growth-rates'!R32</f>
        <v>3.6669559396273657E-2</v>
      </c>
      <c r="Q33" s="247">
        <f>+'Growth-rates'!S32</f>
        <v>1.5260138761026016E-2</v>
      </c>
      <c r="R33" s="247">
        <f>+'Growth-rates'!T32</f>
        <v>2.4560194021927644E-2</v>
      </c>
      <c r="S33" s="247">
        <f>+'Growth-rates'!U32</f>
        <v>3.6669559396273657E-2</v>
      </c>
      <c r="T33" s="247">
        <f>+'Growth-rates'!V32</f>
        <v>1.5260138761026016E-2</v>
      </c>
      <c r="U33" s="247">
        <f>+'Growth-rates'!W32</f>
        <v>2.4560194021927644E-2</v>
      </c>
      <c r="V33" s="247">
        <f>+'Growth-rates'!X32</f>
        <v>3.6669559396273657E-2</v>
      </c>
      <c r="W33" s="247">
        <f>+'Growth-rates'!Y32</f>
        <v>1.5260138761026016E-2</v>
      </c>
      <c r="X33" s="247">
        <f>+'Growth-rates'!Z32</f>
        <v>6.7540053225408081E-4</v>
      </c>
      <c r="Y33" s="247">
        <f>+'Growth-rates'!AA32</f>
        <v>3.9156285619804986E-3</v>
      </c>
      <c r="Z33" s="247">
        <f>+'Growth-rates'!AB32</f>
        <v>8.644414151686243E-3</v>
      </c>
      <c r="AA33" s="247">
        <f>+'Growth-rates'!AC32</f>
        <v>1.5260138761026016E-2</v>
      </c>
      <c r="AB33" s="247">
        <f>+'Growth-rates'!AD32</f>
        <v>1.2208111008820813E-2</v>
      </c>
      <c r="AC33" s="247">
        <f>+'Growth-rates'!AE32</f>
        <v>1.9648155217542117E-2</v>
      </c>
      <c r="AD33" s="247">
        <f>+'Growth-rates'!AF32</f>
        <v>2.9335647517018927E-2</v>
      </c>
      <c r="AE33" s="247">
        <f>+'Growth-rates'!AG32</f>
        <v>1.5260138761026016E-2</v>
      </c>
      <c r="AF33" s="247">
        <f>+'Growth-rates'!AH32</f>
        <v>2.4560194021927644E-2</v>
      </c>
      <c r="AG33" s="247">
        <f>+'Growth-rates'!AI32</f>
        <v>3.6669559396273657E-2</v>
      </c>
      <c r="AH33" s="247">
        <f>+'Growth-rates'!AJ32</f>
        <v>1.5260138761026016E-2</v>
      </c>
      <c r="AI33" s="247">
        <f>+'Growth-rates'!AK32</f>
        <v>2.4560194021927644E-2</v>
      </c>
      <c r="AJ33" s="247">
        <f>+'Growth-rates'!AL32</f>
        <v>3.6669559396273657E-2</v>
      </c>
      <c r="AK33" s="247">
        <f>+'Growth-rates'!AM32</f>
        <v>1.5260138761026016E-2</v>
      </c>
      <c r="AL33" s="247">
        <f>+'Growth-rates'!AN32</f>
        <v>2.4560194021927644E-2</v>
      </c>
      <c r="AM33" s="247">
        <f>+'Growth-rates'!AO32</f>
        <v>3.6669559396273657E-2</v>
      </c>
      <c r="AN33" s="247">
        <f>+'Growth-rates'!AP32</f>
        <v>1.5260138761026016E-2</v>
      </c>
      <c r="AO33" s="247">
        <f>+'Growth-rates'!AQ32</f>
        <v>2.4560194021927644E-2</v>
      </c>
      <c r="AP33" s="247">
        <f>+'Growth-rates'!AR32</f>
        <v>3.6669559396273657E-2</v>
      </c>
      <c r="AQ33" s="247">
        <f>+'Growth-rates'!AS32</f>
        <v>1.5260138761026016E-2</v>
      </c>
    </row>
    <row r="34" spans="1:43">
      <c r="B34" s="239"/>
      <c r="C34" s="235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AI34" s="227"/>
      <c r="AJ34" s="227"/>
      <c r="AK34" s="227"/>
      <c r="AL34" s="227"/>
      <c r="AM34" s="227"/>
      <c r="AN34" s="227"/>
      <c r="AO34" s="227"/>
      <c r="AP34" s="227"/>
      <c r="AQ34" s="227"/>
    </row>
    <row r="35" spans="1:43" s="222" customFormat="1" ht="13.5" customHeight="1">
      <c r="A35" s="215" t="s">
        <v>0</v>
      </c>
      <c r="B35" s="216" t="s">
        <v>24</v>
      </c>
      <c r="C35" s="216"/>
      <c r="D35" s="217"/>
      <c r="E35" s="218"/>
      <c r="F35" s="219"/>
      <c r="G35" s="220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</row>
    <row r="36" spans="1:43">
      <c r="B36" s="239"/>
      <c r="C36" s="163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AI36" s="227"/>
      <c r="AJ36" s="227"/>
      <c r="AK36" s="227"/>
      <c r="AL36" s="227"/>
      <c r="AM36" s="227"/>
      <c r="AN36" s="227"/>
      <c r="AO36" s="227"/>
      <c r="AP36" s="227"/>
      <c r="AQ36" s="227"/>
    </row>
    <row r="37" spans="1:43" s="233" customFormat="1">
      <c r="B37" s="241" t="s">
        <v>25</v>
      </c>
      <c r="C37" s="235" t="s">
        <v>26</v>
      </c>
      <c r="D37" s="229" cm="1">
        <f t="array" ref="D37:AQ37">+TRANSPOSE(P70:P109)</f>
        <v>37.19752492198851</v>
      </c>
      <c r="E37" s="229">
        <v>866.90166848960303</v>
      </c>
      <c r="F37" s="229">
        <v>7261.2657337807923</v>
      </c>
      <c r="G37" s="229">
        <v>30527.767830644087</v>
      </c>
      <c r="H37" s="229">
        <v>82091.313086539798</v>
      </c>
      <c r="I37" s="229">
        <v>180004.66073368667</v>
      </c>
      <c r="J37" s="229">
        <v>348726.31909730815</v>
      </c>
      <c r="K37" s="229">
        <v>601153.89085957734</v>
      </c>
      <c r="L37" s="229">
        <v>910084.35368841526</v>
      </c>
      <c r="M37" s="229">
        <v>1260718.3427402116</v>
      </c>
      <c r="N37" s="229">
        <v>1613016.4706866276</v>
      </c>
      <c r="O37" s="229">
        <v>1930466.600300129</v>
      </c>
      <c r="P37" s="229">
        <v>2175293.9846863355</v>
      </c>
      <c r="Q37" s="229">
        <v>2313771.4696340412</v>
      </c>
      <c r="R37" s="229">
        <v>2313771.4696340412</v>
      </c>
      <c r="S37" s="229">
        <v>2313771.4696340412</v>
      </c>
      <c r="T37" s="229">
        <v>2313771.4696340412</v>
      </c>
      <c r="U37" s="229">
        <v>2313771.4696340412</v>
      </c>
      <c r="V37" s="229">
        <v>2313771.4696340412</v>
      </c>
      <c r="W37" s="229">
        <v>2313771.4696340412</v>
      </c>
      <c r="X37" s="229">
        <v>2313771.4696340412</v>
      </c>
      <c r="Y37" s="229">
        <v>2313771.4696340412</v>
      </c>
      <c r="Z37" s="229">
        <v>2313771.4696340412</v>
      </c>
      <c r="AA37" s="229">
        <v>2313771.4696340412</v>
      </c>
      <c r="AB37" s="229">
        <v>2313771.4696340412</v>
      </c>
      <c r="AC37" s="229">
        <v>2313771.4696340412</v>
      </c>
      <c r="AD37" s="229">
        <v>2313771.4696340412</v>
      </c>
      <c r="AE37" s="229">
        <v>2313771.4696340412</v>
      </c>
      <c r="AF37" s="229">
        <v>2313771.4696340412</v>
      </c>
      <c r="AG37" s="229">
        <v>2313771.4696340412</v>
      </c>
      <c r="AH37" s="229">
        <v>2313771.4696340412</v>
      </c>
      <c r="AI37" s="229">
        <v>2313771.4696340412</v>
      </c>
      <c r="AJ37" s="229">
        <v>2313771.4696340412</v>
      </c>
      <c r="AK37" s="229">
        <v>2313771.4696340412</v>
      </c>
      <c r="AL37" s="229">
        <v>2313771.4696340412</v>
      </c>
      <c r="AM37" s="229">
        <v>2313771.4696340412</v>
      </c>
      <c r="AN37" s="229">
        <v>2313771.4696340412</v>
      </c>
      <c r="AO37" s="229">
        <v>2313771.4696340412</v>
      </c>
      <c r="AP37" s="229">
        <v>2313771.4696340412</v>
      </c>
      <c r="AQ37" s="229">
        <v>2313771.4696340412</v>
      </c>
    </row>
    <row r="38" spans="1:43" s="233" customFormat="1">
      <c r="B38" s="162" t="s">
        <v>27</v>
      </c>
      <c r="C38" s="235" t="s">
        <v>26</v>
      </c>
      <c r="D38" s="229">
        <f>D13</f>
        <v>9.0591473391239852</v>
      </c>
      <c r="E38" s="229">
        <f t="shared" ref="E38:AQ38" si="3">E13</f>
        <v>563.12312828592951</v>
      </c>
      <c r="F38" s="229">
        <f t="shared" si="3"/>
        <v>5446.8185880856481</v>
      </c>
      <c r="G38" s="229">
        <f t="shared" si="3"/>
        <v>23766.164179182822</v>
      </c>
      <c r="H38" s="229">
        <f t="shared" si="3"/>
        <v>65249.92007217434</v>
      </c>
      <c r="I38" s="229">
        <f t="shared" si="3"/>
        <v>134659.03117688335</v>
      </c>
      <c r="J38" s="229">
        <f t="shared" si="3"/>
        <v>222839.86996941717</v>
      </c>
      <c r="K38" s="229">
        <f t="shared" si="3"/>
        <v>354384.44346681208</v>
      </c>
      <c r="L38" s="229">
        <f t="shared" si="3"/>
        <v>524149.87477849092</v>
      </c>
      <c r="M38" s="229">
        <f t="shared" si="3"/>
        <v>679643.47777315881</v>
      </c>
      <c r="N38" s="229">
        <f t="shared" si="3"/>
        <v>845112.79096411576</v>
      </c>
      <c r="O38" s="229">
        <f t="shared" si="3"/>
        <v>1003965.7736553525</v>
      </c>
      <c r="P38" s="229">
        <f t="shared" si="3"/>
        <v>1064826.1880999624</v>
      </c>
      <c r="Q38" s="229">
        <f t="shared" si="3"/>
        <v>1178118.6726977688</v>
      </c>
      <c r="R38" s="229">
        <f t="shared" si="3"/>
        <v>1257040.0765262919</v>
      </c>
      <c r="S38" s="229">
        <f t="shared" si="3"/>
        <v>1200004.6884603421</v>
      </c>
      <c r="T38" s="229">
        <f t="shared" si="3"/>
        <v>1286328.34601139</v>
      </c>
      <c r="U38" s="229">
        <f t="shared" si="3"/>
        <v>1321845.1887684336</v>
      </c>
      <c r="V38" s="229">
        <f t="shared" si="3"/>
        <v>1200004.6884603421</v>
      </c>
      <c r="W38" s="229">
        <f t="shared" si="3"/>
        <v>1286328.34601139</v>
      </c>
      <c r="X38" s="229">
        <f t="shared" si="3"/>
        <v>1321524.8220333566</v>
      </c>
      <c r="Y38" s="229">
        <f t="shared" si="3"/>
        <v>1181508.4561078688</v>
      </c>
      <c r="Z38" s="229">
        <f t="shared" si="3"/>
        <v>1177642.012437725</v>
      </c>
      <c r="AA38" s="229">
        <f t="shared" si="3"/>
        <v>1085672.5657343757</v>
      </c>
      <c r="AB38" s="229">
        <f t="shared" si="3"/>
        <v>862502.14358448796</v>
      </c>
      <c r="AC38" s="229">
        <f t="shared" si="3"/>
        <v>810551.53297878278</v>
      </c>
      <c r="AD38" s="229">
        <f t="shared" si="3"/>
        <v>681709.56641391967</v>
      </c>
      <c r="AE38" s="229">
        <f t="shared" si="3"/>
        <v>489228.57870060555</v>
      </c>
      <c r="AF38" s="229">
        <f t="shared" si="3"/>
        <v>524149.87477849092</v>
      </c>
      <c r="AG38" s="229">
        <f t="shared" si="3"/>
        <v>679643.47777315881</v>
      </c>
      <c r="AH38" s="229">
        <f t="shared" si="3"/>
        <v>845112.79096411576</v>
      </c>
      <c r="AI38" s="229">
        <f t="shared" si="3"/>
        <v>1003965.7736553525</v>
      </c>
      <c r="AJ38" s="229">
        <f t="shared" si="3"/>
        <v>1064826.1880999624</v>
      </c>
      <c r="AK38" s="229">
        <f t="shared" si="3"/>
        <v>1178118.6726977688</v>
      </c>
      <c r="AL38" s="229">
        <f t="shared" si="3"/>
        <v>1257040.0765262919</v>
      </c>
      <c r="AM38" s="229">
        <f t="shared" si="3"/>
        <v>1200004.6884603421</v>
      </c>
      <c r="AN38" s="229">
        <f t="shared" si="3"/>
        <v>1286328.34601139</v>
      </c>
      <c r="AO38" s="229">
        <f t="shared" si="3"/>
        <v>1321845.1887684336</v>
      </c>
      <c r="AP38" s="229">
        <f t="shared" si="3"/>
        <v>1200004.6884603421</v>
      </c>
      <c r="AQ38" s="229">
        <f t="shared" si="3"/>
        <v>1286328.34601139</v>
      </c>
    </row>
    <row r="39" spans="1:43">
      <c r="B39" s="241" t="s">
        <v>28</v>
      </c>
      <c r="C39" s="235" t="s">
        <v>29</v>
      </c>
      <c r="D39" s="229">
        <f>+(D30*'Planted Trees'!$C$17)</f>
        <v>212.17959072000002</v>
      </c>
      <c r="E39" s="229">
        <f>+(E30*'Planted Trees'!$C$17)+(D30*'Planted Trees'!$D$17)</f>
        <v>3976.9154539199999</v>
      </c>
      <c r="F39" s="229">
        <f>+(F30*'Planted Trees'!$C$17)+(E30*'Planted Trees'!$D$17)+(D30*'Planted Trees'!$E$17)</f>
        <v>23420.77729632</v>
      </c>
      <c r="G39" s="229">
        <f>+(G30*'Planted Trees'!$C$17)+(F30*'Planted Trees'!$D$17)+(E30*'Planted Trees'!$E$17)+(D30*'Planted Trees'!$F$17)</f>
        <v>61612.166108160003</v>
      </c>
      <c r="H39" s="229">
        <f>+(H30*'Planted Trees'!$C$17)+(G30*'Planted Trees'!$D$17)+(F30*'Planted Trees'!$E$17)+(E30*'Planted Trees'!$F$17)+(D30*'Planted Trees'!$G$17)</f>
        <v>128501.40748817455</v>
      </c>
      <c r="I39" s="229">
        <f>+(I30*'Planted Trees'!$C17)+(H30*'Planted Trees'!$D17)+(G30*'Planted Trees'!$E17)+(F30*'Planted Trees'!$F17)+(E30*'Planted Trees'!$G17)+(D30*'Planted Trees'!$H17)</f>
        <v>248124.12347729455</v>
      </c>
      <c r="J39" s="229">
        <f>+(J30*'Planted Trees'!$C$17)+(I30*'Planted Trees'!$D$17)+(H30*'Planted Trees'!$E$17)+(G30*'Planted Trees'!$F$17)+(F30*'Planted Trees'!$G$17)+(E30*'Planted Trees'!$H$17)+(D30*'Planted Trees'!$I$17)</f>
        <v>462192.44516823266</v>
      </c>
      <c r="K39" s="229">
        <f>+(K30*'Planted Trees'!$C$17)+(J30*'Planted Trees'!$D$17)+(I30*'Planted Trees'!$E$17)+(H30*'Planted Trees'!$F$17)+(G30*'Planted Trees'!$G$17)+(F30*'Planted Trees'!$H$17)+(E30*'Planted Trees'!$I$17)+(D30*'Planted Trees'!$J$17)</f>
        <v>819069.22184098919</v>
      </c>
      <c r="L39" s="229">
        <f>+(L30*'Planted Trees'!$C$17)+(K30*'Planted Trees'!$D$17)+(J30*'Planted Trees'!$E$17)+(I30*'Planted Trees'!$F$17)+(H30*'Planted Trees'!$G$17)+(G30*'Planted Trees'!$H$17)+(F30*'Planted Trees'!$I$17)+(E30*'Planted Trees'!$J$17)+(D30*'Planted Trees'!$K$17)</f>
        <v>1353142.0933501089</v>
      </c>
      <c r="M39" s="229">
        <f>+(M30*'Planted Trees'!$C$17)+(L30*'Planted Trees'!$D$17)+(K30*'Planted Trees'!$E$17)+(J30*'Planted Trees'!$F$17)+(I30*'Planted Trees'!$G$17)+(H30*'Planted Trees'!$H$17)+(G30*'Planted Trees'!$I$17)+(F30*'Planted Trees'!$J$17)+(E30*'Planted Trees'!$K$17)</f>
        <v>2056663.9015865014</v>
      </c>
      <c r="N39" s="229">
        <f>+(N30*'Planted Trees'!$C$17)+(M30*'Planted Trees'!$D$17)+(L30*'Planted Trees'!$E$17)+(K30*'Planted Trees'!$F$17)+(J30*'Planted Trees'!$G$17)+(I30*'Planted Trees'!$H$17)+(H30*'Planted Trees'!$I$17)+(G30*'Planted Trees'!$J$17)+(F30*'Planted Trees'!$K$17)</f>
        <v>2971626.1776047125</v>
      </c>
      <c r="O39" s="229">
        <f>+(O30*'Planted Trees'!$C$17)+(N30*'Planted Trees'!$D$17)+(M30*'Planted Trees'!$E$17)+(L30*'Planted Trees'!$F$17)+(K30*'Planted Trees'!$G$17)+(J30*'Planted Trees'!$H$17)+(I30*'Planted Trees'!$I$17)+(H30*'Planted Trees'!$J$17)+(G30*'Planted Trees'!$K$17)</f>
        <v>4087970.0101070828</v>
      </c>
      <c r="P39" s="229">
        <f>+(P30*'Planted Trees'!$C$17)+(O30*'Planted Trees'!$D$17)+(N30*'Planted Trees'!$E$17)+(M30*'Planted Trees'!$F$17)+(L30*'Planted Trees'!$G$17)+(K30*'Planted Trees'!$H$17)+(J30*'Planted Trees'!$I$17)+(I30*'Planted Trees'!$J$17)+(H30*'Planted Trees'!$K$17)</f>
        <v>5222790.4601811916</v>
      </c>
      <c r="Q39" s="229">
        <f>+(Q30*'Planted Trees'!$C$17)+(P30*'Planted Trees'!$D$17)+(O30*'Planted Trees'!$E$17)+(N30*'Planted Trees'!$F$17)+(M30*'Planted Trees'!$G$17)+(L30*'Planted Trees'!$H$17)+(K30*'Planted Trees'!$I$17)+(J30*'Planted Trees'!$J$17)+(I30*'Planted Trees'!$K$17)</f>
        <v>5803187.5473326836</v>
      </c>
      <c r="R39" s="229">
        <f>+(R30*'Planted Trees'!$C$17)+(Q30*'Planted Trees'!$D$17)+(P30*'Planted Trees'!$E$17)+(O30*'Planted Trees'!$F$17)+(N30*'Planted Trees'!$G$17)+(M30*'Planted Trees'!$H$17)+(L30*'Planted Trees'!$I$17)+(K30*'Planted Trees'!$J$17)+(J30*'Planted Trees'!$K$17)</f>
        <v>5986114.3310536137</v>
      </c>
      <c r="S39" s="229">
        <f>+(S30*'Planted Trees'!$C$17)+(R30*'Planted Trees'!$D$17)+(Q30*'Planted Trees'!$E$17)+(P30*'Planted Trees'!$F$17)+(O30*'Planted Trees'!$G$17)+(N30*'Planted Trees'!$H$17)+(M30*'Planted Trees'!$I$17)+(L30*'Planted Trees'!$J$17)+(K30*'Planted Trees'!$K$17)</f>
        <v>5749134.4582518088</v>
      </c>
      <c r="T39" s="229">
        <f>+(T30*'Planted Trees'!$C$17)+(S30*'Planted Trees'!$D$17)+(R30*'Planted Trees'!$E$17)+(Q30*'Planted Trees'!$F$17)+(P30*'Planted Trees'!$G$17)+(O30*'Planted Trees'!$H$17)+(N30*'Planted Trees'!$I$17)+(M30*'Planted Trees'!$J$17)+(L30*'Planted Trees'!$K$17)</f>
        <v>4975072.5220227474</v>
      </c>
      <c r="U39" s="229">
        <f>+(U30*'Planted Trees'!$C$17)+(T30*'Planted Trees'!$D$17)+(S30*'Planted Trees'!$E$17)+(R30*'Planted Trees'!$F$17)+(Q30*'Planted Trees'!$G$17)+(P30*'Planted Trees'!$H$17)+(O30*'Planted Trees'!$I$17)+(N30*'Planted Trees'!$J$17)+(M30*'Planted Trees'!$K$17)</f>
        <v>3863205.6000773227</v>
      </c>
      <c r="V39" s="229">
        <f>+(V30*'Planted Trees'!$C$17)+(U30*'Planted Trees'!$D$17)+(T30*'Planted Trees'!$E$17)+(S30*'Planted Trees'!$F$17)+(R30*'Planted Trees'!$G$17)+(Q30*'Planted Trees'!$H$17)+(P30*'Planted Trees'!$I$17)+(O30*'Planted Trees'!$J$17)+(N30*'Planted Trees'!$K$17)</f>
        <v>2644432.9105682615</v>
      </c>
      <c r="W39" s="229">
        <f>+(W30*'Planted Trees'!$C$17)+(V30*'Planted Trees'!$D$17)+(U30*'Planted Trees'!$E$17)+(T30*'Planted Trees'!$F$17)+(S30*'Planted Trees'!$G$17)+(R30*'Planted Trees'!$H$17)+(Q30*'Planted Trees'!$I$17)+(P30*'Planted Trees'!$J$17)+(O30*'Planted Trees'!$K$17)</f>
        <v>1353142.0933501089</v>
      </c>
      <c r="X39" s="229">
        <f>+(X30*'Planted Trees'!$C$17)+(W30*'Planted Trees'!$D$17)+(V30*'Planted Trees'!$E$17)+(U30*'Planted Trees'!$F$17)+(T30*'Planted Trees'!$G$17)+(S30*'Planted Trees'!$H$17)+(R30*'Planted Trees'!$I$17)+(Q30*'Planted Trees'!$J$17)+(P30*'Planted Trees'!$K$17)</f>
        <v>2056663.9015865014</v>
      </c>
      <c r="Y39" s="229">
        <f>+(Y30*'Planted Trees'!$C$17)+(X30*'Planted Trees'!$D$17)+(W30*'Planted Trees'!$E$17)+(V30*'Planted Trees'!$F$17)+(U30*'Planted Trees'!$G$17)+(T30*'Planted Trees'!$H$17)+(S30*'Planted Trees'!$I$17)+(R30*'Planted Trees'!$J$17)+(Q30*'Planted Trees'!$K$17)</f>
        <v>2971626.1776047125</v>
      </c>
      <c r="Z39" s="229">
        <f>+(Z30*'Planted Trees'!$C$17)+(Y30*'Planted Trees'!$D$17)+(X30*'Planted Trees'!$E$17)+(W30*'Planted Trees'!$F$17)+(V30*'Planted Trees'!$G$17)+(U30*'Planted Trees'!$H$17)+(T30*'Planted Trees'!$I$17)+(S30*'Planted Trees'!$J$17)+(R30*'Planted Trees'!$K$17)</f>
        <v>4087970.0101070828</v>
      </c>
      <c r="AA39" s="229">
        <f>+(AA30*'Planted Trees'!$C$17)+(Z30*'Planted Trees'!$D$17)+(Y30*'Planted Trees'!$E$17)+(X30*'Planted Trees'!$F$17)+(W30*'Planted Trees'!$G$17)+(V30*'Planted Trees'!$H$17)+(U30*'Planted Trees'!$I$17)+(T30*'Planted Trees'!$J$17)+(S30*'Planted Trees'!$K$17)</f>
        <v>5222790.4601811916</v>
      </c>
      <c r="AB39" s="229">
        <f>+(AB30*'Planted Trees'!$C$17)+(AA30*'Planted Trees'!$D$17)+(Z30*'Planted Trees'!$E$17)+(Y30*'Planted Trees'!$F$17)+(X30*'Planted Trees'!$G$17)+(W30*'Planted Trees'!$H$17)+(V30*'Planted Trees'!$I$17)+(U30*'Planted Trees'!$J$17)+(T30*'Planted Trees'!$K$17)</f>
        <v>5803187.5473326836</v>
      </c>
      <c r="AC39" s="229">
        <f>+(AC30*'Planted Trees'!$C$17)+(AB30*'Planted Trees'!$D$17)+(AA30*'Planted Trees'!$E$17)+(Z30*'Planted Trees'!$F$17)+(Y30*'Planted Trees'!$G$17)+(X30*'Planted Trees'!$H$17)+(W30*'Planted Trees'!$I$17)+(V30*'Planted Trees'!$J$17)+(U30*'Planted Trees'!$K$17)</f>
        <v>5986114.3310536137</v>
      </c>
      <c r="AD39" s="229">
        <f>+(AD30*'Planted Trees'!$C$17)+(AC30*'Planted Trees'!$D$17)+(AB30*'Planted Trees'!$E$17)+(AA30*'Planted Trees'!$F$17)+(Z30*'Planted Trees'!$G$17)+(Y30*'Planted Trees'!$H$17)+(X30*'Planted Trees'!$I$17)+(W30*'Planted Trees'!$J$17)+(V30*'Planted Trees'!$K$17)</f>
        <v>5749134.4582518088</v>
      </c>
      <c r="AE39" s="229">
        <f>+(AE30*'Planted Trees'!$C$17)+(AD30*'Planted Trees'!$D$17)+(AC30*'Planted Trees'!$E$17)+(AB30*'Planted Trees'!$F$17)+(AA30*'Planted Trees'!$G$17)+(Z30*'Planted Trees'!$H$17)+(Y30*'Planted Trees'!$I$17)+(X30*'Planted Trees'!$J$17)+(W30*'Planted Trees'!$K$17)</f>
        <v>4975072.5220227474</v>
      </c>
      <c r="AF39" s="229">
        <f>+(AF30*'Planted Trees'!$C$17)+(AE30*'Planted Trees'!$D$17)+(AD30*'Planted Trees'!$E$17)+(AC30*'Planted Trees'!$F$17)+(AB30*'Planted Trees'!$G$17)+(AA30*'Planted Trees'!$H$17)+(Z30*'Planted Trees'!$I$17)+(Y30*'Planted Trees'!$J$17)+(X30*'Planted Trees'!$K$17)</f>
        <v>3863205.6000773227</v>
      </c>
      <c r="AG39" s="229">
        <f>+(AG30*'Planted Trees'!$C$17)+(AF30*'Planted Trees'!$D$17)+(AE30*'Planted Trees'!$E$17)+(AD30*'Planted Trees'!$F$17)+(AC30*'Planted Trees'!$G$17)+(AB30*'Planted Trees'!$H$17)+(AA30*'Planted Trees'!$I$17)+(Z30*'Planted Trees'!$J$17)+(Y30*'Planted Trees'!$K$17)</f>
        <v>2644432.9105682615</v>
      </c>
      <c r="AH39" s="229">
        <f>+(AH30*'Planted Trees'!$C$17)+(AG30*'Planted Trees'!$D$17)+(AF30*'Planted Trees'!$E$17)+(AE30*'Planted Trees'!$F$17)+(AD30*'Planted Trees'!$G$17)+(AC30*'Planted Trees'!$H$17)+(AB30*'Planted Trees'!$I$17)+(AA30*'Planted Trees'!$J$17)+(Z30*'Planted Trees'!$K$17)</f>
        <v>1353142.0933501089</v>
      </c>
      <c r="AI39" s="229">
        <f>+(AI30*'Planted Trees'!$C$17)+(AH30*'Planted Trees'!$D$17)+(AG30*'Planted Trees'!$E$17)+(AF30*'Planted Trees'!$F$17)+(AE30*'Planted Trees'!$G$17)+(AD30*'Planted Trees'!$H$17)+(AC30*'Planted Trees'!$I$17)+(AB30*'Planted Trees'!$J$17)+(AA30*'Planted Trees'!$K$17)</f>
        <v>2056663.9015865014</v>
      </c>
      <c r="AJ39" s="229">
        <f>+(AJ30*'Planted Trees'!$C$17)+(AI30*'Planted Trees'!$D$17)+(AH30*'Planted Trees'!$E$17)+(AG30*'Planted Trees'!$F$17)+(AF30*'Planted Trees'!$G$17)+(AE30*'Planted Trees'!$H$17)+(AD30*'Planted Trees'!$I$17)+(AC30*'Planted Trees'!$J$17)+(AB30*'Planted Trees'!$K$17)</f>
        <v>2971626.1776047125</v>
      </c>
      <c r="AK39" s="229">
        <f>+(AK30*'Planted Trees'!$C$17)+(AJ30*'Planted Trees'!$D$17)+(AI30*'Planted Trees'!$E$17)+(AH30*'Planted Trees'!$F$17)+(AG30*'Planted Trees'!$G$17)+(AF30*'Planted Trees'!$H$17)+(AE30*'Planted Trees'!$I$17)+(AD30*'Planted Trees'!$J$17)+(AC30*'Planted Trees'!$K$17)</f>
        <v>4087970.0101070828</v>
      </c>
      <c r="AL39" s="229">
        <f>+(AL30*'Planted Trees'!$C$17)+(AK30*'Planted Trees'!$D$17)+(AJ30*'Planted Trees'!$E$17)+(AI30*'Planted Trees'!$F$17)+(AH30*'Planted Trees'!$G$17)+(AG30*'Planted Trees'!$H$17)+(AF30*'Planted Trees'!$I$17)+(AE30*'Planted Trees'!$J$17)+(AD30*'Planted Trees'!$K$17)</f>
        <v>5222790.4601811916</v>
      </c>
      <c r="AM39" s="229">
        <f>+(AM30*'Planted Trees'!$C$17)+(AL30*'Planted Trees'!$D$17)+(AK30*'Planted Trees'!$E$17)+(AJ30*'Planted Trees'!$F$17)+(AI30*'Planted Trees'!$G$17)+(AH30*'Planted Trees'!$H$17)+(AG30*'Planted Trees'!$I$17)+(AF30*'Planted Trees'!$J$17)+(AE30*'Planted Trees'!$K$17)</f>
        <v>5803187.5473326836</v>
      </c>
      <c r="AN39" s="229">
        <f>+(AN30*'Planted Trees'!$C$17)+(AM30*'Planted Trees'!$D$17)+(AL30*'Planted Trees'!$E$17)+(AK30*'Planted Trees'!$F$17)+(AJ30*'Planted Trees'!$G$17)+(AI30*'Planted Trees'!$H$17)+(AH30*'Planted Trees'!$I$17)+(AG30*'Planted Trees'!$J$17)+(AF30*'Planted Trees'!$K$17)</f>
        <v>5986114.3310536137</v>
      </c>
      <c r="AO39" s="229">
        <f>+(AO30*'Planted Trees'!$C$17)+(AN30*'Planted Trees'!$D$17)+(AM30*'Planted Trees'!$E$17)+(AL30*'Planted Trees'!$F$17)+(AK30*'Planted Trees'!$G$17)+(AJ30*'Planted Trees'!$H$17)+(AI30*'Planted Trees'!$I$17)+(AH30*'Planted Trees'!$J$17)+(AG30*'Planted Trees'!$K$17)</f>
        <v>5749134.4582518088</v>
      </c>
      <c r="AP39" s="229">
        <f>+(AP30*'Planted Trees'!$C$17)+(AO30*'Planted Trees'!$D$17)+(AN30*'Planted Trees'!$E$17)+(AM30*'Planted Trees'!$F$17)+(AL30*'Planted Trees'!$G$17)+(AK30*'Planted Trees'!$H$17)+(AJ30*'Planted Trees'!$I$17)+(AI30*'Planted Trees'!$J$17)+(AH30*'Planted Trees'!$K$17)</f>
        <v>4975072.5220227474</v>
      </c>
      <c r="AQ39" s="229">
        <f>+(AQ30*'Planted Trees'!$C$17)+(AP30*'Planted Trees'!$D$17)+(AO30*'Planted Trees'!$E$17)+(AN30*'Planted Trees'!$F$17)+(AM30*'Planted Trees'!$G$17)+(AL30*'Planted Trees'!$H$17)+(AK30*'Planted Trees'!$I$17)+(AJ30*'Planted Trees'!$J$17)+(AI30*'Planted Trees'!$K$17)</f>
        <v>3863205.6000773227</v>
      </c>
    </row>
    <row r="40" spans="1:43">
      <c r="B40" s="241" t="s">
        <v>30</v>
      </c>
      <c r="C40" s="235" t="s">
        <v>29</v>
      </c>
      <c r="D40" s="229">
        <f>+(D31*'Planted Trees'!$C18)</f>
        <v>64.968865972059248</v>
      </c>
      <c r="E40" s="229">
        <f>+(E31*'Planted Trees'!$C18)+(D31*'Planted Trees'!$D18)</f>
        <v>674.6984349733566</v>
      </c>
      <c r="F40" s="229">
        <f>+(F31*'Planted Trees'!$C18)+(E31*'Planted Trees'!$D18)+(D31*'Planted Trees'!$E18)</f>
        <v>3988.4944364241364</v>
      </c>
      <c r="G40" s="229">
        <f>+(G31*'Planted Trees'!$C18)+(F31*'Planted Trees'!$D18)+(E31*'Planted Trees'!$E18)+(D31*'Planted Trees'!$F18)</f>
        <v>15504.108246442598</v>
      </c>
      <c r="H40" s="229">
        <f>+(H31*'Planted Trees'!$C18)+(G31*'Planted Trees'!$D18)+(F31*'Planted Trees'!$E18)+(E31*'Planted Trees'!$F18)+(D31*'Planted Trees'!$G18)</f>
        <v>41742.07831195194</v>
      </c>
      <c r="I40" s="229">
        <f>+(I31*'Planted Trees'!$C18)+(H31*'Planted Trees'!$D18)+(G31*'Planted Trees'!$E18)+(F31*'Planted Trees'!$F18)+(E31*'Planted Trees'!$G18)+(D31*'Planted Trees'!$H18)</f>
        <v>91266.948396661523</v>
      </c>
      <c r="J40" s="229">
        <f>+(J31*'Planted Trees'!$C18)+(I31*'Planted Trees'!$D18)+(H31*'Planted Trees'!$E18)+(G31*'Planted Trees'!$F18)+(F31*'Planted Trees'!$G18)+(E31*'Planted Trees'!$H18)+(D31*'Planted Trees'!$I18)</f>
        <v>175447.12510087519</v>
      </c>
      <c r="K40" s="229">
        <f>+(K31*'Planted Trees'!$C18)+(J31*'Planted Trees'!$D18)+(I31*'Planted Trees'!$E18)+(H31*'Planted Trees'!$F18)+(G31*'Planted Trees'!$G18)+(F31*'Planted Trees'!$H18)+(E31*'Planted Trees'!$I18)+(D31*'Planted Trees'!$J18)</f>
        <v>306657.97222101205</v>
      </c>
      <c r="L40" s="229">
        <f>+(L31*'Planted Trees'!$C18)+(K31*'Planted Trees'!$D18)+(J31*'Planted Trees'!$E18)+(I31*'Planted Trees'!$F18)+(H31*'Planted Trees'!$G18)+(G31*'Planted Trees'!$H18)+(F31*'Planted Trees'!$I18)+(E31*'Planted Trees'!$J18)+(D31*'Planted Trees'!$K18)</f>
        <v>496956.7659463812</v>
      </c>
      <c r="M40" s="229">
        <f>+(M31*'Planted Trees'!$C18)+(L31*'Planted Trees'!$D18)+(K31*'Planted Trees'!$E18)+(J31*'Planted Trees'!$F18)+(I31*'Planted Trees'!$G18)+(H31*'Planted Trees'!$H18)+(G31*'Planted Trees'!$I18)+(F31*'Planted Trees'!$J18)+(E31*'Planted Trees'!$K18)</f>
        <v>754702.89174447907</v>
      </c>
      <c r="N40" s="229">
        <f>+(N31*'Planted Trees'!$C18)+(M31*'Planted Trees'!$D18)+(L31*'Planted Trees'!$E18)+(K31*'Planted Trees'!$F18)+(J31*'Planted Trees'!$G18)+(I31*'Planted Trees'!$H18)+(H31*'Planted Trees'!$I18)+(G31*'Planted Trees'!$J18)+(F31*'Planted Trees'!$K18)</f>
        <v>1078762.8332765703</v>
      </c>
      <c r="O40" s="229">
        <f>+(O31*'Planted Trees'!$C18)+(N31*'Planted Trees'!$D18)+(M31*'Planted Trees'!$E18)+(L31*'Planted Trees'!$F18)+(K31*'Planted Trees'!$G18)+(J31*'Planted Trees'!$H18)+(I31*'Planted Trees'!$I18)+(H31*'Planted Trees'!$J18)+(G31*'Planted Trees'!$K18)</f>
        <v>1455779.8524068047</v>
      </c>
      <c r="P40" s="229">
        <f>+(P31*'Planted Trees'!$C18)+(O31*'Planted Trees'!$D18)+(N31*'Planted Trees'!$E18)+(M31*'Planted Trees'!$F18)+(L31*'Planted Trees'!$G18)+(K31*'Planted Trees'!$H18)+(J31*'Planted Trees'!$I18)+(I31*'Planted Trees'!$J18)+(H31*'Planted Trees'!$K18)</f>
        <v>1846786.8866548736</v>
      </c>
      <c r="Q40" s="229">
        <f>+(Q31*'Planted Trees'!$C18)+(P31*'Planted Trees'!$D18)+(O31*'Planted Trees'!$E18)+(N31*'Planted Trees'!$F18)+(M31*'Planted Trees'!$G18)+(L31*'Planted Trees'!$H18)+(K31*'Planted Trees'!$I18)+(J31*'Planted Trees'!$J18)+(I31*'Planted Trees'!$K18)</f>
        <v>2036963.0182791324</v>
      </c>
      <c r="R40" s="229">
        <f>+(R31*'Planted Trees'!$C18)+(Q31*'Planted Trees'!$D18)+(P31*'Planted Trees'!$E18)+(O31*'Planted Trees'!$F18)+(N31*'Planted Trees'!$G18)+(M31*'Planted Trees'!$H18)+(L31*'Planted Trees'!$I18)+(K31*'Planted Trees'!$J18)+(J31*'Planted Trees'!$K18)</f>
        <v>2114992.4032925926</v>
      </c>
      <c r="S40" s="229">
        <f>+(S31*'Planted Trees'!$C18)+(R31*'Planted Trees'!$D18)+(Q31*'Planted Trees'!$E18)+(P31*'Planted Trees'!$F18)+(O31*'Planted Trees'!$G18)+(N31*'Planted Trees'!$H18)+(M31*'Planted Trees'!$I18)+(L31*'Planted Trees'!$J18)+(K31*'Planted Trees'!$K18)</f>
        <v>2062701.9888029671</v>
      </c>
      <c r="T40" s="229">
        <f>+(T31*'Planted Trees'!$C18)+(S31*'Planted Trees'!$D18)+(R31*'Planted Trees'!$E18)+(Q31*'Planted Trees'!$F18)+(P31*'Planted Trees'!$G18)+(O31*'Planted Trees'!$H18)+(N31*'Planted Trees'!$I18)+(M31*'Planted Trees'!$J18)+(L31*'Planted Trees'!$K18)</f>
        <v>1819566.2995422701</v>
      </c>
      <c r="U40" s="229">
        <f>+(U31*'Planted Trees'!$C18)+(T31*'Planted Trees'!$D18)+(S31*'Planted Trees'!$E18)+(R31*'Planted Trees'!$F18)+(Q31*'Planted Trees'!$G18)+(P31*'Planted Trees'!$H18)+(O31*'Planted Trees'!$I18)+(N31*'Planted Trees'!$J18)+(M31*'Planted Trees'!$K18)</f>
        <v>1443083.1034125136</v>
      </c>
      <c r="V40" s="229">
        <f>+(V31*'Planted Trees'!$C18)+(U31*'Planted Trees'!$D18)+(T31*'Planted Trees'!$E18)+(S31*'Planted Trees'!$F18)+(R31*'Planted Trees'!$G18)+(Q31*'Planted Trees'!$H18)+(P31*'Planted Trees'!$I18)+(O31*'Planted Trees'!$J18)+(N31*'Planted Trees'!$K18)</f>
        <v>1005982.7803309595</v>
      </c>
      <c r="W40" s="229">
        <f>+(W31*'Planted Trees'!$C18)+(V31*'Planted Trees'!$D18)+(U31*'Planted Trees'!$E18)+(T31*'Planted Trees'!$F18)+(S31*'Planted Trees'!$G18)+(R31*'Planted Trees'!$H18)+(Q31*'Planted Trees'!$I18)+(P31*'Planted Trees'!$J18)+(O31*'Planted Trees'!$K18)</f>
        <v>496956.7659463812</v>
      </c>
      <c r="X40" s="229">
        <f>+(X31*'Planted Trees'!$C18)+(W31*'Planted Trees'!$D18)+(V31*'Planted Trees'!$E18)+(U31*'Planted Trees'!$F18)+(T31*'Planted Trees'!$G18)+(S31*'Planted Trees'!$H18)+(R31*'Planted Trees'!$I18)+(Q31*'Planted Trees'!$J18)+(P31*'Planted Trees'!$K18)</f>
        <v>754702.89174447907</v>
      </c>
      <c r="Y40" s="229">
        <f>+(Y31*'Planted Trees'!$C18)+(X31*'Planted Trees'!$D18)+(W31*'Planted Trees'!$E18)+(V31*'Planted Trees'!$F18)+(U31*'Planted Trees'!$G18)+(T31*'Planted Trees'!$H18)+(S31*'Planted Trees'!$I18)+(R31*'Planted Trees'!$J18)+(Q31*'Planted Trees'!$K18)</f>
        <v>1078762.8332765703</v>
      </c>
      <c r="Z40" s="229">
        <f>+(Z31*'Planted Trees'!$C18)+(Y31*'Planted Trees'!$D18)+(X31*'Planted Trees'!$E18)+(W31*'Planted Trees'!$F18)+(V31*'Planted Trees'!$G18)+(U31*'Planted Trees'!$H18)+(T31*'Planted Trees'!$I18)+(S31*'Planted Trees'!$J18)+(R31*'Planted Trees'!$K18)</f>
        <v>1455779.8524068047</v>
      </c>
      <c r="AA40" s="229">
        <f>+(AA31*'Planted Trees'!$C18)+(Z31*'Planted Trees'!$D18)+(Y31*'Planted Trees'!$E18)+(X31*'Planted Trees'!$F18)+(W31*'Planted Trees'!$G18)+(V31*'Planted Trees'!$H18)+(U31*'Planted Trees'!$I18)+(T31*'Planted Trees'!$J18)+(S31*'Planted Trees'!$K18)</f>
        <v>1846786.8866548736</v>
      </c>
      <c r="AB40" s="229">
        <f>+(AB31*'Planted Trees'!$C18)+(AA31*'Planted Trees'!$D18)+(Z31*'Planted Trees'!$E18)+(Y31*'Planted Trees'!$F18)+(X31*'Planted Trees'!$G18)+(W31*'Planted Trees'!$H18)+(V31*'Planted Trees'!$I18)+(U31*'Planted Trees'!$J18)+(T31*'Planted Trees'!$K18)</f>
        <v>2036963.0182791324</v>
      </c>
      <c r="AC40" s="229">
        <f>+(AC31*'Planted Trees'!$C18)+(AB31*'Planted Trees'!$D18)+(AA31*'Planted Trees'!$E18)+(Z31*'Planted Trees'!$F18)+(Y31*'Planted Trees'!$G18)+(X31*'Planted Trees'!$H18)+(W31*'Planted Trees'!$I18)+(V31*'Planted Trees'!$J18)+(U31*'Planted Trees'!$K18)</f>
        <v>2114992.4032925926</v>
      </c>
      <c r="AD40" s="229">
        <f>+(AD31*'Planted Trees'!$C18)+(AC31*'Planted Trees'!$D18)+(AB31*'Planted Trees'!$E18)+(AA31*'Planted Trees'!$F18)+(Z31*'Planted Trees'!$G18)+(Y31*'Planted Trees'!$H18)+(X31*'Planted Trees'!$I18)+(W31*'Planted Trees'!$J18)+(V31*'Planted Trees'!$K18)</f>
        <v>2062701.9888029671</v>
      </c>
      <c r="AE40" s="229">
        <f>+(AE31*'Planted Trees'!$C18)+(AD31*'Planted Trees'!$D18)+(AC31*'Planted Trees'!$E18)+(AB31*'Planted Trees'!$F18)+(AA31*'Planted Trees'!$G18)+(Z31*'Planted Trees'!$H18)+(Y31*'Planted Trees'!$I18)+(X31*'Planted Trees'!$J18)+(W31*'Planted Trees'!$K18)</f>
        <v>1819566.2995422701</v>
      </c>
      <c r="AF40" s="229">
        <f>+(AF31*'Planted Trees'!$C18)+(AE31*'Planted Trees'!$D18)+(AD31*'Planted Trees'!$E18)+(AC31*'Planted Trees'!$F18)+(AB31*'Planted Trees'!$G18)+(AA31*'Planted Trees'!$H18)+(Z31*'Planted Trees'!$I18)+(Y31*'Planted Trees'!$J18)+(X31*'Planted Trees'!$K18)</f>
        <v>1443083.1034125136</v>
      </c>
      <c r="AG40" s="229">
        <f>+(AG31*'Planted Trees'!$C18)+(AF31*'Planted Trees'!$D18)+(AE31*'Planted Trees'!$E18)+(AD31*'Planted Trees'!$F18)+(AC31*'Planted Trees'!$G18)+(AB31*'Planted Trees'!$H18)+(AA31*'Planted Trees'!$I18)+(Z31*'Planted Trees'!$J18)+(Y31*'Planted Trees'!$K18)</f>
        <v>1005982.7803309595</v>
      </c>
      <c r="AH40" s="229">
        <f>+(AH31*'Planted Trees'!$C18)+(AG31*'Planted Trees'!$D18)+(AF31*'Planted Trees'!$E18)+(AE31*'Planted Trees'!$F18)+(AD31*'Planted Trees'!$G18)+(AC31*'Planted Trees'!$H18)+(AB31*'Planted Trees'!$I18)+(AA31*'Planted Trees'!$J18)+(Z31*'Planted Trees'!$K18)</f>
        <v>496956.7659463812</v>
      </c>
      <c r="AI40" s="229">
        <f>+(AI31*'Planted Trees'!$C18)+(AH31*'Planted Trees'!$D18)+(AG31*'Planted Trees'!$E18)+(AF31*'Planted Trees'!$F18)+(AE31*'Planted Trees'!$G18)+(AD31*'Planted Trees'!$H18)+(AC31*'Planted Trees'!$I18)+(AB31*'Planted Trees'!$J18)+(AA31*'Planted Trees'!$K18)</f>
        <v>754702.89174447907</v>
      </c>
      <c r="AJ40" s="229">
        <f>+(AJ31*'Planted Trees'!$C18)+(AI31*'Planted Trees'!$D18)+(AH31*'Planted Trees'!$E18)+(AG31*'Planted Trees'!$F18)+(AF31*'Planted Trees'!$G18)+(AE31*'Planted Trees'!$H18)+(AD31*'Planted Trees'!$I18)+(AC31*'Planted Trees'!$J18)+(AB31*'Planted Trees'!$K18)</f>
        <v>1078762.8332765703</v>
      </c>
      <c r="AK40" s="229">
        <f>+(AK31*'Planted Trees'!$C18)+(AJ31*'Planted Trees'!$D18)+(AI31*'Planted Trees'!$E18)+(AH31*'Planted Trees'!$F18)+(AG31*'Planted Trees'!$G18)+(AF31*'Planted Trees'!$H18)+(AE31*'Planted Trees'!$I18)+(AD31*'Planted Trees'!$J18)+(AC31*'Planted Trees'!$K18)</f>
        <v>1455779.8524068047</v>
      </c>
      <c r="AL40" s="229">
        <f>+(AL31*'Planted Trees'!$C18)+(AK31*'Planted Trees'!$D18)+(AJ31*'Planted Trees'!$E18)+(AI31*'Planted Trees'!$F18)+(AH31*'Planted Trees'!$G18)+(AG31*'Planted Trees'!$H18)+(AF31*'Planted Trees'!$I18)+(AE31*'Planted Trees'!$J18)+(AD31*'Planted Trees'!$K18)</f>
        <v>1846786.8866548736</v>
      </c>
      <c r="AM40" s="229">
        <f>+(AM31*'Planted Trees'!$C18)+(AL31*'Planted Trees'!$D18)+(AK31*'Planted Trees'!$E18)+(AJ31*'Planted Trees'!$F18)+(AI31*'Planted Trees'!$G18)+(AH31*'Planted Trees'!$H18)+(AG31*'Planted Trees'!$I18)+(AF31*'Planted Trees'!$J18)+(AE31*'Planted Trees'!$K18)</f>
        <v>2036963.0182791324</v>
      </c>
      <c r="AN40" s="229">
        <f>+(AN31*'Planted Trees'!$C18)+(AM31*'Planted Trees'!$D18)+(AL31*'Planted Trees'!$E18)+(AK31*'Planted Trees'!$F18)+(AJ31*'Planted Trees'!$G18)+(AI31*'Planted Trees'!$H18)+(AH31*'Planted Trees'!$I18)+(AG31*'Planted Trees'!$J18)+(AF31*'Planted Trees'!$K18)</f>
        <v>2114992.4032925926</v>
      </c>
      <c r="AO40" s="229">
        <f>+(AO31*'Planted Trees'!$C18)+(AN31*'Planted Trees'!$D18)+(AM31*'Planted Trees'!$E18)+(AL31*'Planted Trees'!$F18)+(AK31*'Planted Trees'!$G18)+(AJ31*'Planted Trees'!$H18)+(AI31*'Planted Trees'!$I18)+(AH31*'Planted Trees'!$J18)+(AG31*'Planted Trees'!$K18)</f>
        <v>2062701.9888029671</v>
      </c>
      <c r="AP40" s="229">
        <f>+(AP31*'Planted Trees'!$C18)+(AO31*'Planted Trees'!$D18)+(AN31*'Planted Trees'!$E18)+(AM31*'Planted Trees'!$F18)+(AL31*'Planted Trees'!$G18)+(AK31*'Planted Trees'!$H18)+(AJ31*'Planted Trees'!$I18)+(AI31*'Planted Trees'!$J18)+(AH31*'Planted Trees'!$K18)</f>
        <v>1819566.2995422701</v>
      </c>
      <c r="AQ40" s="229">
        <f>+(AQ31*'Planted Trees'!$C18)+(AP31*'Planted Trees'!$D18)+(AO31*'Planted Trees'!$E18)+(AN31*'Planted Trees'!$F18)+(AM31*'Planted Trees'!$G18)+(AL31*'Planted Trees'!$H18)+(AK31*'Planted Trees'!$I18)+(AJ31*'Planted Trees'!$J18)+(AI31*'Planted Trees'!$K18)</f>
        <v>1443083.1034125136</v>
      </c>
    </row>
    <row r="41" spans="1:43">
      <c r="B41" s="243" t="s">
        <v>31</v>
      </c>
      <c r="C41" s="236" t="s">
        <v>29</v>
      </c>
      <c r="D41" s="234">
        <f>+(D32*'Planted Trees'!$C19)</f>
        <v>136.53588749441619</v>
      </c>
      <c r="E41" s="234">
        <f>+(E32*'Planted Trees'!$C19)+(D32*'Planted Trees'!$D19)</f>
        <v>1041.1716281755039</v>
      </c>
      <c r="F41" s="234">
        <f>+(F32*'Planted Trees'!$C19)+(E32*'Planted Trees'!$D19)+(D32*'Planted Trees'!$E19)</f>
        <v>4378.2990415757577</v>
      </c>
      <c r="G41" s="234">
        <f>+(G32*'Planted Trees'!$C19)+(F32*'Planted Trees'!$D19)+(E32*'Planted Trees'!$E19)+(D32*'Planted Trees'!$F19)</f>
        <v>14716.113457469519</v>
      </c>
      <c r="H41" s="234">
        <f>+(H32*'Planted Trees'!$C19)+(G32*'Planted Trees'!$D19)+(F32*'Planted Trees'!$E19)+(E32*'Planted Trees'!$F19)+(D32*'Planted Trees'!$G19)</f>
        <v>37367.407418536903</v>
      </c>
      <c r="I41" s="234">
        <f>+(I32*'Planted Trees'!$C19)+(H32*'Planted Trees'!$D19)+(G32*'Planted Trees'!$E19)+(F32*'Planted Trees'!$F19)+(E32*'Planted Trees'!$G19)+(D32*'Planted Trees'!$H19)</f>
        <v>79436.483551863697</v>
      </c>
      <c r="J41" s="234">
        <f>+(J32*'Planted Trees'!$C19)+(I32*'Planted Trees'!$D19)+(H32*'Planted Trees'!$E19)+(G32*'Planted Trees'!$F19)+(F32*'Planted Trees'!$G19)+(E32*'Planted Trees'!$H19)+(D32*'Planted Trees'!$I19)</f>
        <v>150320.16340249262</v>
      </c>
      <c r="K41" s="234">
        <f>+(K32*'Planted Trees'!$C19)+(J32*'Planted Trees'!$D19)+(I32*'Planted Trees'!$E19)+(H32*'Planted Trees'!$F19)+(G32*'Planted Trees'!$G19)+(F32*'Planted Trees'!$H19)+(E32*'Planted Trees'!$I19)+(D32*'Planted Trees'!$J19)</f>
        <v>260417.28118047662</v>
      </c>
      <c r="L41" s="234">
        <f>+(L32*'Planted Trees'!$C19)+(K32*'Planted Trees'!$D19)+(J32*'Planted Trees'!$E19)+(I32*'Planted Trees'!$F19)+(H32*'Planted Trees'!$G19)+(G32*'Planted Trees'!$H19)+(F32*'Planted Trees'!$I19)+(E32*'Planted Trees'!$J19)+(D32*'Planted Trees'!$K19)</f>
        <v>420000.00510225189</v>
      </c>
      <c r="M41" s="234">
        <f>+(M32*'Planted Trees'!$C19)+(L32*'Planted Trees'!$D19)+(K32*'Planted Trees'!$E19)+(J32*'Planted Trees'!$F19)+(I32*'Planted Trees'!$G19)+(H32*'Planted Trees'!$H19)+(G32*'Planted Trees'!$I19)+(F32*'Planted Trees'!$J19)+(E32*'Planted Trees'!$K19)</f>
        <v>640006.51589786855</v>
      </c>
      <c r="N41" s="234">
        <f>+(N32*'Planted Trees'!$C19)+(M32*'Planted Trees'!$D19)+(L32*'Planted Trees'!$E19)+(K32*'Planted Trees'!$F19)+(J32*'Planted Trees'!$G19)+(I32*'Planted Trees'!$H19)+(H32*'Planted Trees'!$I19)+(G32*'Planted Trees'!$J19)+(F32*'Planted Trees'!$K19)</f>
        <v>923585.1825017517</v>
      </c>
      <c r="O41" s="234">
        <f>+(O32*'Planted Trees'!$C19)+(N32*'Planted Trees'!$D19)+(M32*'Planted Trees'!$E19)+(L32*'Planted Trees'!$F19)+(K32*'Planted Trees'!$G19)+(J32*'Planted Trees'!$H19)+(I32*'Planted Trees'!$I19)+(H32*'Planted Trees'!$J19)+(G32*'Planted Trees'!$K19)</f>
        <v>1277449.9490708367</v>
      </c>
      <c r="P41" s="234">
        <f>+(P32*'Planted Trees'!$C19)+(O32*'Planted Trees'!$D19)+(N32*'Planted Trees'!$E19)+(M32*'Planted Trees'!$F19)+(L32*'Planted Trees'!$G19)+(K32*'Planted Trees'!$H19)+(J32*'Planted Trees'!$I19)+(I32*'Planted Trees'!$J19)+(H32*'Planted Trees'!$K19)</f>
        <v>1707495.5169569296</v>
      </c>
      <c r="Q41" s="234">
        <f>+(Q32*'Planted Trees'!$C19)+(P32*'Planted Trees'!$D19)+(O32*'Planted Trees'!$E19)+(N32*'Planted Trees'!$F19)+(M32*'Planted Trees'!$G19)+(L32*'Planted Trees'!$H19)+(K32*'Planted Trees'!$I19)+(J32*'Planted Trees'!$J19)+(I32*'Planted Trees'!$K19)</f>
        <v>2215394.0611676639</v>
      </c>
      <c r="R41" s="234">
        <f>+(R32*'Planted Trees'!$C19)+(Q32*'Planted Trees'!$D19)+(P32*'Planted Trees'!$E19)+(O32*'Planted Trees'!$F19)+(N32*'Planted Trees'!$G19)+(M32*'Planted Trees'!$H19)+(L32*'Planted Trees'!$I19)+(K32*'Planted Trees'!$J19)+(J32*'Planted Trees'!$K19)</f>
        <v>2800606.9854514417</v>
      </c>
      <c r="S41" s="234">
        <f>+(S32*'Planted Trees'!$C19)+(R32*'Planted Trees'!$D19)+(Q32*'Planted Trees'!$E19)+(P32*'Planted Trees'!$F19)+(O32*'Planted Trees'!$G19)+(N32*'Planted Trees'!$H19)+(M32*'Planted Trees'!$I19)+(L32*'Planted Trees'!$J19)+(K32*'Planted Trees'!$K19)</f>
        <v>3397736.2574486723</v>
      </c>
      <c r="T41" s="234">
        <f>+(T32*'Planted Trees'!$C19)+(S32*'Planted Trees'!$D19)+(R32*'Planted Trees'!$E19)+(Q32*'Planted Trees'!$F19)+(P32*'Planted Trees'!$G19)+(O32*'Planted Trees'!$H19)+(N32*'Planted Trees'!$I19)+(M32*'Planted Trees'!$J19)+(L32*'Planted Trees'!$K19)</f>
        <v>4002093.5056508835</v>
      </c>
      <c r="U41" s="234">
        <f>+(U32*'Planted Trees'!$C19)+(T32*'Planted Trees'!$D19)+(S32*'Planted Trees'!$E19)+(R32*'Planted Trees'!$F19)+(Q32*'Planted Trees'!$G19)+(P32*'Planted Trees'!$H19)+(O32*'Planted Trees'!$I19)+(N32*'Planted Trees'!$J19)+(M32*'Planted Trees'!$K19)</f>
        <v>4214568.6421658034</v>
      </c>
      <c r="V41" s="234">
        <f>+(V32*'Planted Trees'!$C19)+(U32*'Planted Trees'!$D19)+(T32*'Planted Trees'!$E19)+(S32*'Planted Trees'!$F19)+(R32*'Planted Trees'!$G19)+(Q32*'Planted Trees'!$H19)+(P32*'Planted Trees'!$I19)+(O32*'Planted Trees'!$J19)+(N32*'Planted Trees'!$K19)</f>
        <v>4200343.2574026799</v>
      </c>
      <c r="W41" s="234">
        <f>+(W32*'Planted Trees'!$C19)+(V32*'Planted Trees'!$D19)+(U32*'Planted Trees'!$E19)+(T32*'Planted Trees'!$F19)+(S32*'Planted Trees'!$G19)+(R32*'Planted Trees'!$H19)+(Q32*'Planted Trees'!$I19)+(P32*'Planted Trees'!$J19)+(O32*'Planted Trees'!$K19)</f>
        <v>3932222.6782031711</v>
      </c>
      <c r="X41" s="234">
        <f>+(X32*'Planted Trees'!$C19)+(W32*'Planted Trees'!$D19)+(V32*'Planted Trees'!$E19)+(U32*'Planted Trees'!$F19)+(T32*'Planted Trees'!$G19)+(S32*'Planted Trees'!$H19)+(R32*'Planted Trees'!$I19)+(Q32*'Planted Trees'!$J19)+(P32*'Planted Trees'!$K19)</f>
        <v>3315394.4168241462</v>
      </c>
      <c r="Y41" s="234">
        <f>+(Y32*'Planted Trees'!$C19)+(X32*'Planted Trees'!$D19)+(W32*'Planted Trees'!$E19)+(V32*'Planted Trees'!$F19)+(U32*'Planted Trees'!$G19)+(T32*'Planted Trees'!$H19)+(S32*'Planted Trees'!$I19)+(R32*'Planted Trees'!$J19)+(Q32*'Planted Trees'!$K19)</f>
        <v>2462742.0144582838</v>
      </c>
      <c r="Z41" s="234">
        <f>+(Z32*'Planted Trees'!$C19)+(Y32*'Planted Trees'!$D19)+(X32*'Planted Trees'!$E19)+(W32*'Planted Trees'!$F19)+(V32*'Planted Trees'!$G19)+(U32*'Planted Trees'!$H19)+(T32*'Planted Trees'!$I19)+(S32*'Planted Trees'!$J19)+(R32*'Planted Trees'!$K19)</f>
        <v>1497916.5221582269</v>
      </c>
      <c r="AA41" s="234">
        <f>+(AA32*'Planted Trees'!$C19)+(Z32*'Planted Trees'!$D19)+(Y32*'Planted Trees'!$E19)+(X32*'Planted Trees'!$F19)+(W32*'Planted Trees'!$G19)+(V32*'Planted Trees'!$H19)+(U32*'Planted Trees'!$I19)+(T32*'Planted Trees'!$J19)+(S32*'Planted Trees'!$K19)</f>
        <v>420000.00510225189</v>
      </c>
      <c r="AB41" s="234">
        <f>+(AB32*'Planted Trees'!$C19)+(AA32*'Planted Trees'!$D19)+(Z32*'Planted Trees'!$E19)+(Y32*'Planted Trees'!$F19)+(X32*'Planted Trees'!$G19)+(W32*'Planted Trees'!$H19)+(V32*'Planted Trees'!$I19)+(U32*'Planted Trees'!$J19)+(T32*'Planted Trees'!$K19)</f>
        <v>640006.51589786855</v>
      </c>
      <c r="AC41" s="234">
        <f>+(AC32*'Planted Trees'!$C19)+(AB32*'Planted Trees'!$D19)+(AA32*'Planted Trees'!$E19)+(Z32*'Planted Trees'!$F19)+(Y32*'Planted Trees'!$G19)+(X32*'Planted Trees'!$H19)+(W32*'Planted Trees'!$I19)+(V32*'Planted Trees'!$J19)+(U32*'Planted Trees'!$K19)</f>
        <v>923585.1825017517</v>
      </c>
      <c r="AD41" s="234">
        <f>+(AD32*'Planted Trees'!$C19)+(AC32*'Planted Trees'!$D19)+(AB32*'Planted Trees'!$E19)+(AA32*'Planted Trees'!$F19)+(Z32*'Planted Trees'!$G19)+(Y32*'Planted Trees'!$H19)+(X32*'Planted Trees'!$I19)+(W32*'Planted Trees'!$J19)+(V32*'Planted Trees'!$K19)</f>
        <v>1277449.9490708367</v>
      </c>
      <c r="AE41" s="234">
        <f>+(AE32*'Planted Trees'!$C19)+(AD32*'Planted Trees'!$D19)+(AC32*'Planted Trees'!$E19)+(AB32*'Planted Trees'!$F19)+(AA32*'Planted Trees'!$G19)+(Z32*'Planted Trees'!$H19)+(Y32*'Planted Trees'!$I19)+(X32*'Planted Trees'!$J19)+(W32*'Planted Trees'!$K19)</f>
        <v>1707495.5169569296</v>
      </c>
      <c r="AF41" s="234">
        <f>+(AF32*'Planted Trees'!$C19)+(AE32*'Planted Trees'!$D19)+(AD32*'Planted Trees'!$E19)+(AC32*'Planted Trees'!$F19)+(AB32*'Planted Trees'!$G19)+(AA32*'Planted Trees'!$H19)+(Z32*'Planted Trees'!$I19)+(Y32*'Planted Trees'!$J19)+(X32*'Planted Trees'!$K19)</f>
        <v>2215394.0611676639</v>
      </c>
      <c r="AG41" s="234">
        <f>+(AG32*'Planted Trees'!$C19)+(AF32*'Planted Trees'!$D19)+(AE32*'Planted Trees'!$E19)+(AD32*'Planted Trees'!$F19)+(AC32*'Planted Trees'!$G19)+(AB32*'Planted Trees'!$H19)+(AA32*'Planted Trees'!$I19)+(Z32*'Planted Trees'!$J19)+(Y32*'Planted Trees'!$K19)</f>
        <v>2800606.9854514417</v>
      </c>
      <c r="AH41" s="234">
        <f>+(AH32*'Planted Trees'!$C19)+(AG32*'Planted Trees'!$D19)+(AF32*'Planted Trees'!$E19)+(AE32*'Planted Trees'!$F19)+(AD32*'Planted Trees'!$G19)+(AC32*'Planted Trees'!$H19)+(AB32*'Planted Trees'!$I19)+(AA32*'Planted Trees'!$J19)+(Z32*'Planted Trees'!$K19)</f>
        <v>3397736.2574486723</v>
      </c>
      <c r="AI41" s="234">
        <f>+(AI32*'Planted Trees'!$C19)+(AH32*'Planted Trees'!$D19)+(AG32*'Planted Trees'!$E19)+(AF32*'Planted Trees'!$F19)+(AE32*'Planted Trees'!$G19)+(AD32*'Planted Trees'!$H19)+(AC32*'Planted Trees'!$I19)+(AB32*'Planted Trees'!$J19)+(AA32*'Planted Trees'!$K19)</f>
        <v>4002093.5056508835</v>
      </c>
      <c r="AJ41" s="234">
        <f>+(AJ32*'Planted Trees'!$C19)+(AI32*'Planted Trees'!$D19)+(AH32*'Planted Trees'!$E19)+(AG32*'Planted Trees'!$F19)+(AF32*'Planted Trees'!$G19)+(AE32*'Planted Trees'!$H19)+(AD32*'Planted Trees'!$I19)+(AC32*'Planted Trees'!$J19)+(AB32*'Planted Trees'!$K19)</f>
        <v>4214568.6421658034</v>
      </c>
      <c r="AK41" s="234">
        <f>+(AK32*'Planted Trees'!$C19)+(AJ32*'Planted Trees'!$D19)+(AI32*'Planted Trees'!$E19)+(AH32*'Planted Trees'!$F19)+(AG32*'Planted Trees'!$G19)+(AF32*'Planted Trees'!$H19)+(AE32*'Planted Trees'!$I19)+(AD32*'Planted Trees'!$J19)+(AC32*'Planted Trees'!$K19)</f>
        <v>4200343.2574026799</v>
      </c>
      <c r="AL41" s="234">
        <f>+(AL32*'Planted Trees'!$C19)+(AK32*'Planted Trees'!$D19)+(AJ32*'Planted Trees'!$E19)+(AI32*'Planted Trees'!$F19)+(AH32*'Planted Trees'!$G19)+(AG32*'Planted Trees'!$H19)+(AF32*'Planted Trees'!$I19)+(AE32*'Planted Trees'!$J19)+(AD32*'Planted Trees'!$K19)</f>
        <v>3932222.6782031711</v>
      </c>
      <c r="AM41" s="234">
        <f>+(AM32*'Planted Trees'!$C19)+(AL32*'Planted Trees'!$D19)+(AK32*'Planted Trees'!$E19)+(AJ32*'Planted Trees'!$F19)+(AI32*'Planted Trees'!$G19)+(AH32*'Planted Trees'!$H19)+(AG32*'Planted Trees'!$I19)+(AF32*'Planted Trees'!$J19)+(AE32*'Planted Trees'!$K19)</f>
        <v>3315394.4168241462</v>
      </c>
      <c r="AN41" s="234">
        <f>+(AN32*'Planted Trees'!$C19)+(AM32*'Planted Trees'!$D19)+(AL32*'Planted Trees'!$E19)+(AK32*'Planted Trees'!$F19)+(AJ32*'Planted Trees'!$G19)+(AI32*'Planted Trees'!$H19)+(AH32*'Planted Trees'!$I19)+(AG32*'Planted Trees'!$J19)+(AF32*'Planted Trees'!$K19)</f>
        <v>2462742.0144582838</v>
      </c>
      <c r="AO41" s="234">
        <f>+(AO32*'Planted Trees'!$C19)+(AN32*'Planted Trees'!$D19)+(AM32*'Planted Trees'!$E19)+(AL32*'Planted Trees'!$F19)+(AK32*'Planted Trees'!$G19)+(AJ32*'Planted Trees'!$H19)+(AI32*'Planted Trees'!$I19)+(AH32*'Planted Trees'!$J19)+(AG32*'Planted Trees'!$K19)</f>
        <v>1497916.5221582269</v>
      </c>
      <c r="AP41" s="234">
        <f>+(AP32*'Planted Trees'!$C19)+(AO32*'Planted Trees'!$D19)+(AN32*'Planted Trees'!$E19)+(AM32*'Planted Trees'!$F19)+(AL32*'Planted Trees'!$G19)+(AK32*'Planted Trees'!$H19)+(AJ32*'Planted Trees'!$I19)+(AI32*'Planted Trees'!$J19)+(AH32*'Planted Trees'!$K19)</f>
        <v>420000.00510225189</v>
      </c>
      <c r="AQ41" s="234">
        <f>+(AQ32*'Planted Trees'!$C19)+(AP32*'Planted Trees'!$D19)+(AO32*'Planted Trees'!$E19)+(AN32*'Planted Trees'!$F19)+(AM32*'Planted Trees'!$G19)+(AL32*'Planted Trees'!$H19)+(AK32*'Planted Trees'!$I19)+(AJ32*'Planted Trees'!$J19)+(AI32*'Planted Trees'!$K19)</f>
        <v>640006.51589786855</v>
      </c>
    </row>
    <row r="42" spans="1:43">
      <c r="B42" s="162" t="s">
        <v>32</v>
      </c>
      <c r="C42" s="235" t="s">
        <v>26</v>
      </c>
      <c r="D42" s="229">
        <f t="shared" ref="D42:AQ42" si="4">SUM(D37:D41)</f>
        <v>459.94101644758791</v>
      </c>
      <c r="E42" s="229">
        <f t="shared" si="4"/>
        <v>7122.810313844393</v>
      </c>
      <c r="F42" s="229">
        <f t="shared" si="4"/>
        <v>44495.65509618634</v>
      </c>
      <c r="G42" s="229">
        <f t="shared" si="4"/>
        <v>146126.31982189903</v>
      </c>
      <c r="H42" s="229">
        <f t="shared" si="4"/>
        <v>354952.12637737754</v>
      </c>
      <c r="I42" s="229">
        <f t="shared" si="4"/>
        <v>733491.24733638985</v>
      </c>
      <c r="J42" s="229">
        <f t="shared" si="4"/>
        <v>1359525.9227383258</v>
      </c>
      <c r="K42" s="229">
        <f t="shared" si="4"/>
        <v>2341682.8095688671</v>
      </c>
      <c r="L42" s="229">
        <f t="shared" si="4"/>
        <v>3704333.0928656487</v>
      </c>
      <c r="M42" s="229">
        <f t="shared" si="4"/>
        <v>5391735.1297422191</v>
      </c>
      <c r="N42" s="229">
        <f t="shared" si="4"/>
        <v>7432103.4550337773</v>
      </c>
      <c r="O42" s="229">
        <f t="shared" si="4"/>
        <v>9755632.1855402067</v>
      </c>
      <c r="P42" s="229">
        <f t="shared" si="4"/>
        <v>12017193.036579294</v>
      </c>
      <c r="Q42" s="229">
        <f t="shared" si="4"/>
        <v>13547434.769111291</v>
      </c>
      <c r="R42" s="229">
        <f t="shared" si="4"/>
        <v>14472525.265957981</v>
      </c>
      <c r="S42" s="229">
        <f t="shared" si="4"/>
        <v>14723348.862597831</v>
      </c>
      <c r="T42" s="229">
        <f t="shared" si="4"/>
        <v>14396832.142861333</v>
      </c>
      <c r="U42" s="229">
        <f t="shared" si="4"/>
        <v>13156474.004058115</v>
      </c>
      <c r="V42" s="229">
        <f t="shared" si="4"/>
        <v>11364535.106396284</v>
      </c>
      <c r="W42" s="229">
        <f t="shared" si="4"/>
        <v>9382421.3531450927</v>
      </c>
      <c r="X42" s="229">
        <f t="shared" si="4"/>
        <v>9762057.5018225238</v>
      </c>
      <c r="Y42" s="229">
        <f t="shared" si="4"/>
        <v>10008410.951081477</v>
      </c>
      <c r="Z42" s="229">
        <f t="shared" si="4"/>
        <v>10533079.866743881</v>
      </c>
      <c r="AA42" s="229">
        <f t="shared" si="4"/>
        <v>10889021.387306735</v>
      </c>
      <c r="AB42" s="229">
        <f t="shared" si="4"/>
        <v>11656430.694728212</v>
      </c>
      <c r="AC42" s="229">
        <f t="shared" si="4"/>
        <v>12149014.919460783</v>
      </c>
      <c r="AD42" s="229">
        <f t="shared" si="4"/>
        <v>12084767.432173574</v>
      </c>
      <c r="AE42" s="229">
        <f t="shared" si="4"/>
        <v>11305134.386856593</v>
      </c>
      <c r="AF42" s="229">
        <f t="shared" si="4"/>
        <v>10359604.109070033</v>
      </c>
      <c r="AG42" s="229">
        <f t="shared" si="4"/>
        <v>9444437.6237578634</v>
      </c>
      <c r="AH42" s="229">
        <f t="shared" si="4"/>
        <v>8406719.3773433194</v>
      </c>
      <c r="AI42" s="229">
        <f t="shared" si="4"/>
        <v>10131197.542271258</v>
      </c>
      <c r="AJ42" s="229">
        <f t="shared" si="4"/>
        <v>11643555.310781091</v>
      </c>
      <c r="AK42" s="229">
        <f t="shared" si="4"/>
        <v>13235983.262248378</v>
      </c>
      <c r="AL42" s="229">
        <f t="shared" si="4"/>
        <v>14572611.57119957</v>
      </c>
      <c r="AM42" s="229">
        <f t="shared" si="4"/>
        <v>14669321.140530348</v>
      </c>
      <c r="AN42" s="229">
        <f t="shared" si="4"/>
        <v>14163948.564449921</v>
      </c>
      <c r="AO42" s="229">
        <f t="shared" si="4"/>
        <v>12945369.627615478</v>
      </c>
      <c r="AP42" s="229">
        <f t="shared" si="4"/>
        <v>10728414.984761653</v>
      </c>
      <c r="AQ42" s="229">
        <f t="shared" si="4"/>
        <v>9546395.0350331347</v>
      </c>
    </row>
    <row r="43" spans="1:43">
      <c r="AI43" s="227"/>
      <c r="AJ43" s="227"/>
      <c r="AK43" s="227"/>
      <c r="AL43" s="227"/>
      <c r="AM43" s="227"/>
      <c r="AN43" s="227"/>
      <c r="AO43" s="227"/>
      <c r="AP43" s="227"/>
      <c r="AQ43" s="227"/>
    </row>
    <row r="44" spans="1:43" s="222" customFormat="1" ht="13.5" customHeight="1">
      <c r="A44" s="215" t="s">
        <v>0</v>
      </c>
      <c r="B44" s="216" t="s">
        <v>33</v>
      </c>
      <c r="C44" s="216"/>
      <c r="D44" s="217"/>
      <c r="E44" s="218"/>
      <c r="F44" s="219"/>
      <c r="G44" s="220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</row>
    <row r="45" spans="1:43">
      <c r="B45" s="162" t="s">
        <v>34</v>
      </c>
      <c r="D45" s="227">
        <v>2022</v>
      </c>
      <c r="E45" s="227">
        <v>2023</v>
      </c>
      <c r="F45" s="227">
        <v>2024</v>
      </c>
      <c r="G45" s="227">
        <v>2025</v>
      </c>
      <c r="H45" s="227">
        <v>2026</v>
      </c>
      <c r="I45" s="227">
        <v>2027</v>
      </c>
      <c r="J45" s="227">
        <v>2028</v>
      </c>
      <c r="K45" s="227">
        <v>2029</v>
      </c>
      <c r="L45" s="227">
        <v>2030</v>
      </c>
      <c r="M45" s="227">
        <v>2031</v>
      </c>
      <c r="N45" s="227">
        <v>2032</v>
      </c>
      <c r="O45" s="227">
        <v>2033</v>
      </c>
      <c r="P45" s="227">
        <v>2034</v>
      </c>
      <c r="Q45" s="227">
        <v>2035</v>
      </c>
      <c r="R45" s="227">
        <v>2036</v>
      </c>
      <c r="S45" s="227">
        <v>2037</v>
      </c>
      <c r="T45" s="227">
        <v>2038</v>
      </c>
      <c r="U45" s="227">
        <v>2039</v>
      </c>
      <c r="V45" s="227">
        <v>2040</v>
      </c>
      <c r="W45" s="227">
        <v>2041</v>
      </c>
      <c r="X45" s="227">
        <v>2042</v>
      </c>
      <c r="Y45" s="227">
        <v>2043</v>
      </c>
      <c r="Z45" s="227">
        <v>2044</v>
      </c>
      <c r="AA45" s="227">
        <v>2045</v>
      </c>
      <c r="AB45" s="227">
        <v>2046</v>
      </c>
      <c r="AC45" s="227">
        <v>2047</v>
      </c>
      <c r="AD45" s="227">
        <v>2048</v>
      </c>
      <c r="AE45" s="227">
        <v>2049</v>
      </c>
      <c r="AF45" s="227">
        <v>2050</v>
      </c>
      <c r="AG45" s="227">
        <v>2051</v>
      </c>
      <c r="AH45" s="227">
        <v>2052</v>
      </c>
      <c r="AI45" s="227">
        <v>2053</v>
      </c>
      <c r="AJ45" s="227">
        <v>2054</v>
      </c>
      <c r="AK45" s="227">
        <v>2055</v>
      </c>
      <c r="AL45" s="227">
        <v>2056</v>
      </c>
      <c r="AM45" s="227">
        <v>2057</v>
      </c>
      <c r="AN45" s="227">
        <v>2058</v>
      </c>
      <c r="AO45" s="227">
        <v>2059</v>
      </c>
      <c r="AP45" s="227">
        <v>2060</v>
      </c>
      <c r="AQ45" s="227">
        <v>2061</v>
      </c>
    </row>
    <row r="46" spans="1:43">
      <c r="C46" s="242"/>
    </row>
    <row r="47" spans="1:43" s="233" customFormat="1">
      <c r="B47" s="237" t="s">
        <v>35</v>
      </c>
      <c r="C47" s="235" t="s">
        <v>29</v>
      </c>
      <c r="D47" s="229">
        <f t="shared" ref="D47:AQ47" si="5">D42*$C$61*$C$62</f>
        <v>792.63168501134317</v>
      </c>
      <c r="E47" s="229">
        <f t="shared" si="5"/>
        <v>12274.976440858503</v>
      </c>
      <c r="F47" s="229">
        <f t="shared" si="5"/>
        <v>76680.845615761122</v>
      </c>
      <c r="G47" s="229">
        <f t="shared" si="5"/>
        <v>251824.35782640596</v>
      </c>
      <c r="H47" s="229">
        <f t="shared" si="5"/>
        <v>611700.83112368057</v>
      </c>
      <c r="I47" s="229">
        <f t="shared" si="5"/>
        <v>1264049.9162430451</v>
      </c>
      <c r="J47" s="229">
        <f t="shared" si="5"/>
        <v>2342916.3401857144</v>
      </c>
      <c r="K47" s="229">
        <f t="shared" si="5"/>
        <v>4035500.04182368</v>
      </c>
      <c r="L47" s="229">
        <f t="shared" si="5"/>
        <v>6383800.6967051337</v>
      </c>
      <c r="M47" s="229">
        <f t="shared" si="5"/>
        <v>9291756.8735890891</v>
      </c>
      <c r="N47" s="229">
        <f t="shared" si="5"/>
        <v>12807991.62084154</v>
      </c>
      <c r="O47" s="229">
        <f t="shared" si="5"/>
        <v>16812206.133080952</v>
      </c>
      <c r="P47" s="229">
        <f t="shared" si="5"/>
        <v>20709629.333038315</v>
      </c>
      <c r="Q47" s="229">
        <f t="shared" si="5"/>
        <v>23346745.918768454</v>
      </c>
      <c r="R47" s="229">
        <f t="shared" si="5"/>
        <v>24940985.208334252</v>
      </c>
      <c r="S47" s="229">
        <f t="shared" si="5"/>
        <v>25373237.873210259</v>
      </c>
      <c r="T47" s="229">
        <f t="shared" si="5"/>
        <v>24810540.726197693</v>
      </c>
      <c r="U47" s="229">
        <f t="shared" si="5"/>
        <v>22672990.200326815</v>
      </c>
      <c r="V47" s="229">
        <f t="shared" si="5"/>
        <v>19584882.166689593</v>
      </c>
      <c r="W47" s="229">
        <f t="shared" si="5"/>
        <v>16169039.465253375</v>
      </c>
      <c r="X47" s="229">
        <f t="shared" si="5"/>
        <v>16823279.094807483</v>
      </c>
      <c r="Y47" s="229">
        <f t="shared" si="5"/>
        <v>17247828.205697078</v>
      </c>
      <c r="Z47" s="229">
        <f t="shared" si="5"/>
        <v>18152007.637021951</v>
      </c>
      <c r="AA47" s="229">
        <f t="shared" si="5"/>
        <v>18765413.524125271</v>
      </c>
      <c r="AB47" s="229">
        <f t="shared" si="5"/>
        <v>20087915.563914951</v>
      </c>
      <c r="AC47" s="229">
        <f t="shared" si="5"/>
        <v>20936802.37787075</v>
      </c>
      <c r="AD47" s="229">
        <f t="shared" si="5"/>
        <v>20826082.541445792</v>
      </c>
      <c r="AE47" s="229">
        <f t="shared" si="5"/>
        <v>19482514.92668286</v>
      </c>
      <c r="AF47" s="229">
        <f t="shared" si="5"/>
        <v>17853051.081297353</v>
      </c>
      <c r="AG47" s="229">
        <f t="shared" si="5"/>
        <v>16275914.171609383</v>
      </c>
      <c r="AH47" s="229">
        <f t="shared" si="5"/>
        <v>14487579.726954985</v>
      </c>
      <c r="AI47" s="229">
        <f t="shared" si="5"/>
        <v>17459430.431180801</v>
      </c>
      <c r="AJ47" s="229">
        <f t="shared" si="5"/>
        <v>20065726.985579412</v>
      </c>
      <c r="AK47" s="229">
        <f t="shared" si="5"/>
        <v>22810011.1552747</v>
      </c>
      <c r="AL47" s="229">
        <f t="shared" si="5"/>
        <v>25113467.274367258</v>
      </c>
      <c r="AM47" s="229">
        <f t="shared" si="5"/>
        <v>25280130.098847296</v>
      </c>
      <c r="AN47" s="229">
        <f t="shared" si="5"/>
        <v>24409204.692735359</v>
      </c>
      <c r="AO47" s="229">
        <f t="shared" si="5"/>
        <v>22309186.991590671</v>
      </c>
      <c r="AP47" s="229">
        <f t="shared" si="5"/>
        <v>18488635.157072581</v>
      </c>
      <c r="AQ47" s="229">
        <f t="shared" si="5"/>
        <v>16451620.777040433</v>
      </c>
    </row>
    <row r="48" spans="1:43">
      <c r="B48" s="237" t="s">
        <v>36</v>
      </c>
      <c r="C48" s="235" t="s">
        <v>29</v>
      </c>
      <c r="D48" s="229">
        <f>_xlfn.XLOOKUP(D45,'Total CO2'!$C:$C,'Total CO2'!$E:$E)</f>
        <v>200.09297769139064</v>
      </c>
      <c r="E48" s="229">
        <f>_xlfn.XLOOKUP(E45,'Total CO2'!$C:$C,'Total CO2'!$E:$E)</f>
        <v>5156.0411245467694</v>
      </c>
      <c r="F48" s="229">
        <f>_xlfn.XLOOKUP(F45,'Total CO2'!$C:$C,'Total CO2'!$E:$E)</f>
        <v>30494.225710676379</v>
      </c>
      <c r="G48" s="229">
        <f>_xlfn.XLOOKUP(G45,'Total CO2'!$C:$C,'Total CO2'!$E:$E)</f>
        <v>86405.764955717343</v>
      </c>
      <c r="H48" s="229">
        <f>_xlfn.XLOOKUP(H45,'Total CO2'!$C:$C,'Total CO2'!$E:$E)</f>
        <v>181228.84649391819</v>
      </c>
      <c r="I48" s="229">
        <f>_xlfn.XLOOKUP(I45,'Total CO2'!$C:$C,'Total CO2'!$E:$E)</f>
        <v>326081.05383761035</v>
      </c>
      <c r="J48" s="229">
        <f>_xlfn.XLOOKUP(J45,'Total CO2'!$C:$C,'Total CO2'!$E:$E)</f>
        <v>526521.17874295951</v>
      </c>
      <c r="K48" s="229">
        <f>_xlfn.XLOOKUP(K45,'Total CO2'!$C:$C,'Total CO2'!$E:$E)</f>
        <v>782549.22120996553</v>
      </c>
      <c r="L48" s="229">
        <f>_xlfn.XLOOKUP(L45,'Total CO2'!$C:$C,'Total CO2'!$E:$E)</f>
        <v>1094165.1812386287</v>
      </c>
      <c r="M48" s="229">
        <f>_xlfn.XLOOKUP(M45,'Total CO2'!$C:$C,'Total CO2'!$E:$E)</f>
        <v>1405781.1412672917</v>
      </c>
      <c r="N48" s="229">
        <f>_xlfn.XLOOKUP(N45,'Total CO2'!$C:$C,'Total CO2'!$E:$E)</f>
        <v>1717397.1012959545</v>
      </c>
      <c r="O48" s="229">
        <f>_xlfn.XLOOKUP(O45,'Total CO2'!$C:$C,'Total CO2'!$E:$E)</f>
        <v>2029013.0613246178</v>
      </c>
      <c r="P48" s="229">
        <f>_xlfn.XLOOKUP(P45,'Total CO2'!$C:$C,'Total CO2'!$E:$E)</f>
        <v>2340629.0213532811</v>
      </c>
      <c r="Q48" s="229">
        <f>_xlfn.XLOOKUP(Q45,'Total CO2'!$C:$C,'Total CO2'!$E:$E)</f>
        <v>2652244.9813819444</v>
      </c>
      <c r="R48" s="229">
        <f>_xlfn.XLOOKUP(R45,'Total CO2'!$C:$C,'Total CO2'!$E:$E)</f>
        <v>2963860.9414106072</v>
      </c>
      <c r="S48" s="229">
        <f>_xlfn.XLOOKUP(S45,'Total CO2'!$C:$C,'Total CO2'!$E:$E)</f>
        <v>3275476.9014392705</v>
      </c>
      <c r="T48" s="229">
        <f>_xlfn.XLOOKUP(T45,'Total CO2'!$C:$C,'Total CO2'!$E:$E)</f>
        <v>3587092.8614679333</v>
      </c>
      <c r="U48" s="229">
        <f>_xlfn.XLOOKUP(U45,'Total CO2'!$C:$C,'Total CO2'!$E:$E)</f>
        <v>3898708.8214965966</v>
      </c>
      <c r="V48" s="229">
        <f>_xlfn.XLOOKUP(V45,'Total CO2'!$C:$C,'Total CO2'!$E:$E)</f>
        <v>4210324.7815252598</v>
      </c>
      <c r="W48" s="229">
        <f>_xlfn.XLOOKUP(W45,'Total CO2'!$C:$C,'Total CO2'!$E:$E)</f>
        <v>4521940.7415539231</v>
      </c>
      <c r="X48" s="229">
        <f>_xlfn.XLOOKUP(X45,'Total CO2'!$C:$C,'Total CO2'!$E:$E)</f>
        <v>4833356.608604895</v>
      </c>
      <c r="Y48" s="229">
        <f>_xlfn.XLOOKUP(Y45,'Total CO2'!$C:$C,'Total CO2'!$E:$E)</f>
        <v>5140016.6204867018</v>
      </c>
      <c r="Z48" s="229">
        <f>_xlfn.XLOOKUP(Z45,'Total CO2'!$C:$C,'Total CO2'!$E:$E)</f>
        <v>5426294.395929235</v>
      </c>
      <c r="AA48" s="229">
        <f>_xlfn.XLOOKUP(AA45,'Total CO2'!$C:$C,'Total CO2'!$E:$E)</f>
        <v>5681998.8167128572</v>
      </c>
      <c r="AB48" s="229">
        <f>_xlfn.XLOOKUP(AB45,'Total CO2'!$C:$C,'Total CO2'!$E:$E)</f>
        <v>5898791.6952033192</v>
      </c>
      <c r="AC48" s="229">
        <f>_xlfn.XLOOKUP(AC45,'Total CO2'!$C:$C,'Total CO2'!$E:$E)</f>
        <v>6065555.4478882905</v>
      </c>
      <c r="AD48" s="229">
        <f>_xlfn.XLOOKUP(AD45,'Total CO2'!$C:$C,'Total CO2'!$E:$E)</f>
        <v>6176731.283011605</v>
      </c>
      <c r="AE48" s="229">
        <f>_xlfn.XLOOKUP(AE45,'Total CO2'!$C:$C,'Total CO2'!$E:$E)</f>
        <v>6232319.2005732618</v>
      </c>
      <c r="AF48" s="229">
        <f>_xlfn.XLOOKUP(AF45,'Total CO2'!$C:$C,'Total CO2'!$E:$E)</f>
        <v>6232319.2005732618</v>
      </c>
      <c r="AG48" s="229">
        <f>_xlfn.XLOOKUP(AG45,'Total CO2'!$C:$C,'Total CO2'!$E:$E)</f>
        <v>6232319.2005732618</v>
      </c>
      <c r="AH48" s="229">
        <f>_xlfn.XLOOKUP(AH45,'Total CO2'!$C:$C,'Total CO2'!$E:$E)</f>
        <v>6232319.2005732618</v>
      </c>
      <c r="AI48" s="229">
        <f>_xlfn.XLOOKUP(AI45,'Total CO2'!$C:$C,'Total CO2'!$E:$E)</f>
        <v>6232319.2005732618</v>
      </c>
      <c r="AJ48" s="229">
        <f>_xlfn.XLOOKUP(AJ45,'Total CO2'!$C:$C,'Total CO2'!$E:$E)</f>
        <v>6232319.2005732618</v>
      </c>
      <c r="AK48" s="229">
        <f>_xlfn.XLOOKUP(AK45,'Total CO2'!$C:$C,'Total CO2'!$E:$E)</f>
        <v>6232319.2005732618</v>
      </c>
      <c r="AL48" s="229">
        <f>_xlfn.XLOOKUP(AL45,'Total CO2'!$C:$C,'Total CO2'!$E:$E)</f>
        <v>6232319.2005732618</v>
      </c>
      <c r="AM48" s="229">
        <f>_xlfn.XLOOKUP(AM45,'Total CO2'!$C:$C,'Total CO2'!$E:$E)</f>
        <v>6232319.2005732618</v>
      </c>
      <c r="AN48" s="229">
        <f>_xlfn.XLOOKUP(AN45,'Total CO2'!$C:$C,'Total CO2'!$E:$E)</f>
        <v>6232319.2005732618</v>
      </c>
      <c r="AO48" s="229">
        <f>_xlfn.XLOOKUP(AO45,'Total CO2'!$C:$C,'Total CO2'!$E:$E)</f>
        <v>6232319.2005732618</v>
      </c>
      <c r="AP48" s="229">
        <f>_xlfn.XLOOKUP(AP45,'Total CO2'!$C:$C,'Total CO2'!$E:$E)</f>
        <v>6232319.2005732618</v>
      </c>
      <c r="AQ48" s="229">
        <f>_xlfn.XLOOKUP(AQ45,'Total CO2'!$C:$C,'Total CO2'!$E:$E)</f>
        <v>6232319.2005732618</v>
      </c>
    </row>
    <row r="49" spans="2:43">
      <c r="B49" s="237" t="s">
        <v>37</v>
      </c>
      <c r="C49" s="235" t="s">
        <v>29</v>
      </c>
      <c r="D49" s="229">
        <f>_xlfn.XLOOKUP(D45,'Total CO2'!$C:$C,'Total CO2'!$F:$F)</f>
        <v>7.926316850113432</v>
      </c>
      <c r="E49" s="229">
        <f>_xlfn.XLOOKUP(E45,'Total CO2'!$C:$C,'Total CO2'!$F:$F)</f>
        <v>122.74976440858504</v>
      </c>
      <c r="F49" s="229">
        <f>_xlfn.XLOOKUP(F45,'Total CO2'!$C:$C,'Total CO2'!$F:$F)</f>
        <v>766.8084561576112</v>
      </c>
      <c r="G49" s="229">
        <f>_xlfn.XLOOKUP(G45,'Total CO2'!$C:$C,'Total CO2'!$F:$F)</f>
        <v>2518.2435782640596</v>
      </c>
      <c r="H49" s="229">
        <f>_xlfn.XLOOKUP(H45,'Total CO2'!$C:$C,'Total CO2'!$F:$F)</f>
        <v>6117.0083112368056</v>
      </c>
      <c r="I49" s="229">
        <f>_xlfn.XLOOKUP(I45,'Total CO2'!$C:$C,'Total CO2'!$F:$F)</f>
        <v>12640.499162430451</v>
      </c>
      <c r="J49" s="229">
        <f>_xlfn.XLOOKUP(J45,'Total CO2'!$C:$C,'Total CO2'!$F:$F)</f>
        <v>23429.163401857146</v>
      </c>
      <c r="K49" s="229">
        <f>_xlfn.XLOOKUP(K45,'Total CO2'!$C:$C,'Total CO2'!$F:$F)</f>
        <v>40355.000418236799</v>
      </c>
      <c r="L49" s="229">
        <f>_xlfn.XLOOKUP(L45,'Total CO2'!$C:$C,'Total CO2'!$F:$F)</f>
        <v>63838.00696705134</v>
      </c>
      <c r="M49" s="229">
        <f>_xlfn.XLOOKUP(M45,'Total CO2'!$C:$C,'Total CO2'!$F:$F)</f>
        <v>92917.568735890891</v>
      </c>
      <c r="N49" s="229">
        <f>_xlfn.XLOOKUP(N45,'Total CO2'!$C:$C,'Total CO2'!$F:$F)</f>
        <v>128079.91620841541</v>
      </c>
      <c r="O49" s="229">
        <f>_xlfn.XLOOKUP(O45,'Total CO2'!$C:$C,'Total CO2'!$F:$F)</f>
        <v>168122.06133080952</v>
      </c>
      <c r="P49" s="229">
        <f>_xlfn.XLOOKUP(P45,'Total CO2'!$C:$C,'Total CO2'!$F:$F)</f>
        <v>207096.29333038317</v>
      </c>
      <c r="Q49" s="229">
        <f>_xlfn.XLOOKUP(Q45,'Total CO2'!$C:$C,'Total CO2'!$F:$F)</f>
        <v>233467.45918768455</v>
      </c>
      <c r="R49" s="229">
        <f>_xlfn.XLOOKUP(R45,'Total CO2'!$C:$C,'Total CO2'!$F:$F)</f>
        <v>249409.85208334253</v>
      </c>
      <c r="S49" s="229">
        <f>_xlfn.XLOOKUP(S45,'Total CO2'!$C:$C,'Total CO2'!$F:$F)</f>
        <v>253732.3787321026</v>
      </c>
      <c r="T49" s="229">
        <f>_xlfn.XLOOKUP(T45,'Total CO2'!$C:$C,'Total CO2'!$F:$F)</f>
        <v>248105.40726197694</v>
      </c>
      <c r="U49" s="229">
        <f>_xlfn.XLOOKUP(U45,'Total CO2'!$C:$C,'Total CO2'!$F:$F)</f>
        <v>226729.90200326816</v>
      </c>
      <c r="V49" s="229">
        <f>_xlfn.XLOOKUP(V45,'Total CO2'!$C:$C,'Total CO2'!$F:$F)</f>
        <v>195848.82166689594</v>
      </c>
      <c r="W49" s="229">
        <f>_xlfn.XLOOKUP(W45,'Total CO2'!$C:$C,'Total CO2'!$F:$F)</f>
        <v>161690.39465253375</v>
      </c>
      <c r="X49" s="229">
        <f>_xlfn.XLOOKUP(X45,'Total CO2'!$C:$C,'Total CO2'!$F:$F)</f>
        <v>168232.79094807483</v>
      </c>
      <c r="Y49" s="229">
        <f>_xlfn.XLOOKUP(Y45,'Total CO2'!$C:$C,'Total CO2'!$F:$F)</f>
        <v>172478.28205697078</v>
      </c>
      <c r="Z49" s="229">
        <f>_xlfn.XLOOKUP(Z45,'Total CO2'!$C:$C,'Total CO2'!$F:$F)</f>
        <v>181520.07637021953</v>
      </c>
      <c r="AA49" s="229">
        <f>_xlfn.XLOOKUP(AA45,'Total CO2'!$C:$C,'Total CO2'!$F:$F)</f>
        <v>187654.13524125272</v>
      </c>
      <c r="AB49" s="229">
        <f>_xlfn.XLOOKUP(AB45,'Total CO2'!$C:$C,'Total CO2'!$F:$F)</f>
        <v>200879.15563914951</v>
      </c>
      <c r="AC49" s="229">
        <f>_xlfn.XLOOKUP(AC45,'Total CO2'!$C:$C,'Total CO2'!$F:$F)</f>
        <v>209368.02377870749</v>
      </c>
      <c r="AD49" s="229">
        <f>_xlfn.XLOOKUP(AD45,'Total CO2'!$C:$C,'Total CO2'!$F:$F)</f>
        <v>208260.82541445791</v>
      </c>
      <c r="AE49" s="229">
        <f>_xlfn.XLOOKUP(AE45,'Total CO2'!$C:$C,'Total CO2'!$F:$F)</f>
        <v>194825.14926682861</v>
      </c>
      <c r="AF49" s="229">
        <f>_xlfn.XLOOKUP(AF45,'Total CO2'!$C:$C,'Total CO2'!$F:$F)</f>
        <v>178530.51081297355</v>
      </c>
      <c r="AG49" s="229">
        <f>_xlfn.XLOOKUP(AG45,'Total CO2'!$C:$C,'Total CO2'!$F:$F)</f>
        <v>162759.14171609384</v>
      </c>
      <c r="AH49" s="229">
        <f>_xlfn.XLOOKUP(AH45,'Total CO2'!$C:$C,'Total CO2'!$F:$F)</f>
        <v>144875.79726954986</v>
      </c>
      <c r="AI49" s="229">
        <f>_xlfn.XLOOKUP(AI45,'Total CO2'!$C:$C,'Total CO2'!$F:$F)</f>
        <v>174594.30431180802</v>
      </c>
      <c r="AJ49" s="229">
        <f>_xlfn.XLOOKUP(AJ45,'Total CO2'!$C:$C,'Total CO2'!$F:$F)</f>
        <v>200657.26985579412</v>
      </c>
      <c r="AK49" s="229">
        <f>_xlfn.XLOOKUP(AK45,'Total CO2'!$C:$C,'Total CO2'!$F:$F)</f>
        <v>228100.111552747</v>
      </c>
      <c r="AL49" s="229">
        <f>_xlfn.XLOOKUP(AL45,'Total CO2'!$C:$C,'Total CO2'!$F:$F)</f>
        <v>251134.67274367259</v>
      </c>
      <c r="AM49" s="229">
        <f>_xlfn.XLOOKUP(AM45,'Total CO2'!$C:$C,'Total CO2'!$F:$F)</f>
        <v>252801.30098847297</v>
      </c>
      <c r="AN49" s="229">
        <f>_xlfn.XLOOKUP(AN45,'Total CO2'!$C:$C,'Total CO2'!$F:$F)</f>
        <v>244092.0469273536</v>
      </c>
      <c r="AO49" s="229">
        <f>_xlfn.XLOOKUP(AO45,'Total CO2'!$C:$C,'Total CO2'!$F:$F)</f>
        <v>223091.86991590672</v>
      </c>
      <c r="AP49" s="229">
        <f>_xlfn.XLOOKUP(AP45,'Total CO2'!$C:$C,'Total CO2'!$F:$F)</f>
        <v>184886.35157072582</v>
      </c>
      <c r="AQ49" s="229">
        <f>_xlfn.XLOOKUP(AQ45,'Total CO2'!$C:$C,'Total CO2'!$F:$F)</f>
        <v>164516.20777040435</v>
      </c>
    </row>
    <row r="50" spans="2:43">
      <c r="B50" s="238" t="s">
        <v>38</v>
      </c>
      <c r="C50" s="236" t="s">
        <v>29</v>
      </c>
      <c r="D50" s="234">
        <f>_xlfn.XLOOKUP(D45,'Total CO2'!$C:$C,'Total CO2'!$G:$G)</f>
        <v>7.926316850113432</v>
      </c>
      <c r="E50" s="234">
        <f>_xlfn.XLOOKUP(E45,'Total CO2'!$C:$C,'Total CO2'!$G:$G)</f>
        <v>122.74976440858504</v>
      </c>
      <c r="F50" s="234">
        <f>_xlfn.XLOOKUP(F45,'Total CO2'!$C:$C,'Total CO2'!$G:$G)</f>
        <v>766.8084561576112</v>
      </c>
      <c r="G50" s="234">
        <f>_xlfn.XLOOKUP(G45,'Total CO2'!$C:$C,'Total CO2'!$G:$G)</f>
        <v>2518.2435782640596</v>
      </c>
      <c r="H50" s="234">
        <f>_xlfn.XLOOKUP(H45,'Total CO2'!$C:$C,'Total CO2'!$G:$G)</f>
        <v>6117.0083112368056</v>
      </c>
      <c r="I50" s="234">
        <f>_xlfn.XLOOKUP(I45,'Total CO2'!$C:$C,'Total CO2'!$G:$G)</f>
        <v>12640.499162430451</v>
      </c>
      <c r="J50" s="234">
        <f>_xlfn.XLOOKUP(J45,'Total CO2'!$C:$C,'Total CO2'!$G:$G)</f>
        <v>23429.163401857146</v>
      </c>
      <c r="K50" s="234">
        <f>_xlfn.XLOOKUP(K45,'Total CO2'!$C:$C,'Total CO2'!$G:$G)</f>
        <v>40355.000418236799</v>
      </c>
      <c r="L50" s="234">
        <f>_xlfn.XLOOKUP(L45,'Total CO2'!$C:$C,'Total CO2'!$G:$G)</f>
        <v>63838.00696705134</v>
      </c>
      <c r="M50" s="234">
        <f>_xlfn.XLOOKUP(M45,'Total CO2'!$C:$C,'Total CO2'!$G:$G)</f>
        <v>92917.568735890891</v>
      </c>
      <c r="N50" s="234">
        <f>_xlfn.XLOOKUP(N45,'Total CO2'!$C:$C,'Total CO2'!$G:$G)</f>
        <v>128079.91620841541</v>
      </c>
      <c r="O50" s="234">
        <f>_xlfn.XLOOKUP(O45,'Total CO2'!$C:$C,'Total CO2'!$G:$G)</f>
        <v>168122.06133080952</v>
      </c>
      <c r="P50" s="234">
        <f>_xlfn.XLOOKUP(P45,'Total CO2'!$C:$C,'Total CO2'!$G:$G)</f>
        <v>207096.29333038317</v>
      </c>
      <c r="Q50" s="234">
        <f>_xlfn.XLOOKUP(Q45,'Total CO2'!$C:$C,'Total CO2'!$G:$G)</f>
        <v>233467.45918768455</v>
      </c>
      <c r="R50" s="234">
        <f>_xlfn.XLOOKUP(R45,'Total CO2'!$C:$C,'Total CO2'!$G:$G)</f>
        <v>249409.85208334253</v>
      </c>
      <c r="S50" s="234">
        <f>_xlfn.XLOOKUP(S45,'Total CO2'!$C:$C,'Total CO2'!$G:$G)</f>
        <v>253732.3787321026</v>
      </c>
      <c r="T50" s="234">
        <f>_xlfn.XLOOKUP(T45,'Total CO2'!$C:$C,'Total CO2'!$G:$G)</f>
        <v>248105.40726197694</v>
      </c>
      <c r="U50" s="234">
        <f>_xlfn.XLOOKUP(U45,'Total CO2'!$C:$C,'Total CO2'!$G:$G)</f>
        <v>226729.90200326816</v>
      </c>
      <c r="V50" s="234">
        <f>_xlfn.XLOOKUP(V45,'Total CO2'!$C:$C,'Total CO2'!$G:$G)</f>
        <v>195848.82166689594</v>
      </c>
      <c r="W50" s="234">
        <f>_xlfn.XLOOKUP(W45,'Total CO2'!$C:$C,'Total CO2'!$G:$G)</f>
        <v>161690.39465253375</v>
      </c>
      <c r="X50" s="234">
        <f>_xlfn.XLOOKUP(X45,'Total CO2'!$C:$C,'Total CO2'!$G:$G)</f>
        <v>168232.79094807483</v>
      </c>
      <c r="Y50" s="234">
        <f>_xlfn.XLOOKUP(Y45,'Total CO2'!$C:$C,'Total CO2'!$G:$G)</f>
        <v>172478.28205697078</v>
      </c>
      <c r="Z50" s="234">
        <f>_xlfn.XLOOKUP(Z45,'Total CO2'!$C:$C,'Total CO2'!$G:$G)</f>
        <v>181520.07637021953</v>
      </c>
      <c r="AA50" s="234">
        <f>_xlfn.XLOOKUP(AA45,'Total CO2'!$C:$C,'Total CO2'!$G:$G)</f>
        <v>187654.13524125272</v>
      </c>
      <c r="AB50" s="234">
        <f>_xlfn.XLOOKUP(AB45,'Total CO2'!$C:$C,'Total CO2'!$G:$G)</f>
        <v>200879.15563914951</v>
      </c>
      <c r="AC50" s="234">
        <f>_xlfn.XLOOKUP(AC45,'Total CO2'!$C:$C,'Total CO2'!$G:$G)</f>
        <v>209368.02377870749</v>
      </c>
      <c r="AD50" s="234">
        <f>_xlfn.XLOOKUP(AD45,'Total CO2'!$C:$C,'Total CO2'!$G:$G)</f>
        <v>208260.82541445791</v>
      </c>
      <c r="AE50" s="234">
        <f>_xlfn.XLOOKUP(AE45,'Total CO2'!$C:$C,'Total CO2'!$G:$G)</f>
        <v>194825.14926682861</v>
      </c>
      <c r="AF50" s="234">
        <f>_xlfn.XLOOKUP(AF45,'Total CO2'!$C:$C,'Total CO2'!$G:$G)</f>
        <v>178530.51081297355</v>
      </c>
      <c r="AG50" s="234">
        <f>_xlfn.XLOOKUP(AG45,'Total CO2'!$C:$C,'Total CO2'!$G:$G)</f>
        <v>162759.14171609384</v>
      </c>
      <c r="AH50" s="234">
        <f>_xlfn.XLOOKUP(AH45,'Total CO2'!$C:$C,'Total CO2'!$G:$G)</f>
        <v>144875.79726954986</v>
      </c>
      <c r="AI50" s="234">
        <f>_xlfn.XLOOKUP(AI45,'Total CO2'!$C:$C,'Total CO2'!$G:$G)</f>
        <v>174594.30431180802</v>
      </c>
      <c r="AJ50" s="234">
        <f>_xlfn.XLOOKUP(AJ45,'Total CO2'!$C:$C,'Total CO2'!$G:$G)</f>
        <v>200657.26985579412</v>
      </c>
      <c r="AK50" s="234">
        <f>_xlfn.XLOOKUP(AK45,'Total CO2'!$C:$C,'Total CO2'!$G:$G)</f>
        <v>228100.111552747</v>
      </c>
      <c r="AL50" s="234">
        <f>_xlfn.XLOOKUP(AL45,'Total CO2'!$C:$C,'Total CO2'!$G:$G)</f>
        <v>251134.67274367259</v>
      </c>
      <c r="AM50" s="234">
        <f>_xlfn.XLOOKUP(AM45,'Total CO2'!$C:$C,'Total CO2'!$G:$G)</f>
        <v>252801.30098847297</v>
      </c>
      <c r="AN50" s="234">
        <f>_xlfn.XLOOKUP(AN45,'Total CO2'!$C:$C,'Total CO2'!$G:$G)</f>
        <v>244092.0469273536</v>
      </c>
      <c r="AO50" s="234">
        <f>_xlfn.XLOOKUP(AO45,'Total CO2'!$C:$C,'Total CO2'!$G:$G)</f>
        <v>223091.86991590672</v>
      </c>
      <c r="AP50" s="234">
        <f>_xlfn.XLOOKUP(AP45,'Total CO2'!$C:$C,'Total CO2'!$G:$G)</f>
        <v>184886.35157072582</v>
      </c>
      <c r="AQ50" s="234">
        <f>_xlfn.XLOOKUP(AQ45,'Total CO2'!$C:$C,'Total CO2'!$G:$G)</f>
        <v>164516.20777040435</v>
      </c>
    </row>
    <row r="51" spans="2:43">
      <c r="B51" s="162" t="s">
        <v>11</v>
      </c>
      <c r="C51" s="235" t="s">
        <v>29</v>
      </c>
      <c r="D51" s="229">
        <f>SUM(D47:D50)*131/365</f>
        <v>361.98253651722695</v>
      </c>
      <c r="E51" s="229">
        <f t="shared" ref="E51:AP51" si="6">SUM(E47:E50)</f>
        <v>17676.517094222443</v>
      </c>
      <c r="F51" s="229">
        <f t="shared" si="6"/>
        <v>108708.68823875271</v>
      </c>
      <c r="G51" s="229">
        <f t="shared" si="6"/>
        <v>343266.60993865144</v>
      </c>
      <c r="H51" s="229">
        <f t="shared" si="6"/>
        <v>805163.69424007251</v>
      </c>
      <c r="I51" s="229">
        <f t="shared" si="6"/>
        <v>1615411.9684055164</v>
      </c>
      <c r="J51" s="229">
        <f t="shared" si="6"/>
        <v>2916295.8457323881</v>
      </c>
      <c r="K51" s="229">
        <f t="shared" si="6"/>
        <v>4898759.2638701182</v>
      </c>
      <c r="L51" s="229">
        <f t="shared" si="6"/>
        <v>7605641.8918778645</v>
      </c>
      <c r="M51" s="229">
        <f t="shared" si="6"/>
        <v>10883373.152328162</v>
      </c>
      <c r="N51" s="229">
        <f t="shared" si="6"/>
        <v>14781548.554554328</v>
      </c>
      <c r="O51" s="229">
        <f t="shared" si="6"/>
        <v>19177463.317067191</v>
      </c>
      <c r="P51" s="229">
        <f t="shared" si="6"/>
        <v>23464450.941052362</v>
      </c>
      <c r="Q51" s="229">
        <f t="shared" si="6"/>
        <v>26465925.818525765</v>
      </c>
      <c r="R51" s="229">
        <f t="shared" si="6"/>
        <v>28403665.853911549</v>
      </c>
      <c r="S51" s="229">
        <f t="shared" si="6"/>
        <v>29156179.532113738</v>
      </c>
      <c r="T51" s="229">
        <f t="shared" si="6"/>
        <v>28893844.402189575</v>
      </c>
      <c r="U51" s="229">
        <f t="shared" si="6"/>
        <v>27025158.825829953</v>
      </c>
      <c r="V51" s="229">
        <f t="shared" si="6"/>
        <v>24186904.591548644</v>
      </c>
      <c r="W51" s="229">
        <f t="shared" si="6"/>
        <v>21014360.996112369</v>
      </c>
      <c r="X51" s="229">
        <f t="shared" si="6"/>
        <v>21993101.285308525</v>
      </c>
      <c r="Y51" s="229">
        <f t="shared" si="6"/>
        <v>22732801.390297726</v>
      </c>
      <c r="Z51" s="229">
        <f t="shared" si="6"/>
        <v>23941342.185691629</v>
      </c>
      <c r="AA51" s="229">
        <f t="shared" si="6"/>
        <v>24822720.61132063</v>
      </c>
      <c r="AB51" s="229">
        <f t="shared" si="6"/>
        <v>26388465.570396569</v>
      </c>
      <c r="AC51" s="229">
        <f t="shared" si="6"/>
        <v>27421093.873316452</v>
      </c>
      <c r="AD51" s="229">
        <f t="shared" si="6"/>
        <v>27419335.475286309</v>
      </c>
      <c r="AE51" s="229">
        <f t="shared" si="6"/>
        <v>26104484.425789777</v>
      </c>
      <c r="AF51" s="229">
        <f t="shared" si="6"/>
        <v>24442431.303496558</v>
      </c>
      <c r="AG51" s="229">
        <f t="shared" si="6"/>
        <v>22833751.655614831</v>
      </c>
      <c r="AH51" s="229">
        <f t="shared" si="6"/>
        <v>21009650.522067346</v>
      </c>
      <c r="AI51" s="229">
        <f t="shared" si="6"/>
        <v>24040938.240377679</v>
      </c>
      <c r="AJ51" s="229">
        <f t="shared" si="6"/>
        <v>26699360.725864261</v>
      </c>
      <c r="AK51" s="229">
        <f t="shared" si="6"/>
        <v>29498530.57895346</v>
      </c>
      <c r="AL51" s="229">
        <f t="shared" si="6"/>
        <v>31848055.820427869</v>
      </c>
      <c r="AM51" s="229">
        <f t="shared" si="6"/>
        <v>32018051.901397504</v>
      </c>
      <c r="AN51" s="229">
        <f t="shared" si="6"/>
        <v>31129707.987163331</v>
      </c>
      <c r="AO51" s="229">
        <f t="shared" si="6"/>
        <v>28987689.931995746</v>
      </c>
      <c r="AP51" s="229">
        <f t="shared" si="6"/>
        <v>25090727.060787294</v>
      </c>
      <c r="AQ51" s="229">
        <f>SUM(AQ47:AQ50)</f>
        <v>23012972.393154502</v>
      </c>
    </row>
    <row r="52" spans="2:43">
      <c r="AI52" s="227"/>
    </row>
    <row r="53" spans="2:43">
      <c r="B53" s="162" t="s">
        <v>39</v>
      </c>
      <c r="E53" s="229">
        <f>E51+D51</f>
        <v>18038.499630739669</v>
      </c>
      <c r="F53" s="229">
        <f t="shared" ref="F53:AP53" si="7">F51</f>
        <v>108708.68823875271</v>
      </c>
      <c r="G53" s="229">
        <f t="shared" si="7"/>
        <v>343266.60993865144</v>
      </c>
      <c r="H53" s="229">
        <f t="shared" si="7"/>
        <v>805163.69424007251</v>
      </c>
      <c r="I53" s="229">
        <f t="shared" si="7"/>
        <v>1615411.9684055164</v>
      </c>
      <c r="J53" s="229">
        <f t="shared" si="7"/>
        <v>2916295.8457323881</v>
      </c>
      <c r="K53" s="229">
        <f t="shared" si="7"/>
        <v>4898759.2638701182</v>
      </c>
      <c r="L53" s="229">
        <f t="shared" si="7"/>
        <v>7605641.8918778645</v>
      </c>
      <c r="M53" s="229">
        <f t="shared" si="7"/>
        <v>10883373.152328162</v>
      </c>
      <c r="N53" s="229">
        <f t="shared" si="7"/>
        <v>14781548.554554328</v>
      </c>
      <c r="O53" s="229">
        <f t="shared" si="7"/>
        <v>19177463.317067191</v>
      </c>
      <c r="P53" s="229">
        <f t="shared" si="7"/>
        <v>23464450.941052362</v>
      </c>
      <c r="Q53" s="229">
        <f t="shared" si="7"/>
        <v>26465925.818525765</v>
      </c>
      <c r="R53" s="229">
        <f t="shared" si="7"/>
        <v>28403665.853911549</v>
      </c>
      <c r="S53" s="229">
        <f t="shared" si="7"/>
        <v>29156179.532113738</v>
      </c>
      <c r="T53" s="229">
        <f t="shared" si="7"/>
        <v>28893844.402189575</v>
      </c>
      <c r="U53" s="229">
        <f t="shared" si="7"/>
        <v>27025158.825829953</v>
      </c>
      <c r="V53" s="229">
        <f t="shared" si="7"/>
        <v>24186904.591548644</v>
      </c>
      <c r="W53" s="229">
        <f t="shared" si="7"/>
        <v>21014360.996112369</v>
      </c>
      <c r="X53" s="229">
        <f t="shared" si="7"/>
        <v>21993101.285308525</v>
      </c>
      <c r="Y53" s="229">
        <f t="shared" si="7"/>
        <v>22732801.390297726</v>
      </c>
      <c r="Z53" s="229">
        <f t="shared" si="7"/>
        <v>23941342.185691629</v>
      </c>
      <c r="AA53" s="229">
        <f t="shared" si="7"/>
        <v>24822720.61132063</v>
      </c>
      <c r="AB53" s="229">
        <f t="shared" si="7"/>
        <v>26388465.570396569</v>
      </c>
      <c r="AC53" s="229">
        <f t="shared" si="7"/>
        <v>27421093.873316452</v>
      </c>
      <c r="AD53" s="229">
        <f t="shared" si="7"/>
        <v>27419335.475286309</v>
      </c>
      <c r="AE53" s="229">
        <f t="shared" si="7"/>
        <v>26104484.425789777</v>
      </c>
      <c r="AF53" s="229">
        <f t="shared" si="7"/>
        <v>24442431.303496558</v>
      </c>
      <c r="AG53" s="229">
        <f t="shared" si="7"/>
        <v>22833751.655614831</v>
      </c>
      <c r="AH53" s="229">
        <f t="shared" si="7"/>
        <v>21009650.522067346</v>
      </c>
      <c r="AI53" s="229">
        <f t="shared" si="7"/>
        <v>24040938.240377679</v>
      </c>
      <c r="AJ53" s="229">
        <f t="shared" si="7"/>
        <v>26699360.725864261</v>
      </c>
      <c r="AK53" s="229">
        <f t="shared" si="7"/>
        <v>29498530.57895346</v>
      </c>
      <c r="AL53" s="229">
        <f t="shared" si="7"/>
        <v>31848055.820427869</v>
      </c>
      <c r="AM53" s="229">
        <f t="shared" si="7"/>
        <v>32018051.901397504</v>
      </c>
      <c r="AN53" s="229">
        <f t="shared" si="7"/>
        <v>31129707.987163331</v>
      </c>
      <c r="AO53" s="229">
        <f t="shared" si="7"/>
        <v>28987689.931995746</v>
      </c>
      <c r="AP53" s="229">
        <f t="shared" si="7"/>
        <v>25090727.060787294</v>
      </c>
    </row>
    <row r="54" spans="2:43">
      <c r="B54" s="162" t="s">
        <v>40</v>
      </c>
      <c r="F54" s="229">
        <f t="shared" ref="F54:AQ54" si="8">E53-D53</f>
        <v>18038.499630739669</v>
      </c>
      <c r="G54" s="229">
        <f t="shared" si="8"/>
        <v>90670.18860801305</v>
      </c>
      <c r="H54" s="229">
        <f t="shared" si="8"/>
        <v>234557.92169989872</v>
      </c>
      <c r="I54" s="229">
        <f t="shared" si="8"/>
        <v>461897.08430142107</v>
      </c>
      <c r="J54" s="229">
        <f t="shared" si="8"/>
        <v>810248.27416544384</v>
      </c>
      <c r="K54" s="229">
        <f t="shared" si="8"/>
        <v>1300883.8773268717</v>
      </c>
      <c r="L54" s="229">
        <f t="shared" si="8"/>
        <v>1982463.4181377301</v>
      </c>
      <c r="M54" s="229">
        <f t="shared" si="8"/>
        <v>2706882.6280077463</v>
      </c>
      <c r="N54" s="229">
        <f t="shared" si="8"/>
        <v>3277731.260450297</v>
      </c>
      <c r="O54" s="229">
        <f t="shared" si="8"/>
        <v>3898175.4022261668</v>
      </c>
      <c r="P54" s="229">
        <f t="shared" si="8"/>
        <v>4395914.7625128627</v>
      </c>
      <c r="Q54" s="229">
        <f t="shared" si="8"/>
        <v>4286987.6239851713</v>
      </c>
      <c r="R54" s="229">
        <f t="shared" si="8"/>
        <v>3001474.8774734028</v>
      </c>
      <c r="S54" s="229">
        <f t="shared" si="8"/>
        <v>1937740.0353857838</v>
      </c>
      <c r="T54" s="229">
        <f t="shared" si="8"/>
        <v>752513.67820218951</v>
      </c>
      <c r="U54" s="229">
        <f t="shared" si="8"/>
        <v>-262335.12992416322</v>
      </c>
      <c r="V54" s="229">
        <f t="shared" si="8"/>
        <v>-1868685.5763596222</v>
      </c>
      <c r="W54" s="229">
        <f t="shared" si="8"/>
        <v>-2838254.2342813089</v>
      </c>
      <c r="X54" s="229">
        <f t="shared" si="8"/>
        <v>-3172543.595436275</v>
      </c>
      <c r="Y54" s="229">
        <f t="shared" si="8"/>
        <v>978740.28919615597</v>
      </c>
      <c r="Z54" s="229">
        <f t="shared" si="8"/>
        <v>739700.10498920083</v>
      </c>
      <c r="AA54" s="229">
        <f t="shared" si="8"/>
        <v>1208540.7953939028</v>
      </c>
      <c r="AB54" s="229">
        <f t="shared" si="8"/>
        <v>881378.42562900111</v>
      </c>
      <c r="AC54" s="229">
        <f t="shared" si="8"/>
        <v>1565744.9590759389</v>
      </c>
      <c r="AD54" s="229">
        <f t="shared" si="8"/>
        <v>1032628.3029198833</v>
      </c>
      <c r="AE54" s="229">
        <f t="shared" si="8"/>
        <v>-1758.3980301432312</v>
      </c>
      <c r="AF54" s="229">
        <f t="shared" si="8"/>
        <v>-1314851.0494965315</v>
      </c>
      <c r="AG54" s="229">
        <f t="shared" si="8"/>
        <v>-1662053.122293219</v>
      </c>
      <c r="AH54" s="229">
        <f t="shared" si="8"/>
        <v>-1608679.6478817277</v>
      </c>
      <c r="AI54" s="229">
        <f t="shared" si="8"/>
        <v>-1824101.1335474849</v>
      </c>
      <c r="AJ54" s="229">
        <f t="shared" si="8"/>
        <v>3031287.7183103338</v>
      </c>
      <c r="AK54" s="229">
        <f t="shared" si="8"/>
        <v>2658422.4854865819</v>
      </c>
      <c r="AL54" s="229">
        <f t="shared" si="8"/>
        <v>2799169.8530891985</v>
      </c>
      <c r="AM54" s="229">
        <f t="shared" si="8"/>
        <v>2349525.2414744087</v>
      </c>
      <c r="AN54" s="229">
        <f t="shared" si="8"/>
        <v>169996.0809696354</v>
      </c>
      <c r="AO54" s="229">
        <f t="shared" si="8"/>
        <v>-888343.91423417255</v>
      </c>
      <c r="AP54" s="229">
        <f t="shared" si="8"/>
        <v>-2142018.0551675856</v>
      </c>
      <c r="AQ54" s="229">
        <f t="shared" si="8"/>
        <v>-3896962.8712084517</v>
      </c>
    </row>
    <row r="55" spans="2:43">
      <c r="B55" s="162" t="s">
        <v>41</v>
      </c>
      <c r="F55" s="229">
        <f>IF(SUM($E$55:E55)&lt;$C$60,F54,"0")</f>
        <v>18038.499630739669</v>
      </c>
      <c r="G55" s="229">
        <f>IF(SUM($E$55:F55)&lt;$C$60,G54,"0")</f>
        <v>90670.18860801305</v>
      </c>
      <c r="H55" s="229">
        <f>IF(SUM($E$55:G55)&lt;$C$60,H54,"0")</f>
        <v>234557.92169989872</v>
      </c>
      <c r="I55" s="229">
        <f>IF(SUM($E$55:H55)&lt;$C$60,I54,"0")</f>
        <v>461897.08430142107</v>
      </c>
      <c r="J55" s="229">
        <f>IF(SUM($E$55:I55)&lt;$C$60,J54,"0")</f>
        <v>810248.27416544384</v>
      </c>
      <c r="K55" s="229">
        <f>IF(SUM($E$55:J55)&lt;$C$60,K54,"0")</f>
        <v>1300883.8773268717</v>
      </c>
      <c r="L55" s="229">
        <f>IF(SUM($E$55:K55)&lt;$C$60,L54,"0")</f>
        <v>1982463.4181377301</v>
      </c>
      <c r="M55" s="229">
        <f>IF(SUM($E$55:L55)&lt;$C$60,M54,"0")</f>
        <v>2706882.6280077463</v>
      </c>
      <c r="N55" s="229">
        <f>IF(SUM($E$55:M55)&lt;$C$60,N54,"0")</f>
        <v>3277731.260450297</v>
      </c>
      <c r="O55" s="229">
        <f>IF(SUM($E$55:N55)&lt;$C$60,O54,"0")</f>
        <v>3898175.4022261668</v>
      </c>
      <c r="P55" s="229">
        <f>IF(SUM($E$55:O55)&lt;$C$60,P54,"0")</f>
        <v>4395914.7625128627</v>
      </c>
      <c r="Q55" s="229">
        <f>C60-SUM(F55:P55)</f>
        <v>652521.06757970527</v>
      </c>
      <c r="R55" s="229" t="str">
        <f>IF(SUM($E$55:Q55)&lt;$C$60,R54,"0")</f>
        <v>0</v>
      </c>
      <c r="S55" s="229" t="str">
        <f>IF(SUM($E$55:R55)&lt;$C$60,S54,"0")</f>
        <v>0</v>
      </c>
      <c r="T55" s="229" t="str">
        <f>IF(SUM($E$55:S55)&lt;$C$60,T54,"0")</f>
        <v>0</v>
      </c>
      <c r="U55" s="229" t="str">
        <f>IF(SUM($E$55:T55)&lt;$C$60,U54,"0")</f>
        <v>0</v>
      </c>
      <c r="V55" s="229" t="str">
        <f>IF(SUM($E$55:U55)&lt;$C$60,V54,"0")</f>
        <v>0</v>
      </c>
      <c r="W55" s="229" t="str">
        <f>IF(SUM($E$55:V55)&lt;$C$60,W54,"0")</f>
        <v>0</v>
      </c>
      <c r="X55" s="229" t="str">
        <f>IF(SUM($E$55:W55)&lt;$C$60,X54,"0")</f>
        <v>0</v>
      </c>
      <c r="Y55" s="229" t="str">
        <f>IF(SUM($E$55:X55)&lt;$C$60,Y54,"0")</f>
        <v>0</v>
      </c>
      <c r="Z55" s="229" t="str">
        <f>IF(SUM($E$55:Y55)&lt;$C$60,Z54,"0")</f>
        <v>0</v>
      </c>
      <c r="AA55" s="229" t="str">
        <f>IF(SUM($E$55:Z55)&lt;$C$60,AA54,"0")</f>
        <v>0</v>
      </c>
      <c r="AB55" s="229" t="str">
        <f>IF(SUM($E$55:AA55)&lt;$C$60,AB54,"0")</f>
        <v>0</v>
      </c>
      <c r="AC55" s="229" t="str">
        <f>IF(SUM($E$55:AB55)&lt;$C$60,AC54,"0")</f>
        <v>0</v>
      </c>
      <c r="AD55" s="229" t="str">
        <f>IF(SUM($E$55:AC55)&lt;$C$60,AD54,"0")</f>
        <v>0</v>
      </c>
      <c r="AE55" s="229" t="str">
        <f>IF(SUM($E$55:AD55)&lt;$C$60,AE54,"0")</f>
        <v>0</v>
      </c>
      <c r="AF55" s="229" t="str">
        <f>IF(SUM($E$55:AE55)&lt;$C$60,AF54,"0")</f>
        <v>0</v>
      </c>
      <c r="AG55" s="229" t="str">
        <f>IF(SUM($E$55:AF55)&lt;$C$60,AG54,"0")</f>
        <v>0</v>
      </c>
      <c r="AH55" s="229" t="str">
        <f>IF(SUM($E$55:AG55)&lt;$C$60,AH54,"0")</f>
        <v>0</v>
      </c>
      <c r="AI55" s="229" t="str">
        <f>IF(SUM($E$55:AH55)&lt;$C$60,AI54,"0")</f>
        <v>0</v>
      </c>
      <c r="AJ55" s="229" t="str">
        <f>IF(SUM($E$55:AI55)&lt;$C$60,AJ54,"0")</f>
        <v>0</v>
      </c>
      <c r="AK55" s="229" t="str">
        <f>IF(SUM($E$55:AJ55)&lt;$C$60,AK54,"0")</f>
        <v>0</v>
      </c>
      <c r="AL55" s="229" t="str">
        <f>IF(SUM($E$55:AK55)&lt;$C$60,AL54,"0")</f>
        <v>0</v>
      </c>
      <c r="AM55" s="229" t="str">
        <f>IF(SUM($E$55:AL55)&lt;$C$60,AM54,"0")</f>
        <v>0</v>
      </c>
      <c r="AN55" s="229" t="str">
        <f>IF(SUM($E$55:AM55)&lt;$C$60,AN54,"0")</f>
        <v>0</v>
      </c>
      <c r="AO55" s="229" t="str">
        <f>IF(SUM($E$55:AN55)&lt;$C$60,AO54,"0")</f>
        <v>0</v>
      </c>
      <c r="AP55" s="229" t="str">
        <f>IF(SUM($E$55:AO55)&lt;$C$60,AP54,"0")</f>
        <v>0</v>
      </c>
      <c r="AQ55" s="229" t="str">
        <f>IF(SUM($E$55:AP55)&lt;$C$60,AQ54,"0")</f>
        <v>0</v>
      </c>
    </row>
    <row r="56" spans="2:43"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229"/>
      <c r="AB56" s="229"/>
      <c r="AC56" s="229"/>
      <c r="AD56" s="229"/>
      <c r="AE56" s="229"/>
      <c r="AF56" s="229"/>
      <c r="AG56" s="229"/>
      <c r="AH56" s="229"/>
      <c r="AI56" s="229"/>
      <c r="AJ56" s="229"/>
      <c r="AK56" s="229"/>
      <c r="AL56" s="229"/>
      <c r="AM56" s="229"/>
      <c r="AN56" s="229"/>
      <c r="AO56" s="229"/>
      <c r="AP56" s="229"/>
      <c r="AQ56" s="229"/>
    </row>
    <row r="57" spans="2:43">
      <c r="B57" s="165" t="s">
        <v>42</v>
      </c>
      <c r="C57" s="165"/>
      <c r="D57" s="245"/>
      <c r="E57" s="245"/>
      <c r="F57" s="234">
        <f>F55*$C$63</f>
        <v>2525.3899483035539</v>
      </c>
      <c r="G57" s="234">
        <f t="shared" ref="G57:AQ57" si="9">G55*$C$63</f>
        <v>12693.826405121828</v>
      </c>
      <c r="H57" s="234">
        <f t="shared" si="9"/>
        <v>32838.109037985821</v>
      </c>
      <c r="I57" s="234">
        <f t="shared" si="9"/>
        <v>64665.591802198956</v>
      </c>
      <c r="J57" s="234">
        <f t="shared" si="9"/>
        <v>113434.75838316215</v>
      </c>
      <c r="K57" s="234">
        <f t="shared" si="9"/>
        <v>182123.74282576205</v>
      </c>
      <c r="L57" s="234">
        <f t="shared" si="9"/>
        <v>277544.87853928225</v>
      </c>
      <c r="M57" s="234">
        <f t="shared" si="9"/>
        <v>378963.56792108453</v>
      </c>
      <c r="N57" s="234">
        <f t="shared" si="9"/>
        <v>458882.37646304164</v>
      </c>
      <c r="O57" s="234">
        <f t="shared" si="9"/>
        <v>545744.55631166336</v>
      </c>
      <c r="P57" s="234">
        <f t="shared" si="9"/>
        <v>615428.06675180083</v>
      </c>
      <c r="Q57" s="234">
        <f t="shared" si="9"/>
        <v>91352.949461158743</v>
      </c>
      <c r="R57" s="234">
        <f t="shared" si="9"/>
        <v>0</v>
      </c>
      <c r="S57" s="234">
        <f t="shared" si="9"/>
        <v>0</v>
      </c>
      <c r="T57" s="234">
        <f t="shared" si="9"/>
        <v>0</v>
      </c>
      <c r="U57" s="234">
        <f t="shared" si="9"/>
        <v>0</v>
      </c>
      <c r="V57" s="234">
        <f t="shared" si="9"/>
        <v>0</v>
      </c>
      <c r="W57" s="234">
        <f t="shared" si="9"/>
        <v>0</v>
      </c>
      <c r="X57" s="234">
        <f t="shared" si="9"/>
        <v>0</v>
      </c>
      <c r="Y57" s="234">
        <f t="shared" si="9"/>
        <v>0</v>
      </c>
      <c r="Z57" s="234">
        <f t="shared" si="9"/>
        <v>0</v>
      </c>
      <c r="AA57" s="234">
        <f t="shared" si="9"/>
        <v>0</v>
      </c>
      <c r="AB57" s="234">
        <f t="shared" si="9"/>
        <v>0</v>
      </c>
      <c r="AC57" s="234">
        <f t="shared" si="9"/>
        <v>0</v>
      </c>
      <c r="AD57" s="234">
        <f t="shared" si="9"/>
        <v>0</v>
      </c>
      <c r="AE57" s="234">
        <f t="shared" si="9"/>
        <v>0</v>
      </c>
      <c r="AF57" s="234">
        <f t="shared" si="9"/>
        <v>0</v>
      </c>
      <c r="AG57" s="234">
        <f t="shared" si="9"/>
        <v>0</v>
      </c>
      <c r="AH57" s="234">
        <f t="shared" si="9"/>
        <v>0</v>
      </c>
      <c r="AI57" s="234">
        <f t="shared" si="9"/>
        <v>0</v>
      </c>
      <c r="AJ57" s="234">
        <f t="shared" si="9"/>
        <v>0</v>
      </c>
      <c r="AK57" s="234">
        <f t="shared" si="9"/>
        <v>0</v>
      </c>
      <c r="AL57" s="234">
        <f t="shared" si="9"/>
        <v>0</v>
      </c>
      <c r="AM57" s="234">
        <f t="shared" si="9"/>
        <v>0</v>
      </c>
      <c r="AN57" s="234">
        <f t="shared" si="9"/>
        <v>0</v>
      </c>
      <c r="AO57" s="234">
        <f t="shared" si="9"/>
        <v>0</v>
      </c>
      <c r="AP57" s="234">
        <f t="shared" si="9"/>
        <v>0</v>
      </c>
      <c r="AQ57" s="234">
        <f t="shared" si="9"/>
        <v>0</v>
      </c>
    </row>
    <row r="58" spans="2:43">
      <c r="B58" s="162" t="s">
        <v>43</v>
      </c>
      <c r="F58" s="229">
        <f>F55-F57</f>
        <v>15513.109682436116</v>
      </c>
      <c r="G58" s="229">
        <f t="shared" ref="G58:AQ58" si="10">G55-G57</f>
        <v>77976.362202891221</v>
      </c>
      <c r="H58" s="229">
        <f t="shared" si="10"/>
        <v>201719.8126619129</v>
      </c>
      <c r="I58" s="229">
        <f t="shared" si="10"/>
        <v>397231.49249922211</v>
      </c>
      <c r="J58" s="229">
        <f t="shared" si="10"/>
        <v>696813.51578228176</v>
      </c>
      <c r="K58" s="229">
        <f t="shared" si="10"/>
        <v>1118760.1345011096</v>
      </c>
      <c r="L58" s="229">
        <f t="shared" si="10"/>
        <v>1704918.5395984477</v>
      </c>
      <c r="M58" s="229">
        <f t="shared" si="10"/>
        <v>2327919.0600866619</v>
      </c>
      <c r="N58" s="229">
        <f t="shared" si="10"/>
        <v>2818848.8839872554</v>
      </c>
      <c r="O58" s="229">
        <f t="shared" si="10"/>
        <v>3352430.8459145036</v>
      </c>
      <c r="P58" s="229">
        <f t="shared" si="10"/>
        <v>3780486.6957610617</v>
      </c>
      <c r="Q58" s="229">
        <f t="shared" si="10"/>
        <v>561168.11811854655</v>
      </c>
      <c r="R58" s="229">
        <f t="shared" si="10"/>
        <v>0</v>
      </c>
      <c r="S58" s="229">
        <f t="shared" si="10"/>
        <v>0</v>
      </c>
      <c r="T58" s="229">
        <f t="shared" si="10"/>
        <v>0</v>
      </c>
      <c r="U58" s="229">
        <f t="shared" si="10"/>
        <v>0</v>
      </c>
      <c r="V58" s="229">
        <f t="shared" si="10"/>
        <v>0</v>
      </c>
      <c r="W58" s="229">
        <f t="shared" si="10"/>
        <v>0</v>
      </c>
      <c r="X58" s="229">
        <f t="shared" si="10"/>
        <v>0</v>
      </c>
      <c r="Y58" s="229">
        <f t="shared" si="10"/>
        <v>0</v>
      </c>
      <c r="Z58" s="229">
        <f t="shared" si="10"/>
        <v>0</v>
      </c>
      <c r="AA58" s="229">
        <f t="shared" si="10"/>
        <v>0</v>
      </c>
      <c r="AB58" s="229">
        <f t="shared" si="10"/>
        <v>0</v>
      </c>
      <c r="AC58" s="229">
        <f t="shared" si="10"/>
        <v>0</v>
      </c>
      <c r="AD58" s="229">
        <f t="shared" si="10"/>
        <v>0</v>
      </c>
      <c r="AE58" s="229">
        <f t="shared" si="10"/>
        <v>0</v>
      </c>
      <c r="AF58" s="229">
        <f t="shared" si="10"/>
        <v>0</v>
      </c>
      <c r="AG58" s="229">
        <f t="shared" si="10"/>
        <v>0</v>
      </c>
      <c r="AH58" s="229">
        <f t="shared" si="10"/>
        <v>0</v>
      </c>
      <c r="AI58" s="229">
        <f t="shared" si="10"/>
        <v>0</v>
      </c>
      <c r="AJ58" s="229">
        <f t="shared" si="10"/>
        <v>0</v>
      </c>
      <c r="AK58" s="229">
        <f t="shared" si="10"/>
        <v>0</v>
      </c>
      <c r="AL58" s="229">
        <f t="shared" si="10"/>
        <v>0</v>
      </c>
      <c r="AM58" s="229">
        <f t="shared" si="10"/>
        <v>0</v>
      </c>
      <c r="AN58" s="229">
        <f t="shared" si="10"/>
        <v>0</v>
      </c>
      <c r="AO58" s="229">
        <f t="shared" si="10"/>
        <v>0</v>
      </c>
      <c r="AP58" s="229">
        <f t="shared" si="10"/>
        <v>0</v>
      </c>
      <c r="AQ58" s="229">
        <f t="shared" si="10"/>
        <v>0</v>
      </c>
    </row>
    <row r="59" spans="2:43">
      <c r="E59" s="229"/>
      <c r="F59" s="229"/>
      <c r="G59" s="229"/>
      <c r="H59" s="229"/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  <c r="AI59" s="227"/>
    </row>
    <row r="60" spans="2:43">
      <c r="B60" s="162" t="s">
        <v>44</v>
      </c>
      <c r="C60" s="164">
        <f>AVERAGE(D51:AQ51)</f>
        <v>19829984.384646896</v>
      </c>
      <c r="F60" s="162"/>
      <c r="AI60" s="227"/>
    </row>
    <row r="61" spans="2:43">
      <c r="B61" s="162" t="s">
        <v>45</v>
      </c>
      <c r="C61" s="162">
        <v>0.47</v>
      </c>
      <c r="AI61" s="227"/>
    </row>
    <row r="62" spans="2:43">
      <c r="B62" s="162" t="s">
        <v>46</v>
      </c>
      <c r="C62" s="242">
        <f>44/12</f>
        <v>3.6666666666666665</v>
      </c>
      <c r="AI62" s="227"/>
    </row>
    <row r="63" spans="2:43">
      <c r="B63" s="162" t="s">
        <v>47</v>
      </c>
      <c r="C63" s="246">
        <v>0.14000000000000001</v>
      </c>
      <c r="AI63" s="227"/>
    </row>
    <row r="64" spans="2:43">
      <c r="E64" s="162"/>
      <c r="AI64" s="227"/>
    </row>
    <row r="65" spans="2:35" ht="18">
      <c r="B65" s="244" t="s">
        <v>48</v>
      </c>
      <c r="E65" s="162"/>
      <c r="AI65" s="227"/>
    </row>
    <row r="66" spans="2:35">
      <c r="AI66" s="227"/>
    </row>
    <row r="67" spans="2:35" hidden="1" outlineLevel="1">
      <c r="AI67" s="227"/>
    </row>
    <row r="68" spans="2:35" hidden="1" outlineLevel="1">
      <c r="D68" s="230" t="s">
        <v>49</v>
      </c>
      <c r="F68" s="227" t="s">
        <v>50</v>
      </c>
      <c r="G68" s="227">
        <v>2022</v>
      </c>
      <c r="H68" s="227">
        <v>2023</v>
      </c>
      <c r="I68" s="227">
        <v>2024</v>
      </c>
      <c r="J68" s="227">
        <v>2025</v>
      </c>
      <c r="K68" s="227">
        <v>2026</v>
      </c>
      <c r="L68" s="227">
        <v>2027</v>
      </c>
      <c r="M68" s="227">
        <v>2028</v>
      </c>
      <c r="N68" s="227">
        <v>2029</v>
      </c>
      <c r="O68" s="227">
        <v>2030</v>
      </c>
      <c r="AI68" s="227"/>
    </row>
    <row r="69" spans="2:35" hidden="1" outlineLevel="1">
      <c r="D69" s="227" t="s">
        <v>51</v>
      </c>
      <c r="E69" s="227" t="s">
        <v>52</v>
      </c>
      <c r="F69" s="227" t="s">
        <v>7</v>
      </c>
      <c r="G69" s="228">
        <f t="shared" ref="G69:O69" si="11">+D7</f>
        <v>36039</v>
      </c>
      <c r="H69" s="228">
        <f t="shared" si="11"/>
        <v>630000</v>
      </c>
      <c r="I69" s="228">
        <f t="shared" si="11"/>
        <v>2924999.9999999991</v>
      </c>
      <c r="J69" s="228">
        <f t="shared" si="11"/>
        <v>4050000</v>
      </c>
      <c r="K69" s="228">
        <f t="shared" si="11"/>
        <v>5154545.4545454541</v>
      </c>
      <c r="L69" s="228">
        <f t="shared" si="11"/>
        <v>6627272.7272727257</v>
      </c>
      <c r="M69" s="228">
        <f t="shared" si="11"/>
        <v>7363636.3636363624</v>
      </c>
      <c r="N69" s="228">
        <f t="shared" si="11"/>
        <v>7363636.3636363624</v>
      </c>
      <c r="O69" s="228">
        <f t="shared" si="11"/>
        <v>7363636.3636363624</v>
      </c>
      <c r="AI69" s="227"/>
    </row>
    <row r="70" spans="2:35" hidden="1" outlineLevel="1">
      <c r="D70" s="227" cm="1">
        <f t="array" ref="D70:D109">+TRANSPOSE(D29:AQ29)</f>
        <v>1.0321464225419271E-3</v>
      </c>
      <c r="E70" s="227">
        <v>2022</v>
      </c>
      <c r="F70" s="227" t="s">
        <v>32</v>
      </c>
      <c r="G70" s="231">
        <f t="shared" ref="G70:G117" si="12">+G$69*D70</f>
        <v>37.19752492198851</v>
      </c>
      <c r="H70" s="231"/>
      <c r="I70" s="231"/>
      <c r="J70" s="231"/>
      <c r="K70" s="231"/>
      <c r="L70" s="231"/>
      <c r="M70" s="231"/>
      <c r="N70" s="231"/>
      <c r="O70" s="231"/>
      <c r="P70" s="231">
        <f>+SUM(G70:O70)</f>
        <v>37.19752492198851</v>
      </c>
      <c r="Q70" s="231">
        <v>170.392392</v>
      </c>
      <c r="AI70" s="227"/>
    </row>
    <row r="71" spans="2:35" hidden="1" outlineLevel="1">
      <c r="D71" s="227">
        <v>6.0115270203998138E-3</v>
      </c>
      <c r="E71" s="227">
        <v>2023</v>
      </c>
      <c r="G71" s="231">
        <f t="shared" si="12"/>
        <v>216.6494222881889</v>
      </c>
      <c r="H71" s="231">
        <f t="shared" ref="H71:H117" si="13">+H$69*D70</f>
        <v>650.2522462014141</v>
      </c>
      <c r="I71" s="231"/>
      <c r="J71" s="231"/>
      <c r="K71" s="231"/>
      <c r="L71" s="231"/>
      <c r="M71" s="231"/>
      <c r="N71" s="231"/>
      <c r="O71" s="231"/>
      <c r="P71" s="231">
        <f t="shared" ref="P71:P117" si="14">+SUM(G71:O71)</f>
        <v>866.90166848960303</v>
      </c>
      <c r="Q71" s="231">
        <v>3263.6364120000003</v>
      </c>
      <c r="AI71" s="227"/>
    </row>
    <row r="72" spans="2:35" hidden="1" outlineLevel="1">
      <c r="D72" s="227">
        <v>1.2624529676011353E-2</v>
      </c>
      <c r="E72" s="227">
        <v>2024</v>
      </c>
      <c r="G72" s="231">
        <f t="shared" si="12"/>
        <v>454.97542499377317</v>
      </c>
      <c r="H72" s="231">
        <f t="shared" si="13"/>
        <v>3787.2620228518826</v>
      </c>
      <c r="I72" s="231">
        <f t="shared" ref="I72:I117" si="15">+I$69*D70</f>
        <v>3019.028285935136</v>
      </c>
      <c r="J72" s="231"/>
      <c r="K72" s="231"/>
      <c r="L72" s="231"/>
      <c r="M72" s="231"/>
      <c r="N72" s="231"/>
      <c r="O72" s="231"/>
      <c r="P72" s="231">
        <f t="shared" si="14"/>
        <v>7261.2657337807923</v>
      </c>
      <c r="Q72" s="231">
        <v>14994.762552</v>
      </c>
      <c r="AI72" s="227"/>
    </row>
    <row r="73" spans="2:35" hidden="1" outlineLevel="1">
      <c r="D73" s="227">
        <v>2.2486877793298381E-2</v>
      </c>
      <c r="E73" s="227">
        <v>2025</v>
      </c>
      <c r="G73" s="231">
        <f t="shared" si="12"/>
        <v>810.40458879268033</v>
      </c>
      <c r="H73" s="231">
        <f t="shared" si="13"/>
        <v>7953.4536958871531</v>
      </c>
      <c r="I73" s="231">
        <f t="shared" si="15"/>
        <v>17583.716534669449</v>
      </c>
      <c r="J73" s="231">
        <f t="shared" ref="J73:J117" si="16">+J$69*D70</f>
        <v>4180.1930112948048</v>
      </c>
      <c r="K73" s="231"/>
      <c r="L73" s="231"/>
      <c r="M73" s="231"/>
      <c r="N73" s="231"/>
      <c r="O73" s="231"/>
      <c r="P73" s="231">
        <f t="shared" si="14"/>
        <v>30527.767830644087</v>
      </c>
      <c r="Q73" s="231">
        <v>40342.327775999998</v>
      </c>
      <c r="AI73" s="227"/>
    </row>
    <row r="74" spans="2:35" hidden="1" outlineLevel="1">
      <c r="D74" s="227">
        <v>3.6929456729391061E-2</v>
      </c>
      <c r="E74" s="227">
        <v>2026</v>
      </c>
      <c r="G74" s="231">
        <f t="shared" si="12"/>
        <v>1330.9006910705245</v>
      </c>
      <c r="H74" s="231">
        <f t="shared" si="13"/>
        <v>14166.73300977798</v>
      </c>
      <c r="I74" s="231">
        <f t="shared" si="15"/>
        <v>36926.749302333199</v>
      </c>
      <c r="J74" s="231">
        <f t="shared" si="16"/>
        <v>24346.684432619248</v>
      </c>
      <c r="K74" s="231">
        <f t="shared" ref="K74:K117" si="17">+K$69*D70</f>
        <v>5320.2456507388415</v>
      </c>
      <c r="L74" s="231"/>
      <c r="M74" s="231"/>
      <c r="N74" s="231"/>
      <c r="O74" s="231"/>
      <c r="P74" s="231">
        <f t="shared" si="14"/>
        <v>82091.313086539798</v>
      </c>
      <c r="Q74" s="231">
        <v>87323.85259200001</v>
      </c>
      <c r="AI74" s="227"/>
    </row>
    <row r="75" spans="2:35" hidden="1" outlineLevel="1">
      <c r="D75" s="227">
        <v>5.5735041105005399E-2</v>
      </c>
      <c r="E75" s="227">
        <v>2027</v>
      </c>
      <c r="G75" s="231">
        <f t="shared" si="12"/>
        <v>2008.6351463832896</v>
      </c>
      <c r="H75" s="231">
        <f t="shared" si="13"/>
        <v>23265.557739516367</v>
      </c>
      <c r="I75" s="231">
        <f t="shared" si="15"/>
        <v>65774.117545397748</v>
      </c>
      <c r="J75" s="231">
        <f t="shared" si="16"/>
        <v>51129.345187845982</v>
      </c>
      <c r="K75" s="231">
        <f t="shared" si="17"/>
        <v>30986.689277879039</v>
      </c>
      <c r="L75" s="231">
        <f t="shared" ref="L75:L117" si="18">+L$69*D70</f>
        <v>6840.3158366642238</v>
      </c>
      <c r="M75" s="231"/>
      <c r="N75" s="231"/>
      <c r="O75" s="231"/>
      <c r="P75" s="231">
        <f t="shared" si="14"/>
        <v>180004.66073368667</v>
      </c>
      <c r="Q75" s="231">
        <v>172146.62822400001</v>
      </c>
      <c r="AI75" s="227"/>
    </row>
    <row r="76" spans="2:35" hidden="1" outlineLevel="1">
      <c r="D76" s="227">
        <v>5.5735041105005399E-2</v>
      </c>
      <c r="E76" s="227">
        <v>2028</v>
      </c>
      <c r="G76" s="231">
        <f t="shared" si="12"/>
        <v>2008.6351463832896</v>
      </c>
      <c r="H76" s="231">
        <f t="shared" si="13"/>
        <v>35113.075896153401</v>
      </c>
      <c r="I76" s="231">
        <f t="shared" si="15"/>
        <v>108018.66093346883</v>
      </c>
      <c r="J76" s="231">
        <f t="shared" si="16"/>
        <v>91071.855062858449</v>
      </c>
      <c r="K76" s="231">
        <f t="shared" si="17"/>
        <v>65073.712057258519</v>
      </c>
      <c r="L76" s="231">
        <f t="shared" si="18"/>
        <v>39840.029071558754</v>
      </c>
      <c r="M76" s="231">
        <f t="shared" ref="M76:M117" si="19">+M$69*D70</f>
        <v>7600.3509296269158</v>
      </c>
      <c r="N76" s="231"/>
      <c r="O76" s="231"/>
      <c r="P76" s="231">
        <f t="shared" si="14"/>
        <v>348726.31909730815</v>
      </c>
      <c r="Q76" s="231">
        <v>320417.66822399996</v>
      </c>
      <c r="AI76" s="227"/>
    </row>
    <row r="77" spans="2:35" hidden="1" outlineLevel="1">
      <c r="D77" s="227">
        <v>5.5735041105005399E-2</v>
      </c>
      <c r="E77" s="227">
        <v>2029</v>
      </c>
      <c r="G77" s="231">
        <f t="shared" si="12"/>
        <v>2008.6351463832896</v>
      </c>
      <c r="H77" s="231">
        <f t="shared" si="13"/>
        <v>35113.075896153401</v>
      </c>
      <c r="I77" s="231">
        <f t="shared" si="15"/>
        <v>163024.99523214073</v>
      </c>
      <c r="J77" s="231">
        <f t="shared" si="16"/>
        <v>149564.2997540338</v>
      </c>
      <c r="K77" s="231">
        <f t="shared" si="17"/>
        <v>115909.63371636528</v>
      </c>
      <c r="L77" s="231">
        <f t="shared" si="18"/>
        <v>83666.201216475223</v>
      </c>
      <c r="M77" s="231">
        <f t="shared" si="19"/>
        <v>44266.698968398625</v>
      </c>
      <c r="N77" s="231">
        <f t="shared" ref="N77:N117" si="20">+N$69*D70</f>
        <v>7600.3509296269158</v>
      </c>
      <c r="O77" s="231"/>
      <c r="P77" s="231">
        <f t="shared" si="14"/>
        <v>601153.89085957734</v>
      </c>
      <c r="Q77" s="231">
        <v>548375.96822400007</v>
      </c>
      <c r="AI77" s="227"/>
    </row>
    <row r="78" spans="2:35" hidden="1" outlineLevel="1">
      <c r="D78" s="227">
        <v>5.5735041105005399E-2</v>
      </c>
      <c r="E78" s="227">
        <v>2030</v>
      </c>
      <c r="G78" s="231">
        <f t="shared" si="12"/>
        <v>2008.6351463832896</v>
      </c>
      <c r="H78" s="231">
        <f t="shared" si="13"/>
        <v>35113.075896153401</v>
      </c>
      <c r="I78" s="231">
        <f t="shared" si="15"/>
        <v>163024.99523214073</v>
      </c>
      <c r="J78" s="231">
        <f t="shared" si="16"/>
        <v>225726.91647527186</v>
      </c>
      <c r="K78" s="231">
        <f t="shared" si="17"/>
        <v>190354.56332331573</v>
      </c>
      <c r="L78" s="231">
        <f t="shared" si="18"/>
        <v>149026.67192104104</v>
      </c>
      <c r="M78" s="231">
        <f t="shared" si="19"/>
        <v>92962.445796083586</v>
      </c>
      <c r="N78" s="231">
        <f t="shared" si="20"/>
        <v>44266.698968398625</v>
      </c>
      <c r="O78" s="231">
        <f t="shared" ref="O78:O117" si="21">+O$69*D70</f>
        <v>7600.3509296269158</v>
      </c>
      <c r="P78" s="231">
        <f t="shared" si="14"/>
        <v>910084.35368841526</v>
      </c>
      <c r="Q78" s="231">
        <v>849744.56822400005</v>
      </c>
      <c r="AI78" s="227"/>
    </row>
    <row r="79" spans="2:35" hidden="1" outlineLevel="1">
      <c r="D79" s="227">
        <v>5.5735041105005399E-2</v>
      </c>
      <c r="E79" s="227">
        <v>2031</v>
      </c>
      <c r="G79" s="231">
        <f t="shared" si="12"/>
        <v>2008.6351463832896</v>
      </c>
      <c r="H79" s="231">
        <f t="shared" si="13"/>
        <v>35113.075896153401</v>
      </c>
      <c r="I79" s="231">
        <f t="shared" si="15"/>
        <v>163024.99523214073</v>
      </c>
      <c r="J79" s="231">
        <f t="shared" si="16"/>
        <v>225726.91647527186</v>
      </c>
      <c r="K79" s="231">
        <f t="shared" si="17"/>
        <v>287288.80278670962</v>
      </c>
      <c r="L79" s="231">
        <f t="shared" si="18"/>
        <v>244741.58141569162</v>
      </c>
      <c r="M79" s="231">
        <f t="shared" si="19"/>
        <v>165585.19102337895</v>
      </c>
      <c r="N79" s="231">
        <f t="shared" si="20"/>
        <v>92962.445796083586</v>
      </c>
      <c r="O79" s="231">
        <f t="shared" si="21"/>
        <v>44266.698968398625</v>
      </c>
      <c r="P79" s="231">
        <f t="shared" si="14"/>
        <v>1260718.3427402116</v>
      </c>
      <c r="Q79" s="231">
        <v>1184728.1682239999</v>
      </c>
      <c r="AI79" s="227"/>
    </row>
    <row r="80" spans="2:35" hidden="1" outlineLevel="1">
      <c r="D80" s="227">
        <v>5.5735041105005399E-2</v>
      </c>
      <c r="E80" s="227">
        <v>2032</v>
      </c>
      <c r="G80" s="231">
        <f t="shared" si="12"/>
        <v>2008.6351463832896</v>
      </c>
      <c r="H80" s="231">
        <f t="shared" si="13"/>
        <v>35113.075896153401</v>
      </c>
      <c r="I80" s="231">
        <f t="shared" si="15"/>
        <v>163024.99523214073</v>
      </c>
      <c r="J80" s="231">
        <f t="shared" si="16"/>
        <v>225726.91647527186</v>
      </c>
      <c r="K80" s="231">
        <f t="shared" si="17"/>
        <v>287288.80278670962</v>
      </c>
      <c r="L80" s="231">
        <f>+L$69*D75</f>
        <v>369371.31786862662</v>
      </c>
      <c r="M80" s="231">
        <f t="shared" si="19"/>
        <v>271935.09046187956</v>
      </c>
      <c r="N80" s="231">
        <f t="shared" si="20"/>
        <v>165585.19102337895</v>
      </c>
      <c r="O80" s="231">
        <f t="shared" si="21"/>
        <v>92962.445796083586</v>
      </c>
      <c r="P80" s="231">
        <f t="shared" si="14"/>
        <v>1613016.4706866276</v>
      </c>
      <c r="Q80" s="231">
        <v>1547332.768224</v>
      </c>
      <c r="AI80" s="227"/>
    </row>
    <row r="81" spans="4:35" hidden="1" outlineLevel="1">
      <c r="D81" s="227">
        <v>5.5735041105005399E-2</v>
      </c>
      <c r="E81" s="227">
        <v>2033</v>
      </c>
      <c r="G81" s="231">
        <f t="shared" si="12"/>
        <v>2008.6351463832896</v>
      </c>
      <c r="H81" s="231">
        <f t="shared" si="13"/>
        <v>35113.075896153401</v>
      </c>
      <c r="I81" s="231">
        <f t="shared" si="15"/>
        <v>163024.99523214073</v>
      </c>
      <c r="J81" s="231">
        <f t="shared" si="16"/>
        <v>225726.91647527186</v>
      </c>
      <c r="K81" s="231">
        <f t="shared" si="17"/>
        <v>287288.80278670962</v>
      </c>
      <c r="L81" s="231">
        <f t="shared" si="18"/>
        <v>369371.31786862662</v>
      </c>
      <c r="M81" s="231">
        <f t="shared" si="19"/>
        <v>410412.57540958514</v>
      </c>
      <c r="N81" s="231">
        <f t="shared" si="20"/>
        <v>271935.09046187956</v>
      </c>
      <c r="O81" s="231">
        <f t="shared" si="21"/>
        <v>165585.19102337895</v>
      </c>
      <c r="P81" s="231">
        <f t="shared" si="14"/>
        <v>1930466.600300129</v>
      </c>
      <c r="Q81" s="231">
        <v>1900006.768224</v>
      </c>
      <c r="AI81" s="227"/>
    </row>
    <row r="82" spans="4:35" hidden="1" outlineLevel="1">
      <c r="D82" s="227">
        <v>5.5735041105005399E-2</v>
      </c>
      <c r="E82" s="227">
        <v>2034</v>
      </c>
      <c r="G82" s="231">
        <f t="shared" si="12"/>
        <v>2008.6351463832896</v>
      </c>
      <c r="H82" s="231">
        <f t="shared" si="13"/>
        <v>35113.075896153401</v>
      </c>
      <c r="I82" s="231">
        <f t="shared" si="15"/>
        <v>163024.99523214073</v>
      </c>
      <c r="J82" s="231">
        <f t="shared" si="16"/>
        <v>225726.91647527186</v>
      </c>
      <c r="K82" s="231">
        <f t="shared" si="17"/>
        <v>287288.80278670962</v>
      </c>
      <c r="L82" s="231">
        <f t="shared" si="18"/>
        <v>369371.31786862662</v>
      </c>
      <c r="M82" s="231">
        <f t="shared" si="19"/>
        <v>410412.57540958514</v>
      </c>
      <c r="N82" s="231">
        <f t="shared" si="20"/>
        <v>410412.57540958514</v>
      </c>
      <c r="O82" s="231">
        <f t="shared" si="21"/>
        <v>271935.09046187956</v>
      </c>
      <c r="P82" s="231">
        <f t="shared" si="14"/>
        <v>2175293.9846863355</v>
      </c>
      <c r="Q82" s="231">
        <v>2202622.768224</v>
      </c>
      <c r="AI82" s="227"/>
    </row>
    <row r="83" spans="4:35" hidden="1" outlineLevel="1">
      <c r="D83" s="227">
        <v>5.5735041105005399E-2</v>
      </c>
      <c r="E83" s="227">
        <v>2035</v>
      </c>
      <c r="G83" s="231">
        <f t="shared" si="12"/>
        <v>2008.6351463832896</v>
      </c>
      <c r="H83" s="231">
        <f t="shared" si="13"/>
        <v>35113.075896153401</v>
      </c>
      <c r="I83" s="231">
        <f t="shared" si="15"/>
        <v>163024.99523214073</v>
      </c>
      <c r="J83" s="231">
        <f t="shared" si="16"/>
        <v>225726.91647527186</v>
      </c>
      <c r="K83" s="231">
        <f t="shared" si="17"/>
        <v>287288.80278670962</v>
      </c>
      <c r="L83" s="231">
        <f t="shared" si="18"/>
        <v>369371.31786862662</v>
      </c>
      <c r="M83" s="231">
        <f t="shared" si="19"/>
        <v>410412.57540958514</v>
      </c>
      <c r="N83" s="231">
        <f t="shared" si="20"/>
        <v>410412.57540958514</v>
      </c>
      <c r="O83" s="231">
        <f t="shared" si="21"/>
        <v>410412.57540958514</v>
      </c>
      <c r="P83" s="231">
        <f t="shared" si="14"/>
        <v>2313771.4696340412</v>
      </c>
      <c r="Q83" s="231">
        <v>2390866.768224</v>
      </c>
      <c r="AI83" s="227"/>
    </row>
    <row r="84" spans="4:35" hidden="1" outlineLevel="1">
      <c r="D84" s="227">
        <v>5.5735041105005399E-2</v>
      </c>
      <c r="E84" s="227">
        <v>2036</v>
      </c>
      <c r="G84" s="231">
        <f t="shared" si="12"/>
        <v>2008.6351463832896</v>
      </c>
      <c r="H84" s="231">
        <f t="shared" si="13"/>
        <v>35113.075896153401</v>
      </c>
      <c r="I84" s="231">
        <f t="shared" si="15"/>
        <v>163024.99523214073</v>
      </c>
      <c r="J84" s="231">
        <f t="shared" si="16"/>
        <v>225726.91647527186</v>
      </c>
      <c r="K84" s="231">
        <f t="shared" si="17"/>
        <v>287288.80278670962</v>
      </c>
      <c r="L84" s="231">
        <f t="shared" si="18"/>
        <v>369371.31786862662</v>
      </c>
      <c r="M84" s="231">
        <f t="shared" si="19"/>
        <v>410412.57540958514</v>
      </c>
      <c r="N84" s="231">
        <f t="shared" si="20"/>
        <v>410412.57540958514</v>
      </c>
      <c r="O84" s="231">
        <f t="shared" si="21"/>
        <v>410412.57540958514</v>
      </c>
      <c r="P84" s="231">
        <f t="shared" si="14"/>
        <v>2313771.4696340412</v>
      </c>
      <c r="Q84" s="231">
        <v>2390866.768224</v>
      </c>
      <c r="AI84" s="227"/>
    </row>
    <row r="85" spans="4:35" hidden="1" outlineLevel="1">
      <c r="D85" s="227">
        <v>5.5735041105005399E-2</v>
      </c>
      <c r="E85" s="227">
        <v>2037</v>
      </c>
      <c r="G85" s="231">
        <f t="shared" si="12"/>
        <v>2008.6351463832896</v>
      </c>
      <c r="H85" s="231">
        <f t="shared" si="13"/>
        <v>35113.075896153401</v>
      </c>
      <c r="I85" s="231">
        <f t="shared" si="15"/>
        <v>163024.99523214073</v>
      </c>
      <c r="J85" s="231">
        <f t="shared" si="16"/>
        <v>225726.91647527186</v>
      </c>
      <c r="K85" s="231">
        <f t="shared" si="17"/>
        <v>287288.80278670962</v>
      </c>
      <c r="L85" s="231">
        <f t="shared" si="18"/>
        <v>369371.31786862662</v>
      </c>
      <c r="M85" s="231">
        <f t="shared" si="19"/>
        <v>410412.57540958514</v>
      </c>
      <c r="N85" s="231">
        <f t="shared" si="20"/>
        <v>410412.57540958514</v>
      </c>
      <c r="O85" s="231">
        <f t="shared" si="21"/>
        <v>410412.57540958514</v>
      </c>
      <c r="P85" s="231">
        <f t="shared" si="14"/>
        <v>2313771.4696340412</v>
      </c>
      <c r="Q85" s="231">
        <v>2390866.768224</v>
      </c>
      <c r="AI85" s="227"/>
    </row>
    <row r="86" spans="4:35" hidden="1" outlineLevel="1">
      <c r="D86" s="227">
        <v>5.5735041105005399E-2</v>
      </c>
      <c r="E86" s="227">
        <v>2038</v>
      </c>
      <c r="G86" s="231">
        <f t="shared" si="12"/>
        <v>2008.6351463832896</v>
      </c>
      <c r="H86" s="231">
        <f t="shared" si="13"/>
        <v>35113.075896153401</v>
      </c>
      <c r="I86" s="231">
        <f t="shared" si="15"/>
        <v>163024.99523214073</v>
      </c>
      <c r="J86" s="231">
        <f t="shared" si="16"/>
        <v>225726.91647527186</v>
      </c>
      <c r="K86" s="231">
        <f t="shared" si="17"/>
        <v>287288.80278670962</v>
      </c>
      <c r="L86" s="231">
        <f t="shared" si="18"/>
        <v>369371.31786862662</v>
      </c>
      <c r="M86" s="231">
        <f t="shared" si="19"/>
        <v>410412.57540958514</v>
      </c>
      <c r="N86" s="231">
        <f t="shared" si="20"/>
        <v>410412.57540958514</v>
      </c>
      <c r="O86" s="231">
        <f t="shared" si="21"/>
        <v>410412.57540958514</v>
      </c>
      <c r="P86" s="231">
        <f t="shared" si="14"/>
        <v>2313771.4696340412</v>
      </c>
      <c r="Q86" s="231">
        <v>2390866.768224</v>
      </c>
      <c r="AI86" s="227"/>
    </row>
    <row r="87" spans="4:35" hidden="1" outlineLevel="1">
      <c r="D87" s="227">
        <v>5.5735041105005399E-2</v>
      </c>
      <c r="E87" s="227">
        <v>2039</v>
      </c>
      <c r="G87" s="231">
        <f t="shared" si="12"/>
        <v>2008.6351463832896</v>
      </c>
      <c r="H87" s="231">
        <f t="shared" si="13"/>
        <v>35113.075896153401</v>
      </c>
      <c r="I87" s="231">
        <f t="shared" si="15"/>
        <v>163024.99523214073</v>
      </c>
      <c r="J87" s="231">
        <f t="shared" si="16"/>
        <v>225726.91647527186</v>
      </c>
      <c r="K87" s="231">
        <f t="shared" si="17"/>
        <v>287288.80278670962</v>
      </c>
      <c r="L87" s="231">
        <f t="shared" si="18"/>
        <v>369371.31786862662</v>
      </c>
      <c r="M87" s="231">
        <f t="shared" si="19"/>
        <v>410412.57540958514</v>
      </c>
      <c r="N87" s="231">
        <f t="shared" si="20"/>
        <v>410412.57540958514</v>
      </c>
      <c r="O87" s="231">
        <f t="shared" si="21"/>
        <v>410412.57540958514</v>
      </c>
      <c r="P87" s="231">
        <f t="shared" si="14"/>
        <v>2313771.4696340412</v>
      </c>
      <c r="Q87" s="231">
        <v>2390866.768224</v>
      </c>
      <c r="AI87" s="227"/>
    </row>
    <row r="88" spans="4:35" hidden="1" outlineLevel="1">
      <c r="D88" s="227">
        <v>5.5735041105005399E-2</v>
      </c>
      <c r="E88" s="227">
        <v>2040</v>
      </c>
      <c r="G88" s="231">
        <f t="shared" si="12"/>
        <v>2008.6351463832896</v>
      </c>
      <c r="H88" s="231">
        <f t="shared" si="13"/>
        <v>35113.075896153401</v>
      </c>
      <c r="I88" s="231">
        <f t="shared" si="15"/>
        <v>163024.99523214073</v>
      </c>
      <c r="J88" s="231">
        <f t="shared" si="16"/>
        <v>225726.91647527186</v>
      </c>
      <c r="K88" s="231">
        <f t="shared" si="17"/>
        <v>287288.80278670962</v>
      </c>
      <c r="L88" s="231">
        <f t="shared" si="18"/>
        <v>369371.31786862662</v>
      </c>
      <c r="M88" s="231">
        <f t="shared" si="19"/>
        <v>410412.57540958514</v>
      </c>
      <c r="N88" s="231">
        <f t="shared" si="20"/>
        <v>410412.57540958514</v>
      </c>
      <c r="O88" s="231">
        <f t="shared" si="21"/>
        <v>410412.57540958514</v>
      </c>
      <c r="P88" s="231">
        <f t="shared" si="14"/>
        <v>2313771.4696340412</v>
      </c>
      <c r="Q88" s="231">
        <v>2390866.768224</v>
      </c>
      <c r="AI88" s="227"/>
    </row>
    <row r="89" spans="4:35" hidden="1" outlineLevel="1">
      <c r="D89" s="227">
        <v>5.5735041105005399E-2</v>
      </c>
      <c r="E89" s="227">
        <v>2041</v>
      </c>
      <c r="G89" s="231">
        <f t="shared" si="12"/>
        <v>2008.6351463832896</v>
      </c>
      <c r="H89" s="231">
        <f t="shared" si="13"/>
        <v>35113.075896153401</v>
      </c>
      <c r="I89" s="231">
        <f t="shared" si="15"/>
        <v>163024.99523214073</v>
      </c>
      <c r="J89" s="231">
        <f t="shared" si="16"/>
        <v>225726.91647527186</v>
      </c>
      <c r="K89" s="231">
        <f t="shared" si="17"/>
        <v>287288.80278670962</v>
      </c>
      <c r="L89" s="231">
        <f t="shared" si="18"/>
        <v>369371.31786862662</v>
      </c>
      <c r="M89" s="231">
        <f t="shared" si="19"/>
        <v>410412.57540958514</v>
      </c>
      <c r="N89" s="231">
        <f t="shared" si="20"/>
        <v>410412.57540958514</v>
      </c>
      <c r="O89" s="231">
        <f t="shared" si="21"/>
        <v>410412.57540958514</v>
      </c>
      <c r="P89" s="231">
        <f t="shared" si="14"/>
        <v>2313771.4696340412</v>
      </c>
      <c r="Q89" s="231">
        <v>2390866.768224</v>
      </c>
      <c r="AI89" s="227"/>
    </row>
    <row r="90" spans="4:35" hidden="1" outlineLevel="1">
      <c r="D90" s="227">
        <v>5.5735041105005399E-2</v>
      </c>
      <c r="E90" s="227">
        <v>2042</v>
      </c>
      <c r="G90" s="231">
        <f t="shared" si="12"/>
        <v>2008.6351463832896</v>
      </c>
      <c r="H90" s="231">
        <f t="shared" si="13"/>
        <v>35113.075896153401</v>
      </c>
      <c r="I90" s="231">
        <f t="shared" si="15"/>
        <v>163024.99523214073</v>
      </c>
      <c r="J90" s="231">
        <f t="shared" si="16"/>
        <v>225726.91647527186</v>
      </c>
      <c r="K90" s="231">
        <f t="shared" si="17"/>
        <v>287288.80278670962</v>
      </c>
      <c r="L90" s="231">
        <f t="shared" si="18"/>
        <v>369371.31786862662</v>
      </c>
      <c r="M90" s="231">
        <f t="shared" si="19"/>
        <v>410412.57540958514</v>
      </c>
      <c r="N90" s="231">
        <f t="shared" si="20"/>
        <v>410412.57540958514</v>
      </c>
      <c r="O90" s="231">
        <f t="shared" si="21"/>
        <v>410412.57540958514</v>
      </c>
      <c r="P90" s="231">
        <f t="shared" si="14"/>
        <v>2313771.4696340412</v>
      </c>
      <c r="Q90" s="231">
        <v>2390866.768224</v>
      </c>
      <c r="AI90" s="227"/>
    </row>
    <row r="91" spans="4:35" hidden="1" outlineLevel="1">
      <c r="D91" s="227">
        <v>5.5735041105005399E-2</v>
      </c>
      <c r="E91" s="227">
        <v>2043</v>
      </c>
      <c r="G91" s="231">
        <f t="shared" si="12"/>
        <v>2008.6351463832896</v>
      </c>
      <c r="H91" s="231">
        <f t="shared" si="13"/>
        <v>35113.075896153401</v>
      </c>
      <c r="I91" s="231">
        <f t="shared" si="15"/>
        <v>163024.99523214073</v>
      </c>
      <c r="J91" s="231">
        <f t="shared" si="16"/>
        <v>225726.91647527186</v>
      </c>
      <c r="K91" s="231">
        <f t="shared" si="17"/>
        <v>287288.80278670962</v>
      </c>
      <c r="L91" s="231">
        <f t="shared" si="18"/>
        <v>369371.31786862662</v>
      </c>
      <c r="M91" s="231">
        <f t="shared" si="19"/>
        <v>410412.57540958514</v>
      </c>
      <c r="N91" s="231">
        <f t="shared" si="20"/>
        <v>410412.57540958514</v>
      </c>
      <c r="O91" s="231">
        <f t="shared" si="21"/>
        <v>410412.57540958514</v>
      </c>
      <c r="P91" s="231">
        <f t="shared" si="14"/>
        <v>2313771.4696340412</v>
      </c>
      <c r="Q91" s="231">
        <v>2390866.768224</v>
      </c>
      <c r="AI91" s="227"/>
    </row>
    <row r="92" spans="4:35" hidden="1" outlineLevel="1">
      <c r="D92" s="227">
        <v>5.5735041105005399E-2</v>
      </c>
      <c r="E92" s="227">
        <v>2044</v>
      </c>
      <c r="G92" s="231">
        <f t="shared" si="12"/>
        <v>2008.6351463832896</v>
      </c>
      <c r="H92" s="231">
        <f t="shared" si="13"/>
        <v>35113.075896153401</v>
      </c>
      <c r="I92" s="231">
        <f t="shared" si="15"/>
        <v>163024.99523214073</v>
      </c>
      <c r="J92" s="231">
        <f t="shared" si="16"/>
        <v>225726.91647527186</v>
      </c>
      <c r="K92" s="231">
        <f t="shared" si="17"/>
        <v>287288.80278670962</v>
      </c>
      <c r="L92" s="231">
        <f t="shared" si="18"/>
        <v>369371.31786862662</v>
      </c>
      <c r="M92" s="231">
        <f t="shared" si="19"/>
        <v>410412.57540958514</v>
      </c>
      <c r="N92" s="231">
        <f t="shared" si="20"/>
        <v>410412.57540958514</v>
      </c>
      <c r="O92" s="231">
        <f t="shared" si="21"/>
        <v>410412.57540958514</v>
      </c>
      <c r="P92" s="231">
        <f t="shared" si="14"/>
        <v>2313771.4696340412</v>
      </c>
      <c r="Q92" s="231">
        <v>2390866.768224</v>
      </c>
      <c r="AI92" s="227"/>
    </row>
    <row r="93" spans="4:35" hidden="1" outlineLevel="1">
      <c r="D93" s="227">
        <v>5.5735041105005399E-2</v>
      </c>
      <c r="E93" s="227">
        <v>2045</v>
      </c>
      <c r="G93" s="231">
        <f t="shared" si="12"/>
        <v>2008.6351463832896</v>
      </c>
      <c r="H93" s="231">
        <f t="shared" si="13"/>
        <v>35113.075896153401</v>
      </c>
      <c r="I93" s="231">
        <f t="shared" si="15"/>
        <v>163024.99523214073</v>
      </c>
      <c r="J93" s="231">
        <f t="shared" si="16"/>
        <v>225726.91647527186</v>
      </c>
      <c r="K93" s="231">
        <f t="shared" si="17"/>
        <v>287288.80278670962</v>
      </c>
      <c r="L93" s="231">
        <f t="shared" si="18"/>
        <v>369371.31786862662</v>
      </c>
      <c r="M93" s="231">
        <f t="shared" si="19"/>
        <v>410412.57540958514</v>
      </c>
      <c r="N93" s="231">
        <f t="shared" si="20"/>
        <v>410412.57540958514</v>
      </c>
      <c r="O93" s="231">
        <f t="shared" si="21"/>
        <v>410412.57540958514</v>
      </c>
      <c r="P93" s="231">
        <f t="shared" si="14"/>
        <v>2313771.4696340412</v>
      </c>
      <c r="Q93" s="231">
        <v>2390866.768224</v>
      </c>
      <c r="AI93" s="227"/>
    </row>
    <row r="94" spans="4:35" hidden="1" outlineLevel="1">
      <c r="D94" s="227">
        <v>5.5735041105005399E-2</v>
      </c>
      <c r="E94" s="227">
        <v>2046</v>
      </c>
      <c r="G94" s="231">
        <f t="shared" si="12"/>
        <v>2008.6351463832896</v>
      </c>
      <c r="H94" s="231">
        <f t="shared" si="13"/>
        <v>35113.075896153401</v>
      </c>
      <c r="I94" s="231">
        <f t="shared" si="15"/>
        <v>163024.99523214073</v>
      </c>
      <c r="J94" s="231">
        <f t="shared" si="16"/>
        <v>225726.91647527186</v>
      </c>
      <c r="K94" s="231">
        <f t="shared" si="17"/>
        <v>287288.80278670962</v>
      </c>
      <c r="L94" s="231">
        <f t="shared" si="18"/>
        <v>369371.31786862662</v>
      </c>
      <c r="M94" s="231">
        <f t="shared" si="19"/>
        <v>410412.57540958514</v>
      </c>
      <c r="N94" s="231">
        <f t="shared" si="20"/>
        <v>410412.57540958514</v>
      </c>
      <c r="O94" s="231">
        <f t="shared" si="21"/>
        <v>410412.57540958514</v>
      </c>
      <c r="P94" s="231">
        <f t="shared" si="14"/>
        <v>2313771.4696340412</v>
      </c>
      <c r="Q94" s="231">
        <v>2390866.768224</v>
      </c>
      <c r="AI94" s="227"/>
    </row>
    <row r="95" spans="4:35" hidden="1" outlineLevel="1">
      <c r="D95" s="227">
        <v>5.5735041105005399E-2</v>
      </c>
      <c r="E95" s="227">
        <v>2047</v>
      </c>
      <c r="G95" s="231">
        <f t="shared" si="12"/>
        <v>2008.6351463832896</v>
      </c>
      <c r="H95" s="231">
        <f t="shared" si="13"/>
        <v>35113.075896153401</v>
      </c>
      <c r="I95" s="231">
        <f t="shared" si="15"/>
        <v>163024.99523214073</v>
      </c>
      <c r="J95" s="231">
        <f t="shared" si="16"/>
        <v>225726.91647527186</v>
      </c>
      <c r="K95" s="231">
        <f t="shared" si="17"/>
        <v>287288.80278670962</v>
      </c>
      <c r="L95" s="231">
        <f t="shared" si="18"/>
        <v>369371.31786862662</v>
      </c>
      <c r="M95" s="231">
        <f t="shared" si="19"/>
        <v>410412.57540958514</v>
      </c>
      <c r="N95" s="231">
        <f t="shared" si="20"/>
        <v>410412.57540958514</v>
      </c>
      <c r="O95" s="231">
        <f t="shared" si="21"/>
        <v>410412.57540958514</v>
      </c>
      <c r="P95" s="231">
        <f t="shared" si="14"/>
        <v>2313771.4696340412</v>
      </c>
      <c r="Q95" s="231">
        <v>2390866.768224</v>
      </c>
      <c r="AI95" s="227"/>
    </row>
    <row r="96" spans="4:35" hidden="1" outlineLevel="1">
      <c r="D96" s="227">
        <v>5.5735041105005399E-2</v>
      </c>
      <c r="E96" s="227">
        <v>2048</v>
      </c>
      <c r="G96" s="231">
        <f t="shared" si="12"/>
        <v>2008.6351463832896</v>
      </c>
      <c r="H96" s="231">
        <f t="shared" si="13"/>
        <v>35113.075896153401</v>
      </c>
      <c r="I96" s="231">
        <f t="shared" si="15"/>
        <v>163024.99523214073</v>
      </c>
      <c r="J96" s="231">
        <f t="shared" si="16"/>
        <v>225726.91647527186</v>
      </c>
      <c r="K96" s="231">
        <f t="shared" si="17"/>
        <v>287288.80278670962</v>
      </c>
      <c r="L96" s="231">
        <f t="shared" si="18"/>
        <v>369371.31786862662</v>
      </c>
      <c r="M96" s="231">
        <f t="shared" si="19"/>
        <v>410412.57540958514</v>
      </c>
      <c r="N96" s="231">
        <f t="shared" si="20"/>
        <v>410412.57540958514</v>
      </c>
      <c r="O96" s="231">
        <f t="shared" si="21"/>
        <v>410412.57540958514</v>
      </c>
      <c r="P96" s="231">
        <f t="shared" si="14"/>
        <v>2313771.4696340412</v>
      </c>
      <c r="Q96" s="231">
        <v>2390866.768224</v>
      </c>
      <c r="AI96" s="227"/>
    </row>
    <row r="97" spans="4:35" hidden="1" outlineLevel="1">
      <c r="D97" s="227">
        <v>5.5735041105005399E-2</v>
      </c>
      <c r="E97" s="227">
        <v>2049</v>
      </c>
      <c r="G97" s="231">
        <f t="shared" si="12"/>
        <v>2008.6351463832896</v>
      </c>
      <c r="H97" s="231">
        <f t="shared" si="13"/>
        <v>35113.075896153401</v>
      </c>
      <c r="I97" s="231">
        <f t="shared" si="15"/>
        <v>163024.99523214073</v>
      </c>
      <c r="J97" s="231">
        <f t="shared" si="16"/>
        <v>225726.91647527186</v>
      </c>
      <c r="K97" s="231">
        <f t="shared" si="17"/>
        <v>287288.80278670962</v>
      </c>
      <c r="L97" s="231">
        <f t="shared" si="18"/>
        <v>369371.31786862662</v>
      </c>
      <c r="M97" s="231">
        <f t="shared" si="19"/>
        <v>410412.57540958514</v>
      </c>
      <c r="N97" s="231">
        <f t="shared" si="20"/>
        <v>410412.57540958514</v>
      </c>
      <c r="O97" s="231">
        <f t="shared" si="21"/>
        <v>410412.57540958514</v>
      </c>
      <c r="P97" s="231">
        <f t="shared" si="14"/>
        <v>2313771.4696340412</v>
      </c>
      <c r="Q97" s="231">
        <v>2390866.768224</v>
      </c>
      <c r="AI97" s="227"/>
    </row>
    <row r="98" spans="4:35" hidden="1" outlineLevel="1">
      <c r="D98" s="227">
        <v>5.5735041105005399E-2</v>
      </c>
      <c r="E98" s="227">
        <v>2050</v>
      </c>
      <c r="G98" s="231">
        <f t="shared" si="12"/>
        <v>2008.6351463832896</v>
      </c>
      <c r="H98" s="231">
        <f t="shared" si="13"/>
        <v>35113.075896153401</v>
      </c>
      <c r="I98" s="231">
        <f t="shared" si="15"/>
        <v>163024.99523214073</v>
      </c>
      <c r="J98" s="231">
        <f t="shared" si="16"/>
        <v>225726.91647527186</v>
      </c>
      <c r="K98" s="231">
        <f t="shared" si="17"/>
        <v>287288.80278670962</v>
      </c>
      <c r="L98" s="231">
        <f t="shared" si="18"/>
        <v>369371.31786862662</v>
      </c>
      <c r="M98" s="231">
        <f t="shared" si="19"/>
        <v>410412.57540958514</v>
      </c>
      <c r="N98" s="231">
        <f t="shared" si="20"/>
        <v>410412.57540958514</v>
      </c>
      <c r="O98" s="231">
        <f t="shared" si="21"/>
        <v>410412.57540958514</v>
      </c>
      <c r="P98" s="231">
        <f t="shared" si="14"/>
        <v>2313771.4696340412</v>
      </c>
      <c r="Q98" s="231">
        <v>2390866.768224</v>
      </c>
      <c r="AI98" s="227"/>
    </row>
    <row r="99" spans="4:35" hidden="1" outlineLevel="1">
      <c r="D99" s="227">
        <v>5.5735041105005399E-2</v>
      </c>
      <c r="E99" s="227">
        <v>2051</v>
      </c>
      <c r="G99" s="231">
        <f t="shared" si="12"/>
        <v>2008.6351463832896</v>
      </c>
      <c r="H99" s="231">
        <f t="shared" si="13"/>
        <v>35113.075896153401</v>
      </c>
      <c r="I99" s="231">
        <f t="shared" si="15"/>
        <v>163024.99523214073</v>
      </c>
      <c r="J99" s="231">
        <f t="shared" si="16"/>
        <v>225726.91647527186</v>
      </c>
      <c r="K99" s="231">
        <f t="shared" si="17"/>
        <v>287288.80278670962</v>
      </c>
      <c r="L99" s="231">
        <f t="shared" si="18"/>
        <v>369371.31786862662</v>
      </c>
      <c r="M99" s="231">
        <f t="shared" si="19"/>
        <v>410412.57540958514</v>
      </c>
      <c r="N99" s="231">
        <f t="shared" si="20"/>
        <v>410412.57540958514</v>
      </c>
      <c r="O99" s="231">
        <f t="shared" si="21"/>
        <v>410412.57540958514</v>
      </c>
      <c r="P99" s="231">
        <f t="shared" si="14"/>
        <v>2313771.4696340412</v>
      </c>
      <c r="Q99" s="231">
        <v>2390866.768224</v>
      </c>
      <c r="AI99" s="227"/>
    </row>
    <row r="100" spans="4:35" hidden="1" outlineLevel="1">
      <c r="D100" s="227">
        <v>5.5735041105005399E-2</v>
      </c>
      <c r="E100" s="227">
        <v>2052</v>
      </c>
      <c r="G100" s="231">
        <f t="shared" si="12"/>
        <v>2008.6351463832896</v>
      </c>
      <c r="H100" s="231">
        <f t="shared" si="13"/>
        <v>35113.075896153401</v>
      </c>
      <c r="I100" s="231">
        <f t="shared" si="15"/>
        <v>163024.99523214073</v>
      </c>
      <c r="J100" s="231">
        <f t="shared" si="16"/>
        <v>225726.91647527186</v>
      </c>
      <c r="K100" s="231">
        <f t="shared" si="17"/>
        <v>287288.80278670962</v>
      </c>
      <c r="L100" s="231">
        <f t="shared" si="18"/>
        <v>369371.31786862662</v>
      </c>
      <c r="M100" s="231">
        <f t="shared" si="19"/>
        <v>410412.57540958514</v>
      </c>
      <c r="N100" s="231">
        <f t="shared" si="20"/>
        <v>410412.57540958514</v>
      </c>
      <c r="O100" s="231">
        <f t="shared" si="21"/>
        <v>410412.57540958514</v>
      </c>
      <c r="P100" s="231">
        <f t="shared" si="14"/>
        <v>2313771.4696340412</v>
      </c>
      <c r="Q100" s="231">
        <v>2390866.768224</v>
      </c>
      <c r="AI100" s="227"/>
    </row>
    <row r="101" spans="4:35" hidden="1" outlineLevel="1">
      <c r="D101" s="227">
        <v>5.5735041105005399E-2</v>
      </c>
      <c r="E101" s="227">
        <v>2053</v>
      </c>
      <c r="G101" s="231">
        <f t="shared" si="12"/>
        <v>2008.6351463832896</v>
      </c>
      <c r="H101" s="231">
        <f t="shared" si="13"/>
        <v>35113.075896153401</v>
      </c>
      <c r="I101" s="231">
        <f t="shared" si="15"/>
        <v>163024.99523214073</v>
      </c>
      <c r="J101" s="231">
        <f t="shared" si="16"/>
        <v>225726.91647527186</v>
      </c>
      <c r="K101" s="231">
        <f t="shared" si="17"/>
        <v>287288.80278670962</v>
      </c>
      <c r="L101" s="231">
        <f t="shared" si="18"/>
        <v>369371.31786862662</v>
      </c>
      <c r="M101" s="231">
        <f t="shared" si="19"/>
        <v>410412.57540958514</v>
      </c>
      <c r="N101" s="231">
        <f t="shared" si="20"/>
        <v>410412.57540958514</v>
      </c>
      <c r="O101" s="231">
        <f t="shared" si="21"/>
        <v>410412.57540958514</v>
      </c>
      <c r="P101" s="231">
        <f t="shared" si="14"/>
        <v>2313771.4696340412</v>
      </c>
      <c r="Q101" s="231">
        <v>2390866.768224</v>
      </c>
      <c r="AI101" s="227"/>
    </row>
    <row r="102" spans="4:35" hidden="1" outlineLevel="1">
      <c r="D102" s="227">
        <v>5.5735041105005399E-2</v>
      </c>
      <c r="E102" s="227">
        <v>2054</v>
      </c>
      <c r="G102" s="231">
        <f t="shared" si="12"/>
        <v>2008.6351463832896</v>
      </c>
      <c r="H102" s="231">
        <f t="shared" si="13"/>
        <v>35113.075896153401</v>
      </c>
      <c r="I102" s="231">
        <f t="shared" si="15"/>
        <v>163024.99523214073</v>
      </c>
      <c r="J102" s="231">
        <f t="shared" si="16"/>
        <v>225726.91647527186</v>
      </c>
      <c r="K102" s="231">
        <f t="shared" si="17"/>
        <v>287288.80278670962</v>
      </c>
      <c r="L102" s="231">
        <f t="shared" si="18"/>
        <v>369371.31786862662</v>
      </c>
      <c r="M102" s="231">
        <f t="shared" si="19"/>
        <v>410412.57540958514</v>
      </c>
      <c r="N102" s="231">
        <f t="shared" si="20"/>
        <v>410412.57540958514</v>
      </c>
      <c r="O102" s="231">
        <f t="shared" si="21"/>
        <v>410412.57540958514</v>
      </c>
      <c r="P102" s="231">
        <f t="shared" si="14"/>
        <v>2313771.4696340412</v>
      </c>
      <c r="Q102" s="231">
        <v>2390866.768224</v>
      </c>
      <c r="AI102" s="227"/>
    </row>
    <row r="103" spans="4:35" hidden="1" outlineLevel="1">
      <c r="D103" s="227">
        <v>5.5735041105005399E-2</v>
      </c>
      <c r="E103" s="227">
        <v>2055</v>
      </c>
      <c r="G103" s="231">
        <f t="shared" si="12"/>
        <v>2008.6351463832896</v>
      </c>
      <c r="H103" s="231">
        <f t="shared" si="13"/>
        <v>35113.075896153401</v>
      </c>
      <c r="I103" s="231">
        <f t="shared" si="15"/>
        <v>163024.99523214073</v>
      </c>
      <c r="J103" s="231">
        <f t="shared" si="16"/>
        <v>225726.91647527186</v>
      </c>
      <c r="K103" s="231">
        <f t="shared" si="17"/>
        <v>287288.80278670962</v>
      </c>
      <c r="L103" s="231">
        <f t="shared" si="18"/>
        <v>369371.31786862662</v>
      </c>
      <c r="M103" s="231">
        <f t="shared" si="19"/>
        <v>410412.57540958514</v>
      </c>
      <c r="N103" s="231">
        <f t="shared" si="20"/>
        <v>410412.57540958514</v>
      </c>
      <c r="O103" s="231">
        <f t="shared" si="21"/>
        <v>410412.57540958514</v>
      </c>
      <c r="P103" s="231">
        <f t="shared" si="14"/>
        <v>2313771.4696340412</v>
      </c>
      <c r="Q103" s="231">
        <v>2390866.768224</v>
      </c>
      <c r="AI103" s="227"/>
    </row>
    <row r="104" spans="4:35" hidden="1" outlineLevel="1">
      <c r="D104" s="227">
        <v>5.5735041105005399E-2</v>
      </c>
      <c r="E104" s="227">
        <v>2056</v>
      </c>
      <c r="G104" s="231">
        <f t="shared" si="12"/>
        <v>2008.6351463832896</v>
      </c>
      <c r="H104" s="231">
        <f t="shared" si="13"/>
        <v>35113.075896153401</v>
      </c>
      <c r="I104" s="231">
        <f t="shared" si="15"/>
        <v>163024.99523214073</v>
      </c>
      <c r="J104" s="231">
        <f t="shared" si="16"/>
        <v>225726.91647527186</v>
      </c>
      <c r="K104" s="231">
        <f t="shared" si="17"/>
        <v>287288.80278670962</v>
      </c>
      <c r="L104" s="231">
        <f t="shared" si="18"/>
        <v>369371.31786862662</v>
      </c>
      <c r="M104" s="231">
        <f t="shared" si="19"/>
        <v>410412.57540958514</v>
      </c>
      <c r="N104" s="231">
        <f t="shared" si="20"/>
        <v>410412.57540958514</v>
      </c>
      <c r="O104" s="231">
        <f t="shared" si="21"/>
        <v>410412.57540958514</v>
      </c>
      <c r="P104" s="231">
        <f t="shared" si="14"/>
        <v>2313771.4696340412</v>
      </c>
      <c r="Q104" s="231">
        <v>2390866.768224</v>
      </c>
      <c r="AI104" s="227"/>
    </row>
    <row r="105" spans="4:35" hidden="1" outlineLevel="1">
      <c r="D105" s="227">
        <v>5.5735041105005399E-2</v>
      </c>
      <c r="E105" s="227">
        <v>2057</v>
      </c>
      <c r="G105" s="231">
        <f t="shared" si="12"/>
        <v>2008.6351463832896</v>
      </c>
      <c r="H105" s="231">
        <f t="shared" si="13"/>
        <v>35113.075896153401</v>
      </c>
      <c r="I105" s="231">
        <f t="shared" si="15"/>
        <v>163024.99523214073</v>
      </c>
      <c r="J105" s="231">
        <f t="shared" si="16"/>
        <v>225726.91647527186</v>
      </c>
      <c r="K105" s="231">
        <f t="shared" si="17"/>
        <v>287288.80278670962</v>
      </c>
      <c r="L105" s="231">
        <f t="shared" si="18"/>
        <v>369371.31786862662</v>
      </c>
      <c r="M105" s="231">
        <f t="shared" si="19"/>
        <v>410412.57540958514</v>
      </c>
      <c r="N105" s="231">
        <f t="shared" si="20"/>
        <v>410412.57540958514</v>
      </c>
      <c r="O105" s="231">
        <f t="shared" si="21"/>
        <v>410412.57540958514</v>
      </c>
      <c r="P105" s="231">
        <f t="shared" si="14"/>
        <v>2313771.4696340412</v>
      </c>
      <c r="Q105" s="231">
        <v>2390866.768224</v>
      </c>
      <c r="AI105" s="227"/>
    </row>
    <row r="106" spans="4:35" hidden="1" outlineLevel="1">
      <c r="D106" s="227">
        <v>5.5735041105005399E-2</v>
      </c>
      <c r="E106" s="227">
        <v>2058</v>
      </c>
      <c r="G106" s="231">
        <f t="shared" si="12"/>
        <v>2008.6351463832896</v>
      </c>
      <c r="H106" s="231">
        <f t="shared" si="13"/>
        <v>35113.075896153401</v>
      </c>
      <c r="I106" s="231">
        <f t="shared" si="15"/>
        <v>163024.99523214073</v>
      </c>
      <c r="J106" s="231">
        <f t="shared" si="16"/>
        <v>225726.91647527186</v>
      </c>
      <c r="K106" s="231">
        <f t="shared" si="17"/>
        <v>287288.80278670962</v>
      </c>
      <c r="L106" s="231">
        <f t="shared" si="18"/>
        <v>369371.31786862662</v>
      </c>
      <c r="M106" s="231">
        <f t="shared" si="19"/>
        <v>410412.57540958514</v>
      </c>
      <c r="N106" s="231">
        <f t="shared" si="20"/>
        <v>410412.57540958514</v>
      </c>
      <c r="O106" s="231">
        <f t="shared" si="21"/>
        <v>410412.57540958514</v>
      </c>
      <c r="P106" s="231">
        <f t="shared" si="14"/>
        <v>2313771.4696340412</v>
      </c>
      <c r="Q106" s="231">
        <v>2390866.768224</v>
      </c>
      <c r="AI106" s="227"/>
    </row>
    <row r="107" spans="4:35" hidden="1" outlineLevel="1">
      <c r="D107" s="227">
        <v>5.5735041105005399E-2</v>
      </c>
      <c r="E107" s="227">
        <v>2059</v>
      </c>
      <c r="G107" s="231">
        <f t="shared" si="12"/>
        <v>2008.6351463832896</v>
      </c>
      <c r="H107" s="231">
        <f t="shared" si="13"/>
        <v>35113.075896153401</v>
      </c>
      <c r="I107" s="231">
        <f t="shared" si="15"/>
        <v>163024.99523214073</v>
      </c>
      <c r="J107" s="231">
        <f t="shared" si="16"/>
        <v>225726.91647527186</v>
      </c>
      <c r="K107" s="231">
        <f t="shared" si="17"/>
        <v>287288.80278670962</v>
      </c>
      <c r="L107" s="231">
        <f t="shared" si="18"/>
        <v>369371.31786862662</v>
      </c>
      <c r="M107" s="231">
        <f t="shared" si="19"/>
        <v>410412.57540958514</v>
      </c>
      <c r="N107" s="231">
        <f t="shared" si="20"/>
        <v>410412.57540958514</v>
      </c>
      <c r="O107" s="231">
        <f t="shared" si="21"/>
        <v>410412.57540958514</v>
      </c>
      <c r="P107" s="231">
        <f t="shared" si="14"/>
        <v>2313771.4696340412</v>
      </c>
      <c r="Q107" s="231">
        <v>2390866.768224</v>
      </c>
      <c r="AI107" s="227"/>
    </row>
    <row r="108" spans="4:35" hidden="1" outlineLevel="1">
      <c r="D108" s="227">
        <v>5.5735041105005399E-2</v>
      </c>
      <c r="E108" s="227">
        <v>2060</v>
      </c>
      <c r="G108" s="231">
        <f t="shared" si="12"/>
        <v>2008.6351463832896</v>
      </c>
      <c r="H108" s="231">
        <f t="shared" si="13"/>
        <v>35113.075896153401</v>
      </c>
      <c r="I108" s="231">
        <f t="shared" si="15"/>
        <v>163024.99523214073</v>
      </c>
      <c r="J108" s="231">
        <f t="shared" si="16"/>
        <v>225726.91647527186</v>
      </c>
      <c r="K108" s="231">
        <f t="shared" si="17"/>
        <v>287288.80278670962</v>
      </c>
      <c r="L108" s="231">
        <f t="shared" si="18"/>
        <v>369371.31786862662</v>
      </c>
      <c r="M108" s="231">
        <f t="shared" si="19"/>
        <v>410412.57540958514</v>
      </c>
      <c r="N108" s="231">
        <f t="shared" si="20"/>
        <v>410412.57540958514</v>
      </c>
      <c r="O108" s="231">
        <f t="shared" si="21"/>
        <v>410412.57540958514</v>
      </c>
      <c r="P108" s="231">
        <f t="shared" si="14"/>
        <v>2313771.4696340412</v>
      </c>
      <c r="Q108" s="231">
        <v>2390866.768224</v>
      </c>
      <c r="AI108" s="227"/>
    </row>
    <row r="109" spans="4:35" hidden="1" outlineLevel="1">
      <c r="D109" s="227">
        <v>5.5735041105005399E-2</v>
      </c>
      <c r="E109" s="227">
        <v>2061</v>
      </c>
      <c r="G109" s="231">
        <f t="shared" si="12"/>
        <v>2008.6351463832896</v>
      </c>
      <c r="H109" s="231">
        <f t="shared" si="13"/>
        <v>35113.075896153401</v>
      </c>
      <c r="I109" s="231">
        <f t="shared" si="15"/>
        <v>163024.99523214073</v>
      </c>
      <c r="J109" s="231">
        <f t="shared" si="16"/>
        <v>225726.91647527186</v>
      </c>
      <c r="K109" s="231">
        <f t="shared" si="17"/>
        <v>287288.80278670962</v>
      </c>
      <c r="L109" s="231">
        <f t="shared" si="18"/>
        <v>369371.31786862662</v>
      </c>
      <c r="M109" s="231">
        <f t="shared" si="19"/>
        <v>410412.57540958514</v>
      </c>
      <c r="N109" s="231">
        <f t="shared" si="20"/>
        <v>410412.57540958514</v>
      </c>
      <c r="O109" s="231">
        <f t="shared" si="21"/>
        <v>410412.57540958514</v>
      </c>
      <c r="P109" s="231">
        <f t="shared" si="14"/>
        <v>2313771.4696340412</v>
      </c>
      <c r="Q109" s="231">
        <v>2390866.768224</v>
      </c>
      <c r="AI109" s="227"/>
    </row>
    <row r="110" spans="4:35" hidden="1" outlineLevel="1">
      <c r="E110" s="227">
        <v>2062</v>
      </c>
      <c r="G110" s="231">
        <f t="shared" si="12"/>
        <v>0</v>
      </c>
      <c r="H110" s="231">
        <f t="shared" si="13"/>
        <v>35113.075896153401</v>
      </c>
      <c r="I110" s="231">
        <f t="shared" si="15"/>
        <v>163024.99523214073</v>
      </c>
      <c r="J110" s="231">
        <f t="shared" si="16"/>
        <v>225726.91647527186</v>
      </c>
      <c r="K110" s="231">
        <f t="shared" si="17"/>
        <v>287288.80278670962</v>
      </c>
      <c r="L110" s="231">
        <f t="shared" si="18"/>
        <v>369371.31786862662</v>
      </c>
      <c r="M110" s="231">
        <f t="shared" si="19"/>
        <v>410412.57540958514</v>
      </c>
      <c r="N110" s="231">
        <f t="shared" si="20"/>
        <v>410412.57540958514</v>
      </c>
      <c r="O110" s="231">
        <f t="shared" si="21"/>
        <v>410412.57540958514</v>
      </c>
      <c r="P110" s="231">
        <f t="shared" si="14"/>
        <v>2311762.834487658</v>
      </c>
      <c r="Q110" s="231">
        <v>2390866.768224</v>
      </c>
      <c r="AI110" s="227"/>
    </row>
    <row r="111" spans="4:35" hidden="1" outlineLevel="1">
      <c r="E111" s="227">
        <v>2063</v>
      </c>
      <c r="G111" s="231">
        <f t="shared" si="12"/>
        <v>0</v>
      </c>
      <c r="H111" s="231">
        <f t="shared" si="13"/>
        <v>0</v>
      </c>
      <c r="I111" s="231">
        <f t="shared" si="15"/>
        <v>163024.99523214073</v>
      </c>
      <c r="J111" s="231">
        <f t="shared" si="16"/>
        <v>225726.91647527186</v>
      </c>
      <c r="K111" s="231">
        <f t="shared" si="17"/>
        <v>287288.80278670962</v>
      </c>
      <c r="L111" s="231">
        <f t="shared" si="18"/>
        <v>369371.31786862662</v>
      </c>
      <c r="M111" s="231">
        <f t="shared" si="19"/>
        <v>410412.57540958514</v>
      </c>
      <c r="N111" s="231">
        <f t="shared" si="20"/>
        <v>410412.57540958514</v>
      </c>
      <c r="O111" s="231">
        <f t="shared" si="21"/>
        <v>410412.57540958514</v>
      </c>
      <c r="P111" s="231">
        <f t="shared" si="14"/>
        <v>2276649.7585915043</v>
      </c>
      <c r="Q111" s="231">
        <v>2390866.768224</v>
      </c>
      <c r="AI111" s="227"/>
    </row>
    <row r="112" spans="4:35" hidden="1" outlineLevel="1">
      <c r="E112" s="227">
        <v>2064</v>
      </c>
      <c r="G112" s="231">
        <f t="shared" si="12"/>
        <v>0</v>
      </c>
      <c r="H112" s="231">
        <f t="shared" si="13"/>
        <v>0</v>
      </c>
      <c r="I112" s="231">
        <f t="shared" si="15"/>
        <v>0</v>
      </c>
      <c r="J112" s="231">
        <f t="shared" si="16"/>
        <v>225726.91647527186</v>
      </c>
      <c r="K112" s="231">
        <f t="shared" si="17"/>
        <v>287288.80278670962</v>
      </c>
      <c r="L112" s="231">
        <f t="shared" si="18"/>
        <v>369371.31786862662</v>
      </c>
      <c r="M112" s="231">
        <f t="shared" si="19"/>
        <v>410412.57540958514</v>
      </c>
      <c r="N112" s="231">
        <f t="shared" si="20"/>
        <v>410412.57540958514</v>
      </c>
      <c r="O112" s="231">
        <f t="shared" si="21"/>
        <v>410412.57540958514</v>
      </c>
      <c r="P112" s="231">
        <f t="shared" si="14"/>
        <v>2113624.7633593637</v>
      </c>
      <c r="Q112" s="231">
        <v>2390866.768224</v>
      </c>
      <c r="AI112" s="227"/>
    </row>
    <row r="113" spans="4:43" hidden="1" outlineLevel="1">
      <c r="E113" s="227">
        <v>2065</v>
      </c>
      <c r="G113" s="231">
        <f t="shared" si="12"/>
        <v>0</v>
      </c>
      <c r="H113" s="231">
        <f t="shared" si="13"/>
        <v>0</v>
      </c>
      <c r="I113" s="231">
        <f t="shared" si="15"/>
        <v>0</v>
      </c>
      <c r="J113" s="231">
        <f t="shared" si="16"/>
        <v>0</v>
      </c>
      <c r="K113" s="231">
        <f t="shared" si="17"/>
        <v>287288.80278670962</v>
      </c>
      <c r="L113" s="231">
        <f t="shared" si="18"/>
        <v>369371.31786862662</v>
      </c>
      <c r="M113" s="231">
        <f t="shared" si="19"/>
        <v>410412.57540958514</v>
      </c>
      <c r="N113" s="231">
        <f t="shared" si="20"/>
        <v>410412.57540958514</v>
      </c>
      <c r="O113" s="231">
        <f t="shared" si="21"/>
        <v>410412.57540958514</v>
      </c>
      <c r="P113" s="231">
        <f t="shared" si="14"/>
        <v>1887897.8468840916</v>
      </c>
      <c r="Q113" s="231">
        <v>2390866.768224</v>
      </c>
      <c r="AI113" s="227"/>
    </row>
    <row r="114" spans="4:43" hidden="1" outlineLevel="1">
      <c r="E114" s="227">
        <v>2066</v>
      </c>
      <c r="G114" s="231">
        <f t="shared" si="12"/>
        <v>0</v>
      </c>
      <c r="H114" s="231">
        <f t="shared" si="13"/>
        <v>0</v>
      </c>
      <c r="I114" s="231">
        <f t="shared" si="15"/>
        <v>0</v>
      </c>
      <c r="J114" s="231">
        <f t="shared" si="16"/>
        <v>0</v>
      </c>
      <c r="K114" s="231">
        <f t="shared" si="17"/>
        <v>0</v>
      </c>
      <c r="L114" s="231">
        <f t="shared" si="18"/>
        <v>369371.31786862662</v>
      </c>
      <c r="M114" s="231">
        <f t="shared" si="19"/>
        <v>410412.57540958514</v>
      </c>
      <c r="N114" s="231">
        <f t="shared" si="20"/>
        <v>410412.57540958514</v>
      </c>
      <c r="O114" s="231">
        <f t="shared" si="21"/>
        <v>410412.57540958514</v>
      </c>
      <c r="P114" s="231">
        <f t="shared" si="14"/>
        <v>1600609.0440973821</v>
      </c>
      <c r="Q114" s="231">
        <v>2390866.768224</v>
      </c>
      <c r="AI114" s="227"/>
    </row>
    <row r="115" spans="4:43" hidden="1" outlineLevel="1">
      <c r="E115" s="227">
        <v>2067</v>
      </c>
      <c r="G115" s="231">
        <f t="shared" si="12"/>
        <v>0</v>
      </c>
      <c r="H115" s="231">
        <f t="shared" si="13"/>
        <v>0</v>
      </c>
      <c r="I115" s="231">
        <f t="shared" si="15"/>
        <v>0</v>
      </c>
      <c r="J115" s="231">
        <f t="shared" si="16"/>
        <v>0</v>
      </c>
      <c r="K115" s="231">
        <f t="shared" si="17"/>
        <v>0</v>
      </c>
      <c r="L115" s="231">
        <f t="shared" si="18"/>
        <v>0</v>
      </c>
      <c r="M115" s="231">
        <f t="shared" si="19"/>
        <v>410412.57540958514</v>
      </c>
      <c r="N115" s="231">
        <f t="shared" si="20"/>
        <v>410412.57540958514</v>
      </c>
      <c r="O115" s="231">
        <f t="shared" si="21"/>
        <v>410412.57540958514</v>
      </c>
      <c r="P115" s="231">
        <f t="shared" si="14"/>
        <v>1231237.7262287554</v>
      </c>
      <c r="Q115" s="231">
        <v>2390866.768224</v>
      </c>
      <c r="AI115" s="227"/>
    </row>
    <row r="116" spans="4:43" hidden="1" outlineLevel="1">
      <c r="E116" s="227">
        <v>2068</v>
      </c>
      <c r="G116" s="231">
        <f t="shared" si="12"/>
        <v>0</v>
      </c>
      <c r="H116" s="231">
        <f t="shared" si="13"/>
        <v>0</v>
      </c>
      <c r="I116" s="231">
        <f t="shared" si="15"/>
        <v>0</v>
      </c>
      <c r="J116" s="231">
        <f t="shared" si="16"/>
        <v>0</v>
      </c>
      <c r="K116" s="231">
        <f t="shared" si="17"/>
        <v>0</v>
      </c>
      <c r="L116" s="231">
        <f t="shared" si="18"/>
        <v>0</v>
      </c>
      <c r="M116" s="231">
        <f t="shared" si="19"/>
        <v>0</v>
      </c>
      <c r="N116" s="231">
        <f t="shared" si="20"/>
        <v>410412.57540958514</v>
      </c>
      <c r="O116" s="231">
        <f t="shared" si="21"/>
        <v>410412.57540958514</v>
      </c>
      <c r="P116" s="231">
        <f t="shared" si="14"/>
        <v>820825.15081917029</v>
      </c>
      <c r="Q116" s="231">
        <v>2390866.768224</v>
      </c>
      <c r="AI116" s="227"/>
    </row>
    <row r="117" spans="4:43" hidden="1" outlineLevel="1">
      <c r="E117" s="227">
        <v>2069</v>
      </c>
      <c r="G117" s="231">
        <f t="shared" si="12"/>
        <v>0</v>
      </c>
      <c r="H117" s="231">
        <f t="shared" si="13"/>
        <v>0</v>
      </c>
      <c r="I117" s="231">
        <f t="shared" si="15"/>
        <v>0</v>
      </c>
      <c r="J117" s="231">
        <f t="shared" si="16"/>
        <v>0</v>
      </c>
      <c r="K117" s="231">
        <f t="shared" si="17"/>
        <v>0</v>
      </c>
      <c r="L117" s="231">
        <f t="shared" si="18"/>
        <v>0</v>
      </c>
      <c r="M117" s="231">
        <f t="shared" si="19"/>
        <v>0</v>
      </c>
      <c r="N117" s="231">
        <f t="shared" si="20"/>
        <v>0</v>
      </c>
      <c r="O117" s="231">
        <f t="shared" si="21"/>
        <v>410412.57540958514</v>
      </c>
      <c r="P117" s="231">
        <f t="shared" si="14"/>
        <v>410412.57540958514</v>
      </c>
      <c r="Q117" s="231">
        <v>2390866.768224</v>
      </c>
      <c r="AI117" s="227"/>
    </row>
    <row r="118" spans="4:43" hidden="1" outlineLevel="1"/>
    <row r="119" spans="4:43" hidden="1" outlineLevel="1">
      <c r="D119" s="230" t="s">
        <v>53</v>
      </c>
      <c r="F119" s="227" t="s">
        <v>54</v>
      </c>
      <c r="G119" s="227">
        <v>2022</v>
      </c>
      <c r="H119" s="227">
        <v>2023</v>
      </c>
      <c r="I119" s="227">
        <v>2024</v>
      </c>
      <c r="J119" s="227">
        <v>2025</v>
      </c>
      <c r="K119" s="227">
        <v>2026</v>
      </c>
      <c r="L119" s="227">
        <v>2027</v>
      </c>
      <c r="M119" s="227">
        <v>2028</v>
      </c>
      <c r="N119" s="227">
        <v>2029</v>
      </c>
      <c r="O119" s="227">
        <v>2030</v>
      </c>
      <c r="AI119" s="227"/>
      <c r="AJ119" s="227"/>
      <c r="AK119" s="227"/>
      <c r="AL119" s="227"/>
      <c r="AM119" s="227"/>
      <c r="AN119" s="227"/>
      <c r="AO119" s="227"/>
      <c r="AP119" s="227"/>
      <c r="AQ119" s="227"/>
    </row>
    <row r="120" spans="4:43" hidden="1" outlineLevel="1">
      <c r="D120" s="227" t="s">
        <v>55</v>
      </c>
      <c r="E120" s="227" t="s">
        <v>52</v>
      </c>
      <c r="F120" s="227" t="s">
        <v>56</v>
      </c>
      <c r="G120" s="229">
        <f>+'Planted Trees'!C17</f>
        <v>44877.24</v>
      </c>
      <c r="H120" s="229">
        <f>+'Planted Trees'!D17</f>
        <v>766080</v>
      </c>
      <c r="I120" s="229">
        <f>+'Planted Trees'!E17</f>
        <v>3556800</v>
      </c>
      <c r="J120" s="229">
        <f>+'Planted Trees'!F17</f>
        <v>4924800</v>
      </c>
      <c r="K120" s="229">
        <f>+'Planted Trees'!G17</f>
        <v>6267927.2727272725</v>
      </c>
      <c r="L120" s="229">
        <f>+'Planted Trees'!H17</f>
        <v>8058763.6363636348</v>
      </c>
      <c r="M120" s="229">
        <f>+'Planted Trees'!I17</f>
        <v>8954181.8181818165</v>
      </c>
      <c r="N120" s="229">
        <f>+'Planted Trees'!J17</f>
        <v>8954181.8181818165</v>
      </c>
      <c r="O120" s="229">
        <f>+'Planted Trees'!K17</f>
        <v>8954181.8181818165</v>
      </c>
      <c r="P120" s="229" t="s">
        <v>57</v>
      </c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  <c r="AQ120" s="229"/>
    </row>
    <row r="121" spans="4:43" hidden="1" outlineLevel="1">
      <c r="D121" s="227" cm="1">
        <f t="array" ref="D121:D160">+TRANSPOSE(D30:AQ30)</f>
        <v>4.7280000000000004E-3</v>
      </c>
      <c r="E121" s="227">
        <v>2022</v>
      </c>
      <c r="G121" s="229">
        <f>+G$120*D121</f>
        <v>212.17959072000002</v>
      </c>
      <c r="H121" s="229"/>
      <c r="I121" s="229"/>
      <c r="J121" s="229"/>
      <c r="K121" s="229"/>
      <c r="L121" s="229"/>
      <c r="M121" s="229"/>
      <c r="N121" s="229"/>
      <c r="O121" s="229"/>
      <c r="P121" s="229">
        <f>+SUM(G121:O121)</f>
        <v>212.17959072000002</v>
      </c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</row>
    <row r="122" spans="4:43" hidden="1" outlineLevel="1">
      <c r="D122" s="227">
        <v>7.9080000000000001E-3</v>
      </c>
      <c r="E122" s="227">
        <v>2023</v>
      </c>
      <c r="G122" s="229">
        <f t="shared" ref="G122:G168" si="22">+G$120*D122</f>
        <v>354.88921391999997</v>
      </c>
      <c r="H122" s="229">
        <f>+H$120*$D121</f>
        <v>3622.0262400000001</v>
      </c>
      <c r="P122" s="229">
        <f t="shared" ref="P122:P168" si="23">+SUM(G122:O122)</f>
        <v>3976.9154539199999</v>
      </c>
    </row>
    <row r="123" spans="4:43" hidden="1" outlineLevel="1">
      <c r="D123" s="227">
        <v>1.2168E-2</v>
      </c>
      <c r="E123" s="227">
        <v>2024</v>
      </c>
      <c r="G123" s="229">
        <f t="shared" si="22"/>
        <v>546.06625631999998</v>
      </c>
      <c r="H123" s="229">
        <f>+H$120*$D122</f>
        <v>6058.1606400000001</v>
      </c>
      <c r="I123" s="229">
        <f>+I$120*$D121</f>
        <v>16816.5504</v>
      </c>
      <c r="P123" s="229">
        <f t="shared" si="23"/>
        <v>23420.77729632</v>
      </c>
    </row>
    <row r="124" spans="4:43" hidden="1" outlineLevel="1">
      <c r="D124" s="227">
        <v>1.9584000000000001E-2</v>
      </c>
      <c r="E124" s="227">
        <v>2025</v>
      </c>
      <c r="G124" s="229">
        <f t="shared" si="22"/>
        <v>878.87586815999998</v>
      </c>
      <c r="H124" s="229">
        <f t="shared" ref="H124:H168" si="24">+H$120*$D123</f>
        <v>9321.6614399999999</v>
      </c>
      <c r="I124" s="229">
        <f t="shared" ref="I124:I168" si="25">+I$120*$D122</f>
        <v>28127.1744</v>
      </c>
      <c r="J124" s="229">
        <f>+J$120*$D121</f>
        <v>23284.454400000002</v>
      </c>
      <c r="P124" s="229">
        <f t="shared" si="23"/>
        <v>61612.166108160003</v>
      </c>
    </row>
    <row r="125" spans="4:43" hidden="1" outlineLevel="1">
      <c r="D125" s="227">
        <v>3.6527999999999998E-2</v>
      </c>
      <c r="E125" s="227">
        <v>2026</v>
      </c>
      <c r="G125" s="229">
        <f t="shared" si="22"/>
        <v>1639.2758227199997</v>
      </c>
      <c r="H125" s="229">
        <f t="shared" si="24"/>
        <v>15002.91072</v>
      </c>
      <c r="I125" s="229">
        <f t="shared" si="25"/>
        <v>43279.142399999997</v>
      </c>
      <c r="J125" s="229">
        <f t="shared" ref="J125:J168" si="26">+J$120*$D122</f>
        <v>38945.318400000004</v>
      </c>
      <c r="K125" s="229">
        <f>+K$120*$D121</f>
        <v>29634.760145454547</v>
      </c>
      <c r="P125" s="229">
        <f t="shared" si="23"/>
        <v>128501.40748817455</v>
      </c>
    </row>
    <row r="126" spans="4:43" hidden="1" outlineLevel="1">
      <c r="D126" s="227">
        <v>6.4416000000000001E-2</v>
      </c>
      <c r="E126" s="227">
        <v>2027</v>
      </c>
      <c r="G126" s="229">
        <f t="shared" si="22"/>
        <v>2890.8122918399999</v>
      </c>
      <c r="H126" s="229">
        <f t="shared" si="24"/>
        <v>27983.37024</v>
      </c>
      <c r="I126" s="229">
        <f t="shared" si="25"/>
        <v>69656.371200000009</v>
      </c>
      <c r="J126" s="229">
        <f t="shared" si="26"/>
        <v>59924.966399999998</v>
      </c>
      <c r="K126" s="229">
        <f t="shared" ref="K126:K168" si="27">+K$120*$D122</f>
        <v>49566.768872727269</v>
      </c>
      <c r="L126" s="229">
        <f>+L$120*$D121</f>
        <v>38101.834472727271</v>
      </c>
      <c r="P126" s="229">
        <f t="shared" si="23"/>
        <v>248124.12347729455</v>
      </c>
    </row>
    <row r="127" spans="4:43" hidden="1" outlineLevel="1">
      <c r="D127" s="227">
        <v>9.2303999999999997E-2</v>
      </c>
      <c r="E127" s="227">
        <v>2028</v>
      </c>
      <c r="G127" s="229">
        <f t="shared" si="22"/>
        <v>4142.3487609599997</v>
      </c>
      <c r="H127" s="229">
        <f t="shared" si="24"/>
        <v>49347.809280000001</v>
      </c>
      <c r="I127" s="229">
        <f t="shared" si="25"/>
        <v>129922.7904</v>
      </c>
      <c r="J127" s="229">
        <f t="shared" si="26"/>
        <v>96447.283200000005</v>
      </c>
      <c r="K127" s="229">
        <f t="shared" si="27"/>
        <v>76268.139054545449</v>
      </c>
      <c r="L127" s="229">
        <f t="shared" ref="L127:L168" si="28">+L$120*$D122</f>
        <v>63728.702836363627</v>
      </c>
      <c r="M127" s="229">
        <f>+M$120*$D121</f>
        <v>42335.371636363634</v>
      </c>
      <c r="P127" s="229">
        <f t="shared" si="23"/>
        <v>462192.44516823266</v>
      </c>
    </row>
    <row r="128" spans="4:43" hidden="1" outlineLevel="1">
      <c r="D128" s="227">
        <v>0.12019199999999999</v>
      </c>
      <c r="E128" s="227">
        <v>2029</v>
      </c>
      <c r="G128" s="229">
        <f t="shared" si="22"/>
        <v>5393.885230079999</v>
      </c>
      <c r="H128" s="229">
        <f t="shared" si="24"/>
        <v>70712.248319999999</v>
      </c>
      <c r="I128" s="229">
        <f t="shared" si="25"/>
        <v>229114.82880000002</v>
      </c>
      <c r="J128" s="229">
        <f t="shared" si="26"/>
        <v>179893.0944</v>
      </c>
      <c r="K128" s="229">
        <f t="shared" si="27"/>
        <v>122751.08770909091</v>
      </c>
      <c r="L128" s="229">
        <f t="shared" si="28"/>
        <v>98059.035927272707</v>
      </c>
      <c r="M128" s="229">
        <f t="shared" ref="M128:M168" si="29">+M$120*$D122</f>
        <v>70809.669818181806</v>
      </c>
      <c r="N128" s="229">
        <f>+N$120*$D121</f>
        <v>42335.371636363634</v>
      </c>
      <c r="P128" s="229">
        <f t="shared" si="23"/>
        <v>819069.22184098919</v>
      </c>
    </row>
    <row r="129" spans="4:16" hidden="1" outlineLevel="1">
      <c r="D129" s="227">
        <v>0.14807999999999999</v>
      </c>
      <c r="E129" s="227">
        <v>2030</v>
      </c>
      <c r="G129" s="229">
        <f t="shared" si="22"/>
        <v>6645.4216991999992</v>
      </c>
      <c r="H129" s="229">
        <f t="shared" si="24"/>
        <v>92076.687359999996</v>
      </c>
      <c r="I129" s="229">
        <f t="shared" si="25"/>
        <v>328306.86719999998</v>
      </c>
      <c r="J129" s="229">
        <f t="shared" si="26"/>
        <v>317235.91680000001</v>
      </c>
      <c r="K129" s="229">
        <f t="shared" si="27"/>
        <v>228954.8474181818</v>
      </c>
      <c r="L129" s="229">
        <f t="shared" si="28"/>
        <v>157822.82705454543</v>
      </c>
      <c r="M129" s="229">
        <f t="shared" si="29"/>
        <v>108954.48436363634</v>
      </c>
      <c r="N129" s="229">
        <f t="shared" ref="N129:N168" si="30">+N$120*$D122</f>
        <v>70809.669818181806</v>
      </c>
      <c r="O129" s="229">
        <f>+O$120*$D121</f>
        <v>42335.371636363634</v>
      </c>
      <c r="P129" s="229">
        <f t="shared" si="23"/>
        <v>1353142.0933501089</v>
      </c>
    </row>
    <row r="130" spans="4:16" hidden="1" outlineLevel="1">
      <c r="D130" s="227">
        <v>0.17596799999999999</v>
      </c>
      <c r="E130" s="227">
        <v>2031</v>
      </c>
      <c r="G130" s="229">
        <f t="shared" si="22"/>
        <v>7896.9581683199985</v>
      </c>
      <c r="H130" s="229">
        <f t="shared" si="24"/>
        <v>113441.12639999999</v>
      </c>
      <c r="I130" s="229">
        <f t="shared" si="25"/>
        <v>427498.9056</v>
      </c>
      <c r="J130" s="229">
        <f t="shared" si="26"/>
        <v>454578.73920000001</v>
      </c>
      <c r="K130" s="229">
        <f t="shared" si="27"/>
        <v>403754.80319999997</v>
      </c>
      <c r="L130" s="229">
        <f t="shared" si="28"/>
        <v>294370.51810909086</v>
      </c>
      <c r="M130" s="229">
        <f t="shared" si="29"/>
        <v>175358.69672727271</v>
      </c>
      <c r="N130" s="229">
        <f t="shared" si="30"/>
        <v>108954.48436363634</v>
      </c>
      <c r="O130" s="229">
        <f t="shared" ref="O130:O168" si="31">+O$120*$D122</f>
        <v>70809.669818181806</v>
      </c>
      <c r="P130" s="229">
        <f t="shared" si="23"/>
        <v>2056663.9015865014</v>
      </c>
    </row>
    <row r="131" spans="4:16" hidden="1" outlineLevel="1">
      <c r="D131" s="227">
        <v>0.20385599999999998</v>
      </c>
      <c r="E131" s="227">
        <v>2032</v>
      </c>
      <c r="G131" s="229">
        <f t="shared" si="22"/>
        <v>9148.4946374399988</v>
      </c>
      <c r="H131" s="229">
        <f t="shared" si="24"/>
        <v>134805.56543999998</v>
      </c>
      <c r="I131" s="229">
        <f t="shared" si="25"/>
        <v>526690.94400000002</v>
      </c>
      <c r="J131" s="229">
        <f t="shared" si="26"/>
        <v>591921.56160000002</v>
      </c>
      <c r="K131" s="229">
        <f t="shared" si="27"/>
        <v>578554.7589818181</v>
      </c>
      <c r="L131" s="229">
        <f t="shared" si="28"/>
        <v>519113.31839999993</v>
      </c>
      <c r="M131" s="229">
        <f t="shared" si="29"/>
        <v>327078.35345454537</v>
      </c>
      <c r="N131" s="229">
        <f t="shared" si="30"/>
        <v>175358.69672727271</v>
      </c>
      <c r="O131" s="229">
        <f t="shared" si="31"/>
        <v>108954.48436363634</v>
      </c>
      <c r="P131" s="229">
        <f t="shared" si="23"/>
        <v>2971626.1776047125</v>
      </c>
    </row>
    <row r="132" spans="4:16" hidden="1" outlineLevel="1">
      <c r="D132" s="227">
        <v>4.7280000000000004E-3</v>
      </c>
      <c r="E132" s="227">
        <v>2033</v>
      </c>
      <c r="G132" s="229">
        <f t="shared" si="22"/>
        <v>212.17959072000002</v>
      </c>
      <c r="H132" s="229">
        <f t="shared" si="24"/>
        <v>156170.00447999997</v>
      </c>
      <c r="I132" s="229">
        <f t="shared" si="25"/>
        <v>625882.98239999998</v>
      </c>
      <c r="J132" s="229">
        <f t="shared" si="26"/>
        <v>729264.38399999996</v>
      </c>
      <c r="K132" s="229">
        <f t="shared" si="27"/>
        <v>753354.71476363624</v>
      </c>
      <c r="L132" s="229">
        <f t="shared" si="28"/>
        <v>743856.11869090889</v>
      </c>
      <c r="M132" s="229">
        <f t="shared" si="29"/>
        <v>576792.57599999988</v>
      </c>
      <c r="N132" s="229">
        <f t="shared" si="30"/>
        <v>327078.35345454537</v>
      </c>
      <c r="O132" s="229">
        <f t="shared" si="31"/>
        <v>175358.69672727271</v>
      </c>
      <c r="P132" s="229">
        <f t="shared" si="23"/>
        <v>4087970.0101070828</v>
      </c>
    </row>
    <row r="133" spans="4:16" hidden="1" outlineLevel="1">
      <c r="D133" s="227">
        <v>7.9080000000000001E-3</v>
      </c>
      <c r="E133" s="227">
        <v>2034</v>
      </c>
      <c r="G133" s="229">
        <f t="shared" si="22"/>
        <v>354.88921391999997</v>
      </c>
      <c r="H133" s="229">
        <f t="shared" si="24"/>
        <v>3622.0262400000001</v>
      </c>
      <c r="I133" s="229">
        <f t="shared" si="25"/>
        <v>725075.02079999994</v>
      </c>
      <c r="J133" s="229">
        <f t="shared" si="26"/>
        <v>866607.20639999991</v>
      </c>
      <c r="K133" s="229">
        <f t="shared" si="27"/>
        <v>928154.67054545449</v>
      </c>
      <c r="L133" s="229">
        <f t="shared" si="28"/>
        <v>968598.9189818179</v>
      </c>
      <c r="M133" s="229">
        <f t="shared" si="29"/>
        <v>826506.7985454544</v>
      </c>
      <c r="N133" s="229">
        <f t="shared" si="30"/>
        <v>576792.57599999988</v>
      </c>
      <c r="O133" s="229">
        <f t="shared" si="31"/>
        <v>327078.35345454537</v>
      </c>
      <c r="P133" s="229">
        <f t="shared" si="23"/>
        <v>5222790.4601811916</v>
      </c>
    </row>
    <row r="134" spans="4:16" hidden="1" outlineLevel="1">
      <c r="D134" s="227">
        <v>1.2168E-2</v>
      </c>
      <c r="E134" s="227">
        <v>2035</v>
      </c>
      <c r="G134" s="229">
        <f t="shared" si="22"/>
        <v>546.06625631999998</v>
      </c>
      <c r="H134" s="229">
        <f t="shared" si="24"/>
        <v>6058.1606400000001</v>
      </c>
      <c r="I134" s="229">
        <f t="shared" si="25"/>
        <v>16816.5504</v>
      </c>
      <c r="J134" s="229">
        <f t="shared" si="26"/>
        <v>1003950.0287999999</v>
      </c>
      <c r="K134" s="229">
        <f t="shared" si="27"/>
        <v>1102954.6263272725</v>
      </c>
      <c r="L134" s="229">
        <f t="shared" si="28"/>
        <v>1193341.7192727269</v>
      </c>
      <c r="M134" s="229">
        <f t="shared" si="29"/>
        <v>1076221.0210909089</v>
      </c>
      <c r="N134" s="229">
        <f t="shared" si="30"/>
        <v>826506.7985454544</v>
      </c>
      <c r="O134" s="229">
        <f t="shared" si="31"/>
        <v>576792.57599999988</v>
      </c>
      <c r="P134" s="229">
        <f t="shared" si="23"/>
        <v>5803187.5473326836</v>
      </c>
    </row>
    <row r="135" spans="4:16" hidden="1" outlineLevel="1">
      <c r="D135" s="227">
        <v>1.9584000000000001E-2</v>
      </c>
      <c r="E135" s="227">
        <v>2036</v>
      </c>
      <c r="G135" s="229">
        <f t="shared" si="22"/>
        <v>878.87586815999998</v>
      </c>
      <c r="H135" s="229">
        <f t="shared" si="24"/>
        <v>9321.6614399999999</v>
      </c>
      <c r="I135" s="229">
        <f t="shared" si="25"/>
        <v>28127.1744</v>
      </c>
      <c r="J135" s="229">
        <f t="shared" si="26"/>
        <v>23284.454400000002</v>
      </c>
      <c r="K135" s="229">
        <f t="shared" si="27"/>
        <v>1277754.5821090906</v>
      </c>
      <c r="L135" s="229">
        <f t="shared" si="28"/>
        <v>1418084.519563636</v>
      </c>
      <c r="M135" s="229">
        <f t="shared" si="29"/>
        <v>1325935.2436363632</v>
      </c>
      <c r="N135" s="229">
        <f t="shared" si="30"/>
        <v>1076221.0210909089</v>
      </c>
      <c r="O135" s="229">
        <f t="shared" si="31"/>
        <v>826506.7985454544</v>
      </c>
      <c r="P135" s="229">
        <f t="shared" si="23"/>
        <v>5986114.3310536137</v>
      </c>
    </row>
    <row r="136" spans="4:16" hidden="1" outlineLevel="1">
      <c r="D136" s="227">
        <v>3.6527999999999998E-2</v>
      </c>
      <c r="E136" s="227">
        <v>2037</v>
      </c>
      <c r="G136" s="229">
        <f t="shared" si="22"/>
        <v>1639.2758227199997</v>
      </c>
      <c r="H136" s="229">
        <f t="shared" si="24"/>
        <v>15002.91072</v>
      </c>
      <c r="I136" s="229">
        <f t="shared" si="25"/>
        <v>43279.142399999997</v>
      </c>
      <c r="J136" s="229">
        <f t="shared" si="26"/>
        <v>38945.318400000004</v>
      </c>
      <c r="K136" s="229">
        <f t="shared" si="27"/>
        <v>29634.760145454547</v>
      </c>
      <c r="L136" s="229">
        <f t="shared" si="28"/>
        <v>1642827.3198545449</v>
      </c>
      <c r="M136" s="229">
        <f t="shared" si="29"/>
        <v>1575649.4661818177</v>
      </c>
      <c r="N136" s="229">
        <f t="shared" si="30"/>
        <v>1325935.2436363632</v>
      </c>
      <c r="O136" s="229">
        <f t="shared" si="31"/>
        <v>1076221.0210909089</v>
      </c>
      <c r="P136" s="229">
        <f t="shared" si="23"/>
        <v>5749134.4582518088</v>
      </c>
    </row>
    <row r="137" spans="4:16" hidden="1" outlineLevel="1">
      <c r="D137" s="227">
        <v>6.4416000000000001E-2</v>
      </c>
      <c r="E137" s="227">
        <v>2038</v>
      </c>
      <c r="G137" s="229">
        <f t="shared" si="22"/>
        <v>2890.8122918399999</v>
      </c>
      <c r="H137" s="229">
        <f t="shared" si="24"/>
        <v>27983.37024</v>
      </c>
      <c r="I137" s="229">
        <f t="shared" si="25"/>
        <v>69656.371200000009</v>
      </c>
      <c r="J137" s="229">
        <f t="shared" si="26"/>
        <v>59924.966399999998</v>
      </c>
      <c r="K137" s="229">
        <f t="shared" si="27"/>
        <v>49566.768872727269</v>
      </c>
      <c r="L137" s="229">
        <f t="shared" si="28"/>
        <v>38101.834472727271</v>
      </c>
      <c r="M137" s="229">
        <f t="shared" si="29"/>
        <v>1825363.6887272722</v>
      </c>
      <c r="N137" s="229">
        <f t="shared" si="30"/>
        <v>1575649.4661818177</v>
      </c>
      <c r="O137" s="229">
        <f t="shared" si="31"/>
        <v>1325935.2436363632</v>
      </c>
      <c r="P137" s="229">
        <f t="shared" si="23"/>
        <v>4975072.5220227474</v>
      </c>
    </row>
    <row r="138" spans="4:16" hidden="1" outlineLevel="1">
      <c r="D138" s="227">
        <v>9.2303999999999997E-2</v>
      </c>
      <c r="E138" s="227">
        <v>2039</v>
      </c>
      <c r="G138" s="229">
        <f t="shared" si="22"/>
        <v>4142.3487609599997</v>
      </c>
      <c r="H138" s="229">
        <f t="shared" si="24"/>
        <v>49347.809280000001</v>
      </c>
      <c r="I138" s="229">
        <f t="shared" si="25"/>
        <v>129922.7904</v>
      </c>
      <c r="J138" s="229">
        <f t="shared" si="26"/>
        <v>96447.283200000005</v>
      </c>
      <c r="K138" s="229">
        <f t="shared" si="27"/>
        <v>76268.139054545449</v>
      </c>
      <c r="L138" s="229">
        <f t="shared" si="28"/>
        <v>63728.702836363627</v>
      </c>
      <c r="M138" s="229">
        <f t="shared" si="29"/>
        <v>42335.371636363634</v>
      </c>
      <c r="N138" s="229">
        <f t="shared" si="30"/>
        <v>1825363.6887272722</v>
      </c>
      <c r="O138" s="229">
        <f t="shared" si="31"/>
        <v>1575649.4661818177</v>
      </c>
      <c r="P138" s="229">
        <f t="shared" si="23"/>
        <v>3863205.6000773227</v>
      </c>
    </row>
    <row r="139" spans="4:16" hidden="1" outlineLevel="1">
      <c r="D139" s="227">
        <v>0.12019199999999999</v>
      </c>
      <c r="E139" s="227">
        <v>2040</v>
      </c>
      <c r="G139" s="229">
        <f t="shared" si="22"/>
        <v>5393.885230079999</v>
      </c>
      <c r="H139" s="229">
        <f t="shared" si="24"/>
        <v>70712.248319999999</v>
      </c>
      <c r="I139" s="229">
        <f t="shared" si="25"/>
        <v>229114.82880000002</v>
      </c>
      <c r="J139" s="229">
        <f t="shared" si="26"/>
        <v>179893.0944</v>
      </c>
      <c r="K139" s="229">
        <f t="shared" si="27"/>
        <v>122751.08770909091</v>
      </c>
      <c r="L139" s="229">
        <f t="shared" si="28"/>
        <v>98059.035927272707</v>
      </c>
      <c r="M139" s="229">
        <f t="shared" si="29"/>
        <v>70809.669818181806</v>
      </c>
      <c r="N139" s="229">
        <f t="shared" si="30"/>
        <v>42335.371636363634</v>
      </c>
      <c r="O139" s="229">
        <f t="shared" si="31"/>
        <v>1825363.6887272722</v>
      </c>
      <c r="P139" s="229">
        <f t="shared" si="23"/>
        <v>2644432.9105682615</v>
      </c>
    </row>
    <row r="140" spans="4:16" hidden="1" outlineLevel="1">
      <c r="D140" s="227">
        <v>0.14807999999999999</v>
      </c>
      <c r="E140" s="227">
        <v>2041</v>
      </c>
      <c r="G140" s="229">
        <f t="shared" si="22"/>
        <v>6645.4216991999992</v>
      </c>
      <c r="H140" s="229">
        <f t="shared" si="24"/>
        <v>92076.687359999996</v>
      </c>
      <c r="I140" s="229">
        <f t="shared" si="25"/>
        <v>328306.86719999998</v>
      </c>
      <c r="J140" s="229">
        <f t="shared" si="26"/>
        <v>317235.91680000001</v>
      </c>
      <c r="K140" s="229">
        <f t="shared" si="27"/>
        <v>228954.8474181818</v>
      </c>
      <c r="L140" s="229">
        <f t="shared" si="28"/>
        <v>157822.82705454543</v>
      </c>
      <c r="M140" s="229">
        <f t="shared" si="29"/>
        <v>108954.48436363634</v>
      </c>
      <c r="N140" s="229">
        <f t="shared" si="30"/>
        <v>70809.669818181806</v>
      </c>
      <c r="O140" s="229">
        <f t="shared" si="31"/>
        <v>42335.371636363634</v>
      </c>
      <c r="P140" s="229">
        <f t="shared" si="23"/>
        <v>1353142.0933501089</v>
      </c>
    </row>
    <row r="141" spans="4:16" hidden="1" outlineLevel="1">
      <c r="D141" s="227">
        <v>0.17596799999999999</v>
      </c>
      <c r="E141" s="227">
        <v>2042</v>
      </c>
      <c r="G141" s="229">
        <f t="shared" si="22"/>
        <v>7896.9581683199985</v>
      </c>
      <c r="H141" s="229">
        <f t="shared" si="24"/>
        <v>113441.12639999999</v>
      </c>
      <c r="I141" s="229">
        <f t="shared" si="25"/>
        <v>427498.9056</v>
      </c>
      <c r="J141" s="229">
        <f t="shared" si="26"/>
        <v>454578.73920000001</v>
      </c>
      <c r="K141" s="229">
        <f t="shared" si="27"/>
        <v>403754.80319999997</v>
      </c>
      <c r="L141" s="229">
        <f t="shared" si="28"/>
        <v>294370.51810909086</v>
      </c>
      <c r="M141" s="229">
        <f t="shared" si="29"/>
        <v>175358.69672727271</v>
      </c>
      <c r="N141" s="229">
        <f t="shared" si="30"/>
        <v>108954.48436363634</v>
      </c>
      <c r="O141" s="229">
        <f t="shared" si="31"/>
        <v>70809.669818181806</v>
      </c>
      <c r="P141" s="229">
        <f t="shared" si="23"/>
        <v>2056663.9015865014</v>
      </c>
    </row>
    <row r="142" spans="4:16" hidden="1" outlineLevel="1">
      <c r="D142" s="227">
        <v>0.20385599999999998</v>
      </c>
      <c r="E142" s="227">
        <v>2043</v>
      </c>
      <c r="G142" s="229">
        <f t="shared" si="22"/>
        <v>9148.4946374399988</v>
      </c>
      <c r="H142" s="229">
        <f t="shared" si="24"/>
        <v>134805.56543999998</v>
      </c>
      <c r="I142" s="229">
        <f t="shared" si="25"/>
        <v>526690.94400000002</v>
      </c>
      <c r="J142" s="229">
        <f t="shared" si="26"/>
        <v>591921.56160000002</v>
      </c>
      <c r="K142" s="229">
        <f t="shared" si="27"/>
        <v>578554.7589818181</v>
      </c>
      <c r="L142" s="229">
        <f t="shared" si="28"/>
        <v>519113.31839999993</v>
      </c>
      <c r="M142" s="229">
        <f t="shared" si="29"/>
        <v>327078.35345454537</v>
      </c>
      <c r="N142" s="229">
        <f t="shared" si="30"/>
        <v>175358.69672727271</v>
      </c>
      <c r="O142" s="229">
        <f t="shared" si="31"/>
        <v>108954.48436363634</v>
      </c>
      <c r="P142" s="229">
        <f t="shared" si="23"/>
        <v>2971626.1776047125</v>
      </c>
    </row>
    <row r="143" spans="4:16" hidden="1" outlineLevel="1">
      <c r="D143" s="227">
        <v>4.7280000000000004E-3</v>
      </c>
      <c r="E143" s="227">
        <v>2044</v>
      </c>
      <c r="G143" s="229">
        <f t="shared" si="22"/>
        <v>212.17959072000002</v>
      </c>
      <c r="H143" s="229">
        <f t="shared" si="24"/>
        <v>156170.00447999997</v>
      </c>
      <c r="I143" s="229">
        <f t="shared" si="25"/>
        <v>625882.98239999998</v>
      </c>
      <c r="J143" s="229">
        <f t="shared" si="26"/>
        <v>729264.38399999996</v>
      </c>
      <c r="K143" s="229">
        <f t="shared" si="27"/>
        <v>753354.71476363624</v>
      </c>
      <c r="L143" s="229">
        <f t="shared" si="28"/>
        <v>743856.11869090889</v>
      </c>
      <c r="M143" s="229">
        <f t="shared" si="29"/>
        <v>576792.57599999988</v>
      </c>
      <c r="N143" s="229">
        <f t="shared" si="30"/>
        <v>327078.35345454537</v>
      </c>
      <c r="O143" s="229">
        <f t="shared" si="31"/>
        <v>175358.69672727271</v>
      </c>
      <c r="P143" s="229">
        <f t="shared" si="23"/>
        <v>4087970.0101070828</v>
      </c>
    </row>
    <row r="144" spans="4:16" hidden="1" outlineLevel="1">
      <c r="D144" s="227">
        <v>7.9080000000000001E-3</v>
      </c>
      <c r="E144" s="227">
        <v>2045</v>
      </c>
      <c r="G144" s="229">
        <f t="shared" si="22"/>
        <v>354.88921391999997</v>
      </c>
      <c r="H144" s="229">
        <f t="shared" si="24"/>
        <v>3622.0262400000001</v>
      </c>
      <c r="I144" s="229">
        <f t="shared" si="25"/>
        <v>725075.02079999994</v>
      </c>
      <c r="J144" s="229">
        <f t="shared" si="26"/>
        <v>866607.20639999991</v>
      </c>
      <c r="K144" s="229">
        <f t="shared" si="27"/>
        <v>928154.67054545449</v>
      </c>
      <c r="L144" s="229">
        <f t="shared" si="28"/>
        <v>968598.9189818179</v>
      </c>
      <c r="M144" s="229">
        <f t="shared" si="29"/>
        <v>826506.7985454544</v>
      </c>
      <c r="N144" s="229">
        <f t="shared" si="30"/>
        <v>576792.57599999988</v>
      </c>
      <c r="O144" s="229">
        <f t="shared" si="31"/>
        <v>327078.35345454537</v>
      </c>
      <c r="P144" s="229">
        <f t="shared" si="23"/>
        <v>5222790.4601811916</v>
      </c>
    </row>
    <row r="145" spans="4:43" hidden="1" outlineLevel="1">
      <c r="D145" s="227">
        <v>1.2168E-2</v>
      </c>
      <c r="E145" s="227">
        <v>2046</v>
      </c>
      <c r="G145" s="229">
        <f t="shared" si="22"/>
        <v>546.06625631999998</v>
      </c>
      <c r="H145" s="229">
        <f t="shared" si="24"/>
        <v>6058.1606400000001</v>
      </c>
      <c r="I145" s="229">
        <f t="shared" si="25"/>
        <v>16816.5504</v>
      </c>
      <c r="J145" s="229">
        <f t="shared" si="26"/>
        <v>1003950.0287999999</v>
      </c>
      <c r="K145" s="229">
        <f t="shared" si="27"/>
        <v>1102954.6263272725</v>
      </c>
      <c r="L145" s="229">
        <f t="shared" si="28"/>
        <v>1193341.7192727269</v>
      </c>
      <c r="M145" s="229">
        <f t="shared" si="29"/>
        <v>1076221.0210909089</v>
      </c>
      <c r="N145" s="229">
        <f t="shared" si="30"/>
        <v>826506.7985454544</v>
      </c>
      <c r="O145" s="229">
        <f t="shared" si="31"/>
        <v>576792.57599999988</v>
      </c>
      <c r="P145" s="229">
        <f t="shared" si="23"/>
        <v>5803187.5473326836</v>
      </c>
    </row>
    <row r="146" spans="4:43" hidden="1" outlineLevel="1">
      <c r="D146" s="227">
        <v>1.9584000000000001E-2</v>
      </c>
      <c r="E146" s="227">
        <v>2047</v>
      </c>
      <c r="G146" s="229">
        <f t="shared" si="22"/>
        <v>878.87586815999998</v>
      </c>
      <c r="H146" s="229">
        <f t="shared" si="24"/>
        <v>9321.6614399999999</v>
      </c>
      <c r="I146" s="229">
        <f t="shared" si="25"/>
        <v>28127.1744</v>
      </c>
      <c r="J146" s="229">
        <f t="shared" si="26"/>
        <v>23284.454400000002</v>
      </c>
      <c r="K146" s="229">
        <f t="shared" si="27"/>
        <v>1277754.5821090906</v>
      </c>
      <c r="L146" s="229">
        <f t="shared" si="28"/>
        <v>1418084.519563636</v>
      </c>
      <c r="M146" s="229">
        <f t="shared" si="29"/>
        <v>1325935.2436363632</v>
      </c>
      <c r="N146" s="229">
        <f t="shared" si="30"/>
        <v>1076221.0210909089</v>
      </c>
      <c r="O146" s="229">
        <f t="shared" si="31"/>
        <v>826506.7985454544</v>
      </c>
      <c r="P146" s="229">
        <f t="shared" si="23"/>
        <v>5986114.3310536137</v>
      </c>
    </row>
    <row r="147" spans="4:43" hidden="1" outlineLevel="1">
      <c r="D147" s="227">
        <v>3.6527999999999998E-2</v>
      </c>
      <c r="E147" s="227">
        <v>2048</v>
      </c>
      <c r="G147" s="229">
        <f t="shared" si="22"/>
        <v>1639.2758227199997</v>
      </c>
      <c r="H147" s="229">
        <f t="shared" si="24"/>
        <v>15002.91072</v>
      </c>
      <c r="I147" s="229">
        <f t="shared" si="25"/>
        <v>43279.142399999997</v>
      </c>
      <c r="J147" s="229">
        <f t="shared" si="26"/>
        <v>38945.318400000004</v>
      </c>
      <c r="K147" s="229">
        <f t="shared" si="27"/>
        <v>29634.760145454547</v>
      </c>
      <c r="L147" s="229">
        <f t="shared" si="28"/>
        <v>1642827.3198545449</v>
      </c>
      <c r="M147" s="229">
        <f t="shared" si="29"/>
        <v>1575649.4661818177</v>
      </c>
      <c r="N147" s="229">
        <f t="shared" si="30"/>
        <v>1325935.2436363632</v>
      </c>
      <c r="O147" s="229">
        <f t="shared" si="31"/>
        <v>1076221.0210909089</v>
      </c>
      <c r="P147" s="229">
        <f t="shared" si="23"/>
        <v>5749134.4582518088</v>
      </c>
    </row>
    <row r="148" spans="4:43" hidden="1" outlineLevel="1">
      <c r="D148" s="227">
        <v>6.4416000000000001E-2</v>
      </c>
      <c r="E148" s="227">
        <v>2049</v>
      </c>
      <c r="G148" s="229">
        <f t="shared" si="22"/>
        <v>2890.8122918399999</v>
      </c>
      <c r="H148" s="229">
        <f t="shared" si="24"/>
        <v>27983.37024</v>
      </c>
      <c r="I148" s="229">
        <f t="shared" si="25"/>
        <v>69656.371200000009</v>
      </c>
      <c r="J148" s="229">
        <f t="shared" si="26"/>
        <v>59924.966399999998</v>
      </c>
      <c r="K148" s="229">
        <f t="shared" si="27"/>
        <v>49566.768872727269</v>
      </c>
      <c r="L148" s="229">
        <f t="shared" si="28"/>
        <v>38101.834472727271</v>
      </c>
      <c r="M148" s="229">
        <f t="shared" si="29"/>
        <v>1825363.6887272722</v>
      </c>
      <c r="N148" s="229">
        <f t="shared" si="30"/>
        <v>1575649.4661818177</v>
      </c>
      <c r="O148" s="229">
        <f t="shared" si="31"/>
        <v>1325935.2436363632</v>
      </c>
      <c r="P148" s="229">
        <f t="shared" si="23"/>
        <v>4975072.5220227474</v>
      </c>
    </row>
    <row r="149" spans="4:43" hidden="1" outlineLevel="1">
      <c r="D149" s="227">
        <v>9.2303999999999997E-2</v>
      </c>
      <c r="E149" s="227">
        <v>2050</v>
      </c>
      <c r="G149" s="229">
        <f t="shared" si="22"/>
        <v>4142.3487609599997</v>
      </c>
      <c r="H149" s="229">
        <f t="shared" si="24"/>
        <v>49347.809280000001</v>
      </c>
      <c r="I149" s="229">
        <f t="shared" si="25"/>
        <v>129922.7904</v>
      </c>
      <c r="J149" s="229">
        <f t="shared" si="26"/>
        <v>96447.283200000005</v>
      </c>
      <c r="K149" s="229">
        <f t="shared" si="27"/>
        <v>76268.139054545449</v>
      </c>
      <c r="L149" s="229">
        <f t="shared" si="28"/>
        <v>63728.702836363627</v>
      </c>
      <c r="M149" s="229">
        <f t="shared" si="29"/>
        <v>42335.371636363634</v>
      </c>
      <c r="N149" s="229">
        <f t="shared" si="30"/>
        <v>1825363.6887272722</v>
      </c>
      <c r="O149" s="229">
        <f t="shared" si="31"/>
        <v>1575649.4661818177</v>
      </c>
      <c r="P149" s="229">
        <f t="shared" si="23"/>
        <v>3863205.6000773227</v>
      </c>
    </row>
    <row r="150" spans="4:43" hidden="1" outlineLevel="1">
      <c r="D150" s="227">
        <v>0.12019199999999999</v>
      </c>
      <c r="E150" s="227">
        <v>2051</v>
      </c>
      <c r="G150" s="229">
        <f t="shared" si="22"/>
        <v>5393.885230079999</v>
      </c>
      <c r="H150" s="229">
        <f t="shared" si="24"/>
        <v>70712.248319999999</v>
      </c>
      <c r="I150" s="229">
        <f t="shared" si="25"/>
        <v>229114.82880000002</v>
      </c>
      <c r="J150" s="229">
        <f t="shared" si="26"/>
        <v>179893.0944</v>
      </c>
      <c r="K150" s="229">
        <f t="shared" si="27"/>
        <v>122751.08770909091</v>
      </c>
      <c r="L150" s="229">
        <f t="shared" si="28"/>
        <v>98059.035927272707</v>
      </c>
      <c r="M150" s="229">
        <f t="shared" si="29"/>
        <v>70809.669818181806</v>
      </c>
      <c r="N150" s="229">
        <f t="shared" si="30"/>
        <v>42335.371636363634</v>
      </c>
      <c r="O150" s="229">
        <f t="shared" si="31"/>
        <v>1825363.6887272722</v>
      </c>
      <c r="P150" s="229">
        <f t="shared" si="23"/>
        <v>2644432.9105682615</v>
      </c>
      <c r="AI150" s="227"/>
    </row>
    <row r="151" spans="4:43" hidden="1" outlineLevel="1">
      <c r="D151" s="227">
        <v>0.14807999999999999</v>
      </c>
      <c r="E151" s="227">
        <v>2052</v>
      </c>
      <c r="G151" s="229">
        <f t="shared" si="22"/>
        <v>6645.4216991999992</v>
      </c>
      <c r="H151" s="229">
        <f t="shared" si="24"/>
        <v>92076.687359999996</v>
      </c>
      <c r="I151" s="229">
        <f t="shared" si="25"/>
        <v>328306.86719999998</v>
      </c>
      <c r="J151" s="229">
        <f t="shared" si="26"/>
        <v>317235.91680000001</v>
      </c>
      <c r="K151" s="229">
        <f t="shared" si="27"/>
        <v>228954.8474181818</v>
      </c>
      <c r="L151" s="229">
        <f t="shared" si="28"/>
        <v>157822.82705454543</v>
      </c>
      <c r="M151" s="229">
        <f t="shared" si="29"/>
        <v>108954.48436363634</v>
      </c>
      <c r="N151" s="229">
        <f t="shared" si="30"/>
        <v>70809.669818181806</v>
      </c>
      <c r="O151" s="229">
        <f t="shared" si="31"/>
        <v>42335.371636363634</v>
      </c>
      <c r="P151" s="229">
        <f t="shared" si="23"/>
        <v>1353142.0933501089</v>
      </c>
      <c r="AI151" s="227"/>
      <c r="AJ151" s="227"/>
    </row>
    <row r="152" spans="4:43" hidden="1" outlineLevel="1">
      <c r="D152" s="227">
        <v>0.17596799999999999</v>
      </c>
      <c r="E152" s="227">
        <v>2053</v>
      </c>
      <c r="G152" s="229">
        <f t="shared" si="22"/>
        <v>7896.9581683199985</v>
      </c>
      <c r="H152" s="229">
        <f t="shared" si="24"/>
        <v>113441.12639999999</v>
      </c>
      <c r="I152" s="229">
        <f t="shared" si="25"/>
        <v>427498.9056</v>
      </c>
      <c r="J152" s="229">
        <f t="shared" si="26"/>
        <v>454578.73920000001</v>
      </c>
      <c r="K152" s="229">
        <f t="shared" si="27"/>
        <v>403754.80319999997</v>
      </c>
      <c r="L152" s="229">
        <f t="shared" si="28"/>
        <v>294370.51810909086</v>
      </c>
      <c r="M152" s="229">
        <f t="shared" si="29"/>
        <v>175358.69672727271</v>
      </c>
      <c r="N152" s="229">
        <f t="shared" si="30"/>
        <v>108954.48436363634</v>
      </c>
      <c r="O152" s="229">
        <f t="shared" si="31"/>
        <v>70809.669818181806</v>
      </c>
      <c r="P152" s="229">
        <f t="shared" si="23"/>
        <v>2056663.9015865014</v>
      </c>
      <c r="AI152" s="227"/>
      <c r="AJ152" s="227"/>
      <c r="AK152" s="227"/>
    </row>
    <row r="153" spans="4:43" hidden="1" outlineLevel="1">
      <c r="D153" s="227">
        <v>0.20385599999999998</v>
      </c>
      <c r="E153" s="227">
        <v>2054</v>
      </c>
      <c r="G153" s="229">
        <f t="shared" si="22"/>
        <v>9148.4946374399988</v>
      </c>
      <c r="H153" s="229">
        <f t="shared" si="24"/>
        <v>134805.56543999998</v>
      </c>
      <c r="I153" s="229">
        <f t="shared" si="25"/>
        <v>526690.94400000002</v>
      </c>
      <c r="J153" s="229">
        <f t="shared" si="26"/>
        <v>591921.56160000002</v>
      </c>
      <c r="K153" s="229">
        <f t="shared" si="27"/>
        <v>578554.7589818181</v>
      </c>
      <c r="L153" s="229">
        <f t="shared" si="28"/>
        <v>519113.31839999993</v>
      </c>
      <c r="M153" s="229">
        <f t="shared" si="29"/>
        <v>327078.35345454537</v>
      </c>
      <c r="N153" s="229">
        <f t="shared" si="30"/>
        <v>175358.69672727271</v>
      </c>
      <c r="O153" s="229">
        <f t="shared" si="31"/>
        <v>108954.48436363634</v>
      </c>
      <c r="P153" s="229">
        <f t="shared" si="23"/>
        <v>2971626.1776047125</v>
      </c>
      <c r="AI153" s="227"/>
      <c r="AJ153" s="227"/>
      <c r="AK153" s="227"/>
      <c r="AL153" s="227"/>
    </row>
    <row r="154" spans="4:43" hidden="1" outlineLevel="1">
      <c r="D154" s="227">
        <v>4.7280000000000004E-3</v>
      </c>
      <c r="E154" s="227">
        <v>2055</v>
      </c>
      <c r="G154" s="229">
        <f t="shared" si="22"/>
        <v>212.17959072000002</v>
      </c>
      <c r="H154" s="229">
        <f t="shared" si="24"/>
        <v>156170.00447999997</v>
      </c>
      <c r="I154" s="229">
        <f t="shared" si="25"/>
        <v>625882.98239999998</v>
      </c>
      <c r="J154" s="229">
        <f t="shared" si="26"/>
        <v>729264.38399999996</v>
      </c>
      <c r="K154" s="229">
        <f t="shared" si="27"/>
        <v>753354.71476363624</v>
      </c>
      <c r="L154" s="229">
        <f t="shared" si="28"/>
        <v>743856.11869090889</v>
      </c>
      <c r="M154" s="229">
        <f t="shared" si="29"/>
        <v>576792.57599999988</v>
      </c>
      <c r="N154" s="229">
        <f t="shared" si="30"/>
        <v>327078.35345454537</v>
      </c>
      <c r="O154" s="229">
        <f t="shared" si="31"/>
        <v>175358.69672727271</v>
      </c>
      <c r="P154" s="229">
        <f t="shared" si="23"/>
        <v>4087970.0101070828</v>
      </c>
      <c r="AI154" s="227"/>
      <c r="AJ154" s="227"/>
      <c r="AK154" s="227"/>
      <c r="AL154" s="227"/>
      <c r="AM154" s="227"/>
    </row>
    <row r="155" spans="4:43" hidden="1" outlineLevel="1">
      <c r="D155" s="227">
        <v>7.9080000000000001E-3</v>
      </c>
      <c r="E155" s="227">
        <v>2056</v>
      </c>
      <c r="G155" s="229">
        <f t="shared" si="22"/>
        <v>354.88921391999997</v>
      </c>
      <c r="H155" s="229">
        <f t="shared" si="24"/>
        <v>3622.0262400000001</v>
      </c>
      <c r="I155" s="229">
        <f t="shared" si="25"/>
        <v>725075.02079999994</v>
      </c>
      <c r="J155" s="229">
        <f t="shared" si="26"/>
        <v>866607.20639999991</v>
      </c>
      <c r="K155" s="229">
        <f t="shared" si="27"/>
        <v>928154.67054545449</v>
      </c>
      <c r="L155" s="229">
        <f t="shared" si="28"/>
        <v>968598.9189818179</v>
      </c>
      <c r="M155" s="229">
        <f t="shared" si="29"/>
        <v>826506.7985454544</v>
      </c>
      <c r="N155" s="229">
        <f t="shared" si="30"/>
        <v>576792.57599999988</v>
      </c>
      <c r="O155" s="229">
        <f t="shared" si="31"/>
        <v>327078.35345454537</v>
      </c>
      <c r="P155" s="229">
        <f t="shared" si="23"/>
        <v>5222790.4601811916</v>
      </c>
      <c r="AI155" s="227"/>
      <c r="AJ155" s="227"/>
      <c r="AK155" s="227"/>
      <c r="AL155" s="227"/>
      <c r="AM155" s="227"/>
      <c r="AN155" s="227"/>
    </row>
    <row r="156" spans="4:43" hidden="1" outlineLevel="1">
      <c r="D156" s="227">
        <v>1.2168E-2</v>
      </c>
      <c r="E156" s="227">
        <v>2057</v>
      </c>
      <c r="G156" s="229">
        <f t="shared" si="22"/>
        <v>546.06625631999998</v>
      </c>
      <c r="H156" s="229">
        <f t="shared" si="24"/>
        <v>6058.1606400000001</v>
      </c>
      <c r="I156" s="229">
        <f t="shared" si="25"/>
        <v>16816.5504</v>
      </c>
      <c r="J156" s="229">
        <f t="shared" si="26"/>
        <v>1003950.0287999999</v>
      </c>
      <c r="K156" s="229">
        <f t="shared" si="27"/>
        <v>1102954.6263272725</v>
      </c>
      <c r="L156" s="229">
        <f t="shared" si="28"/>
        <v>1193341.7192727269</v>
      </c>
      <c r="M156" s="229">
        <f t="shared" si="29"/>
        <v>1076221.0210909089</v>
      </c>
      <c r="N156" s="229">
        <f t="shared" si="30"/>
        <v>826506.7985454544</v>
      </c>
      <c r="O156" s="229">
        <f t="shared" si="31"/>
        <v>576792.57599999988</v>
      </c>
      <c r="P156" s="229">
        <f t="shared" si="23"/>
        <v>5803187.5473326836</v>
      </c>
      <c r="AI156" s="227"/>
      <c r="AJ156" s="227"/>
      <c r="AK156" s="227"/>
      <c r="AL156" s="227"/>
      <c r="AM156" s="227"/>
      <c r="AN156" s="227"/>
      <c r="AO156" s="227"/>
    </row>
    <row r="157" spans="4:43" hidden="1" outlineLevel="1">
      <c r="D157" s="227">
        <v>1.9584000000000001E-2</v>
      </c>
      <c r="E157" s="227">
        <v>2058</v>
      </c>
      <c r="G157" s="229">
        <f t="shared" si="22"/>
        <v>878.87586815999998</v>
      </c>
      <c r="H157" s="229">
        <f t="shared" si="24"/>
        <v>9321.6614399999999</v>
      </c>
      <c r="I157" s="229">
        <f t="shared" si="25"/>
        <v>28127.1744</v>
      </c>
      <c r="J157" s="229">
        <f t="shared" si="26"/>
        <v>23284.454400000002</v>
      </c>
      <c r="K157" s="229">
        <f t="shared" si="27"/>
        <v>1277754.5821090906</v>
      </c>
      <c r="L157" s="229">
        <f t="shared" si="28"/>
        <v>1418084.519563636</v>
      </c>
      <c r="M157" s="229">
        <f t="shared" si="29"/>
        <v>1325935.2436363632</v>
      </c>
      <c r="N157" s="229">
        <f t="shared" si="30"/>
        <v>1076221.0210909089</v>
      </c>
      <c r="O157" s="229">
        <f t="shared" si="31"/>
        <v>826506.7985454544</v>
      </c>
      <c r="P157" s="229">
        <f t="shared" si="23"/>
        <v>5986114.3310536137</v>
      </c>
      <c r="AI157" s="227"/>
      <c r="AJ157" s="227"/>
      <c r="AK157" s="227"/>
      <c r="AL157" s="227"/>
      <c r="AM157" s="227"/>
      <c r="AN157" s="227"/>
      <c r="AO157" s="227"/>
      <c r="AP157" s="227"/>
    </row>
    <row r="158" spans="4:43" hidden="1" outlineLevel="1">
      <c r="D158" s="227">
        <v>3.6527999999999998E-2</v>
      </c>
      <c r="E158" s="227">
        <v>2059</v>
      </c>
      <c r="G158" s="229">
        <f t="shared" si="22"/>
        <v>1639.2758227199997</v>
      </c>
      <c r="H158" s="229">
        <f t="shared" si="24"/>
        <v>15002.91072</v>
      </c>
      <c r="I158" s="229">
        <f t="shared" si="25"/>
        <v>43279.142399999997</v>
      </c>
      <c r="J158" s="229">
        <f t="shared" si="26"/>
        <v>38945.318400000004</v>
      </c>
      <c r="K158" s="229">
        <f t="shared" si="27"/>
        <v>29634.760145454547</v>
      </c>
      <c r="L158" s="229">
        <f t="shared" si="28"/>
        <v>1642827.3198545449</v>
      </c>
      <c r="M158" s="229">
        <f t="shared" si="29"/>
        <v>1575649.4661818177</v>
      </c>
      <c r="N158" s="229">
        <f t="shared" si="30"/>
        <v>1325935.2436363632</v>
      </c>
      <c r="O158" s="229">
        <f t="shared" si="31"/>
        <v>1076221.0210909089</v>
      </c>
      <c r="P158" s="229">
        <f t="shared" si="23"/>
        <v>5749134.4582518088</v>
      </c>
      <c r="AI158" s="227"/>
      <c r="AJ158" s="227"/>
      <c r="AK158" s="227"/>
      <c r="AL158" s="227"/>
      <c r="AM158" s="227"/>
      <c r="AN158" s="227"/>
      <c r="AO158" s="227"/>
      <c r="AP158" s="227"/>
      <c r="AQ158" s="227"/>
    </row>
    <row r="159" spans="4:43" hidden="1" outlineLevel="1">
      <c r="D159" s="227">
        <v>6.4416000000000001E-2</v>
      </c>
      <c r="E159" s="227">
        <v>2060</v>
      </c>
      <c r="G159" s="229">
        <f t="shared" si="22"/>
        <v>2890.8122918399999</v>
      </c>
      <c r="H159" s="229">
        <f t="shared" si="24"/>
        <v>27983.37024</v>
      </c>
      <c r="I159" s="229">
        <f t="shared" si="25"/>
        <v>69656.371200000009</v>
      </c>
      <c r="J159" s="229">
        <f t="shared" si="26"/>
        <v>59924.966399999998</v>
      </c>
      <c r="K159" s="229">
        <f t="shared" si="27"/>
        <v>49566.768872727269</v>
      </c>
      <c r="L159" s="229">
        <f t="shared" si="28"/>
        <v>38101.834472727271</v>
      </c>
      <c r="M159" s="229">
        <f t="shared" si="29"/>
        <v>1825363.6887272722</v>
      </c>
      <c r="N159" s="229">
        <f t="shared" si="30"/>
        <v>1575649.4661818177</v>
      </c>
      <c r="O159" s="229">
        <f t="shared" si="31"/>
        <v>1325935.2436363632</v>
      </c>
      <c r="P159" s="229">
        <f t="shared" si="23"/>
        <v>4975072.5220227474</v>
      </c>
      <c r="AI159" s="227"/>
      <c r="AJ159" s="227"/>
      <c r="AK159" s="227"/>
      <c r="AL159" s="227"/>
      <c r="AM159" s="227"/>
      <c r="AN159" s="227"/>
      <c r="AO159" s="227"/>
      <c r="AP159" s="227"/>
      <c r="AQ159" s="227"/>
    </row>
    <row r="160" spans="4:43" hidden="1" outlineLevel="1">
      <c r="D160" s="227">
        <v>9.2303999999999997E-2</v>
      </c>
      <c r="E160" s="227">
        <v>2061</v>
      </c>
      <c r="G160" s="229">
        <f t="shared" si="22"/>
        <v>4142.3487609599997</v>
      </c>
      <c r="H160" s="229">
        <f t="shared" si="24"/>
        <v>49347.809280000001</v>
      </c>
      <c r="I160" s="229">
        <f t="shared" si="25"/>
        <v>129922.7904</v>
      </c>
      <c r="J160" s="229">
        <f t="shared" si="26"/>
        <v>96447.283200000005</v>
      </c>
      <c r="K160" s="229">
        <f t="shared" si="27"/>
        <v>76268.139054545449</v>
      </c>
      <c r="L160" s="229">
        <f t="shared" si="28"/>
        <v>63728.702836363627</v>
      </c>
      <c r="M160" s="229">
        <f t="shared" si="29"/>
        <v>42335.371636363634</v>
      </c>
      <c r="N160" s="229">
        <f t="shared" si="30"/>
        <v>1825363.6887272722</v>
      </c>
      <c r="O160" s="229">
        <f t="shared" si="31"/>
        <v>1575649.4661818177</v>
      </c>
      <c r="P160" s="229">
        <f t="shared" si="23"/>
        <v>3863205.6000773227</v>
      </c>
      <c r="AI160" s="227"/>
      <c r="AJ160" s="227"/>
      <c r="AK160" s="227"/>
      <c r="AL160" s="227"/>
      <c r="AM160" s="227"/>
      <c r="AN160" s="227"/>
      <c r="AO160" s="227"/>
      <c r="AP160" s="227"/>
      <c r="AQ160" s="227"/>
    </row>
    <row r="161" spans="4:43" hidden="1" outlineLevel="1">
      <c r="E161" s="227">
        <v>2062</v>
      </c>
      <c r="G161" s="229">
        <f t="shared" si="22"/>
        <v>0</v>
      </c>
      <c r="H161" s="229">
        <f t="shared" si="24"/>
        <v>70712.248319999999</v>
      </c>
      <c r="I161" s="229">
        <f t="shared" si="25"/>
        <v>229114.82880000002</v>
      </c>
      <c r="J161" s="229">
        <f t="shared" si="26"/>
        <v>179893.0944</v>
      </c>
      <c r="K161" s="229">
        <f t="shared" si="27"/>
        <v>122751.08770909091</v>
      </c>
      <c r="L161" s="229">
        <f t="shared" si="28"/>
        <v>98059.035927272707</v>
      </c>
      <c r="M161" s="229">
        <f t="shared" si="29"/>
        <v>70809.669818181806</v>
      </c>
      <c r="N161" s="229">
        <f t="shared" si="30"/>
        <v>42335.371636363634</v>
      </c>
      <c r="O161" s="229">
        <f t="shared" si="31"/>
        <v>1825363.6887272722</v>
      </c>
      <c r="P161" s="229">
        <f t="shared" si="23"/>
        <v>2639039.0253381813</v>
      </c>
      <c r="AI161" s="227"/>
      <c r="AJ161" s="227"/>
      <c r="AK161" s="227"/>
      <c r="AL161" s="227"/>
      <c r="AM161" s="227"/>
      <c r="AN161" s="227"/>
      <c r="AO161" s="227"/>
      <c r="AP161" s="227"/>
      <c r="AQ161" s="227"/>
    </row>
    <row r="162" spans="4:43" hidden="1" outlineLevel="1">
      <c r="E162" s="227">
        <v>2063</v>
      </c>
      <c r="G162" s="229">
        <f t="shared" si="22"/>
        <v>0</v>
      </c>
      <c r="H162" s="229">
        <f t="shared" si="24"/>
        <v>0</v>
      </c>
      <c r="I162" s="229">
        <f t="shared" si="25"/>
        <v>328306.86719999998</v>
      </c>
      <c r="J162" s="229">
        <f t="shared" si="26"/>
        <v>317235.91680000001</v>
      </c>
      <c r="K162" s="229">
        <f t="shared" si="27"/>
        <v>228954.8474181818</v>
      </c>
      <c r="L162" s="229">
        <f t="shared" si="28"/>
        <v>157822.82705454543</v>
      </c>
      <c r="M162" s="229">
        <f t="shared" si="29"/>
        <v>108954.48436363634</v>
      </c>
      <c r="N162" s="229">
        <f t="shared" si="30"/>
        <v>70809.669818181806</v>
      </c>
      <c r="O162" s="229">
        <f t="shared" si="31"/>
        <v>42335.371636363634</v>
      </c>
      <c r="P162" s="229">
        <f t="shared" si="23"/>
        <v>1254419.984290909</v>
      </c>
      <c r="AI162" s="227"/>
      <c r="AJ162" s="227"/>
      <c r="AK162" s="227"/>
      <c r="AL162" s="227"/>
      <c r="AM162" s="227"/>
      <c r="AN162" s="227"/>
      <c r="AO162" s="227"/>
      <c r="AP162" s="227"/>
      <c r="AQ162" s="227"/>
    </row>
    <row r="163" spans="4:43" hidden="1" outlineLevel="1">
      <c r="E163" s="227">
        <v>2064</v>
      </c>
      <c r="G163" s="229">
        <f t="shared" si="22"/>
        <v>0</v>
      </c>
      <c r="H163" s="229">
        <f t="shared" si="24"/>
        <v>0</v>
      </c>
      <c r="I163" s="229">
        <f t="shared" si="25"/>
        <v>0</v>
      </c>
      <c r="J163" s="229">
        <f t="shared" si="26"/>
        <v>454578.73920000001</v>
      </c>
      <c r="K163" s="229">
        <f t="shared" si="27"/>
        <v>403754.80319999997</v>
      </c>
      <c r="L163" s="229">
        <f t="shared" si="28"/>
        <v>294370.51810909086</v>
      </c>
      <c r="M163" s="229">
        <f t="shared" si="29"/>
        <v>175358.69672727271</v>
      </c>
      <c r="N163" s="229">
        <f t="shared" si="30"/>
        <v>108954.48436363634</v>
      </c>
      <c r="O163" s="229">
        <f t="shared" si="31"/>
        <v>70809.669818181806</v>
      </c>
      <c r="P163" s="229">
        <f t="shared" si="23"/>
        <v>1507826.9114181814</v>
      </c>
      <c r="AI163" s="227"/>
      <c r="AJ163" s="227"/>
      <c r="AK163" s="227"/>
      <c r="AL163" s="227"/>
      <c r="AM163" s="227"/>
      <c r="AN163" s="227"/>
      <c r="AO163" s="227"/>
      <c r="AP163" s="227"/>
      <c r="AQ163" s="227"/>
    </row>
    <row r="164" spans="4:43" hidden="1" outlineLevel="1">
      <c r="E164" s="227">
        <v>2065</v>
      </c>
      <c r="G164" s="229">
        <f t="shared" si="22"/>
        <v>0</v>
      </c>
      <c r="H164" s="229">
        <f t="shared" si="24"/>
        <v>0</v>
      </c>
      <c r="I164" s="229">
        <f t="shared" si="25"/>
        <v>0</v>
      </c>
      <c r="J164" s="229">
        <f t="shared" si="26"/>
        <v>0</v>
      </c>
      <c r="K164" s="229">
        <f t="shared" si="27"/>
        <v>578554.7589818181</v>
      </c>
      <c r="L164" s="229">
        <f t="shared" si="28"/>
        <v>519113.31839999993</v>
      </c>
      <c r="M164" s="229">
        <f t="shared" si="29"/>
        <v>327078.35345454537</v>
      </c>
      <c r="N164" s="229">
        <f t="shared" si="30"/>
        <v>175358.69672727271</v>
      </c>
      <c r="O164" s="229">
        <f t="shared" si="31"/>
        <v>108954.48436363634</v>
      </c>
      <c r="P164" s="229">
        <f t="shared" si="23"/>
        <v>1709059.6119272725</v>
      </c>
      <c r="AI164" s="227"/>
      <c r="AJ164" s="227"/>
      <c r="AK164" s="227"/>
      <c r="AL164" s="227"/>
      <c r="AM164" s="227"/>
      <c r="AN164" s="227"/>
      <c r="AO164" s="227"/>
      <c r="AP164" s="227"/>
      <c r="AQ164" s="227"/>
    </row>
    <row r="165" spans="4:43" hidden="1" outlineLevel="1">
      <c r="E165" s="227">
        <v>2066</v>
      </c>
      <c r="G165" s="229">
        <f t="shared" si="22"/>
        <v>0</v>
      </c>
      <c r="H165" s="229">
        <f t="shared" si="24"/>
        <v>0</v>
      </c>
      <c r="I165" s="229">
        <f t="shared" si="25"/>
        <v>0</v>
      </c>
      <c r="J165" s="229">
        <f t="shared" si="26"/>
        <v>0</v>
      </c>
      <c r="K165" s="229">
        <f t="shared" si="27"/>
        <v>0</v>
      </c>
      <c r="L165" s="229">
        <f t="shared" si="28"/>
        <v>743856.11869090889</v>
      </c>
      <c r="M165" s="229">
        <f t="shared" si="29"/>
        <v>576792.57599999988</v>
      </c>
      <c r="N165" s="229">
        <f t="shared" si="30"/>
        <v>327078.35345454537</v>
      </c>
      <c r="O165" s="229">
        <f t="shared" si="31"/>
        <v>175358.69672727271</v>
      </c>
      <c r="P165" s="229">
        <f t="shared" si="23"/>
        <v>1823085.744872727</v>
      </c>
      <c r="AI165" s="227"/>
      <c r="AJ165" s="227"/>
      <c r="AK165" s="227"/>
      <c r="AL165" s="227"/>
      <c r="AM165" s="227"/>
      <c r="AN165" s="227"/>
      <c r="AO165" s="227"/>
      <c r="AP165" s="227"/>
      <c r="AQ165" s="227"/>
    </row>
    <row r="166" spans="4:43" hidden="1" outlineLevel="1">
      <c r="E166" s="227">
        <v>2067</v>
      </c>
      <c r="G166" s="229">
        <f t="shared" si="22"/>
        <v>0</v>
      </c>
      <c r="H166" s="229">
        <f t="shared" si="24"/>
        <v>0</v>
      </c>
      <c r="I166" s="229">
        <f t="shared" si="25"/>
        <v>0</v>
      </c>
      <c r="J166" s="229">
        <f t="shared" si="26"/>
        <v>0</v>
      </c>
      <c r="K166" s="229">
        <f t="shared" si="27"/>
        <v>0</v>
      </c>
      <c r="L166" s="229">
        <f t="shared" si="28"/>
        <v>0</v>
      </c>
      <c r="M166" s="229">
        <f t="shared" si="29"/>
        <v>826506.7985454544</v>
      </c>
      <c r="N166" s="229">
        <f t="shared" si="30"/>
        <v>576792.57599999988</v>
      </c>
      <c r="O166" s="229">
        <f t="shared" si="31"/>
        <v>327078.35345454537</v>
      </c>
      <c r="P166" s="229">
        <f t="shared" si="23"/>
        <v>1730377.7279999997</v>
      </c>
      <c r="AI166" s="227"/>
      <c r="AJ166" s="227"/>
      <c r="AK166" s="227"/>
      <c r="AL166" s="227"/>
      <c r="AM166" s="227"/>
      <c r="AN166" s="227"/>
      <c r="AO166" s="227"/>
      <c r="AP166" s="227"/>
      <c r="AQ166" s="227"/>
    </row>
    <row r="167" spans="4:43" hidden="1" outlineLevel="1">
      <c r="E167" s="227">
        <v>2068</v>
      </c>
      <c r="G167" s="229">
        <f t="shared" si="22"/>
        <v>0</v>
      </c>
      <c r="H167" s="229">
        <f t="shared" si="24"/>
        <v>0</v>
      </c>
      <c r="I167" s="229">
        <f t="shared" si="25"/>
        <v>0</v>
      </c>
      <c r="J167" s="229">
        <f t="shared" si="26"/>
        <v>0</v>
      </c>
      <c r="K167" s="229">
        <f t="shared" si="27"/>
        <v>0</v>
      </c>
      <c r="L167" s="229">
        <f t="shared" si="28"/>
        <v>0</v>
      </c>
      <c r="M167" s="229">
        <f t="shared" si="29"/>
        <v>0</v>
      </c>
      <c r="N167" s="229">
        <f t="shared" si="30"/>
        <v>826506.7985454544</v>
      </c>
      <c r="O167" s="229">
        <f t="shared" si="31"/>
        <v>576792.57599999988</v>
      </c>
      <c r="P167" s="229">
        <f t="shared" si="23"/>
        <v>1403299.3745454543</v>
      </c>
      <c r="AI167" s="227"/>
      <c r="AJ167" s="227"/>
      <c r="AK167" s="227"/>
      <c r="AL167" s="227"/>
      <c r="AM167" s="227"/>
      <c r="AN167" s="227"/>
      <c r="AO167" s="227"/>
      <c r="AP167" s="227"/>
      <c r="AQ167" s="227"/>
    </row>
    <row r="168" spans="4:43" hidden="1" outlineLevel="1">
      <c r="E168" s="227">
        <v>2069</v>
      </c>
      <c r="G168" s="229">
        <f t="shared" si="22"/>
        <v>0</v>
      </c>
      <c r="H168" s="229">
        <f t="shared" si="24"/>
        <v>0</v>
      </c>
      <c r="I168" s="229">
        <f t="shared" si="25"/>
        <v>0</v>
      </c>
      <c r="J168" s="229">
        <f t="shared" si="26"/>
        <v>0</v>
      </c>
      <c r="K168" s="229">
        <f t="shared" si="27"/>
        <v>0</v>
      </c>
      <c r="L168" s="229">
        <f t="shared" si="28"/>
        <v>0</v>
      </c>
      <c r="M168" s="229">
        <f t="shared" si="29"/>
        <v>0</v>
      </c>
      <c r="N168" s="229">
        <f t="shared" si="30"/>
        <v>0</v>
      </c>
      <c r="O168" s="229">
        <f t="shared" si="31"/>
        <v>826506.7985454544</v>
      </c>
      <c r="P168" s="229">
        <f t="shared" si="23"/>
        <v>826506.7985454544</v>
      </c>
      <c r="AI168" s="227"/>
      <c r="AJ168" s="227"/>
      <c r="AK168" s="227"/>
      <c r="AL168" s="227"/>
      <c r="AM168" s="227"/>
      <c r="AN168" s="227"/>
      <c r="AO168" s="227"/>
      <c r="AP168" s="227"/>
      <c r="AQ168" s="227"/>
    </row>
    <row r="169" spans="4:43" hidden="1" outlineLevel="1"/>
    <row r="170" spans="4:43" hidden="1" outlineLevel="1">
      <c r="D170" s="230" t="s">
        <v>58</v>
      </c>
      <c r="F170" s="227" t="s">
        <v>54</v>
      </c>
    </row>
    <row r="171" spans="4:43" hidden="1" outlineLevel="1">
      <c r="D171" s="227" t="s">
        <v>55</v>
      </c>
      <c r="E171" s="227" t="s">
        <v>52</v>
      </c>
      <c r="F171" s="227" t="s">
        <v>56</v>
      </c>
      <c r="G171" s="229">
        <f>+'Planted Trees'!C18</f>
        <v>34904.520000000004</v>
      </c>
      <c r="H171" s="229">
        <f>+'Planted Trees'!D18</f>
        <v>161280</v>
      </c>
      <c r="I171" s="229">
        <f>+'Planted Trees'!E18</f>
        <v>748800</v>
      </c>
      <c r="J171" s="229">
        <f>+'Planted Trees'!F18</f>
        <v>1036800</v>
      </c>
      <c r="K171" s="229">
        <f>+'Planted Trees'!G18</f>
        <v>1319563.6363636362</v>
      </c>
      <c r="L171" s="229">
        <f>+'Planted Trees'!H18</f>
        <v>1696581.8181818179</v>
      </c>
      <c r="M171" s="229">
        <f>+'Planted Trees'!I18</f>
        <v>1885090.9090909087</v>
      </c>
      <c r="N171" s="229">
        <f>+'Planted Trees'!J18</f>
        <v>1885090.9090909087</v>
      </c>
      <c r="O171" s="229">
        <f>+'Planted Trees'!K18</f>
        <v>1885090.9090909087</v>
      </c>
      <c r="P171" s="229" t="s">
        <v>57</v>
      </c>
    </row>
    <row r="172" spans="4:43" hidden="1" outlineLevel="1">
      <c r="D172" s="227" cm="1">
        <f t="array" ref="D172:D211">+TRANSPOSE(D31:AQ31)</f>
        <v>1.8613310245223038E-3</v>
      </c>
      <c r="E172" s="227">
        <f>+E121</f>
        <v>2022</v>
      </c>
      <c r="G172" s="229">
        <f>+G$171*D172</f>
        <v>64.968865972059248</v>
      </c>
      <c r="H172" s="229"/>
      <c r="I172" s="229"/>
      <c r="J172" s="229"/>
      <c r="K172" s="229"/>
      <c r="L172" s="229"/>
      <c r="M172" s="229"/>
      <c r="N172" s="229"/>
      <c r="P172" s="229">
        <f>+SUM(G172:O172)</f>
        <v>64.968865972059248</v>
      </c>
    </row>
    <row r="173" spans="4:43" hidden="1" outlineLevel="1">
      <c r="D173" s="227">
        <v>1.0729354460064183E-2</v>
      </c>
      <c r="E173" s="227">
        <f t="shared" ref="E173:E219" si="32">+E122</f>
        <v>2023</v>
      </c>
      <c r="G173" s="229">
        <f t="shared" ref="G173:G219" si="33">+G$171*D173</f>
        <v>374.50296733839951</v>
      </c>
      <c r="H173" s="229">
        <f>+H$171*$D172</f>
        <v>300.19546763495714</v>
      </c>
      <c r="P173" s="229">
        <f>+SUM(G173:O173)</f>
        <v>674.6984349733566</v>
      </c>
    </row>
    <row r="174" spans="4:43" hidden="1" outlineLevel="1">
      <c r="D174" s="227">
        <v>2.4761821046176361E-2</v>
      </c>
      <c r="E174" s="227">
        <f t="shared" si="32"/>
        <v>2024</v>
      </c>
      <c r="G174" s="229">
        <f t="shared" si="33"/>
        <v>864.29947794268378</v>
      </c>
      <c r="H174" s="229">
        <f t="shared" ref="H174:H219" si="34">+H$171*$D173</f>
        <v>1730.4302873191514</v>
      </c>
      <c r="I174" s="229">
        <f>+I$171*$D172</f>
        <v>1393.7646711623011</v>
      </c>
      <c r="P174" s="229">
        <f t="shared" ref="P174:P219" si="35">+SUM(G174:O174)</f>
        <v>3988.4944364241364</v>
      </c>
    </row>
    <row r="175" spans="4:43" hidden="1" outlineLevel="1">
      <c r="D175" s="227">
        <v>4.4308104571972047E-2</v>
      </c>
      <c r="E175" s="227">
        <f t="shared" si="32"/>
        <v>2025</v>
      </c>
      <c r="G175" s="229">
        <f t="shared" si="33"/>
        <v>1546.55312219449</v>
      </c>
      <c r="H175" s="229">
        <f t="shared" si="34"/>
        <v>3993.5864983273236</v>
      </c>
      <c r="I175" s="229">
        <f t="shared" ref="I175:I219" si="36">+I$171*$D173</f>
        <v>8034.1406196960597</v>
      </c>
      <c r="J175" s="229">
        <f>+J$171*$D172</f>
        <v>1929.8280062247245</v>
      </c>
      <c r="P175" s="229">
        <f t="shared" si="35"/>
        <v>15504.108246442598</v>
      </c>
    </row>
    <row r="176" spans="4:43" hidden="1" outlineLevel="1">
      <c r="D176" s="227">
        <v>7.0881254571550617E-2</v>
      </c>
      <c r="E176" s="227">
        <f t="shared" si="32"/>
        <v>2026</v>
      </c>
      <c r="G176" s="229">
        <f t="shared" si="33"/>
        <v>2474.0761678177801</v>
      </c>
      <c r="H176" s="229">
        <f t="shared" si="34"/>
        <v>7146.0111053676519</v>
      </c>
      <c r="I176" s="229">
        <f t="shared" si="36"/>
        <v>18541.651599376859</v>
      </c>
      <c r="J176" s="229">
        <f t="shared" ref="J176:J219" si="37">+J$171*$D173</f>
        <v>11124.194704194544</v>
      </c>
      <c r="K176" s="229">
        <f>+K$171*$D172</f>
        <v>2456.1447351951037</v>
      </c>
      <c r="P176" s="229">
        <f t="shared" si="35"/>
        <v>41742.07831195194</v>
      </c>
    </row>
    <row r="177" spans="4:16" hidden="1" outlineLevel="1">
      <c r="D177" s="227">
        <v>0.10509494283876561</v>
      </c>
      <c r="E177" s="227">
        <f t="shared" si="32"/>
        <v>2027</v>
      </c>
      <c r="G177" s="229">
        <f t="shared" si="33"/>
        <v>3668.2885342145514</v>
      </c>
      <c r="H177" s="229">
        <f t="shared" si="34"/>
        <v>11431.728737299683</v>
      </c>
      <c r="I177" s="229">
        <f t="shared" si="36"/>
        <v>33177.908703492671</v>
      </c>
      <c r="J177" s="229">
        <f t="shared" si="37"/>
        <v>25673.056060675652</v>
      </c>
      <c r="K177" s="229">
        <f t="shared" ref="K177:K219" si="38">+K$171*$D173</f>
        <v>14158.065987156691</v>
      </c>
      <c r="L177" s="229">
        <f>+L$171*$D172</f>
        <v>3157.9003738222759</v>
      </c>
      <c r="P177" s="229">
        <f t="shared" si="35"/>
        <v>91266.948396661523</v>
      </c>
    </row>
    <row r="178" spans="4:16" hidden="1" outlineLevel="1">
      <c r="D178" s="227">
        <v>0.14600063151862577</v>
      </c>
      <c r="E178" s="227">
        <f t="shared" si="32"/>
        <v>2028</v>
      </c>
      <c r="G178" s="229">
        <f t="shared" si="33"/>
        <v>5096.0819628545041</v>
      </c>
      <c r="H178" s="229">
        <f t="shared" si="34"/>
        <v>16949.712381036119</v>
      </c>
      <c r="I178" s="229">
        <f t="shared" si="36"/>
        <v>53075.883423177103</v>
      </c>
      <c r="J178" s="229">
        <f t="shared" si="37"/>
        <v>45938.642820220615</v>
      </c>
      <c r="K178" s="229">
        <f t="shared" si="38"/>
        <v>32674.798622678099</v>
      </c>
      <c r="L178" s="229">
        <f t="shared" ref="L178:L219" si="39">+L$171*$D173</f>
        <v>18203.227697772887</v>
      </c>
      <c r="M178" s="229">
        <f>+M$171*$D172</f>
        <v>3508.7781931358622</v>
      </c>
      <c r="P178" s="229">
        <f t="shared" si="35"/>
        <v>175447.12510087519</v>
      </c>
    </row>
    <row r="179" spans="4:16" hidden="1" outlineLevel="1">
      <c r="D179" s="227">
        <v>0.19234777400272074</v>
      </c>
      <c r="E179" s="227">
        <f t="shared" si="32"/>
        <v>2029</v>
      </c>
      <c r="G179" s="229">
        <f t="shared" si="33"/>
        <v>6713.8067246334467</v>
      </c>
      <c r="H179" s="229">
        <f t="shared" si="34"/>
        <v>23546.981851323966</v>
      </c>
      <c r="I179" s="229">
        <f t="shared" si="36"/>
        <v>78695.093197667695</v>
      </c>
      <c r="J179" s="229">
        <f t="shared" si="37"/>
        <v>73489.684739783683</v>
      </c>
      <c r="K179" s="229">
        <f t="shared" si="38"/>
        <v>58467.363589371693</v>
      </c>
      <c r="L179" s="229">
        <f t="shared" si="39"/>
        <v>42010.455372014694</v>
      </c>
      <c r="M179" s="229">
        <f t="shared" ref="M179:M219" si="40">+M$171*$D173</f>
        <v>20225.808553080988</v>
      </c>
      <c r="N179" s="229">
        <f>+N$171*$D172</f>
        <v>3508.7781931358622</v>
      </c>
      <c r="P179" s="229">
        <f t="shared" si="35"/>
        <v>306657.97222101205</v>
      </c>
    </row>
    <row r="180" spans="4:16" hidden="1" outlineLevel="1">
      <c r="D180" s="227">
        <v>0.24437196668468711</v>
      </c>
      <c r="E180" s="227">
        <f t="shared" si="32"/>
        <v>2030</v>
      </c>
      <c r="G180" s="229">
        <f t="shared" si="33"/>
        <v>8529.6861985849955</v>
      </c>
      <c r="H180" s="229">
        <f t="shared" si="34"/>
        <v>31021.8489911588</v>
      </c>
      <c r="I180" s="229">
        <f t="shared" si="36"/>
        <v>109325.27288114699</v>
      </c>
      <c r="J180" s="229">
        <f t="shared" si="37"/>
        <v>108962.43673523219</v>
      </c>
      <c r="K180" s="229">
        <f t="shared" si="38"/>
        <v>93532.326032451951</v>
      </c>
      <c r="L180" s="229">
        <f t="shared" si="39"/>
        <v>75172.324614906451</v>
      </c>
      <c r="M180" s="229">
        <f t="shared" si="40"/>
        <v>46678.283746682995</v>
      </c>
      <c r="N180" s="229">
        <f t="shared" ref="N180:N219" si="41">+N$171*$D173</f>
        <v>20225.808553080988</v>
      </c>
      <c r="O180" s="229">
        <f>+O$171*$D172</f>
        <v>3508.7781931358622</v>
      </c>
      <c r="P180" s="229">
        <f t="shared" si="35"/>
        <v>496956.7659463812</v>
      </c>
    </row>
    <row r="181" spans="4:16" hidden="1" outlineLevel="1">
      <c r="D181" s="227">
        <v>0.30147679746424594</v>
      </c>
      <c r="E181" s="227">
        <f t="shared" si="32"/>
        <v>2031</v>
      </c>
      <c r="G181" s="229">
        <f t="shared" si="33"/>
        <v>10522.902906626723</v>
      </c>
      <c r="H181" s="229">
        <f t="shared" si="34"/>
        <v>39412.310786906339</v>
      </c>
      <c r="I181" s="229">
        <f t="shared" si="36"/>
        <v>144030.0131732373</v>
      </c>
      <c r="J181" s="229">
        <f t="shared" si="37"/>
        <v>151373.45475851122</v>
      </c>
      <c r="K181" s="229">
        <f t="shared" si="38"/>
        <v>138679.46493575003</v>
      </c>
      <c r="L181" s="229">
        <f t="shared" si="39"/>
        <v>120255.84775600964</v>
      </c>
      <c r="M181" s="229">
        <f t="shared" si="40"/>
        <v>83524.805127673841</v>
      </c>
      <c r="N181" s="229">
        <f t="shared" si="41"/>
        <v>46678.283746682995</v>
      </c>
      <c r="O181" s="229">
        <f t="shared" ref="O181:O219" si="42">+O$171*$D173</f>
        <v>20225.808553080988</v>
      </c>
      <c r="P181" s="229">
        <f t="shared" si="35"/>
        <v>754702.89174447907</v>
      </c>
    </row>
    <row r="182" spans="4:16" hidden="1" outlineLevel="1">
      <c r="D182" s="227">
        <v>0.37097670183301612</v>
      </c>
      <c r="E182" s="227">
        <f t="shared" si="32"/>
        <v>2032</v>
      </c>
      <c r="G182" s="229">
        <f t="shared" si="33"/>
        <v>12948.76370866455</v>
      </c>
      <c r="H182" s="229">
        <f t="shared" si="34"/>
        <v>48622.177895033587</v>
      </c>
      <c r="I182" s="229">
        <f t="shared" si="36"/>
        <v>182985.72865349372</v>
      </c>
      <c r="J182" s="229">
        <f t="shared" si="37"/>
        <v>199426.17208602087</v>
      </c>
      <c r="K182" s="229">
        <f t="shared" si="38"/>
        <v>192657.12423810514</v>
      </c>
      <c r="L182" s="229">
        <f t="shared" si="39"/>
        <v>178302.16920310719</v>
      </c>
      <c r="M182" s="229">
        <f t="shared" si="40"/>
        <v>133617.60861778847</v>
      </c>
      <c r="N182" s="229">
        <f t="shared" si="41"/>
        <v>83524.805127673841</v>
      </c>
      <c r="O182" s="229">
        <f t="shared" si="42"/>
        <v>46678.283746682995</v>
      </c>
      <c r="P182" s="229">
        <f t="shared" si="35"/>
        <v>1078762.8332765703</v>
      </c>
    </row>
    <row r="183" spans="4:16" hidden="1" outlineLevel="1">
      <c r="D183" s="227">
        <v>1.8613310245223038E-3</v>
      </c>
      <c r="E183" s="227">
        <f t="shared" si="32"/>
        <v>2033</v>
      </c>
      <c r="G183" s="229">
        <f t="shared" si="33"/>
        <v>64.968865972059248</v>
      </c>
      <c r="H183" s="229">
        <f t="shared" si="34"/>
        <v>59831.122471628842</v>
      </c>
      <c r="I183" s="229">
        <f t="shared" si="36"/>
        <v>225745.82594122735</v>
      </c>
      <c r="J183" s="229">
        <f t="shared" si="37"/>
        <v>253364.85505868361</v>
      </c>
      <c r="K183" s="229">
        <f t="shared" si="38"/>
        <v>253815.12810948107</v>
      </c>
      <c r="L183" s="229">
        <f t="shared" si="39"/>
        <v>247702.01687756373</v>
      </c>
      <c r="M183" s="229">
        <f t="shared" si="40"/>
        <v>198113.52133678575</v>
      </c>
      <c r="N183" s="229">
        <f t="shared" si="41"/>
        <v>133617.60861778847</v>
      </c>
      <c r="O183" s="229">
        <f t="shared" si="42"/>
        <v>83524.805127673841</v>
      </c>
      <c r="P183" s="229">
        <f t="shared" si="35"/>
        <v>1455779.8524068047</v>
      </c>
    </row>
    <row r="184" spans="4:16" hidden="1" outlineLevel="1">
      <c r="D184" s="227">
        <v>1.0729354460064183E-2</v>
      </c>
      <c r="E184" s="227">
        <f t="shared" si="32"/>
        <v>2034</v>
      </c>
      <c r="G184" s="229">
        <f t="shared" si="33"/>
        <v>374.50296733839951</v>
      </c>
      <c r="H184" s="229">
        <f t="shared" si="34"/>
        <v>300.19546763495714</v>
      </c>
      <c r="I184" s="229">
        <f t="shared" si="36"/>
        <v>277787.35433256248</v>
      </c>
      <c r="J184" s="229">
        <f t="shared" si="37"/>
        <v>312571.14361093019</v>
      </c>
      <c r="K184" s="229">
        <f t="shared" si="38"/>
        <v>322464.36098377907</v>
      </c>
      <c r="L184" s="229">
        <f t="shared" si="39"/>
        <v>326333.73614076135</v>
      </c>
      <c r="M184" s="229">
        <f t="shared" si="40"/>
        <v>275224.46319729305</v>
      </c>
      <c r="N184" s="229">
        <f t="shared" si="41"/>
        <v>198113.52133678575</v>
      </c>
      <c r="O184" s="229">
        <f t="shared" si="42"/>
        <v>133617.60861778847</v>
      </c>
      <c r="P184" s="229">
        <f t="shared" si="35"/>
        <v>1846786.8866548736</v>
      </c>
    </row>
    <row r="185" spans="4:16" hidden="1" outlineLevel="1">
      <c r="D185" s="227">
        <v>2.4761821046176361E-2</v>
      </c>
      <c r="E185" s="227">
        <f t="shared" si="32"/>
        <v>2035</v>
      </c>
      <c r="G185" s="229">
        <f t="shared" si="33"/>
        <v>864.29947794268378</v>
      </c>
      <c r="H185" s="229">
        <f t="shared" si="34"/>
        <v>1730.4302873191514</v>
      </c>
      <c r="I185" s="229">
        <f t="shared" si="36"/>
        <v>1393.7646711623011</v>
      </c>
      <c r="J185" s="229">
        <f t="shared" si="37"/>
        <v>384628.64446047111</v>
      </c>
      <c r="K185" s="229">
        <f t="shared" si="38"/>
        <v>397817.81914118386</v>
      </c>
      <c r="L185" s="229">
        <f t="shared" si="39"/>
        <v>414597.03555057308</v>
      </c>
      <c r="M185" s="229">
        <f t="shared" si="40"/>
        <v>362593.04015640152</v>
      </c>
      <c r="N185" s="229">
        <f t="shared" si="41"/>
        <v>275224.46319729305</v>
      </c>
      <c r="O185" s="229">
        <f t="shared" si="42"/>
        <v>198113.52133678575</v>
      </c>
      <c r="P185" s="229">
        <f t="shared" si="35"/>
        <v>2036963.0182791324</v>
      </c>
    </row>
    <row r="186" spans="4:16" hidden="1" outlineLevel="1">
      <c r="D186" s="227">
        <v>4.4308104571972047E-2</v>
      </c>
      <c r="E186" s="227">
        <f t="shared" si="32"/>
        <v>2036</v>
      </c>
      <c r="G186" s="229">
        <f t="shared" si="33"/>
        <v>1546.55312219449</v>
      </c>
      <c r="H186" s="229">
        <f t="shared" si="34"/>
        <v>3993.5864983273236</v>
      </c>
      <c r="I186" s="229">
        <f t="shared" si="36"/>
        <v>8034.1406196960597</v>
      </c>
      <c r="J186" s="229">
        <f t="shared" si="37"/>
        <v>1929.8280062247245</v>
      </c>
      <c r="K186" s="229">
        <f t="shared" si="38"/>
        <v>489527.36567696318</v>
      </c>
      <c r="L186" s="229">
        <f t="shared" si="39"/>
        <v>511480.05318152206</v>
      </c>
      <c r="M186" s="229">
        <f t="shared" si="40"/>
        <v>460663.37283397006</v>
      </c>
      <c r="N186" s="229">
        <f t="shared" si="41"/>
        <v>362593.04015640152</v>
      </c>
      <c r="O186" s="229">
        <f t="shared" si="42"/>
        <v>275224.46319729305</v>
      </c>
      <c r="P186" s="229">
        <f t="shared" si="35"/>
        <v>2114992.4032925926</v>
      </c>
    </row>
    <row r="187" spans="4:16" hidden="1" outlineLevel="1">
      <c r="D187" s="227">
        <v>7.0881254571550617E-2</v>
      </c>
      <c r="E187" s="227">
        <f t="shared" si="32"/>
        <v>2037</v>
      </c>
      <c r="G187" s="229">
        <f t="shared" si="33"/>
        <v>2474.0761678177801</v>
      </c>
      <c r="H187" s="229">
        <f t="shared" si="34"/>
        <v>7146.0111053676519</v>
      </c>
      <c r="I187" s="229">
        <f t="shared" si="36"/>
        <v>18541.651599376859</v>
      </c>
      <c r="J187" s="229">
        <f t="shared" si="37"/>
        <v>11124.194704194544</v>
      </c>
      <c r="K187" s="229">
        <f t="shared" si="38"/>
        <v>2456.1447351951037</v>
      </c>
      <c r="L187" s="229">
        <f t="shared" si="39"/>
        <v>629392.32729895262</v>
      </c>
      <c r="M187" s="229">
        <f t="shared" si="40"/>
        <v>568311.1702016911</v>
      </c>
      <c r="N187" s="229">
        <f t="shared" si="41"/>
        <v>460663.37283397006</v>
      </c>
      <c r="O187" s="229">
        <f t="shared" si="42"/>
        <v>362593.04015640152</v>
      </c>
      <c r="P187" s="229">
        <f t="shared" si="35"/>
        <v>2062701.9888029671</v>
      </c>
    </row>
    <row r="188" spans="4:16" hidden="1" outlineLevel="1">
      <c r="D188" s="227">
        <v>0.10509494283876561</v>
      </c>
      <c r="E188" s="227">
        <f t="shared" si="32"/>
        <v>2038</v>
      </c>
      <c r="G188" s="229">
        <f t="shared" si="33"/>
        <v>3668.2885342145514</v>
      </c>
      <c r="H188" s="229">
        <f t="shared" si="34"/>
        <v>11431.728737299683</v>
      </c>
      <c r="I188" s="229">
        <f t="shared" si="36"/>
        <v>33177.908703492671</v>
      </c>
      <c r="J188" s="229">
        <f t="shared" si="37"/>
        <v>25673.056060675652</v>
      </c>
      <c r="K188" s="229">
        <f t="shared" si="38"/>
        <v>14158.065987156691</v>
      </c>
      <c r="L188" s="229">
        <f t="shared" si="39"/>
        <v>3157.9003738222759</v>
      </c>
      <c r="M188" s="229">
        <f t="shared" si="40"/>
        <v>699324.80810994736</v>
      </c>
      <c r="N188" s="229">
        <f t="shared" si="41"/>
        <v>568311.1702016911</v>
      </c>
      <c r="O188" s="229">
        <f t="shared" si="42"/>
        <v>460663.37283397006</v>
      </c>
      <c r="P188" s="229">
        <f t="shared" si="35"/>
        <v>1819566.2995422701</v>
      </c>
    </row>
    <row r="189" spans="4:16" hidden="1" outlineLevel="1">
      <c r="D189" s="227">
        <v>0.14600063151862577</v>
      </c>
      <c r="E189" s="227">
        <f t="shared" si="32"/>
        <v>2039</v>
      </c>
      <c r="G189" s="229">
        <f t="shared" si="33"/>
        <v>5096.0819628545041</v>
      </c>
      <c r="H189" s="229">
        <f t="shared" si="34"/>
        <v>16949.712381036119</v>
      </c>
      <c r="I189" s="229">
        <f t="shared" si="36"/>
        <v>53075.883423177103</v>
      </c>
      <c r="J189" s="229">
        <f t="shared" si="37"/>
        <v>45938.642820220615</v>
      </c>
      <c r="K189" s="229">
        <f t="shared" si="38"/>
        <v>32674.798622678099</v>
      </c>
      <c r="L189" s="229">
        <f t="shared" si="39"/>
        <v>18203.227697772887</v>
      </c>
      <c r="M189" s="229">
        <f t="shared" si="40"/>
        <v>3508.7781931358622</v>
      </c>
      <c r="N189" s="229">
        <f t="shared" si="41"/>
        <v>699324.80810994736</v>
      </c>
      <c r="O189" s="229">
        <f t="shared" si="42"/>
        <v>568311.1702016911</v>
      </c>
      <c r="P189" s="229">
        <f t="shared" si="35"/>
        <v>1443083.1034125136</v>
      </c>
    </row>
    <row r="190" spans="4:16" hidden="1" outlineLevel="1">
      <c r="D190" s="227">
        <v>0.19234777400272074</v>
      </c>
      <c r="E190" s="227">
        <f t="shared" si="32"/>
        <v>2040</v>
      </c>
      <c r="G190" s="229">
        <f t="shared" si="33"/>
        <v>6713.8067246334467</v>
      </c>
      <c r="H190" s="229">
        <f t="shared" si="34"/>
        <v>23546.981851323966</v>
      </c>
      <c r="I190" s="229">
        <f t="shared" si="36"/>
        <v>78695.093197667695</v>
      </c>
      <c r="J190" s="229">
        <f t="shared" si="37"/>
        <v>73489.684739783683</v>
      </c>
      <c r="K190" s="229">
        <f t="shared" si="38"/>
        <v>58467.363589371693</v>
      </c>
      <c r="L190" s="229">
        <f t="shared" si="39"/>
        <v>42010.455372014694</v>
      </c>
      <c r="M190" s="229">
        <f t="shared" si="40"/>
        <v>20225.808553080988</v>
      </c>
      <c r="N190" s="229">
        <f t="shared" si="41"/>
        <v>3508.7781931358622</v>
      </c>
      <c r="O190" s="229">
        <f t="shared" si="42"/>
        <v>699324.80810994736</v>
      </c>
      <c r="P190" s="229">
        <f t="shared" si="35"/>
        <v>1005982.7803309595</v>
      </c>
    </row>
    <row r="191" spans="4:16" hidden="1" outlineLevel="1">
      <c r="D191" s="227">
        <v>0.24437196668468711</v>
      </c>
      <c r="E191" s="227">
        <f t="shared" si="32"/>
        <v>2041</v>
      </c>
      <c r="G191" s="229">
        <f t="shared" si="33"/>
        <v>8529.6861985849955</v>
      </c>
      <c r="H191" s="229">
        <f t="shared" si="34"/>
        <v>31021.8489911588</v>
      </c>
      <c r="I191" s="229">
        <f t="shared" si="36"/>
        <v>109325.27288114699</v>
      </c>
      <c r="J191" s="229">
        <f t="shared" si="37"/>
        <v>108962.43673523219</v>
      </c>
      <c r="K191" s="229">
        <f t="shared" si="38"/>
        <v>93532.326032451951</v>
      </c>
      <c r="L191" s="229">
        <f t="shared" si="39"/>
        <v>75172.324614906451</v>
      </c>
      <c r="M191" s="229">
        <f t="shared" si="40"/>
        <v>46678.283746682995</v>
      </c>
      <c r="N191" s="229">
        <f t="shared" si="41"/>
        <v>20225.808553080988</v>
      </c>
      <c r="O191" s="229">
        <f t="shared" si="42"/>
        <v>3508.7781931358622</v>
      </c>
      <c r="P191" s="229">
        <f t="shared" si="35"/>
        <v>496956.7659463812</v>
      </c>
    </row>
    <row r="192" spans="4:16" hidden="1" outlineLevel="1">
      <c r="D192" s="227">
        <v>0.30147679746424594</v>
      </c>
      <c r="E192" s="227">
        <f t="shared" si="32"/>
        <v>2042</v>
      </c>
      <c r="G192" s="229">
        <f t="shared" si="33"/>
        <v>10522.902906626723</v>
      </c>
      <c r="H192" s="229">
        <f t="shared" si="34"/>
        <v>39412.310786906339</v>
      </c>
      <c r="I192" s="229">
        <f t="shared" si="36"/>
        <v>144030.0131732373</v>
      </c>
      <c r="J192" s="229">
        <f t="shared" si="37"/>
        <v>151373.45475851122</v>
      </c>
      <c r="K192" s="229">
        <f t="shared" si="38"/>
        <v>138679.46493575003</v>
      </c>
      <c r="L192" s="229">
        <f t="shared" si="39"/>
        <v>120255.84775600964</v>
      </c>
      <c r="M192" s="229">
        <f t="shared" si="40"/>
        <v>83524.805127673841</v>
      </c>
      <c r="N192" s="229">
        <f t="shared" si="41"/>
        <v>46678.283746682995</v>
      </c>
      <c r="O192" s="229">
        <f t="shared" si="42"/>
        <v>20225.808553080988</v>
      </c>
      <c r="P192" s="229">
        <f t="shared" si="35"/>
        <v>754702.89174447907</v>
      </c>
    </row>
    <row r="193" spans="4:16" hidden="1" outlineLevel="1">
      <c r="D193" s="227">
        <v>0.37097670183301612</v>
      </c>
      <c r="E193" s="227">
        <f t="shared" si="32"/>
        <v>2043</v>
      </c>
      <c r="G193" s="229">
        <f t="shared" si="33"/>
        <v>12948.76370866455</v>
      </c>
      <c r="H193" s="229">
        <f t="shared" si="34"/>
        <v>48622.177895033587</v>
      </c>
      <c r="I193" s="229">
        <f t="shared" si="36"/>
        <v>182985.72865349372</v>
      </c>
      <c r="J193" s="229">
        <f t="shared" si="37"/>
        <v>199426.17208602087</v>
      </c>
      <c r="K193" s="229">
        <f t="shared" si="38"/>
        <v>192657.12423810514</v>
      </c>
      <c r="L193" s="229">
        <f t="shared" si="39"/>
        <v>178302.16920310719</v>
      </c>
      <c r="M193" s="229">
        <f t="shared" si="40"/>
        <v>133617.60861778847</v>
      </c>
      <c r="N193" s="229">
        <f t="shared" si="41"/>
        <v>83524.805127673841</v>
      </c>
      <c r="O193" s="229">
        <f t="shared" si="42"/>
        <v>46678.283746682995</v>
      </c>
      <c r="P193" s="229">
        <f t="shared" si="35"/>
        <v>1078762.8332765703</v>
      </c>
    </row>
    <row r="194" spans="4:16" hidden="1" outlineLevel="1">
      <c r="D194" s="227">
        <v>1.8613310245223038E-3</v>
      </c>
      <c r="E194" s="227">
        <f t="shared" si="32"/>
        <v>2044</v>
      </c>
      <c r="G194" s="229">
        <f t="shared" si="33"/>
        <v>64.968865972059248</v>
      </c>
      <c r="H194" s="229">
        <f t="shared" si="34"/>
        <v>59831.122471628842</v>
      </c>
      <c r="I194" s="229">
        <f t="shared" si="36"/>
        <v>225745.82594122735</v>
      </c>
      <c r="J194" s="229">
        <f t="shared" si="37"/>
        <v>253364.85505868361</v>
      </c>
      <c r="K194" s="229">
        <f t="shared" si="38"/>
        <v>253815.12810948107</v>
      </c>
      <c r="L194" s="229">
        <f t="shared" si="39"/>
        <v>247702.01687756373</v>
      </c>
      <c r="M194" s="229">
        <f t="shared" si="40"/>
        <v>198113.52133678575</v>
      </c>
      <c r="N194" s="229">
        <f t="shared" si="41"/>
        <v>133617.60861778847</v>
      </c>
      <c r="O194" s="229">
        <f t="shared" si="42"/>
        <v>83524.805127673841</v>
      </c>
      <c r="P194" s="229">
        <f t="shared" si="35"/>
        <v>1455779.8524068047</v>
      </c>
    </row>
    <row r="195" spans="4:16" hidden="1" outlineLevel="1">
      <c r="D195" s="227">
        <v>1.0729354460064183E-2</v>
      </c>
      <c r="E195" s="227">
        <f t="shared" si="32"/>
        <v>2045</v>
      </c>
      <c r="G195" s="229">
        <f t="shared" si="33"/>
        <v>374.50296733839951</v>
      </c>
      <c r="H195" s="229">
        <f t="shared" si="34"/>
        <v>300.19546763495714</v>
      </c>
      <c r="I195" s="229">
        <f t="shared" si="36"/>
        <v>277787.35433256248</v>
      </c>
      <c r="J195" s="229">
        <f t="shared" si="37"/>
        <v>312571.14361093019</v>
      </c>
      <c r="K195" s="229">
        <f t="shared" si="38"/>
        <v>322464.36098377907</v>
      </c>
      <c r="L195" s="229">
        <f t="shared" si="39"/>
        <v>326333.73614076135</v>
      </c>
      <c r="M195" s="229">
        <f t="shared" si="40"/>
        <v>275224.46319729305</v>
      </c>
      <c r="N195" s="229">
        <f t="shared" si="41"/>
        <v>198113.52133678575</v>
      </c>
      <c r="O195" s="229">
        <f t="shared" si="42"/>
        <v>133617.60861778847</v>
      </c>
      <c r="P195" s="229">
        <f t="shared" si="35"/>
        <v>1846786.8866548736</v>
      </c>
    </row>
    <row r="196" spans="4:16" hidden="1" outlineLevel="1">
      <c r="D196" s="227">
        <v>2.4761821046176361E-2</v>
      </c>
      <c r="E196" s="227">
        <f t="shared" si="32"/>
        <v>2046</v>
      </c>
      <c r="G196" s="229">
        <f t="shared" si="33"/>
        <v>864.29947794268378</v>
      </c>
      <c r="H196" s="229">
        <f t="shared" si="34"/>
        <v>1730.4302873191514</v>
      </c>
      <c r="I196" s="229">
        <f t="shared" si="36"/>
        <v>1393.7646711623011</v>
      </c>
      <c r="J196" s="229">
        <f t="shared" si="37"/>
        <v>384628.64446047111</v>
      </c>
      <c r="K196" s="229">
        <f t="shared" si="38"/>
        <v>397817.81914118386</v>
      </c>
      <c r="L196" s="229">
        <f t="shared" si="39"/>
        <v>414597.03555057308</v>
      </c>
      <c r="M196" s="229">
        <f t="shared" si="40"/>
        <v>362593.04015640152</v>
      </c>
      <c r="N196" s="229">
        <f t="shared" si="41"/>
        <v>275224.46319729305</v>
      </c>
      <c r="O196" s="229">
        <f t="shared" si="42"/>
        <v>198113.52133678575</v>
      </c>
      <c r="P196" s="229">
        <f t="shared" si="35"/>
        <v>2036963.0182791324</v>
      </c>
    </row>
    <row r="197" spans="4:16" hidden="1" outlineLevel="1">
      <c r="D197" s="227">
        <v>4.4308104571972047E-2</v>
      </c>
      <c r="E197" s="227">
        <f t="shared" si="32"/>
        <v>2047</v>
      </c>
      <c r="G197" s="229">
        <f t="shared" si="33"/>
        <v>1546.55312219449</v>
      </c>
      <c r="H197" s="229">
        <f t="shared" si="34"/>
        <v>3993.5864983273236</v>
      </c>
      <c r="I197" s="229">
        <f t="shared" si="36"/>
        <v>8034.1406196960597</v>
      </c>
      <c r="J197" s="229">
        <f t="shared" si="37"/>
        <v>1929.8280062247245</v>
      </c>
      <c r="K197" s="229">
        <f t="shared" si="38"/>
        <v>489527.36567696318</v>
      </c>
      <c r="L197" s="229">
        <f t="shared" si="39"/>
        <v>511480.05318152206</v>
      </c>
      <c r="M197" s="229">
        <f t="shared" si="40"/>
        <v>460663.37283397006</v>
      </c>
      <c r="N197" s="229">
        <f t="shared" si="41"/>
        <v>362593.04015640152</v>
      </c>
      <c r="O197" s="229">
        <f t="shared" si="42"/>
        <v>275224.46319729305</v>
      </c>
      <c r="P197" s="229">
        <f t="shared" si="35"/>
        <v>2114992.4032925926</v>
      </c>
    </row>
    <row r="198" spans="4:16" hidden="1" outlineLevel="1">
      <c r="D198" s="227">
        <v>7.0881254571550617E-2</v>
      </c>
      <c r="E198" s="227">
        <f t="shared" si="32"/>
        <v>2048</v>
      </c>
      <c r="G198" s="229">
        <f t="shared" si="33"/>
        <v>2474.0761678177801</v>
      </c>
      <c r="H198" s="229">
        <f t="shared" si="34"/>
        <v>7146.0111053676519</v>
      </c>
      <c r="I198" s="229">
        <f t="shared" si="36"/>
        <v>18541.651599376859</v>
      </c>
      <c r="J198" s="229">
        <f t="shared" si="37"/>
        <v>11124.194704194544</v>
      </c>
      <c r="K198" s="229">
        <f t="shared" si="38"/>
        <v>2456.1447351951037</v>
      </c>
      <c r="L198" s="229">
        <f t="shared" si="39"/>
        <v>629392.32729895262</v>
      </c>
      <c r="M198" s="229">
        <f t="shared" si="40"/>
        <v>568311.1702016911</v>
      </c>
      <c r="N198" s="229">
        <f t="shared" si="41"/>
        <v>460663.37283397006</v>
      </c>
      <c r="O198" s="229">
        <f t="shared" si="42"/>
        <v>362593.04015640152</v>
      </c>
      <c r="P198" s="229">
        <f t="shared" si="35"/>
        <v>2062701.9888029671</v>
      </c>
    </row>
    <row r="199" spans="4:16" hidden="1" outlineLevel="1">
      <c r="D199" s="227">
        <v>0.10509494283876561</v>
      </c>
      <c r="E199" s="227">
        <f t="shared" si="32"/>
        <v>2049</v>
      </c>
      <c r="G199" s="229">
        <f t="shared" si="33"/>
        <v>3668.2885342145514</v>
      </c>
      <c r="H199" s="229">
        <f t="shared" si="34"/>
        <v>11431.728737299683</v>
      </c>
      <c r="I199" s="229">
        <f t="shared" si="36"/>
        <v>33177.908703492671</v>
      </c>
      <c r="J199" s="229">
        <f t="shared" si="37"/>
        <v>25673.056060675652</v>
      </c>
      <c r="K199" s="229">
        <f t="shared" si="38"/>
        <v>14158.065987156691</v>
      </c>
      <c r="L199" s="229">
        <f t="shared" si="39"/>
        <v>3157.9003738222759</v>
      </c>
      <c r="M199" s="229">
        <f t="shared" si="40"/>
        <v>699324.80810994736</v>
      </c>
      <c r="N199" s="229">
        <f t="shared" si="41"/>
        <v>568311.1702016911</v>
      </c>
      <c r="O199" s="229">
        <f t="shared" si="42"/>
        <v>460663.37283397006</v>
      </c>
      <c r="P199" s="229">
        <f t="shared" si="35"/>
        <v>1819566.2995422701</v>
      </c>
    </row>
    <row r="200" spans="4:16" hidden="1" outlineLevel="1">
      <c r="D200" s="227">
        <v>0.14600063151862577</v>
      </c>
      <c r="E200" s="227">
        <f t="shared" si="32"/>
        <v>2050</v>
      </c>
      <c r="G200" s="229">
        <f t="shared" si="33"/>
        <v>5096.0819628545041</v>
      </c>
      <c r="H200" s="229">
        <f t="shared" si="34"/>
        <v>16949.712381036119</v>
      </c>
      <c r="I200" s="229">
        <f t="shared" si="36"/>
        <v>53075.883423177103</v>
      </c>
      <c r="J200" s="229">
        <f t="shared" si="37"/>
        <v>45938.642820220615</v>
      </c>
      <c r="K200" s="229">
        <f t="shared" si="38"/>
        <v>32674.798622678099</v>
      </c>
      <c r="L200" s="229">
        <f t="shared" si="39"/>
        <v>18203.227697772887</v>
      </c>
      <c r="M200" s="229">
        <f t="shared" si="40"/>
        <v>3508.7781931358622</v>
      </c>
      <c r="N200" s="229">
        <f t="shared" si="41"/>
        <v>699324.80810994736</v>
      </c>
      <c r="O200" s="229">
        <f t="shared" si="42"/>
        <v>568311.1702016911</v>
      </c>
      <c r="P200" s="229">
        <f t="shared" si="35"/>
        <v>1443083.1034125136</v>
      </c>
    </row>
    <row r="201" spans="4:16" hidden="1" outlineLevel="1">
      <c r="D201" s="227">
        <v>0.19234777400272074</v>
      </c>
      <c r="E201" s="227">
        <f t="shared" si="32"/>
        <v>2051</v>
      </c>
      <c r="G201" s="229">
        <f t="shared" si="33"/>
        <v>6713.8067246334467</v>
      </c>
      <c r="H201" s="229">
        <f t="shared" si="34"/>
        <v>23546.981851323966</v>
      </c>
      <c r="I201" s="229">
        <f t="shared" si="36"/>
        <v>78695.093197667695</v>
      </c>
      <c r="J201" s="229">
        <f t="shared" si="37"/>
        <v>73489.684739783683</v>
      </c>
      <c r="K201" s="229">
        <f t="shared" si="38"/>
        <v>58467.363589371693</v>
      </c>
      <c r="L201" s="229">
        <f t="shared" si="39"/>
        <v>42010.455372014694</v>
      </c>
      <c r="M201" s="229">
        <f t="shared" si="40"/>
        <v>20225.808553080988</v>
      </c>
      <c r="N201" s="229">
        <f t="shared" si="41"/>
        <v>3508.7781931358622</v>
      </c>
      <c r="O201" s="229">
        <f t="shared" si="42"/>
        <v>699324.80810994736</v>
      </c>
      <c r="P201" s="229">
        <f t="shared" si="35"/>
        <v>1005982.7803309595</v>
      </c>
    </row>
    <row r="202" spans="4:16" hidden="1" outlineLevel="1">
      <c r="D202" s="227">
        <v>0.24437196668468711</v>
      </c>
      <c r="E202" s="227">
        <f t="shared" si="32"/>
        <v>2052</v>
      </c>
      <c r="G202" s="229">
        <f t="shared" si="33"/>
        <v>8529.6861985849955</v>
      </c>
      <c r="H202" s="229">
        <f t="shared" si="34"/>
        <v>31021.8489911588</v>
      </c>
      <c r="I202" s="229">
        <f t="shared" si="36"/>
        <v>109325.27288114699</v>
      </c>
      <c r="J202" s="229">
        <f t="shared" si="37"/>
        <v>108962.43673523219</v>
      </c>
      <c r="K202" s="229">
        <f t="shared" si="38"/>
        <v>93532.326032451951</v>
      </c>
      <c r="L202" s="229">
        <f t="shared" si="39"/>
        <v>75172.324614906451</v>
      </c>
      <c r="M202" s="229">
        <f t="shared" si="40"/>
        <v>46678.283746682995</v>
      </c>
      <c r="N202" s="229">
        <f t="shared" si="41"/>
        <v>20225.808553080988</v>
      </c>
      <c r="O202" s="229">
        <f t="shared" si="42"/>
        <v>3508.7781931358622</v>
      </c>
      <c r="P202" s="229">
        <f t="shared" si="35"/>
        <v>496956.7659463812</v>
      </c>
    </row>
    <row r="203" spans="4:16" hidden="1" outlineLevel="1">
      <c r="D203" s="227">
        <v>0.30147679746424594</v>
      </c>
      <c r="E203" s="227">
        <f t="shared" si="32"/>
        <v>2053</v>
      </c>
      <c r="G203" s="229">
        <f t="shared" si="33"/>
        <v>10522.902906626723</v>
      </c>
      <c r="H203" s="229">
        <f t="shared" si="34"/>
        <v>39412.310786906339</v>
      </c>
      <c r="I203" s="229">
        <f t="shared" si="36"/>
        <v>144030.0131732373</v>
      </c>
      <c r="J203" s="229">
        <f t="shared" si="37"/>
        <v>151373.45475851122</v>
      </c>
      <c r="K203" s="229">
        <f t="shared" si="38"/>
        <v>138679.46493575003</v>
      </c>
      <c r="L203" s="229">
        <f t="shared" si="39"/>
        <v>120255.84775600964</v>
      </c>
      <c r="M203" s="229">
        <f t="shared" si="40"/>
        <v>83524.805127673841</v>
      </c>
      <c r="N203" s="229">
        <f t="shared" si="41"/>
        <v>46678.283746682995</v>
      </c>
      <c r="O203" s="229">
        <f t="shared" si="42"/>
        <v>20225.808553080988</v>
      </c>
      <c r="P203" s="229">
        <f t="shared" si="35"/>
        <v>754702.89174447907</v>
      </c>
    </row>
    <row r="204" spans="4:16" hidden="1" outlineLevel="1">
      <c r="D204" s="227">
        <v>0.37097670183301612</v>
      </c>
      <c r="E204" s="227">
        <f t="shared" si="32"/>
        <v>2054</v>
      </c>
      <c r="G204" s="229">
        <f t="shared" si="33"/>
        <v>12948.76370866455</v>
      </c>
      <c r="H204" s="229">
        <f t="shared" si="34"/>
        <v>48622.177895033587</v>
      </c>
      <c r="I204" s="229">
        <f t="shared" si="36"/>
        <v>182985.72865349372</v>
      </c>
      <c r="J204" s="229">
        <f t="shared" si="37"/>
        <v>199426.17208602087</v>
      </c>
      <c r="K204" s="229">
        <f t="shared" si="38"/>
        <v>192657.12423810514</v>
      </c>
      <c r="L204" s="229">
        <f t="shared" si="39"/>
        <v>178302.16920310719</v>
      </c>
      <c r="M204" s="229">
        <f t="shared" si="40"/>
        <v>133617.60861778847</v>
      </c>
      <c r="N204" s="229">
        <f t="shared" si="41"/>
        <v>83524.805127673841</v>
      </c>
      <c r="O204" s="229">
        <f t="shared" si="42"/>
        <v>46678.283746682995</v>
      </c>
      <c r="P204" s="229">
        <f t="shared" si="35"/>
        <v>1078762.8332765703</v>
      </c>
    </row>
    <row r="205" spans="4:16" hidden="1" outlineLevel="1">
      <c r="D205" s="227">
        <v>1.8613310245223038E-3</v>
      </c>
      <c r="E205" s="227">
        <f t="shared" si="32"/>
        <v>2055</v>
      </c>
      <c r="G205" s="229">
        <f t="shared" si="33"/>
        <v>64.968865972059248</v>
      </c>
      <c r="H205" s="229">
        <f t="shared" si="34"/>
        <v>59831.122471628842</v>
      </c>
      <c r="I205" s="229">
        <f t="shared" si="36"/>
        <v>225745.82594122735</v>
      </c>
      <c r="J205" s="229">
        <f t="shared" si="37"/>
        <v>253364.85505868361</v>
      </c>
      <c r="K205" s="229">
        <f t="shared" si="38"/>
        <v>253815.12810948107</v>
      </c>
      <c r="L205" s="229">
        <f t="shared" si="39"/>
        <v>247702.01687756373</v>
      </c>
      <c r="M205" s="229">
        <f t="shared" si="40"/>
        <v>198113.52133678575</v>
      </c>
      <c r="N205" s="229">
        <f t="shared" si="41"/>
        <v>133617.60861778847</v>
      </c>
      <c r="O205" s="229">
        <f t="shared" si="42"/>
        <v>83524.805127673841</v>
      </c>
      <c r="P205" s="229">
        <f t="shared" si="35"/>
        <v>1455779.8524068047</v>
      </c>
    </row>
    <row r="206" spans="4:16" hidden="1" outlineLevel="1">
      <c r="D206" s="227">
        <v>1.0729354460064183E-2</v>
      </c>
      <c r="E206" s="227">
        <f t="shared" si="32"/>
        <v>2056</v>
      </c>
      <c r="G206" s="229">
        <f t="shared" si="33"/>
        <v>374.50296733839951</v>
      </c>
      <c r="H206" s="229">
        <f t="shared" si="34"/>
        <v>300.19546763495714</v>
      </c>
      <c r="I206" s="229">
        <f t="shared" si="36"/>
        <v>277787.35433256248</v>
      </c>
      <c r="J206" s="229">
        <f t="shared" si="37"/>
        <v>312571.14361093019</v>
      </c>
      <c r="K206" s="229">
        <f t="shared" si="38"/>
        <v>322464.36098377907</v>
      </c>
      <c r="L206" s="229">
        <f t="shared" si="39"/>
        <v>326333.73614076135</v>
      </c>
      <c r="M206" s="229">
        <f t="shared" si="40"/>
        <v>275224.46319729305</v>
      </c>
      <c r="N206" s="229">
        <f t="shared" si="41"/>
        <v>198113.52133678575</v>
      </c>
      <c r="O206" s="229">
        <f t="shared" si="42"/>
        <v>133617.60861778847</v>
      </c>
      <c r="P206" s="229">
        <f t="shared" si="35"/>
        <v>1846786.8866548736</v>
      </c>
    </row>
    <row r="207" spans="4:16" hidden="1" outlineLevel="1">
      <c r="D207" s="227">
        <v>2.4761821046176361E-2</v>
      </c>
      <c r="E207" s="227">
        <f t="shared" si="32"/>
        <v>2057</v>
      </c>
      <c r="G207" s="229">
        <f t="shared" si="33"/>
        <v>864.29947794268378</v>
      </c>
      <c r="H207" s="229">
        <f t="shared" si="34"/>
        <v>1730.4302873191514</v>
      </c>
      <c r="I207" s="229">
        <f t="shared" si="36"/>
        <v>1393.7646711623011</v>
      </c>
      <c r="J207" s="229">
        <f t="shared" si="37"/>
        <v>384628.64446047111</v>
      </c>
      <c r="K207" s="229">
        <f t="shared" si="38"/>
        <v>397817.81914118386</v>
      </c>
      <c r="L207" s="229">
        <f t="shared" si="39"/>
        <v>414597.03555057308</v>
      </c>
      <c r="M207" s="229">
        <f t="shared" si="40"/>
        <v>362593.04015640152</v>
      </c>
      <c r="N207" s="229">
        <f t="shared" si="41"/>
        <v>275224.46319729305</v>
      </c>
      <c r="O207" s="229">
        <f t="shared" si="42"/>
        <v>198113.52133678575</v>
      </c>
      <c r="P207" s="229">
        <f t="shared" si="35"/>
        <v>2036963.0182791324</v>
      </c>
    </row>
    <row r="208" spans="4:16" hidden="1" outlineLevel="1">
      <c r="D208" s="227">
        <v>4.4308104571972047E-2</v>
      </c>
      <c r="E208" s="227">
        <f t="shared" si="32"/>
        <v>2058</v>
      </c>
      <c r="G208" s="229">
        <f t="shared" si="33"/>
        <v>1546.55312219449</v>
      </c>
      <c r="H208" s="229">
        <f t="shared" si="34"/>
        <v>3993.5864983273236</v>
      </c>
      <c r="I208" s="229">
        <f t="shared" si="36"/>
        <v>8034.1406196960597</v>
      </c>
      <c r="J208" s="229">
        <f t="shared" si="37"/>
        <v>1929.8280062247245</v>
      </c>
      <c r="K208" s="229">
        <f t="shared" si="38"/>
        <v>489527.36567696318</v>
      </c>
      <c r="L208" s="229">
        <f t="shared" si="39"/>
        <v>511480.05318152206</v>
      </c>
      <c r="M208" s="229">
        <f t="shared" si="40"/>
        <v>460663.37283397006</v>
      </c>
      <c r="N208" s="229">
        <f t="shared" si="41"/>
        <v>362593.04015640152</v>
      </c>
      <c r="O208" s="229">
        <f t="shared" si="42"/>
        <v>275224.46319729305</v>
      </c>
      <c r="P208" s="229">
        <f t="shared" si="35"/>
        <v>2114992.4032925926</v>
      </c>
    </row>
    <row r="209" spans="4:17" hidden="1" outlineLevel="1">
      <c r="D209" s="227">
        <v>7.0881254571550617E-2</v>
      </c>
      <c r="E209" s="227">
        <f t="shared" si="32"/>
        <v>2059</v>
      </c>
      <c r="G209" s="229">
        <f t="shared" si="33"/>
        <v>2474.0761678177801</v>
      </c>
      <c r="H209" s="229">
        <f t="shared" si="34"/>
        <v>7146.0111053676519</v>
      </c>
      <c r="I209" s="229">
        <f t="shared" si="36"/>
        <v>18541.651599376859</v>
      </c>
      <c r="J209" s="229">
        <f t="shared" si="37"/>
        <v>11124.194704194544</v>
      </c>
      <c r="K209" s="229">
        <f t="shared" si="38"/>
        <v>2456.1447351951037</v>
      </c>
      <c r="L209" s="229">
        <f t="shared" si="39"/>
        <v>629392.32729895262</v>
      </c>
      <c r="M209" s="229">
        <f t="shared" si="40"/>
        <v>568311.1702016911</v>
      </c>
      <c r="N209" s="229">
        <f t="shared" si="41"/>
        <v>460663.37283397006</v>
      </c>
      <c r="O209" s="229">
        <f t="shared" si="42"/>
        <v>362593.04015640152</v>
      </c>
      <c r="P209" s="229">
        <f t="shared" si="35"/>
        <v>2062701.9888029671</v>
      </c>
    </row>
    <row r="210" spans="4:17" hidden="1" outlineLevel="1">
      <c r="D210" s="227">
        <v>0.10509494283876561</v>
      </c>
      <c r="E210" s="227">
        <f t="shared" si="32"/>
        <v>2060</v>
      </c>
      <c r="G210" s="229">
        <f t="shared" si="33"/>
        <v>3668.2885342145514</v>
      </c>
      <c r="H210" s="229">
        <f t="shared" si="34"/>
        <v>11431.728737299683</v>
      </c>
      <c r="I210" s="229">
        <f t="shared" si="36"/>
        <v>33177.908703492671</v>
      </c>
      <c r="J210" s="229">
        <f t="shared" si="37"/>
        <v>25673.056060675652</v>
      </c>
      <c r="K210" s="229">
        <f t="shared" si="38"/>
        <v>14158.065987156691</v>
      </c>
      <c r="L210" s="229">
        <f t="shared" si="39"/>
        <v>3157.9003738222759</v>
      </c>
      <c r="M210" s="229">
        <f t="shared" si="40"/>
        <v>699324.80810994736</v>
      </c>
      <c r="N210" s="229">
        <f t="shared" si="41"/>
        <v>568311.1702016911</v>
      </c>
      <c r="O210" s="229">
        <f t="shared" si="42"/>
        <v>460663.37283397006</v>
      </c>
      <c r="P210" s="229">
        <f t="shared" si="35"/>
        <v>1819566.2995422701</v>
      </c>
    </row>
    <row r="211" spans="4:17" hidden="1" outlineLevel="1">
      <c r="D211" s="227">
        <v>0.14600063151862577</v>
      </c>
      <c r="E211" s="227">
        <f t="shared" si="32"/>
        <v>2061</v>
      </c>
      <c r="G211" s="229">
        <f t="shared" si="33"/>
        <v>5096.0819628545041</v>
      </c>
      <c r="H211" s="229">
        <f t="shared" si="34"/>
        <v>16949.712381036119</v>
      </c>
      <c r="I211" s="229">
        <f t="shared" si="36"/>
        <v>53075.883423177103</v>
      </c>
      <c r="J211" s="229">
        <f t="shared" si="37"/>
        <v>45938.642820220615</v>
      </c>
      <c r="K211" s="229">
        <f t="shared" si="38"/>
        <v>32674.798622678099</v>
      </c>
      <c r="L211" s="229">
        <f t="shared" si="39"/>
        <v>18203.227697772887</v>
      </c>
      <c r="M211" s="229">
        <f t="shared" si="40"/>
        <v>3508.7781931358622</v>
      </c>
      <c r="N211" s="229">
        <f t="shared" si="41"/>
        <v>699324.80810994736</v>
      </c>
      <c r="O211" s="229">
        <f t="shared" si="42"/>
        <v>568311.1702016911</v>
      </c>
      <c r="P211" s="229">
        <f t="shared" si="35"/>
        <v>1443083.1034125136</v>
      </c>
    </row>
    <row r="212" spans="4:17" hidden="1" outlineLevel="1">
      <c r="E212" s="227">
        <f t="shared" si="32"/>
        <v>2062</v>
      </c>
      <c r="G212" s="229">
        <f t="shared" si="33"/>
        <v>0</v>
      </c>
      <c r="H212" s="229">
        <f t="shared" si="34"/>
        <v>23546.981851323966</v>
      </c>
      <c r="I212" s="229">
        <f t="shared" si="36"/>
        <v>78695.093197667695</v>
      </c>
      <c r="J212" s="229">
        <f t="shared" si="37"/>
        <v>73489.684739783683</v>
      </c>
      <c r="K212" s="229">
        <f t="shared" si="38"/>
        <v>58467.363589371693</v>
      </c>
      <c r="L212" s="229">
        <f t="shared" si="39"/>
        <v>42010.455372014694</v>
      </c>
      <c r="M212" s="229">
        <f t="shared" si="40"/>
        <v>20225.808553080988</v>
      </c>
      <c r="N212" s="229">
        <f t="shared" si="41"/>
        <v>3508.7781931358622</v>
      </c>
      <c r="O212" s="229">
        <f t="shared" si="42"/>
        <v>699324.80810994736</v>
      </c>
      <c r="P212" s="229">
        <f t="shared" si="35"/>
        <v>999268.97360632592</v>
      </c>
    </row>
    <row r="213" spans="4:17" hidden="1" outlineLevel="1">
      <c r="E213" s="227">
        <f t="shared" si="32"/>
        <v>2063</v>
      </c>
      <c r="G213" s="229">
        <f t="shared" si="33"/>
        <v>0</v>
      </c>
      <c r="H213" s="229">
        <f t="shared" si="34"/>
        <v>0</v>
      </c>
      <c r="I213" s="229">
        <f t="shared" si="36"/>
        <v>109325.27288114699</v>
      </c>
      <c r="J213" s="229">
        <f t="shared" si="37"/>
        <v>108962.43673523219</v>
      </c>
      <c r="K213" s="229">
        <f t="shared" si="38"/>
        <v>93532.326032451951</v>
      </c>
      <c r="L213" s="229">
        <f t="shared" si="39"/>
        <v>75172.324614906451</v>
      </c>
      <c r="M213" s="229">
        <f t="shared" si="40"/>
        <v>46678.283746682995</v>
      </c>
      <c r="N213" s="229">
        <f t="shared" si="41"/>
        <v>20225.808553080988</v>
      </c>
      <c r="O213" s="229">
        <f t="shared" si="42"/>
        <v>3508.7781931358622</v>
      </c>
      <c r="P213" s="229">
        <f t="shared" si="35"/>
        <v>457405.23075663741</v>
      </c>
    </row>
    <row r="214" spans="4:17" hidden="1" outlineLevel="1">
      <c r="E214" s="227">
        <f t="shared" si="32"/>
        <v>2064</v>
      </c>
      <c r="G214" s="229">
        <f t="shared" si="33"/>
        <v>0</v>
      </c>
      <c r="H214" s="229">
        <f t="shared" si="34"/>
        <v>0</v>
      </c>
      <c r="I214" s="229">
        <f t="shared" si="36"/>
        <v>0</v>
      </c>
      <c r="J214" s="229">
        <f t="shared" si="37"/>
        <v>151373.45475851122</v>
      </c>
      <c r="K214" s="229">
        <f t="shared" si="38"/>
        <v>138679.46493575003</v>
      </c>
      <c r="L214" s="229">
        <f t="shared" si="39"/>
        <v>120255.84775600964</v>
      </c>
      <c r="M214" s="229">
        <f t="shared" si="40"/>
        <v>83524.805127673841</v>
      </c>
      <c r="N214" s="229">
        <f t="shared" si="41"/>
        <v>46678.283746682995</v>
      </c>
      <c r="O214" s="229">
        <f t="shared" si="42"/>
        <v>20225.808553080988</v>
      </c>
      <c r="P214" s="229">
        <f t="shared" si="35"/>
        <v>560737.66487770877</v>
      </c>
    </row>
    <row r="215" spans="4:17" hidden="1" outlineLevel="1">
      <c r="E215" s="227">
        <f t="shared" si="32"/>
        <v>2065</v>
      </c>
      <c r="G215" s="229">
        <f t="shared" si="33"/>
        <v>0</v>
      </c>
      <c r="H215" s="229">
        <f t="shared" si="34"/>
        <v>0</v>
      </c>
      <c r="I215" s="229">
        <f t="shared" si="36"/>
        <v>0</v>
      </c>
      <c r="J215" s="229">
        <f t="shared" si="37"/>
        <v>0</v>
      </c>
      <c r="K215" s="229">
        <f t="shared" si="38"/>
        <v>192657.12423810514</v>
      </c>
      <c r="L215" s="229">
        <f t="shared" si="39"/>
        <v>178302.16920310719</v>
      </c>
      <c r="M215" s="229">
        <f t="shared" si="40"/>
        <v>133617.60861778847</v>
      </c>
      <c r="N215" s="229">
        <f t="shared" si="41"/>
        <v>83524.805127673841</v>
      </c>
      <c r="O215" s="229">
        <f t="shared" si="42"/>
        <v>46678.283746682995</v>
      </c>
      <c r="P215" s="229">
        <f t="shared" si="35"/>
        <v>634779.99093335774</v>
      </c>
    </row>
    <row r="216" spans="4:17" hidden="1" outlineLevel="1">
      <c r="E216" s="227">
        <f t="shared" si="32"/>
        <v>2066</v>
      </c>
      <c r="G216" s="229">
        <f t="shared" si="33"/>
        <v>0</v>
      </c>
      <c r="H216" s="229">
        <f t="shared" si="34"/>
        <v>0</v>
      </c>
      <c r="I216" s="229">
        <f t="shared" si="36"/>
        <v>0</v>
      </c>
      <c r="J216" s="229">
        <f t="shared" si="37"/>
        <v>0</v>
      </c>
      <c r="K216" s="229">
        <f t="shared" si="38"/>
        <v>0</v>
      </c>
      <c r="L216" s="229">
        <f t="shared" si="39"/>
        <v>247702.01687756373</v>
      </c>
      <c r="M216" s="229">
        <f t="shared" si="40"/>
        <v>198113.52133678575</v>
      </c>
      <c r="N216" s="229">
        <f t="shared" si="41"/>
        <v>133617.60861778847</v>
      </c>
      <c r="O216" s="229">
        <f t="shared" si="42"/>
        <v>83524.805127673841</v>
      </c>
      <c r="P216" s="229">
        <f t="shared" si="35"/>
        <v>662957.95195981185</v>
      </c>
    </row>
    <row r="217" spans="4:17" hidden="1" outlineLevel="1">
      <c r="E217" s="227">
        <f t="shared" si="32"/>
        <v>2067</v>
      </c>
      <c r="G217" s="229">
        <f t="shared" si="33"/>
        <v>0</v>
      </c>
      <c r="H217" s="229">
        <f t="shared" si="34"/>
        <v>0</v>
      </c>
      <c r="I217" s="229">
        <f t="shared" si="36"/>
        <v>0</v>
      </c>
      <c r="J217" s="229">
        <f t="shared" si="37"/>
        <v>0</v>
      </c>
      <c r="K217" s="229">
        <f t="shared" si="38"/>
        <v>0</v>
      </c>
      <c r="L217" s="229">
        <f t="shared" si="39"/>
        <v>0</v>
      </c>
      <c r="M217" s="229">
        <f t="shared" si="40"/>
        <v>275224.46319729305</v>
      </c>
      <c r="N217" s="229">
        <f t="shared" si="41"/>
        <v>198113.52133678575</v>
      </c>
      <c r="O217" s="229">
        <f t="shared" si="42"/>
        <v>133617.60861778847</v>
      </c>
      <c r="P217" s="229">
        <f t="shared" si="35"/>
        <v>606955.59315186727</v>
      </c>
    </row>
    <row r="218" spans="4:17" hidden="1" outlineLevel="1">
      <c r="E218" s="227">
        <f t="shared" si="32"/>
        <v>2068</v>
      </c>
      <c r="G218" s="229">
        <f t="shared" si="33"/>
        <v>0</v>
      </c>
      <c r="H218" s="229">
        <f t="shared" si="34"/>
        <v>0</v>
      </c>
      <c r="I218" s="229">
        <f t="shared" si="36"/>
        <v>0</v>
      </c>
      <c r="J218" s="229">
        <f t="shared" si="37"/>
        <v>0</v>
      </c>
      <c r="K218" s="229">
        <f t="shared" si="38"/>
        <v>0</v>
      </c>
      <c r="L218" s="229">
        <f t="shared" si="39"/>
        <v>0</v>
      </c>
      <c r="M218" s="229">
        <f t="shared" si="40"/>
        <v>0</v>
      </c>
      <c r="N218" s="229">
        <f t="shared" si="41"/>
        <v>275224.46319729305</v>
      </c>
      <c r="O218" s="229">
        <f t="shared" si="42"/>
        <v>198113.52133678575</v>
      </c>
      <c r="P218" s="229">
        <f t="shared" si="35"/>
        <v>473337.9845340788</v>
      </c>
    </row>
    <row r="219" spans="4:17" hidden="1" outlineLevel="1">
      <c r="E219" s="227">
        <f t="shared" si="32"/>
        <v>2069</v>
      </c>
      <c r="G219" s="229">
        <f t="shared" si="33"/>
        <v>0</v>
      </c>
      <c r="H219" s="229">
        <f t="shared" si="34"/>
        <v>0</v>
      </c>
      <c r="I219" s="229">
        <f t="shared" si="36"/>
        <v>0</v>
      </c>
      <c r="J219" s="229">
        <f t="shared" si="37"/>
        <v>0</v>
      </c>
      <c r="K219" s="229">
        <f t="shared" si="38"/>
        <v>0</v>
      </c>
      <c r="L219" s="229">
        <f t="shared" si="39"/>
        <v>0</v>
      </c>
      <c r="M219" s="229">
        <f t="shared" si="40"/>
        <v>0</v>
      </c>
      <c r="N219" s="229">
        <f t="shared" si="41"/>
        <v>0</v>
      </c>
      <c r="O219" s="229">
        <f t="shared" si="42"/>
        <v>275224.46319729305</v>
      </c>
      <c r="P219" s="229">
        <f t="shared" si="35"/>
        <v>275224.46319729305</v>
      </c>
    </row>
    <row r="220" spans="4:17" hidden="1" outlineLevel="1"/>
    <row r="221" spans="4:17" hidden="1" outlineLevel="1">
      <c r="D221" s="230" t="s">
        <v>59</v>
      </c>
      <c r="F221" s="227" t="s">
        <v>54</v>
      </c>
    </row>
    <row r="222" spans="4:17" hidden="1" outlineLevel="1">
      <c r="D222" s="227" t="s">
        <v>55</v>
      </c>
      <c r="E222" s="227" t="s">
        <v>52</v>
      </c>
      <c r="F222" s="227" t="s">
        <v>56</v>
      </c>
      <c r="G222" s="229">
        <f>+'Planted Trees'!C19</f>
        <v>44877.24</v>
      </c>
      <c r="H222" s="229">
        <f>+'Planted Trees'!D19</f>
        <v>80640</v>
      </c>
      <c r="I222" s="229">
        <f>+'Planted Trees'!E19</f>
        <v>374400</v>
      </c>
      <c r="J222" s="229">
        <f>+'Planted Trees'!F19</f>
        <v>518400</v>
      </c>
      <c r="K222" s="229">
        <f>+'Planted Trees'!G19</f>
        <v>659781.81818181812</v>
      </c>
      <c r="L222" s="229">
        <f>+'Planted Trees'!H19</f>
        <v>848290.90909090894</v>
      </c>
      <c r="M222" s="229">
        <f>+'Planted Trees'!I19</f>
        <v>942545.45454545435</v>
      </c>
      <c r="N222" s="229">
        <f>+'Planted Trees'!J19</f>
        <v>942545.45454545435</v>
      </c>
      <c r="O222" s="229">
        <f>+'Planted Trees'!K19</f>
        <v>942545.45454545435</v>
      </c>
      <c r="P222" s="232" t="s">
        <v>57</v>
      </c>
      <c r="Q222" s="229"/>
    </row>
    <row r="223" spans="4:17" hidden="1" outlineLevel="1">
      <c r="D223" s="227" cm="1">
        <f t="array" ref="D223:D262">+TRANSPOSE(D32:AQ32)</f>
        <v>3.0424305838419696E-3</v>
      </c>
      <c r="E223" s="227">
        <f>+E172</f>
        <v>2022</v>
      </c>
      <c r="G223" s="229">
        <f>+G$222*D223</f>
        <v>136.53588749441619</v>
      </c>
      <c r="H223" s="229"/>
      <c r="I223" s="229"/>
      <c r="J223" s="229"/>
      <c r="K223" s="229"/>
      <c r="L223" s="229"/>
      <c r="M223" s="229"/>
      <c r="N223" s="229"/>
      <c r="P223" s="229">
        <f>+SUM(G223:O223)</f>
        <v>136.53588749441619</v>
      </c>
    </row>
    <row r="224" spans="4:17" hidden="1" outlineLevel="1">
      <c r="D224" s="227">
        <v>1.7733488643563812E-2</v>
      </c>
      <c r="E224" s="227">
        <f t="shared" ref="E224:E270" si="43">+E173</f>
        <v>2023</v>
      </c>
      <c r="G224" s="229">
        <f t="shared" ref="G224:G270" si="44">+G$222*D224</f>
        <v>795.83002589448756</v>
      </c>
      <c r="H224" s="229">
        <f>+H$222*$D223</f>
        <v>245.34160228101643</v>
      </c>
      <c r="P224" s="229">
        <f t="shared" ref="P224:P270" si="45">+SUM(G224:O224)</f>
        <v>1041.1716281755039</v>
      </c>
    </row>
    <row r="225" spans="4:16" hidden="1" outlineLevel="1">
      <c r="D225" s="227">
        <v>4.031407695233348E-2</v>
      </c>
      <c r="E225" s="227">
        <f t="shared" si="43"/>
        <v>2024</v>
      </c>
      <c r="G225" s="229">
        <f t="shared" si="44"/>
        <v>1809.184506768338</v>
      </c>
      <c r="H225" s="229">
        <f t="shared" ref="H225:H270" si="46">+H$222*$D224</f>
        <v>1430.0285242169857</v>
      </c>
      <c r="I225" s="229">
        <f>+I$222*$D223</f>
        <v>1139.0860105904335</v>
      </c>
      <c r="P225" s="229">
        <f t="shared" si="45"/>
        <v>4378.2990415757577</v>
      </c>
    </row>
    <row r="226" spans="4:16" hidden="1" outlineLevel="1">
      <c r="D226" s="227">
        <v>7.2387966132038822E-2</v>
      </c>
      <c r="E226" s="227">
        <f t="shared" si="43"/>
        <v>2025</v>
      </c>
      <c r="G226" s="229">
        <f t="shared" si="44"/>
        <v>3248.572129219378</v>
      </c>
      <c r="H226" s="229">
        <f t="shared" si="46"/>
        <v>3250.9271654361719</v>
      </c>
      <c r="I226" s="229">
        <f t="shared" ref="I226:I270" si="47">+I$222*$D224</f>
        <v>6639.418148150291</v>
      </c>
      <c r="J226" s="229">
        <f>+J$222*$D223</f>
        <v>1577.196014663677</v>
      </c>
      <c r="P226" s="229">
        <f t="shared" si="45"/>
        <v>14716.113457469519</v>
      </c>
    </row>
    <row r="227" spans="4:16" hidden="1" outlineLevel="1">
      <c r="D227" s="227">
        <v>0.11667541327347526</v>
      </c>
      <c r="E227" s="227">
        <f t="shared" si="43"/>
        <v>2026</v>
      </c>
      <c r="G227" s="229">
        <f t="shared" si="44"/>
        <v>5236.0705235729347</v>
      </c>
      <c r="H227" s="229">
        <f t="shared" si="46"/>
        <v>5837.365588887611</v>
      </c>
      <c r="I227" s="229">
        <f t="shared" si="47"/>
        <v>15093.590410953655</v>
      </c>
      <c r="J227" s="229">
        <f t="shared" ref="J227:J270" si="48">+J$222*$D224</f>
        <v>9193.0405128234797</v>
      </c>
      <c r="K227" s="229">
        <f>+K$222*$D223</f>
        <v>2007.3403822992252</v>
      </c>
      <c r="P227" s="229">
        <f t="shared" si="45"/>
        <v>37367.407418536903</v>
      </c>
    </row>
    <row r="228" spans="4:16" hidden="1" outlineLevel="1">
      <c r="D228" s="227">
        <v>0.17259988866951723</v>
      </c>
      <c r="E228" s="227">
        <f t="shared" si="43"/>
        <v>2027</v>
      </c>
      <c r="G228" s="229">
        <f t="shared" si="44"/>
        <v>7745.8066277952048</v>
      </c>
      <c r="H228" s="229">
        <f t="shared" si="46"/>
        <v>9408.705326373045</v>
      </c>
      <c r="I228" s="229">
        <f t="shared" si="47"/>
        <v>27102.054519835336</v>
      </c>
      <c r="J228" s="229">
        <f t="shared" si="48"/>
        <v>20898.817492089674</v>
      </c>
      <c r="K228" s="229">
        <f t="shared" ref="K228:K270" si="49">+K$222*$D224</f>
        <v>11700.233379957155</v>
      </c>
      <c r="L228" s="229">
        <f>+L$222*$D223</f>
        <v>2580.8662058132891</v>
      </c>
      <c r="P228" s="229">
        <f t="shared" si="45"/>
        <v>79436.483551863697</v>
      </c>
    </row>
    <row r="229" spans="4:16" hidden="1" outlineLevel="1">
      <c r="D229" s="227">
        <v>0.23805453939324267</v>
      </c>
      <c r="E229" s="227">
        <f t="shared" si="43"/>
        <v>2028</v>
      </c>
      <c r="G229" s="229">
        <f t="shared" si="44"/>
        <v>10683.230697440005</v>
      </c>
      <c r="H229" s="229">
        <f t="shared" si="46"/>
        <v>13918.455022309869</v>
      </c>
      <c r="I229" s="229">
        <f t="shared" si="47"/>
        <v>43683.274729589139</v>
      </c>
      <c r="J229" s="229">
        <f t="shared" si="48"/>
        <v>37525.921642848924</v>
      </c>
      <c r="K229" s="229">
        <f t="shared" si="49"/>
        <v>26598.494989932311</v>
      </c>
      <c r="L229" s="229">
        <f t="shared" ref="L229:L270" si="50">+L$222*$D224</f>
        <v>15043.157202802056</v>
      </c>
      <c r="M229" s="229">
        <f>+M$222*$D223</f>
        <v>2867.6291175703213</v>
      </c>
      <c r="P229" s="229">
        <f t="shared" si="45"/>
        <v>150320.16340249262</v>
      </c>
    </row>
    <row r="230" spans="4:16" hidden="1" outlineLevel="1">
      <c r="D230" s="227">
        <v>0.32475378247498388</v>
      </c>
      <c r="E230" s="227">
        <f t="shared" si="43"/>
        <v>2029</v>
      </c>
      <c r="G230" s="229">
        <f t="shared" si="44"/>
        <v>14574.053437037644</v>
      </c>
      <c r="H230" s="229">
        <f t="shared" si="46"/>
        <v>19196.718056671089</v>
      </c>
      <c r="I230" s="229">
        <f t="shared" si="47"/>
        <v>64621.39831786725</v>
      </c>
      <c r="J230" s="229">
        <f t="shared" si="48"/>
        <v>60484.534240969573</v>
      </c>
      <c r="K230" s="229">
        <f t="shared" si="49"/>
        <v>47760.263909080444</v>
      </c>
      <c r="L230" s="229">
        <f t="shared" si="50"/>
        <v>34198.064987055826</v>
      </c>
      <c r="M230" s="229">
        <f t="shared" ref="M230:M270" si="51">+M$222*$D224</f>
        <v>16714.619114224504</v>
      </c>
      <c r="N230" s="229">
        <f>+N$222*$D223</f>
        <v>2867.6291175703213</v>
      </c>
      <c r="P230" s="229">
        <f t="shared" si="45"/>
        <v>260417.28118047662</v>
      </c>
    </row>
    <row r="231" spans="4:16" hidden="1" outlineLevel="1">
      <c r="D231" s="227">
        <v>0.4287694636940993</v>
      </c>
      <c r="E231" s="227">
        <f t="shared" si="43"/>
        <v>2030</v>
      </c>
      <c r="G231" s="229">
        <f t="shared" si="44"/>
        <v>19241.99012687138</v>
      </c>
      <c r="H231" s="229">
        <f t="shared" si="46"/>
        <v>26188.145018782699</v>
      </c>
      <c r="I231" s="229">
        <f t="shared" si="47"/>
        <v>89127.619548830058</v>
      </c>
      <c r="J231" s="229">
        <f t="shared" si="48"/>
        <v>89475.782286277725</v>
      </c>
      <c r="K231" s="229">
        <f t="shared" si="49"/>
        <v>76980.316306688546</v>
      </c>
      <c r="L231" s="229">
        <f t="shared" si="50"/>
        <v>61406.053597389138</v>
      </c>
      <c r="M231" s="229">
        <f t="shared" si="51"/>
        <v>37997.849985617584</v>
      </c>
      <c r="N231" s="229">
        <f t="shared" ref="N231:N270" si="52">+N$222*$D224</f>
        <v>16714.619114224504</v>
      </c>
      <c r="O231" s="229">
        <f>+O$222*$D223</f>
        <v>2867.6291175703213</v>
      </c>
      <c r="P231" s="229">
        <f t="shared" si="45"/>
        <v>420000.00510225189</v>
      </c>
    </row>
    <row r="232" spans="4:16" hidden="1" outlineLevel="1">
      <c r="D232" s="227">
        <v>0.54907295246839283</v>
      </c>
      <c r="E232" s="227">
        <f t="shared" si="43"/>
        <v>2031</v>
      </c>
      <c r="G232" s="229">
        <f t="shared" si="44"/>
        <v>24640.878665432658</v>
      </c>
      <c r="H232" s="229">
        <f t="shared" si="46"/>
        <v>34575.969552292168</v>
      </c>
      <c r="I232" s="229">
        <f t="shared" si="47"/>
        <v>121587.81615863397</v>
      </c>
      <c r="J232" s="229">
        <f t="shared" si="48"/>
        <v>123407.473221457</v>
      </c>
      <c r="K232" s="229">
        <f t="shared" si="49"/>
        <v>113878.26836435347</v>
      </c>
      <c r="L232" s="229">
        <f t="shared" si="50"/>
        <v>98974.692394313839</v>
      </c>
      <c r="M232" s="229">
        <f t="shared" si="51"/>
        <v>68228.948441543485</v>
      </c>
      <c r="N232" s="229">
        <f t="shared" si="52"/>
        <v>37997.849985617584</v>
      </c>
      <c r="O232" s="229">
        <f>+O$222*$D224</f>
        <v>16714.619114224504</v>
      </c>
      <c r="P232" s="229">
        <f t="shared" si="45"/>
        <v>640006.51589786855</v>
      </c>
    </row>
    <row r="233" spans="4:16" hidden="1" outlineLevel="1">
      <c r="D233" s="227">
        <v>0.68512768190617646</v>
      </c>
      <c r="E233" s="227">
        <f t="shared" si="43"/>
        <v>2032</v>
      </c>
      <c r="G233" s="229">
        <f t="shared" si="44"/>
        <v>30746.639411547138</v>
      </c>
      <c r="H233" s="229">
        <f t="shared" si="46"/>
        <v>44277.242887051194</v>
      </c>
      <c r="I233" s="229">
        <f t="shared" si="47"/>
        <v>160531.28720707077</v>
      </c>
      <c r="J233" s="229">
        <f t="shared" si="48"/>
        <v>168352.36083503164</v>
      </c>
      <c r="K233" s="229">
        <f t="shared" si="49"/>
        <v>157064.0568273089</v>
      </c>
      <c r="L233" s="229">
        <f t="shared" si="50"/>
        <v>146414.91646845444</v>
      </c>
      <c r="M233" s="229">
        <f t="shared" si="51"/>
        <v>109971.88043812648</v>
      </c>
      <c r="N233" s="229">
        <f t="shared" si="52"/>
        <v>68228.948441543485</v>
      </c>
      <c r="O233" s="229">
        <f t="shared" ref="O233:O270" si="53">+O$222*$D225</f>
        <v>37997.849985617584</v>
      </c>
      <c r="P233" s="229">
        <f t="shared" si="45"/>
        <v>923585.1825017517</v>
      </c>
    </row>
    <row r="234" spans="4:16" hidden="1" outlineLevel="1">
      <c r="D234" s="227">
        <v>0.83035492647679388</v>
      </c>
      <c r="E234" s="227">
        <f t="shared" si="43"/>
        <v>2033</v>
      </c>
      <c r="G234" s="229">
        <f t="shared" si="44"/>
        <v>37264.037320681433</v>
      </c>
      <c r="H234" s="229">
        <f t="shared" si="46"/>
        <v>55248.696268914071</v>
      </c>
      <c r="I234" s="229">
        <f t="shared" si="47"/>
        <v>205572.91340416626</v>
      </c>
      <c r="J234" s="229">
        <f t="shared" si="48"/>
        <v>222274.08997902108</v>
      </c>
      <c r="K234" s="229">
        <f t="shared" si="49"/>
        <v>214266.64106276754</v>
      </c>
      <c r="L234" s="229">
        <f t="shared" si="50"/>
        <v>201939.50163511143</v>
      </c>
      <c r="M234" s="229">
        <f t="shared" si="51"/>
        <v>162683.24052050494</v>
      </c>
      <c r="N234" s="229">
        <f t="shared" si="52"/>
        <v>109971.88043812648</v>
      </c>
      <c r="O234" s="229">
        <f t="shared" si="53"/>
        <v>68228.948441543485</v>
      </c>
      <c r="P234" s="229">
        <f t="shared" si="45"/>
        <v>1277449.9490708367</v>
      </c>
    </row>
    <row r="235" spans="4:16" hidden="1" outlineLevel="1">
      <c r="D235" s="227">
        <v>0.97983187735160149</v>
      </c>
      <c r="E235" s="227">
        <f t="shared" si="43"/>
        <v>2034</v>
      </c>
      <c r="G235" s="229">
        <f t="shared" si="44"/>
        <v>43972.150319558379</v>
      </c>
      <c r="H235" s="229">
        <f t="shared" si="46"/>
        <v>66959.821271088658</v>
      </c>
      <c r="I235" s="229">
        <f t="shared" si="47"/>
        <v>256511.80410567246</v>
      </c>
      <c r="J235" s="229">
        <f t="shared" si="48"/>
        <v>284639.41855961486</v>
      </c>
      <c r="K235" s="229">
        <f t="shared" si="49"/>
        <v>282894.29633693589</v>
      </c>
      <c r="L235" s="229">
        <f t="shared" si="50"/>
        <v>275485.68136641535</v>
      </c>
      <c r="M235" s="229">
        <f t="shared" si="51"/>
        <v>224377.22403901268</v>
      </c>
      <c r="N235" s="229">
        <f t="shared" si="52"/>
        <v>162683.24052050494</v>
      </c>
      <c r="O235" s="229">
        <f t="shared" si="53"/>
        <v>109971.88043812648</v>
      </c>
      <c r="P235" s="229">
        <f t="shared" si="45"/>
        <v>1707495.5169569296</v>
      </c>
    </row>
    <row r="236" spans="4:16" hidden="1" outlineLevel="1">
      <c r="D236" s="227">
        <v>1.1404464420195264</v>
      </c>
      <c r="E236" s="227">
        <f t="shared" si="43"/>
        <v>2035</v>
      </c>
      <c r="G236" s="229">
        <f t="shared" si="44"/>
        <v>51180.088685656367</v>
      </c>
      <c r="H236" s="229">
        <f t="shared" si="46"/>
        <v>79013.642589633149</v>
      </c>
      <c r="I236" s="229">
        <f t="shared" si="47"/>
        <v>310884.88447291165</v>
      </c>
      <c r="J236" s="229">
        <f t="shared" si="48"/>
        <v>355170.19030016189</v>
      </c>
      <c r="K236" s="229">
        <f t="shared" si="49"/>
        <v>362268.35089405521</v>
      </c>
      <c r="L236" s="229">
        <f t="shared" si="50"/>
        <v>363721.23814748897</v>
      </c>
      <c r="M236" s="229">
        <f t="shared" si="51"/>
        <v>306095.20151823928</v>
      </c>
      <c r="N236" s="229">
        <f t="shared" si="52"/>
        <v>224377.22403901268</v>
      </c>
      <c r="O236" s="229">
        <f t="shared" si="53"/>
        <v>162683.24052050494</v>
      </c>
      <c r="P236" s="229">
        <f t="shared" si="45"/>
        <v>2215394.0611676639</v>
      </c>
    </row>
    <row r="237" spans="4:16" hidden="1" outlineLevel="1">
      <c r="D237" s="227">
        <v>1.3129332224879684</v>
      </c>
      <c r="E237" s="227">
        <f t="shared" si="43"/>
        <v>2036</v>
      </c>
      <c r="G237" s="229">
        <f t="shared" si="44"/>
        <v>58920.819329565951</v>
      </c>
      <c r="H237" s="229">
        <f t="shared" si="46"/>
        <v>91965.601084454611</v>
      </c>
      <c r="I237" s="229">
        <f t="shared" si="47"/>
        <v>366849.05488043959</v>
      </c>
      <c r="J237" s="229">
        <f t="shared" si="48"/>
        <v>430455.99388556997</v>
      </c>
      <c r="K237" s="229">
        <f t="shared" si="49"/>
        <v>452034.78765475145</v>
      </c>
      <c r="L237" s="229">
        <f t="shared" si="50"/>
        <v>465773.59400664241</v>
      </c>
      <c r="M237" s="229">
        <f t="shared" si="51"/>
        <v>404134.70905276551</v>
      </c>
      <c r="N237" s="229">
        <f t="shared" si="52"/>
        <v>306095.20151823928</v>
      </c>
      <c r="O237" s="229">
        <f t="shared" si="53"/>
        <v>224377.22403901268</v>
      </c>
      <c r="P237" s="229">
        <f t="shared" si="45"/>
        <v>2800606.9854514417</v>
      </c>
    </row>
    <row r="238" spans="4:16" hidden="1" outlineLevel="1">
      <c r="D238" s="227">
        <v>3.0424305838419696E-3</v>
      </c>
      <c r="E238" s="227">
        <f t="shared" si="43"/>
        <v>2037</v>
      </c>
      <c r="G238" s="229">
        <f t="shared" si="44"/>
        <v>136.53588749441619</v>
      </c>
      <c r="H238" s="229">
        <f t="shared" si="46"/>
        <v>105874.93506142977</v>
      </c>
      <c r="I238" s="229">
        <f t="shared" si="47"/>
        <v>426983.14789211069</v>
      </c>
      <c r="J238" s="229">
        <f t="shared" si="48"/>
        <v>507944.84521907021</v>
      </c>
      <c r="K238" s="229">
        <f t="shared" si="49"/>
        <v>547853.08312708896</v>
      </c>
      <c r="L238" s="229">
        <f t="shared" si="50"/>
        <v>581187.58412753756</v>
      </c>
      <c r="M238" s="229">
        <f t="shared" si="51"/>
        <v>517526.21556293598</v>
      </c>
      <c r="N238" s="229">
        <f t="shared" si="52"/>
        <v>404134.70905276551</v>
      </c>
      <c r="O238" s="229">
        <f t="shared" si="53"/>
        <v>306095.20151823928</v>
      </c>
      <c r="P238" s="229">
        <f t="shared" si="45"/>
        <v>3397736.2574486723</v>
      </c>
    </row>
    <row r="239" spans="4:16" hidden="1" outlineLevel="1">
      <c r="D239" s="227">
        <v>1.7733488643563812E-2</v>
      </c>
      <c r="E239" s="227">
        <f t="shared" si="43"/>
        <v>2038</v>
      </c>
      <c r="G239" s="229">
        <f t="shared" si="44"/>
        <v>795.83002589448756</v>
      </c>
      <c r="H239" s="229">
        <f t="shared" si="46"/>
        <v>245.34160228101643</v>
      </c>
      <c r="I239" s="229">
        <f t="shared" si="47"/>
        <v>491562.1984994954</v>
      </c>
      <c r="J239" s="229">
        <f t="shared" si="48"/>
        <v>591207.43554292247</v>
      </c>
      <c r="K239" s="229">
        <f t="shared" si="49"/>
        <v>646475.25755154388</v>
      </c>
      <c r="L239" s="229">
        <f t="shared" si="50"/>
        <v>704382.53544911428</v>
      </c>
      <c r="M239" s="229">
        <f t="shared" si="51"/>
        <v>645763.98236393055</v>
      </c>
      <c r="N239" s="229">
        <f t="shared" si="52"/>
        <v>517526.21556293598</v>
      </c>
      <c r="O239" s="229">
        <f t="shared" si="53"/>
        <v>404134.70905276551</v>
      </c>
      <c r="P239" s="229">
        <f t="shared" si="45"/>
        <v>4002093.5056508835</v>
      </c>
    </row>
    <row r="240" spans="4:16" hidden="1" outlineLevel="1">
      <c r="D240" s="227">
        <v>4.031407695233348E-2</v>
      </c>
      <c r="E240" s="227">
        <f t="shared" si="43"/>
        <v>2039</v>
      </c>
      <c r="G240" s="229">
        <f t="shared" si="44"/>
        <v>1809.184506768338</v>
      </c>
      <c r="H240" s="229">
        <f t="shared" si="46"/>
        <v>1430.0285242169857</v>
      </c>
      <c r="I240" s="229">
        <f t="shared" si="47"/>
        <v>1139.0860105904335</v>
      </c>
      <c r="J240" s="229">
        <f t="shared" si="48"/>
        <v>680624.58253776282</v>
      </c>
      <c r="K240" s="229">
        <f t="shared" si="49"/>
        <v>752445.82705462852</v>
      </c>
      <c r="L240" s="229">
        <f t="shared" si="50"/>
        <v>831182.47399484203</v>
      </c>
      <c r="M240" s="229">
        <f t="shared" si="51"/>
        <v>782647.26161012705</v>
      </c>
      <c r="N240" s="229">
        <f t="shared" si="52"/>
        <v>645763.98236393055</v>
      </c>
      <c r="O240" s="229">
        <f t="shared" si="53"/>
        <v>517526.21556293598</v>
      </c>
      <c r="P240" s="229">
        <f t="shared" si="45"/>
        <v>4214568.6421658034</v>
      </c>
    </row>
    <row r="241" spans="4:16" hidden="1" outlineLevel="1">
      <c r="D241" s="227">
        <v>7.2387966132038822E-2</v>
      </c>
      <c r="E241" s="227">
        <f t="shared" si="43"/>
        <v>2040</v>
      </c>
      <c r="G241" s="229">
        <f t="shared" si="44"/>
        <v>3248.572129219378</v>
      </c>
      <c r="H241" s="229">
        <f t="shared" si="46"/>
        <v>3250.9271654361719</v>
      </c>
      <c r="I241" s="229">
        <f t="shared" si="47"/>
        <v>6639.418148150291</v>
      </c>
      <c r="J241" s="229">
        <f t="shared" si="48"/>
        <v>1577.196014663677</v>
      </c>
      <c r="K241" s="229">
        <f t="shared" si="49"/>
        <v>866249.46868442534</v>
      </c>
      <c r="L241" s="229">
        <f t="shared" si="50"/>
        <v>967430.34907023667</v>
      </c>
      <c r="M241" s="229">
        <f t="shared" si="51"/>
        <v>923536.08221649111</v>
      </c>
      <c r="N241" s="229">
        <f t="shared" si="52"/>
        <v>782647.26161012705</v>
      </c>
      <c r="O241" s="229">
        <f t="shared" si="53"/>
        <v>645763.98236393055</v>
      </c>
      <c r="P241" s="229">
        <f t="shared" si="45"/>
        <v>4200343.2574026799</v>
      </c>
    </row>
    <row r="242" spans="4:16" hidden="1" outlineLevel="1">
      <c r="D242" s="227">
        <v>0.11667541327347526</v>
      </c>
      <c r="E242" s="227">
        <f t="shared" si="43"/>
        <v>2041</v>
      </c>
      <c r="G242" s="229">
        <f t="shared" si="44"/>
        <v>5236.0705235729347</v>
      </c>
      <c r="H242" s="229">
        <f t="shared" si="46"/>
        <v>5837.365588887611</v>
      </c>
      <c r="I242" s="229">
        <f t="shared" si="47"/>
        <v>15093.590410953655</v>
      </c>
      <c r="J242" s="229">
        <f t="shared" si="48"/>
        <v>9193.0405128234797</v>
      </c>
      <c r="K242" s="229">
        <f t="shared" si="49"/>
        <v>2007.3403822992252</v>
      </c>
      <c r="L242" s="229">
        <f t="shared" si="50"/>
        <v>1113749.3168799754</v>
      </c>
      <c r="M242" s="229">
        <f t="shared" si="51"/>
        <v>1074922.6100780407</v>
      </c>
      <c r="N242" s="229">
        <f t="shared" si="52"/>
        <v>923536.08221649111</v>
      </c>
      <c r="O242" s="229">
        <f t="shared" si="53"/>
        <v>782647.26161012705</v>
      </c>
      <c r="P242" s="229">
        <f t="shared" si="45"/>
        <v>3932222.6782031711</v>
      </c>
    </row>
    <row r="243" spans="4:16" hidden="1" outlineLevel="1">
      <c r="D243" s="227">
        <v>0.17259988866951723</v>
      </c>
      <c r="E243" s="227">
        <f t="shared" si="43"/>
        <v>2042</v>
      </c>
      <c r="G243" s="229">
        <f t="shared" si="44"/>
        <v>7745.8066277952048</v>
      </c>
      <c r="H243" s="229">
        <f t="shared" si="46"/>
        <v>9408.705326373045</v>
      </c>
      <c r="I243" s="229">
        <f t="shared" si="47"/>
        <v>27102.054519835336</v>
      </c>
      <c r="J243" s="229">
        <f t="shared" si="48"/>
        <v>20898.817492089674</v>
      </c>
      <c r="K243" s="229">
        <f t="shared" si="49"/>
        <v>11700.233379957155</v>
      </c>
      <c r="L243" s="229">
        <f t="shared" si="50"/>
        <v>2580.8662058132891</v>
      </c>
      <c r="M243" s="229">
        <f t="shared" si="51"/>
        <v>1237499.2409777504</v>
      </c>
      <c r="N243" s="229">
        <f t="shared" si="52"/>
        <v>1074922.6100780407</v>
      </c>
      <c r="O243" s="229">
        <f t="shared" si="53"/>
        <v>923536.08221649111</v>
      </c>
      <c r="P243" s="229">
        <f t="shared" si="45"/>
        <v>3315394.4168241462</v>
      </c>
    </row>
    <row r="244" spans="4:16" hidden="1" outlineLevel="1">
      <c r="D244" s="227">
        <v>0.23805453939324267</v>
      </c>
      <c r="E244" s="227">
        <f t="shared" si="43"/>
        <v>2043</v>
      </c>
      <c r="G244" s="229">
        <f t="shared" si="44"/>
        <v>10683.230697440005</v>
      </c>
      <c r="H244" s="229">
        <f t="shared" si="46"/>
        <v>13918.455022309869</v>
      </c>
      <c r="I244" s="229">
        <f t="shared" si="47"/>
        <v>43683.274729589139</v>
      </c>
      <c r="J244" s="229">
        <f t="shared" si="48"/>
        <v>37525.921642848924</v>
      </c>
      <c r="K244" s="229">
        <f t="shared" si="49"/>
        <v>26598.494989932311</v>
      </c>
      <c r="L244" s="229">
        <f t="shared" si="50"/>
        <v>15043.157202802056</v>
      </c>
      <c r="M244" s="229">
        <f t="shared" si="51"/>
        <v>2867.6291175703213</v>
      </c>
      <c r="N244" s="229">
        <f t="shared" si="52"/>
        <v>1237499.2409777504</v>
      </c>
      <c r="O244" s="229">
        <f t="shared" si="53"/>
        <v>1074922.6100780407</v>
      </c>
      <c r="P244" s="229">
        <f t="shared" si="45"/>
        <v>2462742.0144582838</v>
      </c>
    </row>
    <row r="245" spans="4:16" hidden="1" outlineLevel="1">
      <c r="D245" s="227">
        <v>0.32475378247498388</v>
      </c>
      <c r="E245" s="227">
        <f t="shared" si="43"/>
        <v>2044</v>
      </c>
      <c r="G245" s="229">
        <f t="shared" si="44"/>
        <v>14574.053437037644</v>
      </c>
      <c r="H245" s="229">
        <f t="shared" si="46"/>
        <v>19196.718056671089</v>
      </c>
      <c r="I245" s="229">
        <f t="shared" si="47"/>
        <v>64621.39831786725</v>
      </c>
      <c r="J245" s="229">
        <f t="shared" si="48"/>
        <v>60484.534240969573</v>
      </c>
      <c r="K245" s="229">
        <f t="shared" si="49"/>
        <v>47760.263909080444</v>
      </c>
      <c r="L245" s="229">
        <f t="shared" si="50"/>
        <v>34198.064987055826</v>
      </c>
      <c r="M245" s="229">
        <f t="shared" si="51"/>
        <v>16714.619114224504</v>
      </c>
      <c r="N245" s="229">
        <f t="shared" si="52"/>
        <v>2867.6291175703213</v>
      </c>
      <c r="O245" s="229">
        <f t="shared" si="53"/>
        <v>1237499.2409777504</v>
      </c>
      <c r="P245" s="229">
        <f t="shared" si="45"/>
        <v>1497916.5221582269</v>
      </c>
    </row>
    <row r="246" spans="4:16" hidden="1" outlineLevel="1">
      <c r="D246" s="227">
        <v>0.4287694636940993</v>
      </c>
      <c r="E246" s="227">
        <f t="shared" si="43"/>
        <v>2045</v>
      </c>
      <c r="G246" s="229">
        <f t="shared" si="44"/>
        <v>19241.99012687138</v>
      </c>
      <c r="H246" s="229">
        <f t="shared" si="46"/>
        <v>26188.145018782699</v>
      </c>
      <c r="I246" s="229">
        <f t="shared" si="47"/>
        <v>89127.619548830058</v>
      </c>
      <c r="J246" s="229">
        <f t="shared" si="48"/>
        <v>89475.782286277725</v>
      </c>
      <c r="K246" s="229">
        <f t="shared" si="49"/>
        <v>76980.316306688546</v>
      </c>
      <c r="L246" s="229">
        <f t="shared" si="50"/>
        <v>61406.053597389138</v>
      </c>
      <c r="M246" s="229">
        <f t="shared" si="51"/>
        <v>37997.849985617584</v>
      </c>
      <c r="N246" s="229">
        <f t="shared" si="52"/>
        <v>16714.619114224504</v>
      </c>
      <c r="O246" s="229">
        <f t="shared" si="53"/>
        <v>2867.6291175703213</v>
      </c>
      <c r="P246" s="229">
        <f t="shared" si="45"/>
        <v>420000.00510225189</v>
      </c>
    </row>
    <row r="247" spans="4:16" hidden="1" outlineLevel="1">
      <c r="D247" s="227">
        <v>0.54907295246839283</v>
      </c>
      <c r="E247" s="227">
        <f t="shared" si="43"/>
        <v>2046</v>
      </c>
      <c r="G247" s="229">
        <f t="shared" si="44"/>
        <v>24640.878665432658</v>
      </c>
      <c r="H247" s="229">
        <f t="shared" si="46"/>
        <v>34575.969552292168</v>
      </c>
      <c r="I247" s="229">
        <f t="shared" si="47"/>
        <v>121587.81615863397</v>
      </c>
      <c r="J247" s="229">
        <f t="shared" si="48"/>
        <v>123407.473221457</v>
      </c>
      <c r="K247" s="229">
        <f t="shared" si="49"/>
        <v>113878.26836435347</v>
      </c>
      <c r="L247" s="229">
        <f t="shared" si="50"/>
        <v>98974.692394313839</v>
      </c>
      <c r="M247" s="229">
        <f t="shared" si="51"/>
        <v>68228.948441543485</v>
      </c>
      <c r="N247" s="229">
        <f t="shared" si="52"/>
        <v>37997.849985617584</v>
      </c>
      <c r="O247" s="229">
        <f t="shared" si="53"/>
        <v>16714.619114224504</v>
      </c>
      <c r="P247" s="229">
        <f t="shared" si="45"/>
        <v>640006.51589786855</v>
      </c>
    </row>
    <row r="248" spans="4:16" hidden="1" outlineLevel="1">
      <c r="D248" s="227">
        <v>0.68512768190617646</v>
      </c>
      <c r="E248" s="227">
        <f t="shared" si="43"/>
        <v>2047</v>
      </c>
      <c r="G248" s="229">
        <f t="shared" si="44"/>
        <v>30746.639411547138</v>
      </c>
      <c r="H248" s="229">
        <f t="shared" si="46"/>
        <v>44277.242887051194</v>
      </c>
      <c r="I248" s="229">
        <f t="shared" si="47"/>
        <v>160531.28720707077</v>
      </c>
      <c r="J248" s="229">
        <f t="shared" si="48"/>
        <v>168352.36083503164</v>
      </c>
      <c r="K248" s="229">
        <f t="shared" si="49"/>
        <v>157064.0568273089</v>
      </c>
      <c r="L248" s="229">
        <f t="shared" si="50"/>
        <v>146414.91646845444</v>
      </c>
      <c r="M248" s="229">
        <f t="shared" si="51"/>
        <v>109971.88043812648</v>
      </c>
      <c r="N248" s="229">
        <f t="shared" si="52"/>
        <v>68228.948441543485</v>
      </c>
      <c r="O248" s="229">
        <f t="shared" si="53"/>
        <v>37997.849985617584</v>
      </c>
      <c r="P248" s="229">
        <f t="shared" si="45"/>
        <v>923585.1825017517</v>
      </c>
    </row>
    <row r="249" spans="4:16" hidden="1" outlineLevel="1">
      <c r="D249" s="227">
        <v>0.83035492647679388</v>
      </c>
      <c r="E249" s="227">
        <f t="shared" si="43"/>
        <v>2048</v>
      </c>
      <c r="G249" s="229">
        <f t="shared" si="44"/>
        <v>37264.037320681433</v>
      </c>
      <c r="H249" s="229">
        <f t="shared" si="46"/>
        <v>55248.696268914071</v>
      </c>
      <c r="I249" s="229">
        <f t="shared" si="47"/>
        <v>205572.91340416626</v>
      </c>
      <c r="J249" s="229">
        <f t="shared" si="48"/>
        <v>222274.08997902108</v>
      </c>
      <c r="K249" s="229">
        <f t="shared" si="49"/>
        <v>214266.64106276754</v>
      </c>
      <c r="L249" s="229">
        <f t="shared" si="50"/>
        <v>201939.50163511143</v>
      </c>
      <c r="M249" s="229">
        <f t="shared" si="51"/>
        <v>162683.24052050494</v>
      </c>
      <c r="N249" s="229">
        <f t="shared" si="52"/>
        <v>109971.88043812648</v>
      </c>
      <c r="O249" s="229">
        <f t="shared" si="53"/>
        <v>68228.948441543485</v>
      </c>
      <c r="P249" s="229">
        <f t="shared" si="45"/>
        <v>1277449.9490708367</v>
      </c>
    </row>
    <row r="250" spans="4:16" hidden="1" outlineLevel="1">
      <c r="D250" s="227">
        <v>0.97983187735160149</v>
      </c>
      <c r="E250" s="227">
        <f t="shared" si="43"/>
        <v>2049</v>
      </c>
      <c r="G250" s="229">
        <f t="shared" si="44"/>
        <v>43972.150319558379</v>
      </c>
      <c r="H250" s="229">
        <f t="shared" si="46"/>
        <v>66959.821271088658</v>
      </c>
      <c r="I250" s="229">
        <f t="shared" si="47"/>
        <v>256511.80410567246</v>
      </c>
      <c r="J250" s="229">
        <f t="shared" si="48"/>
        <v>284639.41855961486</v>
      </c>
      <c r="K250" s="229">
        <f t="shared" si="49"/>
        <v>282894.29633693589</v>
      </c>
      <c r="L250" s="229">
        <f t="shared" si="50"/>
        <v>275485.68136641535</v>
      </c>
      <c r="M250" s="229">
        <f t="shared" si="51"/>
        <v>224377.22403901268</v>
      </c>
      <c r="N250" s="229">
        <f t="shared" si="52"/>
        <v>162683.24052050494</v>
      </c>
      <c r="O250" s="229">
        <f t="shared" si="53"/>
        <v>109971.88043812648</v>
      </c>
      <c r="P250" s="229">
        <f t="shared" si="45"/>
        <v>1707495.5169569296</v>
      </c>
    </row>
    <row r="251" spans="4:16" hidden="1" outlineLevel="1">
      <c r="D251" s="227">
        <v>1.1404464420195264</v>
      </c>
      <c r="E251" s="227">
        <f t="shared" si="43"/>
        <v>2050</v>
      </c>
      <c r="G251" s="229">
        <f t="shared" si="44"/>
        <v>51180.088685656367</v>
      </c>
      <c r="H251" s="229">
        <f t="shared" si="46"/>
        <v>79013.642589633149</v>
      </c>
      <c r="I251" s="229">
        <f t="shared" si="47"/>
        <v>310884.88447291165</v>
      </c>
      <c r="J251" s="229">
        <f t="shared" si="48"/>
        <v>355170.19030016189</v>
      </c>
      <c r="K251" s="229">
        <f t="shared" si="49"/>
        <v>362268.35089405521</v>
      </c>
      <c r="L251" s="229">
        <f t="shared" si="50"/>
        <v>363721.23814748897</v>
      </c>
      <c r="M251" s="229">
        <f t="shared" si="51"/>
        <v>306095.20151823928</v>
      </c>
      <c r="N251" s="229">
        <f t="shared" si="52"/>
        <v>224377.22403901268</v>
      </c>
      <c r="O251" s="229">
        <f t="shared" si="53"/>
        <v>162683.24052050494</v>
      </c>
      <c r="P251" s="229">
        <f t="shared" si="45"/>
        <v>2215394.0611676639</v>
      </c>
    </row>
    <row r="252" spans="4:16" hidden="1" outlineLevel="1">
      <c r="D252" s="227">
        <v>1.3129332224879684</v>
      </c>
      <c r="E252" s="227">
        <f t="shared" si="43"/>
        <v>2051</v>
      </c>
      <c r="G252" s="229">
        <f t="shared" si="44"/>
        <v>58920.819329565951</v>
      </c>
      <c r="H252" s="229">
        <f t="shared" si="46"/>
        <v>91965.601084454611</v>
      </c>
      <c r="I252" s="229">
        <f t="shared" si="47"/>
        <v>366849.05488043959</v>
      </c>
      <c r="J252" s="229">
        <f t="shared" si="48"/>
        <v>430455.99388556997</v>
      </c>
      <c r="K252" s="229">
        <f t="shared" si="49"/>
        <v>452034.78765475145</v>
      </c>
      <c r="L252" s="229">
        <f t="shared" si="50"/>
        <v>465773.59400664241</v>
      </c>
      <c r="M252" s="229">
        <f t="shared" si="51"/>
        <v>404134.70905276551</v>
      </c>
      <c r="N252" s="229">
        <f t="shared" si="52"/>
        <v>306095.20151823928</v>
      </c>
      <c r="O252" s="229">
        <f t="shared" si="53"/>
        <v>224377.22403901268</v>
      </c>
      <c r="P252" s="229">
        <f t="shared" si="45"/>
        <v>2800606.9854514417</v>
      </c>
    </row>
    <row r="253" spans="4:16" hidden="1" outlineLevel="1">
      <c r="D253" s="227">
        <v>3.0424305838419696E-3</v>
      </c>
      <c r="E253" s="227">
        <f t="shared" si="43"/>
        <v>2052</v>
      </c>
      <c r="G253" s="229">
        <f t="shared" si="44"/>
        <v>136.53588749441619</v>
      </c>
      <c r="H253" s="229">
        <f t="shared" si="46"/>
        <v>105874.93506142977</v>
      </c>
      <c r="I253" s="229">
        <f t="shared" si="47"/>
        <v>426983.14789211069</v>
      </c>
      <c r="J253" s="229">
        <f t="shared" si="48"/>
        <v>507944.84521907021</v>
      </c>
      <c r="K253" s="229">
        <f t="shared" si="49"/>
        <v>547853.08312708896</v>
      </c>
      <c r="L253" s="229">
        <f t="shared" si="50"/>
        <v>581187.58412753756</v>
      </c>
      <c r="M253" s="229">
        <f t="shared" si="51"/>
        <v>517526.21556293598</v>
      </c>
      <c r="N253" s="229">
        <f t="shared" si="52"/>
        <v>404134.70905276551</v>
      </c>
      <c r="O253" s="229">
        <f t="shared" si="53"/>
        <v>306095.20151823928</v>
      </c>
      <c r="P253" s="229">
        <f t="shared" si="45"/>
        <v>3397736.2574486723</v>
      </c>
    </row>
    <row r="254" spans="4:16" hidden="1" outlineLevel="1">
      <c r="D254" s="227">
        <v>1.7733488643563812E-2</v>
      </c>
      <c r="E254" s="227">
        <f t="shared" si="43"/>
        <v>2053</v>
      </c>
      <c r="G254" s="229">
        <f t="shared" si="44"/>
        <v>795.83002589448756</v>
      </c>
      <c r="H254" s="229">
        <f t="shared" si="46"/>
        <v>245.34160228101643</v>
      </c>
      <c r="I254" s="229">
        <f t="shared" si="47"/>
        <v>491562.1984994954</v>
      </c>
      <c r="J254" s="229">
        <f t="shared" si="48"/>
        <v>591207.43554292247</v>
      </c>
      <c r="K254" s="229">
        <f t="shared" si="49"/>
        <v>646475.25755154388</v>
      </c>
      <c r="L254" s="229">
        <f t="shared" si="50"/>
        <v>704382.53544911428</v>
      </c>
      <c r="M254" s="229">
        <f t="shared" si="51"/>
        <v>645763.98236393055</v>
      </c>
      <c r="N254" s="229">
        <f t="shared" si="52"/>
        <v>517526.21556293598</v>
      </c>
      <c r="O254" s="229">
        <f t="shared" si="53"/>
        <v>404134.70905276551</v>
      </c>
      <c r="P254" s="229">
        <f t="shared" si="45"/>
        <v>4002093.5056508835</v>
      </c>
    </row>
    <row r="255" spans="4:16" hidden="1" outlineLevel="1">
      <c r="D255" s="227">
        <v>4.031407695233348E-2</v>
      </c>
      <c r="E255" s="227">
        <f t="shared" si="43"/>
        <v>2054</v>
      </c>
      <c r="G255" s="229">
        <f t="shared" si="44"/>
        <v>1809.184506768338</v>
      </c>
      <c r="H255" s="229">
        <f t="shared" si="46"/>
        <v>1430.0285242169857</v>
      </c>
      <c r="I255" s="229">
        <f t="shared" si="47"/>
        <v>1139.0860105904335</v>
      </c>
      <c r="J255" s="229">
        <f t="shared" si="48"/>
        <v>680624.58253776282</v>
      </c>
      <c r="K255" s="229">
        <f t="shared" si="49"/>
        <v>752445.82705462852</v>
      </c>
      <c r="L255" s="229">
        <f t="shared" si="50"/>
        <v>831182.47399484203</v>
      </c>
      <c r="M255" s="229">
        <f t="shared" si="51"/>
        <v>782647.26161012705</v>
      </c>
      <c r="N255" s="229">
        <f t="shared" si="52"/>
        <v>645763.98236393055</v>
      </c>
      <c r="O255" s="229">
        <f t="shared" si="53"/>
        <v>517526.21556293598</v>
      </c>
      <c r="P255" s="229">
        <f t="shared" si="45"/>
        <v>4214568.6421658034</v>
      </c>
    </row>
    <row r="256" spans="4:16" hidden="1" outlineLevel="1">
      <c r="D256" s="227">
        <v>7.2387966132038822E-2</v>
      </c>
      <c r="E256" s="227">
        <f t="shared" si="43"/>
        <v>2055</v>
      </c>
      <c r="G256" s="229">
        <f t="shared" si="44"/>
        <v>3248.572129219378</v>
      </c>
      <c r="H256" s="229">
        <f t="shared" si="46"/>
        <v>3250.9271654361719</v>
      </c>
      <c r="I256" s="229">
        <f t="shared" si="47"/>
        <v>6639.418148150291</v>
      </c>
      <c r="J256" s="229">
        <f t="shared" si="48"/>
        <v>1577.196014663677</v>
      </c>
      <c r="K256" s="229">
        <f t="shared" si="49"/>
        <v>866249.46868442534</v>
      </c>
      <c r="L256" s="229">
        <f t="shared" si="50"/>
        <v>967430.34907023667</v>
      </c>
      <c r="M256" s="229">
        <f t="shared" si="51"/>
        <v>923536.08221649111</v>
      </c>
      <c r="N256" s="229">
        <f t="shared" si="52"/>
        <v>782647.26161012705</v>
      </c>
      <c r="O256" s="229">
        <f t="shared" si="53"/>
        <v>645763.98236393055</v>
      </c>
      <c r="P256" s="229">
        <f t="shared" si="45"/>
        <v>4200343.2574026799</v>
      </c>
    </row>
    <row r="257" spans="4:16" hidden="1" outlineLevel="1">
      <c r="D257" s="227">
        <v>0.11667541327347526</v>
      </c>
      <c r="E257" s="227">
        <f t="shared" si="43"/>
        <v>2056</v>
      </c>
      <c r="G257" s="229">
        <f t="shared" si="44"/>
        <v>5236.0705235729347</v>
      </c>
      <c r="H257" s="229">
        <f t="shared" si="46"/>
        <v>5837.365588887611</v>
      </c>
      <c r="I257" s="229">
        <f t="shared" si="47"/>
        <v>15093.590410953655</v>
      </c>
      <c r="J257" s="229">
        <f t="shared" si="48"/>
        <v>9193.0405128234797</v>
      </c>
      <c r="K257" s="229">
        <f t="shared" si="49"/>
        <v>2007.3403822992252</v>
      </c>
      <c r="L257" s="229">
        <f t="shared" si="50"/>
        <v>1113749.3168799754</v>
      </c>
      <c r="M257" s="229">
        <f t="shared" si="51"/>
        <v>1074922.6100780407</v>
      </c>
      <c r="N257" s="229">
        <f t="shared" si="52"/>
        <v>923536.08221649111</v>
      </c>
      <c r="O257" s="229">
        <f t="shared" si="53"/>
        <v>782647.26161012705</v>
      </c>
      <c r="P257" s="229">
        <f t="shared" si="45"/>
        <v>3932222.6782031711</v>
      </c>
    </row>
    <row r="258" spans="4:16" hidden="1" outlineLevel="1">
      <c r="D258" s="227">
        <v>0.17259988866951723</v>
      </c>
      <c r="E258" s="227">
        <f t="shared" si="43"/>
        <v>2057</v>
      </c>
      <c r="G258" s="229">
        <f t="shared" si="44"/>
        <v>7745.8066277952048</v>
      </c>
      <c r="H258" s="229">
        <f t="shared" si="46"/>
        <v>9408.705326373045</v>
      </c>
      <c r="I258" s="229">
        <f t="shared" si="47"/>
        <v>27102.054519835336</v>
      </c>
      <c r="J258" s="229">
        <f t="shared" si="48"/>
        <v>20898.817492089674</v>
      </c>
      <c r="K258" s="229">
        <f t="shared" si="49"/>
        <v>11700.233379957155</v>
      </c>
      <c r="L258" s="229">
        <f t="shared" si="50"/>
        <v>2580.8662058132891</v>
      </c>
      <c r="M258" s="229">
        <f t="shared" si="51"/>
        <v>1237499.2409777504</v>
      </c>
      <c r="N258" s="229">
        <f t="shared" si="52"/>
        <v>1074922.6100780407</v>
      </c>
      <c r="O258" s="229">
        <f t="shared" si="53"/>
        <v>923536.08221649111</v>
      </c>
      <c r="P258" s="229">
        <f t="shared" si="45"/>
        <v>3315394.4168241462</v>
      </c>
    </row>
    <row r="259" spans="4:16" hidden="1" outlineLevel="1">
      <c r="D259" s="227">
        <v>0.23805453939324267</v>
      </c>
      <c r="E259" s="227">
        <f t="shared" si="43"/>
        <v>2058</v>
      </c>
      <c r="G259" s="229">
        <f t="shared" si="44"/>
        <v>10683.230697440005</v>
      </c>
      <c r="H259" s="229">
        <f t="shared" si="46"/>
        <v>13918.455022309869</v>
      </c>
      <c r="I259" s="229">
        <f t="shared" si="47"/>
        <v>43683.274729589139</v>
      </c>
      <c r="J259" s="229">
        <f t="shared" si="48"/>
        <v>37525.921642848924</v>
      </c>
      <c r="K259" s="229">
        <f t="shared" si="49"/>
        <v>26598.494989932311</v>
      </c>
      <c r="L259" s="229">
        <f t="shared" si="50"/>
        <v>15043.157202802056</v>
      </c>
      <c r="M259" s="229">
        <f t="shared" si="51"/>
        <v>2867.6291175703213</v>
      </c>
      <c r="N259" s="229">
        <f t="shared" si="52"/>
        <v>1237499.2409777504</v>
      </c>
      <c r="O259" s="229">
        <f t="shared" si="53"/>
        <v>1074922.6100780407</v>
      </c>
      <c r="P259" s="229">
        <f t="shared" si="45"/>
        <v>2462742.0144582838</v>
      </c>
    </row>
    <row r="260" spans="4:16" hidden="1" outlineLevel="1">
      <c r="D260" s="227">
        <v>0.32475378247498388</v>
      </c>
      <c r="E260" s="227">
        <f t="shared" si="43"/>
        <v>2059</v>
      </c>
      <c r="G260" s="229">
        <f t="shared" si="44"/>
        <v>14574.053437037644</v>
      </c>
      <c r="H260" s="229">
        <f t="shared" si="46"/>
        <v>19196.718056671089</v>
      </c>
      <c r="I260" s="229">
        <f t="shared" si="47"/>
        <v>64621.39831786725</v>
      </c>
      <c r="J260" s="229">
        <f t="shared" si="48"/>
        <v>60484.534240969573</v>
      </c>
      <c r="K260" s="229">
        <f t="shared" si="49"/>
        <v>47760.263909080444</v>
      </c>
      <c r="L260" s="229">
        <f t="shared" si="50"/>
        <v>34198.064987055826</v>
      </c>
      <c r="M260" s="229">
        <f t="shared" si="51"/>
        <v>16714.619114224504</v>
      </c>
      <c r="N260" s="229">
        <f t="shared" si="52"/>
        <v>2867.6291175703213</v>
      </c>
      <c r="O260" s="229">
        <f t="shared" si="53"/>
        <v>1237499.2409777504</v>
      </c>
      <c r="P260" s="229">
        <f t="shared" si="45"/>
        <v>1497916.5221582269</v>
      </c>
    </row>
    <row r="261" spans="4:16" hidden="1" outlineLevel="1">
      <c r="D261" s="227">
        <v>0.4287694636940993</v>
      </c>
      <c r="E261" s="227">
        <f t="shared" si="43"/>
        <v>2060</v>
      </c>
      <c r="G261" s="229">
        <f t="shared" si="44"/>
        <v>19241.99012687138</v>
      </c>
      <c r="H261" s="229">
        <f t="shared" si="46"/>
        <v>26188.145018782699</v>
      </c>
      <c r="I261" s="229">
        <f t="shared" si="47"/>
        <v>89127.619548830058</v>
      </c>
      <c r="J261" s="229">
        <f t="shared" si="48"/>
        <v>89475.782286277725</v>
      </c>
      <c r="K261" s="229">
        <f t="shared" si="49"/>
        <v>76980.316306688546</v>
      </c>
      <c r="L261" s="229">
        <f t="shared" si="50"/>
        <v>61406.053597389138</v>
      </c>
      <c r="M261" s="229">
        <f t="shared" si="51"/>
        <v>37997.849985617584</v>
      </c>
      <c r="N261" s="229">
        <f t="shared" si="52"/>
        <v>16714.619114224504</v>
      </c>
      <c r="O261" s="229">
        <f t="shared" si="53"/>
        <v>2867.6291175703213</v>
      </c>
      <c r="P261" s="229">
        <f t="shared" si="45"/>
        <v>420000.00510225189</v>
      </c>
    </row>
    <row r="262" spans="4:16" hidden="1" outlineLevel="1">
      <c r="D262" s="227">
        <v>0.54907295246839283</v>
      </c>
      <c r="E262" s="227">
        <f t="shared" si="43"/>
        <v>2061</v>
      </c>
      <c r="G262" s="229">
        <f t="shared" si="44"/>
        <v>24640.878665432658</v>
      </c>
      <c r="H262" s="229">
        <f t="shared" si="46"/>
        <v>34575.969552292168</v>
      </c>
      <c r="I262" s="229">
        <f t="shared" si="47"/>
        <v>121587.81615863397</v>
      </c>
      <c r="J262" s="229">
        <f t="shared" si="48"/>
        <v>123407.473221457</v>
      </c>
      <c r="K262" s="229">
        <f t="shared" si="49"/>
        <v>113878.26836435347</v>
      </c>
      <c r="L262" s="229">
        <f t="shared" si="50"/>
        <v>98974.692394313839</v>
      </c>
      <c r="M262" s="229">
        <f t="shared" si="51"/>
        <v>68228.948441543485</v>
      </c>
      <c r="N262" s="229">
        <f t="shared" si="52"/>
        <v>37997.849985617584</v>
      </c>
      <c r="O262" s="229">
        <f t="shared" si="53"/>
        <v>16714.619114224504</v>
      </c>
      <c r="P262" s="229">
        <f t="shared" si="45"/>
        <v>640006.51589786855</v>
      </c>
    </row>
    <row r="263" spans="4:16" hidden="1" outlineLevel="1">
      <c r="E263" s="227">
        <f t="shared" si="43"/>
        <v>2062</v>
      </c>
      <c r="G263" s="229">
        <f t="shared" si="44"/>
        <v>0</v>
      </c>
      <c r="H263" s="229">
        <f t="shared" si="46"/>
        <v>44277.242887051194</v>
      </c>
      <c r="I263" s="229">
        <f t="shared" si="47"/>
        <v>160531.28720707077</v>
      </c>
      <c r="J263" s="229">
        <f t="shared" si="48"/>
        <v>168352.36083503164</v>
      </c>
      <c r="K263" s="229">
        <f t="shared" si="49"/>
        <v>157064.0568273089</v>
      </c>
      <c r="L263" s="229">
        <f t="shared" si="50"/>
        <v>146414.91646845444</v>
      </c>
      <c r="M263" s="229">
        <f t="shared" si="51"/>
        <v>109971.88043812648</v>
      </c>
      <c r="N263" s="229">
        <f t="shared" si="52"/>
        <v>68228.948441543485</v>
      </c>
      <c r="O263" s="229">
        <f t="shared" si="53"/>
        <v>37997.849985617584</v>
      </c>
      <c r="P263" s="229">
        <f t="shared" si="45"/>
        <v>892838.54309020448</v>
      </c>
    </row>
    <row r="264" spans="4:16" hidden="1" outlineLevel="1">
      <c r="E264" s="227">
        <f t="shared" si="43"/>
        <v>2063</v>
      </c>
      <c r="G264" s="229">
        <f t="shared" si="44"/>
        <v>0</v>
      </c>
      <c r="H264" s="229">
        <f t="shared" si="46"/>
        <v>0</v>
      </c>
      <c r="I264" s="229">
        <f t="shared" si="47"/>
        <v>205572.91340416626</v>
      </c>
      <c r="J264" s="229">
        <f t="shared" si="48"/>
        <v>222274.08997902108</v>
      </c>
      <c r="K264" s="229">
        <f t="shared" si="49"/>
        <v>214266.64106276754</v>
      </c>
      <c r="L264" s="229">
        <f t="shared" si="50"/>
        <v>201939.50163511143</v>
      </c>
      <c r="M264" s="229">
        <f t="shared" si="51"/>
        <v>162683.24052050494</v>
      </c>
      <c r="N264" s="229">
        <f t="shared" si="52"/>
        <v>109971.88043812648</v>
      </c>
      <c r="O264" s="229">
        <f t="shared" si="53"/>
        <v>68228.948441543485</v>
      </c>
      <c r="P264" s="229">
        <f t="shared" si="45"/>
        <v>1184937.215481241</v>
      </c>
    </row>
    <row r="265" spans="4:16" hidden="1" outlineLevel="1">
      <c r="E265" s="227">
        <f t="shared" si="43"/>
        <v>2064</v>
      </c>
      <c r="G265" s="229">
        <f t="shared" si="44"/>
        <v>0</v>
      </c>
      <c r="H265" s="229">
        <f t="shared" si="46"/>
        <v>0</v>
      </c>
      <c r="I265" s="229">
        <f t="shared" si="47"/>
        <v>0</v>
      </c>
      <c r="J265" s="229">
        <f t="shared" si="48"/>
        <v>284639.41855961486</v>
      </c>
      <c r="K265" s="229">
        <f t="shared" si="49"/>
        <v>282894.29633693589</v>
      </c>
      <c r="L265" s="229">
        <f t="shared" si="50"/>
        <v>275485.68136641535</v>
      </c>
      <c r="M265" s="229">
        <f t="shared" si="51"/>
        <v>224377.22403901268</v>
      </c>
      <c r="N265" s="229">
        <f t="shared" si="52"/>
        <v>162683.24052050494</v>
      </c>
      <c r="O265" s="229">
        <f t="shared" si="53"/>
        <v>109971.88043812648</v>
      </c>
      <c r="P265" s="229">
        <f t="shared" si="45"/>
        <v>1340051.7412606101</v>
      </c>
    </row>
    <row r="266" spans="4:16" hidden="1" outlineLevel="1">
      <c r="E266" s="227">
        <f t="shared" si="43"/>
        <v>2065</v>
      </c>
      <c r="G266" s="229">
        <f t="shared" si="44"/>
        <v>0</v>
      </c>
      <c r="H266" s="229">
        <f t="shared" si="46"/>
        <v>0</v>
      </c>
      <c r="I266" s="229">
        <f t="shared" si="47"/>
        <v>0</v>
      </c>
      <c r="J266" s="229">
        <f t="shared" si="48"/>
        <v>0</v>
      </c>
      <c r="K266" s="229">
        <f t="shared" si="49"/>
        <v>362268.35089405521</v>
      </c>
      <c r="L266" s="229">
        <f t="shared" si="50"/>
        <v>363721.23814748897</v>
      </c>
      <c r="M266" s="229">
        <f t="shared" si="51"/>
        <v>306095.20151823928</v>
      </c>
      <c r="N266" s="229">
        <f t="shared" si="52"/>
        <v>224377.22403901268</v>
      </c>
      <c r="O266" s="229">
        <f t="shared" si="53"/>
        <v>162683.24052050494</v>
      </c>
      <c r="P266" s="229">
        <f t="shared" si="45"/>
        <v>1419145.2551193011</v>
      </c>
    </row>
    <row r="267" spans="4:16" hidden="1" outlineLevel="1">
      <c r="E267" s="227">
        <f t="shared" si="43"/>
        <v>2066</v>
      </c>
      <c r="G267" s="229">
        <f t="shared" si="44"/>
        <v>0</v>
      </c>
      <c r="H267" s="229">
        <f t="shared" si="46"/>
        <v>0</v>
      </c>
      <c r="I267" s="229">
        <f t="shared" si="47"/>
        <v>0</v>
      </c>
      <c r="J267" s="229">
        <f t="shared" si="48"/>
        <v>0</v>
      </c>
      <c r="K267" s="229">
        <f t="shared" si="49"/>
        <v>0</v>
      </c>
      <c r="L267" s="229">
        <f t="shared" si="50"/>
        <v>465773.59400664241</v>
      </c>
      <c r="M267" s="229">
        <f t="shared" si="51"/>
        <v>404134.70905276551</v>
      </c>
      <c r="N267" s="229">
        <f t="shared" si="52"/>
        <v>306095.20151823928</v>
      </c>
      <c r="O267" s="229">
        <f t="shared" si="53"/>
        <v>224377.22403901268</v>
      </c>
      <c r="P267" s="229">
        <f t="shared" si="45"/>
        <v>1400380.72861666</v>
      </c>
    </row>
    <row r="268" spans="4:16" hidden="1" outlineLevel="1">
      <c r="E268" s="227">
        <f t="shared" si="43"/>
        <v>2067</v>
      </c>
      <c r="G268" s="229">
        <f t="shared" si="44"/>
        <v>0</v>
      </c>
      <c r="H268" s="229">
        <f t="shared" si="46"/>
        <v>0</v>
      </c>
      <c r="I268" s="229">
        <f t="shared" si="47"/>
        <v>0</v>
      </c>
      <c r="J268" s="229">
        <f t="shared" si="48"/>
        <v>0</v>
      </c>
      <c r="K268" s="229">
        <f t="shared" si="49"/>
        <v>0</v>
      </c>
      <c r="L268" s="229">
        <f t="shared" si="50"/>
        <v>0</v>
      </c>
      <c r="M268" s="229">
        <f t="shared" si="51"/>
        <v>517526.21556293598</v>
      </c>
      <c r="N268" s="229">
        <f t="shared" si="52"/>
        <v>404134.70905276551</v>
      </c>
      <c r="O268" s="229">
        <f t="shared" si="53"/>
        <v>306095.20151823928</v>
      </c>
      <c r="P268" s="229">
        <f t="shared" si="45"/>
        <v>1227756.1261339406</v>
      </c>
    </row>
    <row r="269" spans="4:16" hidden="1" outlineLevel="1">
      <c r="E269" s="227">
        <f t="shared" si="43"/>
        <v>2068</v>
      </c>
      <c r="G269" s="229">
        <f t="shared" si="44"/>
        <v>0</v>
      </c>
      <c r="H269" s="229">
        <f t="shared" si="46"/>
        <v>0</v>
      </c>
      <c r="I269" s="229">
        <f t="shared" si="47"/>
        <v>0</v>
      </c>
      <c r="J269" s="229">
        <f t="shared" si="48"/>
        <v>0</v>
      </c>
      <c r="K269" s="229">
        <f t="shared" si="49"/>
        <v>0</v>
      </c>
      <c r="L269" s="229">
        <f t="shared" si="50"/>
        <v>0</v>
      </c>
      <c r="M269" s="229">
        <f t="shared" si="51"/>
        <v>0</v>
      </c>
      <c r="N269" s="229">
        <f t="shared" si="52"/>
        <v>517526.21556293598</v>
      </c>
      <c r="O269" s="229">
        <f t="shared" si="53"/>
        <v>404134.70905276551</v>
      </c>
      <c r="P269" s="229">
        <f t="shared" si="45"/>
        <v>921660.92461570143</v>
      </c>
    </row>
    <row r="270" spans="4:16" hidden="1" outlineLevel="1">
      <c r="E270" s="227">
        <f t="shared" si="43"/>
        <v>2069</v>
      </c>
      <c r="G270" s="229">
        <f t="shared" si="44"/>
        <v>0</v>
      </c>
      <c r="H270" s="229">
        <f t="shared" si="46"/>
        <v>0</v>
      </c>
      <c r="I270" s="229">
        <f t="shared" si="47"/>
        <v>0</v>
      </c>
      <c r="J270" s="229">
        <f t="shared" si="48"/>
        <v>0</v>
      </c>
      <c r="K270" s="229">
        <f t="shared" si="49"/>
        <v>0</v>
      </c>
      <c r="L270" s="229">
        <f t="shared" si="50"/>
        <v>0</v>
      </c>
      <c r="M270" s="229">
        <f t="shared" si="51"/>
        <v>0</v>
      </c>
      <c r="N270" s="229">
        <f t="shared" si="52"/>
        <v>0</v>
      </c>
      <c r="O270" s="229">
        <f t="shared" si="53"/>
        <v>517526.21556293598</v>
      </c>
      <c r="P270" s="229">
        <f t="shared" si="45"/>
        <v>517526.21556293598</v>
      </c>
    </row>
    <row r="271" spans="4:16" hidden="1" outlineLevel="1"/>
    <row r="272" spans="4:16" hidden="1" outlineLevel="1">
      <c r="D272" s="230" t="s">
        <v>60</v>
      </c>
      <c r="F272" s="227" t="s">
        <v>54</v>
      </c>
    </row>
    <row r="273" spans="4:19" hidden="1" outlineLevel="1">
      <c r="D273" s="227" t="s">
        <v>55</v>
      </c>
      <c r="E273" s="227" t="s">
        <v>52</v>
      </c>
      <c r="F273" s="227" t="s">
        <v>56</v>
      </c>
      <c r="G273" s="229">
        <f>+'Planted Trees'!C44</f>
        <v>13413</v>
      </c>
      <c r="H273" s="229">
        <f>+'Planted Trees'!D44</f>
        <v>756000</v>
      </c>
      <c r="I273" s="229">
        <f>+'Planted Trees'!E44</f>
        <v>3510000</v>
      </c>
      <c r="J273" s="229">
        <f>+'Planted Trees'!F44</f>
        <v>4860000</v>
      </c>
      <c r="K273" s="229">
        <f>+'Planted Trees'!G44</f>
        <v>6185454.5454545449</v>
      </c>
      <c r="L273" s="229">
        <f>+'Planted Trees'!H44</f>
        <v>7952727.2727272706</v>
      </c>
      <c r="M273" s="229">
        <f>+'Planted Trees'!I44</f>
        <v>8836363.6363636348</v>
      </c>
      <c r="N273" s="229">
        <f>+'Planted Trees'!J44</f>
        <v>8836363.6363636348</v>
      </c>
      <c r="O273" s="229">
        <f>+'Planted Trees'!K44</f>
        <v>8836363.6363636348</v>
      </c>
      <c r="P273" s="229"/>
      <c r="Q273" s="229"/>
      <c r="R273" s="229"/>
      <c r="S273" s="229"/>
    </row>
    <row r="274" spans="4:19" hidden="1" outlineLevel="1">
      <c r="D274" s="227" cm="1">
        <f t="array" ref="D274:D313">+TRANSPOSE(D33:AQ33)</f>
        <v>6.7540053225408081E-4</v>
      </c>
      <c r="E274" s="227">
        <f>+E223</f>
        <v>2022</v>
      </c>
      <c r="G274" s="229">
        <f>+G$273*D274</f>
        <v>9.0591473391239852</v>
      </c>
      <c r="H274" s="229"/>
      <c r="I274" s="229"/>
      <c r="J274" s="229"/>
      <c r="K274" s="229"/>
      <c r="L274" s="229"/>
      <c r="M274" s="229"/>
      <c r="N274" s="229"/>
      <c r="P274" s="229">
        <f>+SUM(G274:O274)</f>
        <v>9.0591473391239852</v>
      </c>
    </row>
    <row r="275" spans="4:19" hidden="1" outlineLevel="1">
      <c r="D275" s="227">
        <v>3.9156285619804986E-3</v>
      </c>
      <c r="E275" s="227">
        <f t="shared" ref="E275:E321" si="54">+E224</f>
        <v>2023</v>
      </c>
      <c r="G275" s="229">
        <f t="shared" ref="G275:G321" si="55">+G$273*D275</f>
        <v>52.52032590184443</v>
      </c>
      <c r="H275" s="229">
        <f>+H$273*$D274</f>
        <v>510.60280238408507</v>
      </c>
      <c r="P275" s="229">
        <f>+SUM(G275:O275)</f>
        <v>563.12312828592951</v>
      </c>
    </row>
    <row r="276" spans="4:19" hidden="1" outlineLevel="1">
      <c r="D276" s="227">
        <v>8.644414151686243E-3</v>
      </c>
      <c r="E276" s="227">
        <f t="shared" si="54"/>
        <v>2024</v>
      </c>
      <c r="G276" s="229">
        <f t="shared" si="55"/>
        <v>115.94752701656758</v>
      </c>
      <c r="H276" s="229">
        <f t="shared" ref="H276:H321" si="56">+H$273*$D275</f>
        <v>2960.2151928572571</v>
      </c>
      <c r="I276" s="229">
        <f>+I$273*$D274</f>
        <v>2370.6558682118234</v>
      </c>
      <c r="P276" s="229">
        <f t="shared" ref="P276:P321" si="57">+SUM(G276:O276)</f>
        <v>5446.8185880856481</v>
      </c>
    </row>
    <row r="277" spans="4:19" hidden="1" outlineLevel="1">
      <c r="D277" s="227">
        <v>1.5260138761026016E-2</v>
      </c>
      <c r="E277" s="227">
        <f t="shared" si="54"/>
        <v>2025</v>
      </c>
      <c r="G277" s="229">
        <f t="shared" si="55"/>
        <v>204.68424120164195</v>
      </c>
      <c r="H277" s="229">
        <f t="shared" si="56"/>
        <v>6535.1770986747997</v>
      </c>
      <c r="I277" s="229">
        <f t="shared" ref="I277:I321" si="58">+I$273*$D275</f>
        <v>13743.85625255155</v>
      </c>
      <c r="J277" s="229">
        <f>+J$273*$D274</f>
        <v>3282.4465867548329</v>
      </c>
      <c r="P277" s="229">
        <f t="shared" si="57"/>
        <v>23766.164179182822</v>
      </c>
    </row>
    <row r="278" spans="4:19" hidden="1" outlineLevel="1">
      <c r="D278" s="227">
        <v>1.2208111008820813E-2</v>
      </c>
      <c r="E278" s="227">
        <f t="shared" si="54"/>
        <v>2026</v>
      </c>
      <c r="G278" s="229">
        <f t="shared" si="55"/>
        <v>163.74739296131355</v>
      </c>
      <c r="H278" s="229">
        <f t="shared" si="56"/>
        <v>11536.664903335668</v>
      </c>
      <c r="I278" s="229">
        <f t="shared" si="58"/>
        <v>30341.893672418712</v>
      </c>
      <c r="J278" s="229">
        <f t="shared" ref="J278:J321" si="59">+J$273*$D275</f>
        <v>19029.954811225223</v>
      </c>
      <c r="K278" s="229">
        <f>+K$273*$D274</f>
        <v>4177.659292233423</v>
      </c>
      <c r="P278" s="229">
        <f t="shared" si="57"/>
        <v>65249.92007217434</v>
      </c>
    </row>
    <row r="279" spans="4:19" hidden="1" outlineLevel="1">
      <c r="D279" s="227">
        <v>1.9648155217542117E-2</v>
      </c>
      <c r="E279" s="227">
        <f t="shared" si="54"/>
        <v>2027</v>
      </c>
      <c r="G279" s="229">
        <f t="shared" si="55"/>
        <v>263.54070593289242</v>
      </c>
      <c r="H279" s="229">
        <f t="shared" si="56"/>
        <v>9229.3319226685344</v>
      </c>
      <c r="I279" s="229">
        <f t="shared" si="58"/>
        <v>53563.087051201313</v>
      </c>
      <c r="J279" s="229">
        <f t="shared" si="59"/>
        <v>42011.852777195141</v>
      </c>
      <c r="K279" s="229">
        <f t="shared" ref="K279:K321" si="60">+K$273*$D275</f>
        <v>24219.942487013919</v>
      </c>
      <c r="L279" s="229">
        <f>+L$273*$D274</f>
        <v>5371.2762328715435</v>
      </c>
      <c r="P279" s="229">
        <f t="shared" si="57"/>
        <v>134659.03117688335</v>
      </c>
    </row>
    <row r="280" spans="4:19" hidden="1" outlineLevel="1">
      <c r="D280" s="227">
        <v>2.9335647517018927E-2</v>
      </c>
      <c r="E280" s="227">
        <f t="shared" si="54"/>
        <v>2028</v>
      </c>
      <c r="G280" s="229">
        <f t="shared" si="55"/>
        <v>393.47904014577489</v>
      </c>
      <c r="H280" s="229">
        <f t="shared" si="56"/>
        <v>14854.005344461841</v>
      </c>
      <c r="I280" s="229">
        <f t="shared" si="58"/>
        <v>42850.469640961055</v>
      </c>
      <c r="J280" s="229">
        <f t="shared" si="59"/>
        <v>74164.274378586444</v>
      </c>
      <c r="K280" s="229">
        <f t="shared" si="60"/>
        <v>53469.630807339265</v>
      </c>
      <c r="L280" s="229">
        <f>+L$273*$D275</f>
        <v>31139.926054732176</v>
      </c>
      <c r="M280" s="229">
        <f>+M$273*$D274</f>
        <v>5968.0847031906042</v>
      </c>
      <c r="P280" s="229">
        <f t="shared" si="57"/>
        <v>222839.86996941717</v>
      </c>
    </row>
    <row r="281" spans="4:19" hidden="1" outlineLevel="1">
      <c r="D281" s="227">
        <v>1.5260138761026016E-2</v>
      </c>
      <c r="E281" s="227">
        <f t="shared" si="54"/>
        <v>2029</v>
      </c>
      <c r="G281" s="229">
        <f t="shared" si="55"/>
        <v>204.68424120164195</v>
      </c>
      <c r="H281" s="229">
        <f t="shared" si="56"/>
        <v>22177.74952286631</v>
      </c>
      <c r="I281" s="229">
        <f t="shared" si="58"/>
        <v>68965.024813572832</v>
      </c>
      <c r="J281" s="229">
        <f t="shared" si="59"/>
        <v>59331.419502869154</v>
      </c>
      <c r="K281" s="229">
        <f t="shared" si="60"/>
        <v>94390.894663655461</v>
      </c>
      <c r="L281" s="229">
        <f>+L$273*$D276</f>
        <v>68746.668180864755</v>
      </c>
      <c r="M281" s="229">
        <f t="shared" ref="M281:M321" si="61">+M$273*$D275</f>
        <v>34599.917838591311</v>
      </c>
      <c r="N281" s="229">
        <f>+N$273*$D274</f>
        <v>5968.0847031906042</v>
      </c>
      <c r="P281" s="229">
        <f t="shared" si="57"/>
        <v>354384.44346681208</v>
      </c>
    </row>
    <row r="282" spans="4:19" hidden="1" outlineLevel="1">
      <c r="D282" s="227">
        <v>2.4560194021927644E-2</v>
      </c>
      <c r="E282" s="227">
        <f t="shared" si="54"/>
        <v>2030</v>
      </c>
      <c r="G282" s="229">
        <f t="shared" si="55"/>
        <v>329.42588241611548</v>
      </c>
      <c r="H282" s="229">
        <f t="shared" si="56"/>
        <v>11536.664903335668</v>
      </c>
      <c r="I282" s="229">
        <f t="shared" si="58"/>
        <v>102968.12278473644</v>
      </c>
      <c r="J282" s="229">
        <f t="shared" si="59"/>
        <v>95490.034357254684</v>
      </c>
      <c r="K282" s="229">
        <f t="shared" si="60"/>
        <v>75512.715730924363</v>
      </c>
      <c r="L282" s="229">
        <f>+L$273*$D277</f>
        <v>121359.72171041415</v>
      </c>
      <c r="M282" s="229">
        <f t="shared" si="61"/>
        <v>76385.186867627519</v>
      </c>
      <c r="N282" s="229">
        <f>+N$273*$D275</f>
        <v>34599.917838591311</v>
      </c>
      <c r="O282" s="229">
        <f>+O$273*$D274</f>
        <v>5968.0847031906042</v>
      </c>
      <c r="P282" s="229">
        <f t="shared" si="57"/>
        <v>524149.87477849092</v>
      </c>
    </row>
    <row r="283" spans="4:19" hidden="1" outlineLevel="1">
      <c r="D283" s="227">
        <v>3.6669559396273657E-2</v>
      </c>
      <c r="E283" s="227">
        <f t="shared" si="54"/>
        <v>2031</v>
      </c>
      <c r="G283" s="229">
        <f t="shared" si="55"/>
        <v>491.84880018221855</v>
      </c>
      <c r="H283" s="229">
        <f t="shared" si="56"/>
        <v>18567.506680577299</v>
      </c>
      <c r="I283" s="229">
        <f t="shared" si="58"/>
        <v>53563.087051201313</v>
      </c>
      <c r="J283" s="229">
        <f t="shared" si="59"/>
        <v>142571.24693271198</v>
      </c>
      <c r="K283" s="229">
        <f t="shared" si="60"/>
        <v>121532.77100014233</v>
      </c>
      <c r="L283" s="229">
        <f t="shared" ref="L283:L321" si="62">+L$273*$D278</f>
        <v>97087.777368331313</v>
      </c>
      <c r="M283" s="229">
        <f t="shared" si="61"/>
        <v>134844.13523379349</v>
      </c>
      <c r="N283" s="229">
        <f t="shared" ref="N283:N321" si="63">+N$273*$D276</f>
        <v>76385.186867627519</v>
      </c>
      <c r="O283" s="229">
        <f t="shared" ref="O283:O321" si="64">+O$273*$D275</f>
        <v>34599.917838591311</v>
      </c>
      <c r="P283" s="229">
        <f t="shared" si="57"/>
        <v>679643.47777315881</v>
      </c>
    </row>
    <row r="284" spans="4:19" hidden="1" outlineLevel="1">
      <c r="D284" s="227">
        <v>1.5260138761026016E-2</v>
      </c>
      <c r="E284" s="227">
        <f t="shared" si="54"/>
        <v>2032</v>
      </c>
      <c r="G284" s="229">
        <f t="shared" si="55"/>
        <v>204.68424120164195</v>
      </c>
      <c r="H284" s="229">
        <f t="shared" si="56"/>
        <v>27722.186903582886</v>
      </c>
      <c r="I284" s="229">
        <f t="shared" si="58"/>
        <v>86206.281016966037</v>
      </c>
      <c r="J284" s="229">
        <f t="shared" si="59"/>
        <v>74164.274378586444</v>
      </c>
      <c r="K284" s="229">
        <f t="shared" si="60"/>
        <v>181454.31427799707</v>
      </c>
      <c r="L284" s="229">
        <f t="shared" si="62"/>
        <v>156256.41985732582</v>
      </c>
      <c r="M284" s="229">
        <f t="shared" si="61"/>
        <v>107875.3081870348</v>
      </c>
      <c r="N284" s="229">
        <f t="shared" si="63"/>
        <v>134844.13523379349</v>
      </c>
      <c r="O284" s="229">
        <f t="shared" si="64"/>
        <v>76385.186867627519</v>
      </c>
      <c r="P284" s="229">
        <f t="shared" si="57"/>
        <v>845112.79096411576</v>
      </c>
    </row>
    <row r="285" spans="4:19" hidden="1" outlineLevel="1">
      <c r="D285" s="227">
        <v>2.4560194021927644E-2</v>
      </c>
      <c r="E285" s="227">
        <f t="shared" si="54"/>
        <v>2033</v>
      </c>
      <c r="G285" s="229">
        <f t="shared" si="55"/>
        <v>329.42588241611548</v>
      </c>
      <c r="H285" s="229">
        <f t="shared" si="56"/>
        <v>11536.664903335668</v>
      </c>
      <c r="I285" s="229">
        <f t="shared" si="58"/>
        <v>128710.15348092053</v>
      </c>
      <c r="J285" s="229">
        <f t="shared" si="59"/>
        <v>119362.54294656836</v>
      </c>
      <c r="K285" s="229">
        <f t="shared" si="60"/>
        <v>94390.894663655461</v>
      </c>
      <c r="L285" s="229">
        <f t="shared" si="62"/>
        <v>233298.40407171045</v>
      </c>
      <c r="M285" s="229">
        <f t="shared" si="61"/>
        <v>173618.24428591758</v>
      </c>
      <c r="N285" s="229">
        <f t="shared" si="63"/>
        <v>107875.3081870348</v>
      </c>
      <c r="O285" s="229">
        <f t="shared" si="64"/>
        <v>134844.13523379349</v>
      </c>
      <c r="P285" s="229">
        <f t="shared" si="57"/>
        <v>1003965.7736553525</v>
      </c>
    </row>
    <row r="286" spans="4:19" hidden="1" outlineLevel="1">
      <c r="D286" s="227">
        <v>3.6669559396273657E-2</v>
      </c>
      <c r="E286" s="227">
        <f t="shared" si="54"/>
        <v>2034</v>
      </c>
      <c r="G286" s="229">
        <f t="shared" si="55"/>
        <v>491.84880018221855</v>
      </c>
      <c r="H286" s="229">
        <f t="shared" si="56"/>
        <v>18567.506680577299</v>
      </c>
      <c r="I286" s="229">
        <f t="shared" si="58"/>
        <v>53563.087051201313</v>
      </c>
      <c r="J286" s="229">
        <f t="shared" si="59"/>
        <v>178214.05866588998</v>
      </c>
      <c r="K286" s="229">
        <f t="shared" si="60"/>
        <v>151915.96375017788</v>
      </c>
      <c r="L286" s="229">
        <f t="shared" si="62"/>
        <v>121359.72171041415</v>
      </c>
      <c r="M286" s="229">
        <f t="shared" si="61"/>
        <v>259220.44896856722</v>
      </c>
      <c r="N286" s="229">
        <f t="shared" si="63"/>
        <v>173618.24428591758</v>
      </c>
      <c r="O286" s="229">
        <f t="shared" si="64"/>
        <v>107875.3081870348</v>
      </c>
      <c r="P286" s="229">
        <f t="shared" si="57"/>
        <v>1064826.1880999624</v>
      </c>
    </row>
    <row r="287" spans="4:19" hidden="1" outlineLevel="1">
      <c r="D287" s="227">
        <v>1.5260138761026016E-2</v>
      </c>
      <c r="E287" s="227">
        <f t="shared" si="54"/>
        <v>2035</v>
      </c>
      <c r="G287" s="229">
        <f t="shared" si="55"/>
        <v>204.68424120164195</v>
      </c>
      <c r="H287" s="229">
        <f t="shared" si="56"/>
        <v>27722.186903582886</v>
      </c>
      <c r="I287" s="229">
        <f t="shared" si="58"/>
        <v>86206.281016966037</v>
      </c>
      <c r="J287" s="229">
        <f t="shared" si="59"/>
        <v>74164.274378586444</v>
      </c>
      <c r="K287" s="229">
        <f t="shared" si="60"/>
        <v>226817.89284749632</v>
      </c>
      <c r="L287" s="229">
        <f t="shared" si="62"/>
        <v>195320.52482165725</v>
      </c>
      <c r="M287" s="229">
        <f t="shared" si="61"/>
        <v>134844.13523379349</v>
      </c>
      <c r="N287" s="229">
        <f t="shared" si="63"/>
        <v>259220.44896856722</v>
      </c>
      <c r="O287" s="229">
        <f t="shared" si="64"/>
        <v>173618.24428591758</v>
      </c>
      <c r="P287" s="229">
        <f t="shared" si="57"/>
        <v>1178118.6726977688</v>
      </c>
    </row>
    <row r="288" spans="4:19" hidden="1" outlineLevel="1">
      <c r="D288" s="227">
        <v>2.4560194021927644E-2</v>
      </c>
      <c r="E288" s="227">
        <f t="shared" si="54"/>
        <v>2036</v>
      </c>
      <c r="G288" s="229">
        <f t="shared" si="55"/>
        <v>329.42588241611548</v>
      </c>
      <c r="H288" s="229">
        <f t="shared" si="56"/>
        <v>11536.664903335668</v>
      </c>
      <c r="I288" s="229">
        <f t="shared" si="58"/>
        <v>128710.15348092053</v>
      </c>
      <c r="J288" s="229">
        <f t="shared" si="59"/>
        <v>119362.54294656836</v>
      </c>
      <c r="K288" s="229">
        <f t="shared" si="60"/>
        <v>94390.894663655461</v>
      </c>
      <c r="L288" s="229">
        <f t="shared" si="62"/>
        <v>291623.00508963806</v>
      </c>
      <c r="M288" s="229">
        <f t="shared" si="61"/>
        <v>217022.80535739695</v>
      </c>
      <c r="N288" s="229">
        <f t="shared" si="63"/>
        <v>134844.13523379349</v>
      </c>
      <c r="O288" s="229">
        <f t="shared" si="64"/>
        <v>259220.44896856722</v>
      </c>
      <c r="P288" s="229">
        <f t="shared" si="57"/>
        <v>1257040.0765262919</v>
      </c>
    </row>
    <row r="289" spans="4:16" hidden="1" outlineLevel="1">
      <c r="D289" s="227">
        <v>3.6669559396273657E-2</v>
      </c>
      <c r="E289" s="227">
        <f t="shared" si="54"/>
        <v>2037</v>
      </c>
      <c r="G289" s="229">
        <f t="shared" si="55"/>
        <v>491.84880018221855</v>
      </c>
      <c r="H289" s="229">
        <f t="shared" si="56"/>
        <v>18567.506680577299</v>
      </c>
      <c r="I289" s="229">
        <f t="shared" si="58"/>
        <v>53563.087051201313</v>
      </c>
      <c r="J289" s="229">
        <f t="shared" si="59"/>
        <v>178214.05866588998</v>
      </c>
      <c r="K289" s="229">
        <f t="shared" si="60"/>
        <v>151915.96375017788</v>
      </c>
      <c r="L289" s="229">
        <f t="shared" si="62"/>
        <v>121359.72171041415</v>
      </c>
      <c r="M289" s="229">
        <f t="shared" si="61"/>
        <v>324025.56121070898</v>
      </c>
      <c r="N289" s="229">
        <f t="shared" si="63"/>
        <v>217022.80535739695</v>
      </c>
      <c r="O289" s="229">
        <f t="shared" si="64"/>
        <v>134844.13523379349</v>
      </c>
      <c r="P289" s="229">
        <f t="shared" si="57"/>
        <v>1200004.6884603421</v>
      </c>
    </row>
    <row r="290" spans="4:16" hidden="1" outlineLevel="1">
      <c r="D290" s="227">
        <v>1.5260138761026016E-2</v>
      </c>
      <c r="E290" s="227">
        <f t="shared" si="54"/>
        <v>2038</v>
      </c>
      <c r="G290" s="229">
        <f t="shared" si="55"/>
        <v>204.68424120164195</v>
      </c>
      <c r="H290" s="229">
        <f t="shared" si="56"/>
        <v>27722.186903582886</v>
      </c>
      <c r="I290" s="229">
        <f t="shared" si="58"/>
        <v>86206.281016966037</v>
      </c>
      <c r="J290" s="229">
        <f t="shared" si="59"/>
        <v>74164.274378586444</v>
      </c>
      <c r="K290" s="229">
        <f t="shared" si="60"/>
        <v>226817.89284749632</v>
      </c>
      <c r="L290" s="229">
        <f t="shared" si="62"/>
        <v>195320.52482165725</v>
      </c>
      <c r="M290" s="229">
        <f t="shared" si="61"/>
        <v>134844.13523379349</v>
      </c>
      <c r="N290" s="229">
        <f t="shared" si="63"/>
        <v>324025.56121070898</v>
      </c>
      <c r="O290" s="229">
        <f t="shared" si="64"/>
        <v>217022.80535739695</v>
      </c>
      <c r="P290" s="229">
        <f t="shared" si="57"/>
        <v>1286328.34601139</v>
      </c>
    </row>
    <row r="291" spans="4:16" hidden="1" outlineLevel="1">
      <c r="D291" s="227">
        <v>2.4560194021927644E-2</v>
      </c>
      <c r="E291" s="227">
        <f t="shared" si="54"/>
        <v>2039</v>
      </c>
      <c r="G291" s="229">
        <f t="shared" si="55"/>
        <v>329.42588241611548</v>
      </c>
      <c r="H291" s="229">
        <f t="shared" si="56"/>
        <v>11536.664903335668</v>
      </c>
      <c r="I291" s="229">
        <f t="shared" si="58"/>
        <v>128710.15348092053</v>
      </c>
      <c r="J291" s="229">
        <f t="shared" si="59"/>
        <v>119362.54294656836</v>
      </c>
      <c r="K291" s="229">
        <f t="shared" si="60"/>
        <v>94390.894663655461</v>
      </c>
      <c r="L291" s="229">
        <f t="shared" si="62"/>
        <v>291623.00508963806</v>
      </c>
      <c r="M291" s="229">
        <f t="shared" si="61"/>
        <v>217022.80535739695</v>
      </c>
      <c r="N291" s="229">
        <f t="shared" si="63"/>
        <v>134844.13523379349</v>
      </c>
      <c r="O291" s="229">
        <f t="shared" si="64"/>
        <v>324025.56121070898</v>
      </c>
      <c r="P291" s="229">
        <f t="shared" si="57"/>
        <v>1321845.1887684336</v>
      </c>
    </row>
    <row r="292" spans="4:16" hidden="1" outlineLevel="1">
      <c r="D292" s="227">
        <v>3.6669559396273657E-2</v>
      </c>
      <c r="E292" s="227">
        <f t="shared" si="54"/>
        <v>2040</v>
      </c>
      <c r="G292" s="229">
        <f t="shared" si="55"/>
        <v>491.84880018221855</v>
      </c>
      <c r="H292" s="229">
        <f t="shared" si="56"/>
        <v>18567.506680577299</v>
      </c>
      <c r="I292" s="229">
        <f t="shared" si="58"/>
        <v>53563.087051201313</v>
      </c>
      <c r="J292" s="229">
        <f t="shared" si="59"/>
        <v>178214.05866588998</v>
      </c>
      <c r="K292" s="229">
        <f t="shared" si="60"/>
        <v>151915.96375017788</v>
      </c>
      <c r="L292" s="229">
        <f t="shared" si="62"/>
        <v>121359.72171041415</v>
      </c>
      <c r="M292" s="229">
        <f t="shared" si="61"/>
        <v>324025.56121070898</v>
      </c>
      <c r="N292" s="229">
        <f t="shared" si="63"/>
        <v>217022.80535739695</v>
      </c>
      <c r="O292" s="229">
        <f t="shared" si="64"/>
        <v>134844.13523379349</v>
      </c>
      <c r="P292" s="229">
        <f t="shared" si="57"/>
        <v>1200004.6884603421</v>
      </c>
    </row>
    <row r="293" spans="4:16" hidden="1" outlineLevel="1">
      <c r="D293" s="227">
        <v>1.5260138761026016E-2</v>
      </c>
      <c r="E293" s="227">
        <f t="shared" si="54"/>
        <v>2041</v>
      </c>
      <c r="G293" s="229">
        <f t="shared" si="55"/>
        <v>204.68424120164195</v>
      </c>
      <c r="H293" s="229">
        <f t="shared" si="56"/>
        <v>27722.186903582886</v>
      </c>
      <c r="I293" s="229">
        <f t="shared" si="58"/>
        <v>86206.281016966037</v>
      </c>
      <c r="J293" s="229">
        <f t="shared" si="59"/>
        <v>74164.274378586444</v>
      </c>
      <c r="K293" s="229">
        <f t="shared" si="60"/>
        <v>226817.89284749632</v>
      </c>
      <c r="L293" s="229">
        <f t="shared" si="62"/>
        <v>195320.52482165725</v>
      </c>
      <c r="M293" s="229">
        <f t="shared" si="61"/>
        <v>134844.13523379349</v>
      </c>
      <c r="N293" s="229">
        <f t="shared" si="63"/>
        <v>324025.56121070898</v>
      </c>
      <c r="O293" s="229">
        <f t="shared" si="64"/>
        <v>217022.80535739695</v>
      </c>
      <c r="P293" s="229">
        <f t="shared" si="57"/>
        <v>1286328.34601139</v>
      </c>
    </row>
    <row r="294" spans="4:16" hidden="1" outlineLevel="1">
      <c r="D294" s="227">
        <v>6.7540053225408081E-4</v>
      </c>
      <c r="E294" s="227">
        <f t="shared" si="54"/>
        <v>2042</v>
      </c>
      <c r="G294" s="229">
        <f t="shared" si="55"/>
        <v>9.0591473391239852</v>
      </c>
      <c r="H294" s="229">
        <f t="shared" si="56"/>
        <v>11536.664903335668</v>
      </c>
      <c r="I294" s="229">
        <f t="shared" si="58"/>
        <v>128710.15348092053</v>
      </c>
      <c r="J294" s="229">
        <f t="shared" si="59"/>
        <v>119362.54294656836</v>
      </c>
      <c r="K294" s="229">
        <f t="shared" si="60"/>
        <v>94390.894663655461</v>
      </c>
      <c r="L294" s="229">
        <f t="shared" si="62"/>
        <v>291623.00508963806</v>
      </c>
      <c r="M294" s="229">
        <f t="shared" si="61"/>
        <v>217022.80535739695</v>
      </c>
      <c r="N294" s="229">
        <f t="shared" si="63"/>
        <v>134844.13523379349</v>
      </c>
      <c r="O294" s="229">
        <f t="shared" si="64"/>
        <v>324025.56121070898</v>
      </c>
      <c r="P294" s="229">
        <f t="shared" si="57"/>
        <v>1321524.8220333566</v>
      </c>
    </row>
    <row r="295" spans="4:16" hidden="1" outlineLevel="1">
      <c r="D295" s="227">
        <v>3.9156285619804986E-3</v>
      </c>
      <c r="E295" s="227">
        <f t="shared" si="54"/>
        <v>2043</v>
      </c>
      <c r="G295" s="229">
        <f t="shared" si="55"/>
        <v>52.52032590184443</v>
      </c>
      <c r="H295" s="229">
        <f t="shared" si="56"/>
        <v>510.60280238408507</v>
      </c>
      <c r="I295" s="229">
        <f t="shared" si="58"/>
        <v>53563.087051201313</v>
      </c>
      <c r="J295" s="229">
        <f t="shared" si="59"/>
        <v>178214.05866588998</v>
      </c>
      <c r="K295" s="229">
        <f t="shared" si="60"/>
        <v>151915.96375017788</v>
      </c>
      <c r="L295" s="229">
        <f t="shared" si="62"/>
        <v>121359.72171041415</v>
      </c>
      <c r="M295" s="229">
        <f t="shared" si="61"/>
        <v>324025.56121070898</v>
      </c>
      <c r="N295" s="229">
        <f t="shared" si="63"/>
        <v>217022.80535739695</v>
      </c>
      <c r="O295" s="229">
        <f t="shared" si="64"/>
        <v>134844.13523379349</v>
      </c>
      <c r="P295" s="229">
        <f t="shared" si="57"/>
        <v>1181508.4561078688</v>
      </c>
    </row>
    <row r="296" spans="4:16" hidden="1" outlineLevel="1">
      <c r="D296" s="227">
        <v>8.644414151686243E-3</v>
      </c>
      <c r="E296" s="227">
        <f t="shared" si="54"/>
        <v>2044</v>
      </c>
      <c r="G296" s="229">
        <f t="shared" si="55"/>
        <v>115.94752701656758</v>
      </c>
      <c r="H296" s="229">
        <f t="shared" si="56"/>
        <v>2960.2151928572571</v>
      </c>
      <c r="I296" s="229">
        <f t="shared" si="58"/>
        <v>2370.6558682118234</v>
      </c>
      <c r="J296" s="229">
        <f t="shared" si="59"/>
        <v>74164.274378586444</v>
      </c>
      <c r="K296" s="229">
        <f t="shared" si="60"/>
        <v>226817.89284749632</v>
      </c>
      <c r="L296" s="229">
        <f t="shared" si="62"/>
        <v>195320.52482165725</v>
      </c>
      <c r="M296" s="229">
        <f t="shared" si="61"/>
        <v>134844.13523379349</v>
      </c>
      <c r="N296" s="229">
        <f t="shared" si="63"/>
        <v>324025.56121070898</v>
      </c>
      <c r="O296" s="229">
        <f t="shared" si="64"/>
        <v>217022.80535739695</v>
      </c>
      <c r="P296" s="229">
        <f t="shared" si="57"/>
        <v>1177642.012437725</v>
      </c>
    </row>
    <row r="297" spans="4:16" hidden="1" outlineLevel="1">
      <c r="D297" s="227">
        <v>1.5260138761026016E-2</v>
      </c>
      <c r="E297" s="227">
        <f t="shared" si="54"/>
        <v>2045</v>
      </c>
      <c r="G297" s="229">
        <f t="shared" si="55"/>
        <v>204.68424120164195</v>
      </c>
      <c r="H297" s="229">
        <f t="shared" si="56"/>
        <v>6535.1770986747997</v>
      </c>
      <c r="I297" s="229">
        <f t="shared" si="58"/>
        <v>13743.85625255155</v>
      </c>
      <c r="J297" s="229">
        <f t="shared" si="59"/>
        <v>3282.4465867548329</v>
      </c>
      <c r="K297" s="229">
        <f t="shared" si="60"/>
        <v>94390.894663655461</v>
      </c>
      <c r="L297" s="229">
        <f t="shared" si="62"/>
        <v>291623.00508963806</v>
      </c>
      <c r="M297" s="229">
        <f t="shared" si="61"/>
        <v>217022.80535739695</v>
      </c>
      <c r="N297" s="229">
        <f t="shared" si="63"/>
        <v>134844.13523379349</v>
      </c>
      <c r="O297" s="229">
        <f t="shared" si="64"/>
        <v>324025.56121070898</v>
      </c>
      <c r="P297" s="229">
        <f t="shared" si="57"/>
        <v>1085672.5657343757</v>
      </c>
    </row>
    <row r="298" spans="4:16" hidden="1" outlineLevel="1">
      <c r="D298" s="227">
        <v>1.2208111008820813E-2</v>
      </c>
      <c r="E298" s="227">
        <f t="shared" si="54"/>
        <v>2046</v>
      </c>
      <c r="G298" s="229">
        <f t="shared" si="55"/>
        <v>163.74739296131355</v>
      </c>
      <c r="H298" s="229">
        <f t="shared" si="56"/>
        <v>11536.664903335668</v>
      </c>
      <c r="I298" s="229">
        <f t="shared" si="58"/>
        <v>30341.893672418712</v>
      </c>
      <c r="J298" s="229">
        <f t="shared" si="59"/>
        <v>19029.954811225223</v>
      </c>
      <c r="K298" s="229">
        <f t="shared" si="60"/>
        <v>4177.659292233423</v>
      </c>
      <c r="L298" s="229">
        <f t="shared" si="62"/>
        <v>121359.72171041415</v>
      </c>
      <c r="M298" s="229">
        <f t="shared" si="61"/>
        <v>324025.56121070898</v>
      </c>
      <c r="N298" s="229">
        <f t="shared" si="63"/>
        <v>217022.80535739695</v>
      </c>
      <c r="O298" s="229">
        <f t="shared" si="64"/>
        <v>134844.13523379349</v>
      </c>
      <c r="P298" s="229">
        <f t="shared" si="57"/>
        <v>862502.14358448796</v>
      </c>
    </row>
    <row r="299" spans="4:16" hidden="1" outlineLevel="1">
      <c r="D299" s="227">
        <v>1.9648155217542117E-2</v>
      </c>
      <c r="E299" s="227">
        <f t="shared" si="54"/>
        <v>2047</v>
      </c>
      <c r="G299" s="229">
        <f t="shared" si="55"/>
        <v>263.54070593289242</v>
      </c>
      <c r="H299" s="229">
        <f t="shared" si="56"/>
        <v>9229.3319226685344</v>
      </c>
      <c r="I299" s="229">
        <f t="shared" si="58"/>
        <v>53563.087051201313</v>
      </c>
      <c r="J299" s="229">
        <f t="shared" si="59"/>
        <v>42011.852777195141</v>
      </c>
      <c r="K299" s="229">
        <f t="shared" si="60"/>
        <v>24219.942487013919</v>
      </c>
      <c r="L299" s="229">
        <f t="shared" si="62"/>
        <v>5371.2762328715435</v>
      </c>
      <c r="M299" s="229">
        <f t="shared" si="61"/>
        <v>134844.13523379349</v>
      </c>
      <c r="N299" s="229">
        <f t="shared" si="63"/>
        <v>324025.56121070898</v>
      </c>
      <c r="O299" s="229">
        <f t="shared" si="64"/>
        <v>217022.80535739695</v>
      </c>
      <c r="P299" s="229">
        <f t="shared" si="57"/>
        <v>810551.53297878278</v>
      </c>
    </row>
    <row r="300" spans="4:16" hidden="1" outlineLevel="1">
      <c r="D300" s="227">
        <v>2.9335647517018927E-2</v>
      </c>
      <c r="E300" s="227">
        <f t="shared" si="54"/>
        <v>2048</v>
      </c>
      <c r="G300" s="229">
        <f t="shared" si="55"/>
        <v>393.47904014577489</v>
      </c>
      <c r="H300" s="229">
        <f t="shared" si="56"/>
        <v>14854.005344461841</v>
      </c>
      <c r="I300" s="229">
        <f t="shared" si="58"/>
        <v>42850.469640961055</v>
      </c>
      <c r="J300" s="229">
        <f t="shared" si="59"/>
        <v>74164.274378586444</v>
      </c>
      <c r="K300" s="229">
        <f t="shared" si="60"/>
        <v>53469.630807339265</v>
      </c>
      <c r="L300" s="229">
        <f t="shared" si="62"/>
        <v>31139.926054732176</v>
      </c>
      <c r="M300" s="229">
        <f t="shared" si="61"/>
        <v>5968.0847031906042</v>
      </c>
      <c r="N300" s="229">
        <f t="shared" si="63"/>
        <v>134844.13523379349</v>
      </c>
      <c r="O300" s="229">
        <f t="shared" si="64"/>
        <v>324025.56121070898</v>
      </c>
      <c r="P300" s="229">
        <f t="shared" si="57"/>
        <v>681709.56641391967</v>
      </c>
    </row>
    <row r="301" spans="4:16" hidden="1" outlineLevel="1">
      <c r="D301" s="227">
        <v>1.5260138761026016E-2</v>
      </c>
      <c r="E301" s="227">
        <f t="shared" si="54"/>
        <v>2049</v>
      </c>
      <c r="G301" s="229">
        <f t="shared" si="55"/>
        <v>204.68424120164195</v>
      </c>
      <c r="H301" s="229">
        <f t="shared" si="56"/>
        <v>22177.74952286631</v>
      </c>
      <c r="I301" s="229">
        <f t="shared" si="58"/>
        <v>68965.024813572832</v>
      </c>
      <c r="J301" s="229">
        <f t="shared" si="59"/>
        <v>59331.419502869154</v>
      </c>
      <c r="K301" s="229">
        <f t="shared" si="60"/>
        <v>94390.894663655461</v>
      </c>
      <c r="L301" s="229">
        <f t="shared" si="62"/>
        <v>68746.668180864755</v>
      </c>
      <c r="M301" s="229">
        <f t="shared" si="61"/>
        <v>34599.917838591311</v>
      </c>
      <c r="N301" s="229">
        <f t="shared" si="63"/>
        <v>5968.0847031906042</v>
      </c>
      <c r="O301" s="229">
        <f t="shared" si="64"/>
        <v>134844.13523379349</v>
      </c>
      <c r="P301" s="229">
        <f t="shared" si="57"/>
        <v>489228.57870060555</v>
      </c>
    </row>
    <row r="302" spans="4:16" hidden="1" outlineLevel="1">
      <c r="D302" s="227">
        <v>2.4560194021927644E-2</v>
      </c>
      <c r="E302" s="227">
        <f t="shared" si="54"/>
        <v>2050</v>
      </c>
      <c r="G302" s="229">
        <f t="shared" si="55"/>
        <v>329.42588241611548</v>
      </c>
      <c r="H302" s="229">
        <f t="shared" si="56"/>
        <v>11536.664903335668</v>
      </c>
      <c r="I302" s="229">
        <f t="shared" si="58"/>
        <v>102968.12278473644</v>
      </c>
      <c r="J302" s="229">
        <f t="shared" si="59"/>
        <v>95490.034357254684</v>
      </c>
      <c r="K302" s="229">
        <f t="shared" si="60"/>
        <v>75512.715730924363</v>
      </c>
      <c r="L302" s="229">
        <f t="shared" si="62"/>
        <v>121359.72171041415</v>
      </c>
      <c r="M302" s="229">
        <f t="shared" si="61"/>
        <v>76385.186867627519</v>
      </c>
      <c r="N302" s="229">
        <f t="shared" si="63"/>
        <v>34599.917838591311</v>
      </c>
      <c r="O302" s="229">
        <f t="shared" si="64"/>
        <v>5968.0847031906042</v>
      </c>
      <c r="P302" s="229">
        <f t="shared" si="57"/>
        <v>524149.87477849092</v>
      </c>
    </row>
    <row r="303" spans="4:16" hidden="1" outlineLevel="1">
      <c r="D303" s="227">
        <v>3.6669559396273657E-2</v>
      </c>
      <c r="E303" s="227">
        <f t="shared" si="54"/>
        <v>2051</v>
      </c>
      <c r="G303" s="229">
        <f t="shared" si="55"/>
        <v>491.84880018221855</v>
      </c>
      <c r="H303" s="229">
        <f t="shared" si="56"/>
        <v>18567.506680577299</v>
      </c>
      <c r="I303" s="229">
        <f t="shared" si="58"/>
        <v>53563.087051201313</v>
      </c>
      <c r="J303" s="229">
        <f t="shared" si="59"/>
        <v>142571.24693271198</v>
      </c>
      <c r="K303" s="229">
        <f t="shared" si="60"/>
        <v>121532.77100014233</v>
      </c>
      <c r="L303" s="229">
        <f t="shared" si="62"/>
        <v>97087.777368331313</v>
      </c>
      <c r="M303" s="229">
        <f t="shared" si="61"/>
        <v>134844.13523379349</v>
      </c>
      <c r="N303" s="229">
        <f t="shared" si="63"/>
        <v>76385.186867627519</v>
      </c>
      <c r="O303" s="229">
        <f t="shared" si="64"/>
        <v>34599.917838591311</v>
      </c>
      <c r="P303" s="229">
        <f t="shared" si="57"/>
        <v>679643.47777315881</v>
      </c>
    </row>
    <row r="304" spans="4:16" hidden="1" outlineLevel="1">
      <c r="D304" s="227">
        <v>1.5260138761026016E-2</v>
      </c>
      <c r="E304" s="227">
        <f t="shared" si="54"/>
        <v>2052</v>
      </c>
      <c r="G304" s="229">
        <f t="shared" si="55"/>
        <v>204.68424120164195</v>
      </c>
      <c r="H304" s="229">
        <f t="shared" si="56"/>
        <v>27722.186903582886</v>
      </c>
      <c r="I304" s="229">
        <f t="shared" si="58"/>
        <v>86206.281016966037</v>
      </c>
      <c r="J304" s="229">
        <f t="shared" si="59"/>
        <v>74164.274378586444</v>
      </c>
      <c r="K304" s="229">
        <f t="shared" si="60"/>
        <v>181454.31427799707</v>
      </c>
      <c r="L304" s="229">
        <f t="shared" si="62"/>
        <v>156256.41985732582</v>
      </c>
      <c r="M304" s="229">
        <f t="shared" si="61"/>
        <v>107875.3081870348</v>
      </c>
      <c r="N304" s="229">
        <f t="shared" si="63"/>
        <v>134844.13523379349</v>
      </c>
      <c r="O304" s="229">
        <f t="shared" si="64"/>
        <v>76385.186867627519</v>
      </c>
      <c r="P304" s="229">
        <f t="shared" si="57"/>
        <v>845112.79096411576</v>
      </c>
    </row>
    <row r="305" spans="4:16" hidden="1" outlineLevel="1">
      <c r="D305" s="227">
        <v>2.4560194021927644E-2</v>
      </c>
      <c r="E305" s="227">
        <f t="shared" si="54"/>
        <v>2053</v>
      </c>
      <c r="G305" s="229">
        <f t="shared" si="55"/>
        <v>329.42588241611548</v>
      </c>
      <c r="H305" s="229">
        <f t="shared" si="56"/>
        <v>11536.664903335668</v>
      </c>
      <c r="I305" s="229">
        <f t="shared" si="58"/>
        <v>128710.15348092053</v>
      </c>
      <c r="J305" s="229">
        <f t="shared" si="59"/>
        <v>119362.54294656836</v>
      </c>
      <c r="K305" s="229">
        <f t="shared" si="60"/>
        <v>94390.894663655461</v>
      </c>
      <c r="L305" s="229">
        <f t="shared" si="62"/>
        <v>233298.40407171045</v>
      </c>
      <c r="M305" s="229">
        <f t="shared" si="61"/>
        <v>173618.24428591758</v>
      </c>
      <c r="N305" s="229">
        <f t="shared" si="63"/>
        <v>107875.3081870348</v>
      </c>
      <c r="O305" s="229">
        <f t="shared" si="64"/>
        <v>134844.13523379349</v>
      </c>
      <c r="P305" s="229">
        <f t="shared" si="57"/>
        <v>1003965.7736553525</v>
      </c>
    </row>
    <row r="306" spans="4:16" hidden="1" outlineLevel="1">
      <c r="D306" s="227">
        <v>3.6669559396273657E-2</v>
      </c>
      <c r="E306" s="227">
        <f t="shared" si="54"/>
        <v>2054</v>
      </c>
      <c r="G306" s="229">
        <f t="shared" si="55"/>
        <v>491.84880018221855</v>
      </c>
      <c r="H306" s="229">
        <f t="shared" si="56"/>
        <v>18567.506680577299</v>
      </c>
      <c r="I306" s="229">
        <f t="shared" si="58"/>
        <v>53563.087051201313</v>
      </c>
      <c r="J306" s="229">
        <f t="shared" si="59"/>
        <v>178214.05866588998</v>
      </c>
      <c r="K306" s="229">
        <f t="shared" si="60"/>
        <v>151915.96375017788</v>
      </c>
      <c r="L306" s="229">
        <f t="shared" si="62"/>
        <v>121359.72171041415</v>
      </c>
      <c r="M306" s="229">
        <f t="shared" si="61"/>
        <v>259220.44896856722</v>
      </c>
      <c r="N306" s="229">
        <f t="shared" si="63"/>
        <v>173618.24428591758</v>
      </c>
      <c r="O306" s="229">
        <f t="shared" si="64"/>
        <v>107875.3081870348</v>
      </c>
      <c r="P306" s="229">
        <f t="shared" si="57"/>
        <v>1064826.1880999624</v>
      </c>
    </row>
    <row r="307" spans="4:16" hidden="1" outlineLevel="1">
      <c r="D307" s="227">
        <v>1.5260138761026016E-2</v>
      </c>
      <c r="E307" s="227">
        <f t="shared" si="54"/>
        <v>2055</v>
      </c>
      <c r="G307" s="229">
        <f t="shared" si="55"/>
        <v>204.68424120164195</v>
      </c>
      <c r="H307" s="229">
        <f t="shared" si="56"/>
        <v>27722.186903582886</v>
      </c>
      <c r="I307" s="229">
        <f t="shared" si="58"/>
        <v>86206.281016966037</v>
      </c>
      <c r="J307" s="229">
        <f t="shared" si="59"/>
        <v>74164.274378586444</v>
      </c>
      <c r="K307" s="229">
        <f t="shared" si="60"/>
        <v>226817.89284749632</v>
      </c>
      <c r="L307" s="229">
        <f t="shared" si="62"/>
        <v>195320.52482165725</v>
      </c>
      <c r="M307" s="229">
        <f t="shared" si="61"/>
        <v>134844.13523379349</v>
      </c>
      <c r="N307" s="229">
        <f t="shared" si="63"/>
        <v>259220.44896856722</v>
      </c>
      <c r="O307" s="229">
        <f t="shared" si="64"/>
        <v>173618.24428591758</v>
      </c>
      <c r="P307" s="229">
        <f t="shared" si="57"/>
        <v>1178118.6726977688</v>
      </c>
    </row>
    <row r="308" spans="4:16" hidden="1" outlineLevel="1">
      <c r="D308" s="227">
        <v>2.4560194021927644E-2</v>
      </c>
      <c r="E308" s="227">
        <f t="shared" si="54"/>
        <v>2056</v>
      </c>
      <c r="G308" s="229">
        <f t="shared" si="55"/>
        <v>329.42588241611548</v>
      </c>
      <c r="H308" s="229">
        <f t="shared" si="56"/>
        <v>11536.664903335668</v>
      </c>
      <c r="I308" s="229">
        <f t="shared" si="58"/>
        <v>128710.15348092053</v>
      </c>
      <c r="J308" s="229">
        <f t="shared" si="59"/>
        <v>119362.54294656836</v>
      </c>
      <c r="K308" s="229">
        <f t="shared" si="60"/>
        <v>94390.894663655461</v>
      </c>
      <c r="L308" s="229">
        <f t="shared" si="62"/>
        <v>291623.00508963806</v>
      </c>
      <c r="M308" s="229">
        <f t="shared" si="61"/>
        <v>217022.80535739695</v>
      </c>
      <c r="N308" s="229">
        <f t="shared" si="63"/>
        <v>134844.13523379349</v>
      </c>
      <c r="O308" s="229">
        <f t="shared" si="64"/>
        <v>259220.44896856722</v>
      </c>
      <c r="P308" s="229">
        <f t="shared" si="57"/>
        <v>1257040.0765262919</v>
      </c>
    </row>
    <row r="309" spans="4:16" hidden="1" outlineLevel="1">
      <c r="D309" s="227">
        <v>3.6669559396273657E-2</v>
      </c>
      <c r="E309" s="227">
        <f t="shared" si="54"/>
        <v>2057</v>
      </c>
      <c r="G309" s="229">
        <f t="shared" si="55"/>
        <v>491.84880018221855</v>
      </c>
      <c r="H309" s="229">
        <f t="shared" si="56"/>
        <v>18567.506680577299</v>
      </c>
      <c r="I309" s="229">
        <f t="shared" si="58"/>
        <v>53563.087051201313</v>
      </c>
      <c r="J309" s="229">
        <f t="shared" si="59"/>
        <v>178214.05866588998</v>
      </c>
      <c r="K309" s="229">
        <f t="shared" si="60"/>
        <v>151915.96375017788</v>
      </c>
      <c r="L309" s="229">
        <f t="shared" si="62"/>
        <v>121359.72171041415</v>
      </c>
      <c r="M309" s="229">
        <f t="shared" si="61"/>
        <v>324025.56121070898</v>
      </c>
      <c r="N309" s="229">
        <f t="shared" si="63"/>
        <v>217022.80535739695</v>
      </c>
      <c r="O309" s="229">
        <f t="shared" si="64"/>
        <v>134844.13523379349</v>
      </c>
      <c r="P309" s="229">
        <f t="shared" si="57"/>
        <v>1200004.6884603421</v>
      </c>
    </row>
    <row r="310" spans="4:16" hidden="1" outlineLevel="1">
      <c r="D310" s="227">
        <v>1.5260138761026016E-2</v>
      </c>
      <c r="E310" s="227">
        <f t="shared" si="54"/>
        <v>2058</v>
      </c>
      <c r="G310" s="229">
        <f t="shared" si="55"/>
        <v>204.68424120164195</v>
      </c>
      <c r="H310" s="229">
        <f t="shared" si="56"/>
        <v>27722.186903582886</v>
      </c>
      <c r="I310" s="229">
        <f t="shared" si="58"/>
        <v>86206.281016966037</v>
      </c>
      <c r="J310" s="229">
        <f t="shared" si="59"/>
        <v>74164.274378586444</v>
      </c>
      <c r="K310" s="229">
        <f t="shared" si="60"/>
        <v>226817.89284749632</v>
      </c>
      <c r="L310" s="229">
        <f t="shared" si="62"/>
        <v>195320.52482165725</v>
      </c>
      <c r="M310" s="229">
        <f t="shared" si="61"/>
        <v>134844.13523379349</v>
      </c>
      <c r="N310" s="229">
        <f t="shared" si="63"/>
        <v>324025.56121070898</v>
      </c>
      <c r="O310" s="229">
        <f t="shared" si="64"/>
        <v>217022.80535739695</v>
      </c>
      <c r="P310" s="229">
        <f t="shared" si="57"/>
        <v>1286328.34601139</v>
      </c>
    </row>
    <row r="311" spans="4:16" hidden="1" outlineLevel="1">
      <c r="D311" s="227">
        <v>2.4560194021927644E-2</v>
      </c>
      <c r="E311" s="227">
        <f t="shared" si="54"/>
        <v>2059</v>
      </c>
      <c r="G311" s="229">
        <f t="shared" si="55"/>
        <v>329.42588241611548</v>
      </c>
      <c r="H311" s="229">
        <f t="shared" si="56"/>
        <v>11536.664903335668</v>
      </c>
      <c r="I311" s="229">
        <f t="shared" si="58"/>
        <v>128710.15348092053</v>
      </c>
      <c r="J311" s="229">
        <f t="shared" si="59"/>
        <v>119362.54294656836</v>
      </c>
      <c r="K311" s="229">
        <f t="shared" si="60"/>
        <v>94390.894663655461</v>
      </c>
      <c r="L311" s="229">
        <f t="shared" si="62"/>
        <v>291623.00508963806</v>
      </c>
      <c r="M311" s="229">
        <f t="shared" si="61"/>
        <v>217022.80535739695</v>
      </c>
      <c r="N311" s="229">
        <f t="shared" si="63"/>
        <v>134844.13523379349</v>
      </c>
      <c r="O311" s="229">
        <f t="shared" si="64"/>
        <v>324025.56121070898</v>
      </c>
      <c r="P311" s="229">
        <f t="shared" si="57"/>
        <v>1321845.1887684336</v>
      </c>
    </row>
    <row r="312" spans="4:16" hidden="1" outlineLevel="1">
      <c r="D312" s="227">
        <v>3.6669559396273657E-2</v>
      </c>
      <c r="E312" s="227">
        <f t="shared" si="54"/>
        <v>2060</v>
      </c>
      <c r="G312" s="229">
        <f t="shared" si="55"/>
        <v>491.84880018221855</v>
      </c>
      <c r="H312" s="229">
        <f t="shared" si="56"/>
        <v>18567.506680577299</v>
      </c>
      <c r="I312" s="229">
        <f t="shared" si="58"/>
        <v>53563.087051201313</v>
      </c>
      <c r="J312" s="229">
        <f t="shared" si="59"/>
        <v>178214.05866588998</v>
      </c>
      <c r="K312" s="229">
        <f t="shared" si="60"/>
        <v>151915.96375017788</v>
      </c>
      <c r="L312" s="229">
        <f t="shared" si="62"/>
        <v>121359.72171041415</v>
      </c>
      <c r="M312" s="229">
        <f t="shared" si="61"/>
        <v>324025.56121070898</v>
      </c>
      <c r="N312" s="229">
        <f t="shared" si="63"/>
        <v>217022.80535739695</v>
      </c>
      <c r="O312" s="229">
        <f t="shared" si="64"/>
        <v>134844.13523379349</v>
      </c>
      <c r="P312" s="229">
        <f t="shared" si="57"/>
        <v>1200004.6884603421</v>
      </c>
    </row>
    <row r="313" spans="4:16" hidden="1" outlineLevel="1">
      <c r="D313" s="227">
        <v>1.5260138761026016E-2</v>
      </c>
      <c r="E313" s="227">
        <f t="shared" si="54"/>
        <v>2061</v>
      </c>
      <c r="G313" s="229">
        <f t="shared" si="55"/>
        <v>204.68424120164195</v>
      </c>
      <c r="H313" s="229">
        <f t="shared" si="56"/>
        <v>27722.186903582886</v>
      </c>
      <c r="I313" s="229">
        <f t="shared" si="58"/>
        <v>86206.281016966037</v>
      </c>
      <c r="J313" s="229">
        <f t="shared" si="59"/>
        <v>74164.274378586444</v>
      </c>
      <c r="K313" s="229">
        <f t="shared" si="60"/>
        <v>226817.89284749632</v>
      </c>
      <c r="L313" s="229">
        <f t="shared" si="62"/>
        <v>195320.52482165725</v>
      </c>
      <c r="M313" s="229">
        <f t="shared" si="61"/>
        <v>134844.13523379349</v>
      </c>
      <c r="N313" s="229">
        <f t="shared" si="63"/>
        <v>324025.56121070898</v>
      </c>
      <c r="O313" s="229">
        <f t="shared" si="64"/>
        <v>217022.80535739695</v>
      </c>
      <c r="P313" s="229">
        <f t="shared" si="57"/>
        <v>1286328.34601139</v>
      </c>
    </row>
    <row r="314" spans="4:16" hidden="1" outlineLevel="1">
      <c r="E314" s="227">
        <f t="shared" si="54"/>
        <v>2062</v>
      </c>
      <c r="G314" s="229">
        <f t="shared" si="55"/>
        <v>0</v>
      </c>
      <c r="H314" s="229">
        <f t="shared" si="56"/>
        <v>11536.664903335668</v>
      </c>
      <c r="I314" s="229">
        <f t="shared" si="58"/>
        <v>128710.15348092053</v>
      </c>
      <c r="J314" s="229">
        <f t="shared" si="59"/>
        <v>119362.54294656836</v>
      </c>
      <c r="K314" s="229">
        <f t="shared" si="60"/>
        <v>94390.894663655461</v>
      </c>
      <c r="L314" s="229">
        <f t="shared" si="62"/>
        <v>291623.00508963806</v>
      </c>
      <c r="M314" s="229">
        <f t="shared" si="61"/>
        <v>217022.80535739695</v>
      </c>
      <c r="N314" s="229">
        <f t="shared" si="63"/>
        <v>134844.13523379349</v>
      </c>
      <c r="O314" s="229">
        <f t="shared" si="64"/>
        <v>324025.56121070898</v>
      </c>
      <c r="P314" s="229">
        <f t="shared" si="57"/>
        <v>1321515.7628860176</v>
      </c>
    </row>
    <row r="315" spans="4:16" hidden="1" outlineLevel="1">
      <c r="E315" s="227">
        <f t="shared" si="54"/>
        <v>2063</v>
      </c>
      <c r="G315" s="229">
        <f t="shared" si="55"/>
        <v>0</v>
      </c>
      <c r="H315" s="229">
        <f t="shared" si="56"/>
        <v>0</v>
      </c>
      <c r="I315" s="229">
        <f t="shared" si="58"/>
        <v>53563.087051201313</v>
      </c>
      <c r="J315" s="229">
        <f t="shared" si="59"/>
        <v>178214.05866588998</v>
      </c>
      <c r="K315" s="229">
        <f t="shared" si="60"/>
        <v>151915.96375017788</v>
      </c>
      <c r="L315" s="229">
        <f t="shared" si="62"/>
        <v>121359.72171041415</v>
      </c>
      <c r="M315" s="229">
        <f t="shared" si="61"/>
        <v>324025.56121070898</v>
      </c>
      <c r="N315" s="229">
        <f t="shared" si="63"/>
        <v>217022.80535739695</v>
      </c>
      <c r="O315" s="229">
        <f t="shared" si="64"/>
        <v>134844.13523379349</v>
      </c>
      <c r="P315" s="229">
        <f t="shared" si="57"/>
        <v>1180945.3329795827</v>
      </c>
    </row>
    <row r="316" spans="4:16" hidden="1" outlineLevel="1">
      <c r="E316" s="227">
        <f t="shared" si="54"/>
        <v>2064</v>
      </c>
      <c r="G316" s="229">
        <f t="shared" si="55"/>
        <v>0</v>
      </c>
      <c r="H316" s="229">
        <f t="shared" si="56"/>
        <v>0</v>
      </c>
      <c r="I316" s="229">
        <f t="shared" si="58"/>
        <v>0</v>
      </c>
      <c r="J316" s="229">
        <f t="shared" si="59"/>
        <v>74164.274378586444</v>
      </c>
      <c r="K316" s="229">
        <f t="shared" si="60"/>
        <v>226817.89284749632</v>
      </c>
      <c r="L316" s="229">
        <f t="shared" si="62"/>
        <v>195320.52482165725</v>
      </c>
      <c r="M316" s="229">
        <f t="shared" si="61"/>
        <v>134844.13523379349</v>
      </c>
      <c r="N316" s="229">
        <f t="shared" si="63"/>
        <v>324025.56121070898</v>
      </c>
      <c r="O316" s="229">
        <f t="shared" si="64"/>
        <v>217022.80535739695</v>
      </c>
      <c r="P316" s="229">
        <f t="shared" si="57"/>
        <v>1172195.1938496395</v>
      </c>
    </row>
    <row r="317" spans="4:16" hidden="1" outlineLevel="1">
      <c r="E317" s="227">
        <f t="shared" si="54"/>
        <v>2065</v>
      </c>
      <c r="G317" s="229">
        <f t="shared" si="55"/>
        <v>0</v>
      </c>
      <c r="H317" s="229">
        <f t="shared" si="56"/>
        <v>0</v>
      </c>
      <c r="I317" s="229">
        <f t="shared" si="58"/>
        <v>0</v>
      </c>
      <c r="J317" s="229">
        <f t="shared" si="59"/>
        <v>0</v>
      </c>
      <c r="K317" s="229">
        <f t="shared" si="60"/>
        <v>94390.894663655461</v>
      </c>
      <c r="L317" s="229">
        <f t="shared" si="62"/>
        <v>291623.00508963806</v>
      </c>
      <c r="M317" s="229">
        <f t="shared" si="61"/>
        <v>217022.80535739695</v>
      </c>
      <c r="N317" s="229">
        <f t="shared" si="63"/>
        <v>134844.13523379349</v>
      </c>
      <c r="O317" s="229">
        <f t="shared" si="64"/>
        <v>324025.56121070898</v>
      </c>
      <c r="P317" s="229">
        <f t="shared" si="57"/>
        <v>1061906.4015551929</v>
      </c>
    </row>
    <row r="318" spans="4:16" hidden="1" outlineLevel="1">
      <c r="E318" s="227">
        <f t="shared" si="54"/>
        <v>2066</v>
      </c>
      <c r="G318" s="229">
        <f t="shared" si="55"/>
        <v>0</v>
      </c>
      <c r="H318" s="229">
        <f t="shared" si="56"/>
        <v>0</v>
      </c>
      <c r="I318" s="229">
        <f t="shared" si="58"/>
        <v>0</v>
      </c>
      <c r="J318" s="229">
        <f t="shared" si="59"/>
        <v>0</v>
      </c>
      <c r="K318" s="229">
        <f t="shared" si="60"/>
        <v>0</v>
      </c>
      <c r="L318" s="229">
        <f t="shared" si="62"/>
        <v>121359.72171041415</v>
      </c>
      <c r="M318" s="229">
        <f t="shared" si="61"/>
        <v>324025.56121070898</v>
      </c>
      <c r="N318" s="229">
        <f t="shared" si="63"/>
        <v>217022.80535739695</v>
      </c>
      <c r="O318" s="229">
        <f t="shared" si="64"/>
        <v>134844.13523379349</v>
      </c>
      <c r="P318" s="229">
        <f t="shared" si="57"/>
        <v>797252.22351231368</v>
      </c>
    </row>
    <row r="319" spans="4:16" hidden="1" outlineLevel="1">
      <c r="E319" s="227">
        <f t="shared" si="54"/>
        <v>2067</v>
      </c>
      <c r="G319" s="229">
        <f t="shared" si="55"/>
        <v>0</v>
      </c>
      <c r="H319" s="229">
        <f t="shared" si="56"/>
        <v>0</v>
      </c>
      <c r="I319" s="229">
        <f t="shared" si="58"/>
        <v>0</v>
      </c>
      <c r="J319" s="229">
        <f t="shared" si="59"/>
        <v>0</v>
      </c>
      <c r="K319" s="229">
        <f t="shared" si="60"/>
        <v>0</v>
      </c>
      <c r="L319" s="229">
        <f t="shared" si="62"/>
        <v>0</v>
      </c>
      <c r="M319" s="229">
        <f t="shared" si="61"/>
        <v>134844.13523379349</v>
      </c>
      <c r="N319" s="229">
        <f t="shared" si="63"/>
        <v>324025.56121070898</v>
      </c>
      <c r="O319" s="229">
        <f t="shared" si="64"/>
        <v>217022.80535739695</v>
      </c>
      <c r="P319" s="229">
        <f t="shared" si="57"/>
        <v>675892.5018018994</v>
      </c>
    </row>
    <row r="320" spans="4:16" hidden="1" outlineLevel="1">
      <c r="E320" s="227">
        <f t="shared" si="54"/>
        <v>2068</v>
      </c>
      <c r="G320" s="229">
        <f t="shared" si="55"/>
        <v>0</v>
      </c>
      <c r="H320" s="229">
        <f t="shared" si="56"/>
        <v>0</v>
      </c>
      <c r="I320" s="229">
        <f t="shared" si="58"/>
        <v>0</v>
      </c>
      <c r="J320" s="229">
        <f t="shared" si="59"/>
        <v>0</v>
      </c>
      <c r="K320" s="229">
        <f t="shared" si="60"/>
        <v>0</v>
      </c>
      <c r="L320" s="229">
        <f t="shared" si="62"/>
        <v>0</v>
      </c>
      <c r="M320" s="229">
        <f t="shared" si="61"/>
        <v>0</v>
      </c>
      <c r="N320" s="229">
        <f t="shared" si="63"/>
        <v>134844.13523379349</v>
      </c>
      <c r="O320" s="229">
        <f t="shared" si="64"/>
        <v>324025.56121070898</v>
      </c>
      <c r="P320" s="229">
        <f t="shared" si="57"/>
        <v>458869.69644450245</v>
      </c>
    </row>
    <row r="321" spans="5:16" hidden="1" outlineLevel="1">
      <c r="E321" s="227">
        <f t="shared" si="54"/>
        <v>2069</v>
      </c>
      <c r="G321" s="229">
        <f t="shared" si="55"/>
        <v>0</v>
      </c>
      <c r="H321" s="229">
        <f t="shared" si="56"/>
        <v>0</v>
      </c>
      <c r="I321" s="229">
        <f t="shared" si="58"/>
        <v>0</v>
      </c>
      <c r="J321" s="229">
        <f t="shared" si="59"/>
        <v>0</v>
      </c>
      <c r="K321" s="229">
        <f t="shared" si="60"/>
        <v>0</v>
      </c>
      <c r="L321" s="229">
        <f t="shared" si="62"/>
        <v>0</v>
      </c>
      <c r="M321" s="229">
        <f t="shared" si="61"/>
        <v>0</v>
      </c>
      <c r="N321" s="229">
        <f t="shared" si="63"/>
        <v>0</v>
      </c>
      <c r="O321" s="229">
        <f t="shared" si="64"/>
        <v>134844.13523379349</v>
      </c>
      <c r="P321" s="229">
        <f t="shared" si="57"/>
        <v>134844.13523379349</v>
      </c>
    </row>
    <row r="322" spans="5:16" hidden="1" outlineLevel="1"/>
    <row r="323" spans="5:16" hidden="1" outlineLevel="1"/>
    <row r="324" spans="5:16" collapsed="1"/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FB1074D-5E21-0349-BF77-792DD4C62BD7}">
          <x14:formula1>
            <xm:f>'Curve Comparison'!$B$3:$B$9</xm:f>
          </x14:formula1>
          <xm:sqref>C26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40F2C-5327-214C-AB5F-DFA9C89FB934}">
  <sheetPr>
    <tabColor theme="8" tint="0.59999389629810485"/>
  </sheetPr>
  <dimension ref="B1:BA32"/>
  <sheetViews>
    <sheetView workbookViewId="0"/>
  </sheetViews>
  <sheetFormatPr defaultColWidth="9.88671875" defaultRowHeight="15"/>
  <cols>
    <col min="1" max="1" width="4.109375" style="117" customWidth="1"/>
    <col min="2" max="2" width="13.88671875" style="117" customWidth="1"/>
    <col min="3" max="3" width="9.88671875" style="117"/>
    <col min="4" max="4" width="18.33203125" style="117" customWidth="1"/>
    <col min="5" max="5" width="3.44140625" style="117" customWidth="1"/>
    <col min="6" max="16384" width="9.88671875" style="117"/>
  </cols>
  <sheetData>
    <row r="1" spans="2:53">
      <c r="B1" s="117" t="s">
        <v>906</v>
      </c>
    </row>
    <row r="2" spans="2:53">
      <c r="B2" s="157" t="s">
        <v>107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53" s="152" customFormat="1" hidden="1">
      <c r="B3" s="158" t="s">
        <v>907</v>
      </c>
      <c r="C3" s="119" t="s">
        <v>908</v>
      </c>
      <c r="D3" s="119" t="s">
        <v>106</v>
      </c>
      <c r="E3" s="119"/>
      <c r="F3" s="119">
        <v>1</v>
      </c>
      <c r="G3" s="119">
        <v>2</v>
      </c>
      <c r="H3" s="119">
        <v>3</v>
      </c>
      <c r="I3" s="119">
        <v>4</v>
      </c>
      <c r="J3" s="119">
        <v>5</v>
      </c>
      <c r="K3" s="119">
        <v>6</v>
      </c>
      <c r="L3" s="119">
        <v>7</v>
      </c>
      <c r="M3" s="119">
        <v>8</v>
      </c>
      <c r="N3" s="119">
        <v>9</v>
      </c>
      <c r="O3" s="119">
        <v>10</v>
      </c>
      <c r="P3" s="119">
        <v>11</v>
      </c>
      <c r="Q3" s="119">
        <v>12</v>
      </c>
      <c r="R3" s="119">
        <v>13</v>
      </c>
      <c r="S3" s="119">
        <v>14</v>
      </c>
      <c r="T3" s="119">
        <v>15</v>
      </c>
      <c r="U3" s="119">
        <v>16</v>
      </c>
      <c r="V3" s="119">
        <v>17</v>
      </c>
      <c r="W3" s="119">
        <v>18</v>
      </c>
      <c r="X3" s="119">
        <v>19</v>
      </c>
      <c r="Y3" s="119">
        <v>20</v>
      </c>
      <c r="Z3" s="119">
        <v>21</v>
      </c>
      <c r="AA3" s="119">
        <v>22</v>
      </c>
      <c r="AB3" s="119">
        <v>23</v>
      </c>
      <c r="AC3" s="119">
        <v>24</v>
      </c>
      <c r="AD3" s="119">
        <v>25</v>
      </c>
      <c r="AE3" s="119">
        <v>26</v>
      </c>
      <c r="AF3" s="119">
        <v>27</v>
      </c>
      <c r="AG3" s="119">
        <v>28</v>
      </c>
      <c r="AH3" s="119">
        <v>29</v>
      </c>
      <c r="AI3" s="119">
        <v>30</v>
      </c>
      <c r="AJ3" s="119">
        <v>31</v>
      </c>
      <c r="AK3" s="119">
        <v>32</v>
      </c>
      <c r="AL3" s="119">
        <v>33</v>
      </c>
      <c r="AM3" s="119">
        <v>34</v>
      </c>
      <c r="AN3" s="119">
        <v>35</v>
      </c>
      <c r="AO3" s="119">
        <v>36</v>
      </c>
      <c r="AP3" s="119">
        <v>37</v>
      </c>
      <c r="AQ3" s="119">
        <v>38</v>
      </c>
      <c r="AR3" s="119">
        <v>39</v>
      </c>
      <c r="AS3" s="119">
        <v>40</v>
      </c>
      <c r="AT3" s="119">
        <v>41</v>
      </c>
      <c r="AU3" s="119">
        <v>42</v>
      </c>
      <c r="AV3" s="119">
        <v>43</v>
      </c>
      <c r="AW3" s="119">
        <v>44</v>
      </c>
      <c r="AX3" s="119">
        <v>45</v>
      </c>
      <c r="AY3" s="119">
        <v>46</v>
      </c>
      <c r="AZ3" s="119">
        <v>47</v>
      </c>
      <c r="BA3" s="119">
        <v>48</v>
      </c>
    </row>
    <row r="4" spans="2:53" hidden="1">
      <c r="B4" s="159" t="s">
        <v>909</v>
      </c>
      <c r="C4" s="118" t="s">
        <v>910</v>
      </c>
      <c r="D4" s="118" t="s">
        <v>911</v>
      </c>
      <c r="E4" s="118"/>
      <c r="F4" s="118">
        <v>2.2282398452611218E-2</v>
      </c>
      <c r="G4" s="118">
        <v>5.8491295938104454E-2</v>
      </c>
      <c r="H4" s="118">
        <v>7.7059961315280465E-2</v>
      </c>
      <c r="I4" s="118">
        <v>9.0058027079303687E-2</v>
      </c>
      <c r="J4" s="118">
        <v>0.10305609284332691</v>
      </c>
      <c r="K4" s="118">
        <v>0.1151257253384913</v>
      </c>
      <c r="L4" s="118">
        <v>0.12626692456479691</v>
      </c>
      <c r="M4" s="118">
        <v>0.13647969052224371</v>
      </c>
      <c r="N4" s="118">
        <v>0.14669245647969056</v>
      </c>
      <c r="O4" s="118">
        <v>0.15597678916827853</v>
      </c>
      <c r="P4" s="118">
        <v>0.16526112185686656</v>
      </c>
      <c r="Q4" s="118">
        <f>+F4</f>
        <v>2.2282398452611218E-2</v>
      </c>
      <c r="R4" s="118">
        <f t="shared" ref="R4:AG5" si="0">+G4</f>
        <v>5.8491295938104454E-2</v>
      </c>
      <c r="S4" s="118">
        <f t="shared" si="0"/>
        <v>7.7059961315280465E-2</v>
      </c>
      <c r="T4" s="118">
        <f t="shared" si="0"/>
        <v>9.0058027079303687E-2</v>
      </c>
      <c r="U4" s="118">
        <f t="shared" si="0"/>
        <v>0.10305609284332691</v>
      </c>
      <c r="V4" s="118">
        <f t="shared" si="0"/>
        <v>0.1151257253384913</v>
      </c>
      <c r="W4" s="118">
        <f t="shared" si="0"/>
        <v>0.12626692456479691</v>
      </c>
      <c r="X4" s="118">
        <f t="shared" si="0"/>
        <v>0.13647969052224371</v>
      </c>
      <c r="Y4" s="118">
        <f t="shared" si="0"/>
        <v>0.14669245647969056</v>
      </c>
      <c r="Z4" s="118">
        <f t="shared" si="0"/>
        <v>0.15597678916827853</v>
      </c>
      <c r="AA4" s="118">
        <f t="shared" si="0"/>
        <v>0.16526112185686656</v>
      </c>
      <c r="AB4" s="118">
        <f t="shared" si="0"/>
        <v>2.2282398452611218E-2</v>
      </c>
      <c r="AC4" s="118">
        <f t="shared" si="0"/>
        <v>5.8491295938104454E-2</v>
      </c>
      <c r="AD4" s="118">
        <f t="shared" si="0"/>
        <v>7.7059961315280465E-2</v>
      </c>
      <c r="AE4" s="118">
        <f t="shared" si="0"/>
        <v>9.0058027079303687E-2</v>
      </c>
      <c r="AF4" s="118">
        <f t="shared" si="0"/>
        <v>0.10305609284332691</v>
      </c>
      <c r="AG4" s="118">
        <f t="shared" si="0"/>
        <v>0.1151257253384913</v>
      </c>
      <c r="AH4" s="118">
        <f t="shared" ref="AH4:AW5" si="1">+W4</f>
        <v>0.12626692456479691</v>
      </c>
      <c r="AI4" s="118">
        <f t="shared" si="1"/>
        <v>0.13647969052224371</v>
      </c>
      <c r="AJ4" s="118">
        <f t="shared" si="1"/>
        <v>0.14669245647969056</v>
      </c>
      <c r="AK4" s="118">
        <f t="shared" si="1"/>
        <v>0.15597678916827853</v>
      </c>
      <c r="AL4" s="118">
        <f t="shared" si="1"/>
        <v>0.16526112185686656</v>
      </c>
      <c r="AM4" s="118">
        <f t="shared" si="1"/>
        <v>2.2282398452611218E-2</v>
      </c>
      <c r="AN4" s="118">
        <f t="shared" si="1"/>
        <v>5.8491295938104454E-2</v>
      </c>
      <c r="AO4" s="118">
        <f t="shared" si="1"/>
        <v>7.7059961315280465E-2</v>
      </c>
      <c r="AP4" s="118">
        <f t="shared" si="1"/>
        <v>9.0058027079303687E-2</v>
      </c>
      <c r="AQ4" s="118">
        <f t="shared" si="1"/>
        <v>0.10305609284332691</v>
      </c>
      <c r="AR4" s="118">
        <f t="shared" si="1"/>
        <v>0.1151257253384913</v>
      </c>
      <c r="AS4" s="118">
        <f t="shared" si="1"/>
        <v>0.12626692456479691</v>
      </c>
      <c r="AT4" s="118">
        <f t="shared" si="1"/>
        <v>0.13647969052224371</v>
      </c>
      <c r="AU4" s="118">
        <f t="shared" si="1"/>
        <v>0.14669245647969056</v>
      </c>
      <c r="AV4" s="118">
        <f t="shared" si="1"/>
        <v>0.15597678916827853</v>
      </c>
      <c r="AW4" s="118">
        <f t="shared" si="1"/>
        <v>0.16526112185686656</v>
      </c>
      <c r="AX4" s="118">
        <f t="shared" ref="AX4:BA5" si="2">+AM4</f>
        <v>2.2282398452611218E-2</v>
      </c>
      <c r="AY4" s="118">
        <f t="shared" si="2"/>
        <v>5.8491295938104454E-2</v>
      </c>
      <c r="AZ4" s="118">
        <f t="shared" si="2"/>
        <v>7.7059961315280465E-2</v>
      </c>
      <c r="BA4" s="118">
        <f t="shared" si="2"/>
        <v>9.0058027079303687E-2</v>
      </c>
    </row>
    <row r="5" spans="2:53" hidden="1">
      <c r="B5" s="159" t="s">
        <v>912</v>
      </c>
      <c r="C5" s="118" t="s">
        <v>910</v>
      </c>
      <c r="D5" s="118" t="s">
        <v>911</v>
      </c>
      <c r="E5" s="118"/>
      <c r="F5" s="118">
        <v>5.5705996131528044E-3</v>
      </c>
      <c r="G5" s="118">
        <v>1.4854932301740814E-2</v>
      </c>
      <c r="H5" s="118">
        <v>1.9497098646034817E-2</v>
      </c>
      <c r="I5" s="118">
        <v>2.2282398452611218E-2</v>
      </c>
      <c r="J5" s="118">
        <v>2.5996131528046425E-2</v>
      </c>
      <c r="K5" s="118">
        <v>2.8781431334622826E-2</v>
      </c>
      <c r="L5" s="118">
        <v>3.1566731141199227E-2</v>
      </c>
      <c r="M5" s="118">
        <v>3.4352030947775634E-2</v>
      </c>
      <c r="N5" s="118">
        <v>3.6208897485493233E-2</v>
      </c>
      <c r="O5" s="118">
        <v>3.8994197292069634E-2</v>
      </c>
      <c r="P5" s="118">
        <v>4.0851063829787239E-2</v>
      </c>
      <c r="Q5" s="118">
        <f>+F5</f>
        <v>5.5705996131528044E-3</v>
      </c>
      <c r="R5" s="118">
        <f t="shared" si="0"/>
        <v>1.4854932301740814E-2</v>
      </c>
      <c r="S5" s="118">
        <f t="shared" si="0"/>
        <v>1.9497098646034817E-2</v>
      </c>
      <c r="T5" s="118">
        <f t="shared" si="0"/>
        <v>2.2282398452611218E-2</v>
      </c>
      <c r="U5" s="118">
        <f t="shared" si="0"/>
        <v>2.5996131528046425E-2</v>
      </c>
      <c r="V5" s="118">
        <f t="shared" si="0"/>
        <v>2.8781431334622826E-2</v>
      </c>
      <c r="W5" s="118">
        <f t="shared" si="0"/>
        <v>3.1566731141199227E-2</v>
      </c>
      <c r="X5" s="118">
        <f t="shared" si="0"/>
        <v>3.4352030947775634E-2</v>
      </c>
      <c r="Y5" s="118">
        <f t="shared" si="0"/>
        <v>3.6208897485493233E-2</v>
      </c>
      <c r="Z5" s="118">
        <f t="shared" si="0"/>
        <v>3.8994197292069634E-2</v>
      </c>
      <c r="AA5" s="118">
        <f t="shared" si="0"/>
        <v>4.0851063829787239E-2</v>
      </c>
      <c r="AB5" s="118">
        <f t="shared" si="0"/>
        <v>5.5705996131528044E-3</v>
      </c>
      <c r="AC5" s="118">
        <f t="shared" si="0"/>
        <v>1.4854932301740814E-2</v>
      </c>
      <c r="AD5" s="118">
        <f t="shared" si="0"/>
        <v>1.9497098646034817E-2</v>
      </c>
      <c r="AE5" s="118">
        <f t="shared" si="0"/>
        <v>2.2282398452611218E-2</v>
      </c>
      <c r="AF5" s="118">
        <f t="shared" si="0"/>
        <v>2.5996131528046425E-2</v>
      </c>
      <c r="AG5" s="118">
        <f t="shared" si="0"/>
        <v>2.8781431334622826E-2</v>
      </c>
      <c r="AH5" s="118">
        <f t="shared" si="1"/>
        <v>3.1566731141199227E-2</v>
      </c>
      <c r="AI5" s="118">
        <f t="shared" si="1"/>
        <v>3.4352030947775634E-2</v>
      </c>
      <c r="AJ5" s="118">
        <f t="shared" si="1"/>
        <v>3.6208897485493233E-2</v>
      </c>
      <c r="AK5" s="118">
        <f t="shared" si="1"/>
        <v>3.8994197292069634E-2</v>
      </c>
      <c r="AL5" s="118">
        <f t="shared" si="1"/>
        <v>4.0851063829787239E-2</v>
      </c>
      <c r="AM5" s="118">
        <f t="shared" si="1"/>
        <v>5.5705996131528044E-3</v>
      </c>
      <c r="AN5" s="118">
        <f t="shared" si="1"/>
        <v>1.4854932301740814E-2</v>
      </c>
      <c r="AO5" s="118">
        <f t="shared" si="1"/>
        <v>1.9497098646034817E-2</v>
      </c>
      <c r="AP5" s="118">
        <f t="shared" si="1"/>
        <v>2.2282398452611218E-2</v>
      </c>
      <c r="AQ5" s="118">
        <f t="shared" si="1"/>
        <v>2.5996131528046425E-2</v>
      </c>
      <c r="AR5" s="118">
        <f t="shared" si="1"/>
        <v>2.8781431334622826E-2</v>
      </c>
      <c r="AS5" s="118">
        <f t="shared" si="1"/>
        <v>3.1566731141199227E-2</v>
      </c>
      <c r="AT5" s="118">
        <f t="shared" si="1"/>
        <v>3.4352030947775634E-2</v>
      </c>
      <c r="AU5" s="118">
        <f t="shared" si="1"/>
        <v>3.6208897485493233E-2</v>
      </c>
      <c r="AV5" s="118">
        <f t="shared" si="1"/>
        <v>3.8994197292069634E-2</v>
      </c>
      <c r="AW5" s="118">
        <f t="shared" si="1"/>
        <v>4.0851063829787239E-2</v>
      </c>
      <c r="AX5" s="118">
        <f t="shared" si="2"/>
        <v>5.5705996131528044E-3</v>
      </c>
      <c r="AY5" s="118">
        <f t="shared" si="2"/>
        <v>1.4854932301740814E-2</v>
      </c>
      <c r="AZ5" s="118">
        <f t="shared" si="2"/>
        <v>1.9497098646034817E-2</v>
      </c>
      <c r="BA5" s="118">
        <f t="shared" si="2"/>
        <v>2.2282398452611218E-2</v>
      </c>
    </row>
    <row r="6" spans="2:53" hidden="1">
      <c r="B6" s="159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</row>
    <row r="7" spans="2:53" s="152" customFormat="1">
      <c r="B7" s="160" t="s">
        <v>913</v>
      </c>
      <c r="C7" s="119"/>
      <c r="D7" s="119"/>
      <c r="E7" s="119"/>
      <c r="F7" s="152">
        <f>'Growth Rates'!F6</f>
        <v>4.7280000000000004E-3</v>
      </c>
      <c r="G7" s="152">
        <f>'Growth Rates'!G6</f>
        <v>7.9080000000000001E-3</v>
      </c>
      <c r="H7" s="152">
        <f>'Growth Rates'!H6</f>
        <v>1.2168E-2</v>
      </c>
      <c r="I7" s="152">
        <f>'Growth Rates'!I6</f>
        <v>1.9584000000000001E-2</v>
      </c>
      <c r="J7" s="152">
        <f>'Growth Rates'!J6</f>
        <v>3.6527999999999998E-2</v>
      </c>
      <c r="K7" s="152">
        <f>'Growth Rates'!K6</f>
        <v>6.4416000000000001E-2</v>
      </c>
      <c r="L7" s="152">
        <f>'Growth Rates'!L6</f>
        <v>9.2303999999999997E-2</v>
      </c>
      <c r="M7" s="152">
        <f>'Growth Rates'!M6</f>
        <v>0.12019199999999999</v>
      </c>
      <c r="N7" s="152">
        <f>'Growth Rates'!N6</f>
        <v>0.14807999999999999</v>
      </c>
      <c r="O7" s="152">
        <f>'Growth Rates'!O6</f>
        <v>0.17596799999999999</v>
      </c>
      <c r="P7" s="152">
        <f>'Growth Rates'!P6</f>
        <v>0.20385599999999998</v>
      </c>
      <c r="Q7" s="152">
        <f>'Growth Rates'!Q6</f>
        <v>4.7280000000000004E-3</v>
      </c>
      <c r="R7" s="152">
        <f>'Growth Rates'!R6</f>
        <v>7.9080000000000001E-3</v>
      </c>
      <c r="S7" s="152">
        <f>'Growth Rates'!S6</f>
        <v>1.2168E-2</v>
      </c>
      <c r="T7" s="152">
        <f>'Growth Rates'!T6</f>
        <v>1.9584000000000001E-2</v>
      </c>
      <c r="U7" s="152">
        <f>'Growth Rates'!U6</f>
        <v>3.6527999999999998E-2</v>
      </c>
      <c r="V7" s="152">
        <f>'Growth Rates'!V6</f>
        <v>6.4416000000000001E-2</v>
      </c>
      <c r="W7" s="152">
        <f>'Growth Rates'!W6</f>
        <v>9.2303999999999997E-2</v>
      </c>
      <c r="X7" s="152">
        <f>'Growth Rates'!X6</f>
        <v>0.12019199999999999</v>
      </c>
      <c r="Y7" s="152">
        <f>'Growth Rates'!Y6</f>
        <v>0.14807999999999999</v>
      </c>
      <c r="Z7" s="152">
        <f>'Growth Rates'!Z6</f>
        <v>0.17596799999999999</v>
      </c>
      <c r="AA7" s="152">
        <f>'Growth Rates'!AA6</f>
        <v>0.20385599999999998</v>
      </c>
      <c r="AB7" s="152">
        <f>'Growth Rates'!AB6</f>
        <v>4.7280000000000004E-3</v>
      </c>
      <c r="AC7" s="152">
        <f>'Growth Rates'!AC6</f>
        <v>7.9080000000000001E-3</v>
      </c>
      <c r="AD7" s="152">
        <f>'Growth Rates'!AD6</f>
        <v>1.2168E-2</v>
      </c>
      <c r="AE7" s="152">
        <f>'Growth Rates'!AE6</f>
        <v>1.9584000000000001E-2</v>
      </c>
      <c r="AF7" s="152">
        <f>'Growth Rates'!AF6</f>
        <v>3.6527999999999998E-2</v>
      </c>
      <c r="AG7" s="152">
        <f>'Growth Rates'!AG6</f>
        <v>6.4416000000000001E-2</v>
      </c>
      <c r="AH7" s="152">
        <f>'Growth Rates'!AH6</f>
        <v>9.2303999999999997E-2</v>
      </c>
      <c r="AI7" s="152">
        <f>'Growth Rates'!AI6</f>
        <v>0.12019199999999999</v>
      </c>
      <c r="AJ7" s="152">
        <f>'Growth Rates'!AJ6</f>
        <v>0.14807999999999999</v>
      </c>
      <c r="AK7" s="152">
        <f>'Growth Rates'!AK6</f>
        <v>0.17596799999999999</v>
      </c>
      <c r="AL7" s="152">
        <f>'Growth Rates'!AL6</f>
        <v>0.20385599999999998</v>
      </c>
      <c r="AM7" s="152">
        <f>'Growth Rates'!AM6</f>
        <v>4.7280000000000004E-3</v>
      </c>
      <c r="AN7" s="152">
        <f>'Growth Rates'!AN6</f>
        <v>7.9080000000000001E-3</v>
      </c>
      <c r="AO7" s="152">
        <f>'Growth Rates'!AO6</f>
        <v>1.2168E-2</v>
      </c>
      <c r="AP7" s="152">
        <f>'Growth Rates'!AP6</f>
        <v>1.9584000000000001E-2</v>
      </c>
      <c r="AQ7" s="152">
        <f>'Growth Rates'!AQ6</f>
        <v>3.6527999999999998E-2</v>
      </c>
      <c r="AR7" s="152">
        <f>'Growth Rates'!AR6</f>
        <v>6.4416000000000001E-2</v>
      </c>
      <c r="AS7" s="152">
        <f>'Growth Rates'!AS6</f>
        <v>9.2303999999999997E-2</v>
      </c>
    </row>
    <row r="8" spans="2:53">
      <c r="B8" s="157" t="s">
        <v>30</v>
      </c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</row>
    <row r="9" spans="2:53" s="152" customFormat="1" hidden="1">
      <c r="B9" s="158" t="s">
        <v>907</v>
      </c>
      <c r="C9" s="119" t="s">
        <v>908</v>
      </c>
      <c r="D9" s="119" t="s">
        <v>106</v>
      </c>
      <c r="E9" s="119"/>
      <c r="F9" s="119">
        <v>1</v>
      </c>
      <c r="G9" s="119">
        <v>2</v>
      </c>
      <c r="H9" s="119">
        <v>3</v>
      </c>
      <c r="I9" s="119">
        <v>4</v>
      </c>
      <c r="J9" s="119">
        <v>5</v>
      </c>
      <c r="K9" s="119">
        <v>6</v>
      </c>
      <c r="L9" s="119">
        <v>7</v>
      </c>
      <c r="M9" s="119">
        <v>8</v>
      </c>
      <c r="N9" s="119">
        <v>9</v>
      </c>
      <c r="O9" s="119">
        <v>10</v>
      </c>
      <c r="P9" s="119">
        <v>11</v>
      </c>
      <c r="Q9" s="119">
        <v>12</v>
      </c>
      <c r="R9" s="119">
        <v>13</v>
      </c>
      <c r="S9" s="119">
        <v>14</v>
      </c>
      <c r="T9" s="119">
        <v>15</v>
      </c>
      <c r="U9" s="119">
        <v>16</v>
      </c>
      <c r="V9" s="119">
        <v>17</v>
      </c>
      <c r="W9" s="119">
        <v>18</v>
      </c>
      <c r="X9" s="119">
        <v>19</v>
      </c>
      <c r="Y9" s="119">
        <v>20</v>
      </c>
      <c r="Z9" s="119">
        <v>21</v>
      </c>
      <c r="AA9" s="119">
        <v>22</v>
      </c>
      <c r="AB9" s="119">
        <v>23</v>
      </c>
      <c r="AC9" s="119">
        <v>24</v>
      </c>
      <c r="AD9" s="119">
        <v>25</v>
      </c>
      <c r="AE9" s="119">
        <v>26</v>
      </c>
      <c r="AF9" s="119">
        <v>27</v>
      </c>
      <c r="AG9" s="119">
        <v>28</v>
      </c>
      <c r="AH9" s="119">
        <v>29</v>
      </c>
      <c r="AI9" s="119">
        <v>30</v>
      </c>
      <c r="AJ9" s="119">
        <v>31</v>
      </c>
      <c r="AK9" s="119">
        <v>32</v>
      </c>
      <c r="AL9" s="119">
        <v>33</v>
      </c>
      <c r="AM9" s="119">
        <v>34</v>
      </c>
      <c r="AN9" s="119">
        <v>35</v>
      </c>
      <c r="AO9" s="119">
        <v>36</v>
      </c>
      <c r="AP9" s="119">
        <v>37</v>
      </c>
      <c r="AQ9" s="119">
        <v>38</v>
      </c>
      <c r="AR9" s="119">
        <v>39</v>
      </c>
      <c r="AS9" s="119">
        <v>40</v>
      </c>
      <c r="AT9" s="119">
        <v>41</v>
      </c>
      <c r="AU9" s="119">
        <v>42</v>
      </c>
      <c r="AV9" s="119">
        <v>43</v>
      </c>
      <c r="AW9" s="119">
        <v>44</v>
      </c>
      <c r="AX9" s="119">
        <v>45</v>
      </c>
      <c r="AY9" s="119">
        <v>46</v>
      </c>
      <c r="AZ9" s="119">
        <v>47</v>
      </c>
      <c r="BA9" s="119">
        <v>48</v>
      </c>
    </row>
    <row r="10" spans="2:53" hidden="1">
      <c r="B10" s="159" t="s">
        <v>909</v>
      </c>
      <c r="C10" s="118" t="s">
        <v>910</v>
      </c>
      <c r="D10" s="118" t="s">
        <v>911</v>
      </c>
      <c r="E10" s="118"/>
      <c r="F10" s="118">
        <v>5.5705996131528044E-3</v>
      </c>
      <c r="G10" s="118">
        <v>3.1566731141199227E-2</v>
      </c>
      <c r="H10" s="118">
        <v>5.8491295938104454E-2</v>
      </c>
      <c r="I10" s="118">
        <v>8.263056092843328E-2</v>
      </c>
      <c r="J10" s="118">
        <v>0.1076982591876209</v>
      </c>
      <c r="K10" s="118">
        <v>0.13183752417794972</v>
      </c>
      <c r="L10" s="118">
        <v>0.15226305609284335</v>
      </c>
      <c r="M10" s="118">
        <v>0.17176015473887815</v>
      </c>
      <c r="N10" s="118">
        <v>0.19032882011605418</v>
      </c>
      <c r="O10" s="118">
        <v>0.2070406189555126</v>
      </c>
      <c r="P10" s="118">
        <v>0.22282398452611221</v>
      </c>
      <c r="Q10" s="118">
        <f>+F10</f>
        <v>5.5705996131528044E-3</v>
      </c>
      <c r="R10" s="118">
        <f t="shared" ref="R10:AG11" si="3">+G10</f>
        <v>3.1566731141199227E-2</v>
      </c>
      <c r="S10" s="118">
        <f t="shared" si="3"/>
        <v>5.8491295938104454E-2</v>
      </c>
      <c r="T10" s="118">
        <f t="shared" si="3"/>
        <v>8.263056092843328E-2</v>
      </c>
      <c r="U10" s="118">
        <f t="shared" si="3"/>
        <v>0.1076982591876209</v>
      </c>
      <c r="V10" s="118">
        <f t="shared" si="3"/>
        <v>0.13183752417794972</v>
      </c>
      <c r="W10" s="118">
        <f t="shared" si="3"/>
        <v>0.15226305609284335</v>
      </c>
      <c r="X10" s="118">
        <f t="shared" si="3"/>
        <v>0.17176015473887815</v>
      </c>
      <c r="Y10" s="118">
        <f t="shared" si="3"/>
        <v>0.19032882011605418</v>
      </c>
      <c r="Z10" s="118">
        <f t="shared" si="3"/>
        <v>0.2070406189555126</v>
      </c>
      <c r="AA10" s="118">
        <f t="shared" si="3"/>
        <v>0.22282398452611221</v>
      </c>
      <c r="AB10" s="118">
        <f t="shared" si="3"/>
        <v>5.5705996131528044E-3</v>
      </c>
      <c r="AC10" s="118">
        <f t="shared" si="3"/>
        <v>3.1566731141199227E-2</v>
      </c>
      <c r="AD10" s="118">
        <f t="shared" si="3"/>
        <v>5.8491295938104454E-2</v>
      </c>
      <c r="AE10" s="118">
        <f t="shared" si="3"/>
        <v>8.263056092843328E-2</v>
      </c>
      <c r="AF10" s="118">
        <f t="shared" si="3"/>
        <v>0.1076982591876209</v>
      </c>
      <c r="AG10" s="118">
        <f t="shared" si="3"/>
        <v>0.13183752417794972</v>
      </c>
      <c r="AH10" s="118">
        <f t="shared" ref="AH10:AW11" si="4">+W10</f>
        <v>0.15226305609284335</v>
      </c>
      <c r="AI10" s="118">
        <f t="shared" si="4"/>
        <v>0.17176015473887815</v>
      </c>
      <c r="AJ10" s="118">
        <f t="shared" si="4"/>
        <v>0.19032882011605418</v>
      </c>
      <c r="AK10" s="118">
        <f t="shared" si="4"/>
        <v>0.2070406189555126</v>
      </c>
      <c r="AL10" s="118">
        <f t="shared" si="4"/>
        <v>0.22282398452611221</v>
      </c>
      <c r="AM10" s="118">
        <f t="shared" si="4"/>
        <v>5.5705996131528044E-3</v>
      </c>
      <c r="AN10" s="118">
        <f t="shared" si="4"/>
        <v>3.1566731141199227E-2</v>
      </c>
      <c r="AO10" s="118">
        <f t="shared" si="4"/>
        <v>5.8491295938104454E-2</v>
      </c>
      <c r="AP10" s="118">
        <f t="shared" si="4"/>
        <v>8.263056092843328E-2</v>
      </c>
      <c r="AQ10" s="118">
        <f t="shared" si="4"/>
        <v>0.1076982591876209</v>
      </c>
      <c r="AR10" s="118">
        <f t="shared" si="4"/>
        <v>0.13183752417794972</v>
      </c>
      <c r="AS10" s="118">
        <f t="shared" si="4"/>
        <v>0.15226305609284335</v>
      </c>
      <c r="AT10" s="118">
        <f t="shared" si="4"/>
        <v>0.17176015473887815</v>
      </c>
      <c r="AU10" s="118">
        <f t="shared" si="4"/>
        <v>0.19032882011605418</v>
      </c>
      <c r="AV10" s="118">
        <f t="shared" si="4"/>
        <v>0.2070406189555126</v>
      </c>
      <c r="AW10" s="118">
        <f t="shared" si="4"/>
        <v>0.22282398452611221</v>
      </c>
      <c r="AX10" s="118">
        <f t="shared" ref="AX10:BA11" si="5">+AM10</f>
        <v>5.5705996131528044E-3</v>
      </c>
      <c r="AY10" s="118">
        <f t="shared" si="5"/>
        <v>3.1566731141199227E-2</v>
      </c>
      <c r="AZ10" s="118">
        <f t="shared" si="5"/>
        <v>5.8491295938104454E-2</v>
      </c>
      <c r="BA10" s="118">
        <f t="shared" si="5"/>
        <v>8.263056092843328E-2</v>
      </c>
    </row>
    <row r="11" spans="2:53" hidden="1">
      <c r="B11" s="159" t="s">
        <v>912</v>
      </c>
      <c r="C11" s="118" t="s">
        <v>910</v>
      </c>
      <c r="D11" s="118" t="s">
        <v>911</v>
      </c>
      <c r="E11" s="118"/>
      <c r="F11" s="118">
        <v>1.8568665377176018E-3</v>
      </c>
      <c r="G11" s="118">
        <v>7.4274661508704071E-3</v>
      </c>
      <c r="H11" s="118">
        <v>1.4854932301740814E-2</v>
      </c>
      <c r="I11" s="118">
        <v>2.0425531914893619E-2</v>
      </c>
      <c r="J11" s="118">
        <v>2.6924564796905224E-2</v>
      </c>
      <c r="K11" s="118">
        <v>3.3423597678916832E-2</v>
      </c>
      <c r="L11" s="118">
        <v>3.8065764023210838E-2</v>
      </c>
      <c r="M11" s="118">
        <v>4.2707930367504837E-2</v>
      </c>
      <c r="N11" s="118">
        <v>4.735009671179885E-2</v>
      </c>
      <c r="O11" s="118">
        <v>5.1992263056092849E-2</v>
      </c>
      <c r="P11" s="118">
        <v>5.5705996131528053E-2</v>
      </c>
      <c r="Q11" s="118">
        <f>+F11</f>
        <v>1.8568665377176018E-3</v>
      </c>
      <c r="R11" s="118">
        <f t="shared" si="3"/>
        <v>7.4274661508704071E-3</v>
      </c>
      <c r="S11" s="118">
        <f t="shared" si="3"/>
        <v>1.4854932301740814E-2</v>
      </c>
      <c r="T11" s="118">
        <f t="shared" si="3"/>
        <v>2.0425531914893619E-2</v>
      </c>
      <c r="U11" s="118">
        <f t="shared" si="3"/>
        <v>2.6924564796905224E-2</v>
      </c>
      <c r="V11" s="118">
        <f t="shared" si="3"/>
        <v>3.3423597678916832E-2</v>
      </c>
      <c r="W11" s="118">
        <f t="shared" si="3"/>
        <v>3.8065764023210838E-2</v>
      </c>
      <c r="X11" s="118">
        <f t="shared" si="3"/>
        <v>4.2707930367504837E-2</v>
      </c>
      <c r="Y11" s="118">
        <f t="shared" si="3"/>
        <v>4.735009671179885E-2</v>
      </c>
      <c r="Z11" s="118">
        <f t="shared" si="3"/>
        <v>5.1992263056092849E-2</v>
      </c>
      <c r="AA11" s="118">
        <f t="shared" si="3"/>
        <v>5.5705996131528053E-2</v>
      </c>
      <c r="AB11" s="118">
        <f t="shared" si="3"/>
        <v>1.8568665377176018E-3</v>
      </c>
      <c r="AC11" s="118">
        <f t="shared" si="3"/>
        <v>7.4274661508704071E-3</v>
      </c>
      <c r="AD11" s="118">
        <f t="shared" si="3"/>
        <v>1.4854932301740814E-2</v>
      </c>
      <c r="AE11" s="118">
        <f t="shared" si="3"/>
        <v>2.0425531914893619E-2</v>
      </c>
      <c r="AF11" s="118">
        <f t="shared" si="3"/>
        <v>2.6924564796905224E-2</v>
      </c>
      <c r="AG11" s="118">
        <f t="shared" si="3"/>
        <v>3.3423597678916832E-2</v>
      </c>
      <c r="AH11" s="118">
        <f t="shared" si="4"/>
        <v>3.8065764023210838E-2</v>
      </c>
      <c r="AI11" s="118">
        <f t="shared" si="4"/>
        <v>4.2707930367504837E-2</v>
      </c>
      <c r="AJ11" s="118">
        <f t="shared" si="4"/>
        <v>4.735009671179885E-2</v>
      </c>
      <c r="AK11" s="118">
        <f t="shared" si="4"/>
        <v>5.1992263056092849E-2</v>
      </c>
      <c r="AL11" s="118">
        <f t="shared" si="4"/>
        <v>5.5705996131528053E-2</v>
      </c>
      <c r="AM11" s="118">
        <f t="shared" si="4"/>
        <v>1.8568665377176018E-3</v>
      </c>
      <c r="AN11" s="118">
        <f t="shared" si="4"/>
        <v>7.4274661508704071E-3</v>
      </c>
      <c r="AO11" s="118">
        <f t="shared" si="4"/>
        <v>1.4854932301740814E-2</v>
      </c>
      <c r="AP11" s="118">
        <f t="shared" si="4"/>
        <v>2.0425531914893619E-2</v>
      </c>
      <c r="AQ11" s="118">
        <f t="shared" si="4"/>
        <v>2.6924564796905224E-2</v>
      </c>
      <c r="AR11" s="118">
        <f t="shared" si="4"/>
        <v>3.3423597678916832E-2</v>
      </c>
      <c r="AS11" s="118">
        <f t="shared" si="4"/>
        <v>3.8065764023210838E-2</v>
      </c>
      <c r="AT11" s="118">
        <f t="shared" si="4"/>
        <v>4.2707930367504837E-2</v>
      </c>
      <c r="AU11" s="118">
        <f t="shared" si="4"/>
        <v>4.735009671179885E-2</v>
      </c>
      <c r="AV11" s="118">
        <f t="shared" si="4"/>
        <v>5.1992263056092849E-2</v>
      </c>
      <c r="AW11" s="118">
        <f t="shared" si="4"/>
        <v>5.5705996131528053E-2</v>
      </c>
      <c r="AX11" s="118">
        <f t="shared" si="5"/>
        <v>1.8568665377176018E-3</v>
      </c>
      <c r="AY11" s="118">
        <f t="shared" si="5"/>
        <v>7.4274661508704071E-3</v>
      </c>
      <c r="AZ11" s="118">
        <f t="shared" si="5"/>
        <v>1.4854932301740814E-2</v>
      </c>
      <c r="BA11" s="118">
        <f t="shared" si="5"/>
        <v>2.0425531914893619E-2</v>
      </c>
    </row>
    <row r="12" spans="2:53" hidden="1">
      <c r="B12" s="159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</row>
    <row r="13" spans="2:53" s="152" customFormat="1">
      <c r="B13" s="160" t="s">
        <v>914</v>
      </c>
      <c r="C13" s="119"/>
      <c r="D13" s="119"/>
      <c r="E13" s="119"/>
      <c r="F13" s="152">
        <f>'Growth Rates'!F8</f>
        <v>1.8613310245223038E-3</v>
      </c>
      <c r="G13" s="152">
        <f>'Growth Rates'!G8</f>
        <v>1.0729354460064183E-2</v>
      </c>
      <c r="H13" s="152">
        <f>'Growth Rates'!H8</f>
        <v>2.4761821046176361E-2</v>
      </c>
      <c r="I13" s="152">
        <f>'Growth Rates'!I8</f>
        <v>4.4308104571972047E-2</v>
      </c>
      <c r="J13" s="152">
        <f>'Growth Rates'!J8</f>
        <v>7.0881254571550617E-2</v>
      </c>
      <c r="K13" s="152">
        <f>'Growth Rates'!K8</f>
        <v>0.10509494283876561</v>
      </c>
      <c r="L13" s="152">
        <f>'Growth Rates'!L8</f>
        <v>0.14600063151862577</v>
      </c>
      <c r="M13" s="152">
        <f>'Growth Rates'!M8</f>
        <v>0.19234777400272074</v>
      </c>
      <c r="N13" s="152">
        <f>'Growth Rates'!N8</f>
        <v>0.24437196668468711</v>
      </c>
      <c r="O13" s="152">
        <f>'Growth Rates'!O8</f>
        <v>0.30147679746424594</v>
      </c>
      <c r="P13" s="152">
        <f>'Growth Rates'!P8</f>
        <v>0.37097670183301612</v>
      </c>
      <c r="Q13" s="152">
        <f>'Growth Rates'!Q8</f>
        <v>1.8613310245223038E-3</v>
      </c>
      <c r="R13" s="152">
        <f>'Growth Rates'!R8</f>
        <v>1.0729354460064183E-2</v>
      </c>
      <c r="S13" s="152">
        <f>'Growth Rates'!S8</f>
        <v>2.4761821046176361E-2</v>
      </c>
      <c r="T13" s="152">
        <f>'Growth Rates'!T8</f>
        <v>4.4308104571972047E-2</v>
      </c>
      <c r="U13" s="152">
        <f>'Growth Rates'!U8</f>
        <v>7.0881254571550617E-2</v>
      </c>
      <c r="V13" s="152">
        <f>'Growth Rates'!V8</f>
        <v>0.10509494283876561</v>
      </c>
      <c r="W13" s="152">
        <f>'Growth Rates'!W8</f>
        <v>0.14600063151862577</v>
      </c>
      <c r="X13" s="152">
        <f>'Growth Rates'!X8</f>
        <v>0.19234777400272074</v>
      </c>
      <c r="Y13" s="152">
        <f>'Growth Rates'!Y8</f>
        <v>0.24437196668468711</v>
      </c>
      <c r="Z13" s="152">
        <f>'Growth Rates'!Z8</f>
        <v>0.30147679746424594</v>
      </c>
      <c r="AA13" s="152">
        <f>'Growth Rates'!AA8</f>
        <v>0.37097670183301612</v>
      </c>
      <c r="AB13" s="152">
        <f>'Growth Rates'!AB8</f>
        <v>1.8613310245223038E-3</v>
      </c>
      <c r="AC13" s="152">
        <f>'Growth Rates'!AC8</f>
        <v>1.0729354460064183E-2</v>
      </c>
      <c r="AD13" s="152">
        <f>'Growth Rates'!AD8</f>
        <v>2.4761821046176361E-2</v>
      </c>
      <c r="AE13" s="152">
        <f>'Growth Rates'!AE8</f>
        <v>4.4308104571972047E-2</v>
      </c>
      <c r="AF13" s="152">
        <f>'Growth Rates'!AF8</f>
        <v>7.0881254571550617E-2</v>
      </c>
      <c r="AG13" s="152">
        <f>'Growth Rates'!AG8</f>
        <v>0.10509494283876561</v>
      </c>
      <c r="AH13" s="152">
        <f>'Growth Rates'!AH8</f>
        <v>0.14600063151862577</v>
      </c>
      <c r="AI13" s="152">
        <f>'Growth Rates'!AI8</f>
        <v>0.19234777400272074</v>
      </c>
      <c r="AJ13" s="152">
        <f>'Growth Rates'!AJ8</f>
        <v>0.24437196668468711</v>
      </c>
      <c r="AK13" s="152">
        <f>'Growth Rates'!AK8</f>
        <v>0.30147679746424594</v>
      </c>
      <c r="AL13" s="152">
        <f>'Growth Rates'!AL8</f>
        <v>0.37097670183301612</v>
      </c>
      <c r="AM13" s="152">
        <f>'Growth Rates'!AM8</f>
        <v>1.8613310245223038E-3</v>
      </c>
      <c r="AN13" s="152">
        <f>'Growth Rates'!AN8</f>
        <v>1.0729354460064183E-2</v>
      </c>
      <c r="AO13" s="152">
        <f>'Growth Rates'!AO8</f>
        <v>2.4761821046176361E-2</v>
      </c>
      <c r="AP13" s="152">
        <f>'Growth Rates'!AP8</f>
        <v>4.4308104571972047E-2</v>
      </c>
      <c r="AQ13" s="152">
        <f>'Growth Rates'!AQ8</f>
        <v>7.0881254571550617E-2</v>
      </c>
      <c r="AR13" s="152">
        <f>'Growth Rates'!AR8</f>
        <v>0.10509494283876561</v>
      </c>
      <c r="AS13" s="152">
        <f>'Growth Rates'!AS8</f>
        <v>0.14600063151862577</v>
      </c>
      <c r="AT13" s="152">
        <f>'Growth Rates'!AT8</f>
        <v>0</v>
      </c>
      <c r="AU13" s="152">
        <f>'Growth Rates'!AU8</f>
        <v>0</v>
      </c>
      <c r="AV13" s="152">
        <f>'Growth Rates'!AV8</f>
        <v>0</v>
      </c>
      <c r="AW13" s="152">
        <f>'Growth Rates'!AW8</f>
        <v>0</v>
      </c>
      <c r="AX13" s="152">
        <f>'Growth Rates'!AX8</f>
        <v>0</v>
      </c>
      <c r="AY13" s="152">
        <f>'Growth Rates'!AY8</f>
        <v>0</v>
      </c>
      <c r="AZ13" s="152">
        <f>'Growth Rates'!AZ8</f>
        <v>0</v>
      </c>
      <c r="BA13" s="152">
        <f>'Growth Rates'!BA8</f>
        <v>0</v>
      </c>
    </row>
    <row r="14" spans="2:53">
      <c r="B14" s="157" t="s">
        <v>31</v>
      </c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</row>
    <row r="15" spans="2:53" s="152" customFormat="1" hidden="1">
      <c r="B15" s="154" t="s">
        <v>907</v>
      </c>
      <c r="C15" s="119" t="s">
        <v>908</v>
      </c>
      <c r="D15" s="119" t="s">
        <v>106</v>
      </c>
      <c r="E15" s="119"/>
      <c r="F15" s="119">
        <v>1</v>
      </c>
      <c r="G15" s="119">
        <v>2</v>
      </c>
      <c r="H15" s="119">
        <v>3</v>
      </c>
      <c r="I15" s="119">
        <v>4</v>
      </c>
      <c r="J15" s="119">
        <v>5</v>
      </c>
      <c r="K15" s="119">
        <v>6</v>
      </c>
      <c r="L15" s="119">
        <v>7</v>
      </c>
      <c r="M15" s="119">
        <v>8</v>
      </c>
      <c r="N15" s="119">
        <v>9</v>
      </c>
      <c r="O15" s="119">
        <v>10</v>
      </c>
      <c r="P15" s="119">
        <v>11</v>
      </c>
      <c r="Q15" s="119">
        <v>12</v>
      </c>
      <c r="R15" s="119">
        <v>13</v>
      </c>
      <c r="S15" s="119">
        <v>14</v>
      </c>
      <c r="T15" s="119">
        <v>15</v>
      </c>
      <c r="U15" s="119">
        <v>16</v>
      </c>
      <c r="V15" s="119">
        <v>17</v>
      </c>
      <c r="W15" s="119">
        <v>18</v>
      </c>
      <c r="X15" s="119">
        <v>19</v>
      </c>
      <c r="Y15" s="119">
        <v>20</v>
      </c>
      <c r="Z15" s="119">
        <v>21</v>
      </c>
      <c r="AA15" s="119">
        <v>22</v>
      </c>
      <c r="AB15" s="119">
        <v>23</v>
      </c>
      <c r="AC15" s="119">
        <v>24</v>
      </c>
      <c r="AD15" s="119">
        <v>25</v>
      </c>
      <c r="AE15" s="119">
        <v>26</v>
      </c>
      <c r="AF15" s="119">
        <v>27</v>
      </c>
      <c r="AG15" s="119">
        <v>28</v>
      </c>
      <c r="AH15" s="119">
        <v>29</v>
      </c>
      <c r="AI15" s="119">
        <v>30</v>
      </c>
      <c r="AJ15" s="119">
        <v>31</v>
      </c>
      <c r="AK15" s="119">
        <v>32</v>
      </c>
      <c r="AL15" s="119">
        <v>33</v>
      </c>
      <c r="AM15" s="119">
        <v>34</v>
      </c>
      <c r="AN15" s="119">
        <v>35</v>
      </c>
      <c r="AO15" s="119">
        <v>36</v>
      </c>
      <c r="AP15" s="119">
        <v>37</v>
      </c>
      <c r="AQ15" s="119">
        <v>38</v>
      </c>
      <c r="AR15" s="119">
        <v>39</v>
      </c>
      <c r="AS15" s="119">
        <v>40</v>
      </c>
      <c r="AT15" s="119">
        <v>41</v>
      </c>
      <c r="AU15" s="119">
        <v>42</v>
      </c>
      <c r="AV15" s="119">
        <v>43</v>
      </c>
      <c r="AW15" s="119">
        <v>44</v>
      </c>
      <c r="AX15" s="119">
        <v>45</v>
      </c>
      <c r="AY15" s="119">
        <v>46</v>
      </c>
      <c r="AZ15" s="119">
        <v>47</v>
      </c>
      <c r="BA15" s="119">
        <v>48</v>
      </c>
    </row>
    <row r="16" spans="2:53" hidden="1">
      <c r="B16" s="155" t="s">
        <v>909</v>
      </c>
      <c r="C16" s="118" t="s">
        <v>910</v>
      </c>
      <c r="D16" s="118" t="s">
        <v>911</v>
      </c>
      <c r="E16" s="118"/>
      <c r="F16" s="118">
        <v>1.1141199226305609E-2</v>
      </c>
      <c r="G16" s="118">
        <v>5.477756286266925E-2</v>
      </c>
      <c r="H16" s="118">
        <v>8.8201160541586082E-2</v>
      </c>
      <c r="I16" s="118">
        <v>0.1197678916827853</v>
      </c>
      <c r="J16" s="118">
        <v>0.15040618955512575</v>
      </c>
      <c r="K16" s="118">
        <v>0.17640232108317216</v>
      </c>
      <c r="L16" s="118">
        <v>0.200541586073501</v>
      </c>
      <c r="M16" s="118">
        <v>0.22282398452611221</v>
      </c>
      <c r="N16" s="118">
        <v>0.24232108317214704</v>
      </c>
      <c r="O16" s="118">
        <v>0.25903288201160546</v>
      </c>
      <c r="P16" s="118">
        <v>0.27388781431334619</v>
      </c>
      <c r="Q16" s="118">
        <v>0.29059961315280469</v>
      </c>
      <c r="R16" s="118">
        <v>0.30174081237911027</v>
      </c>
      <c r="S16" s="118">
        <v>0.3147388781431335</v>
      </c>
      <c r="T16" s="118">
        <f>+F16</f>
        <v>1.1141199226305609E-2</v>
      </c>
      <c r="U16" s="118">
        <f t="shared" ref="U16:AJ16" si="6">+G16</f>
        <v>5.477756286266925E-2</v>
      </c>
      <c r="V16" s="118">
        <f t="shared" si="6"/>
        <v>8.8201160541586082E-2</v>
      </c>
      <c r="W16" s="118">
        <f t="shared" si="6"/>
        <v>0.1197678916827853</v>
      </c>
      <c r="X16" s="118">
        <f t="shared" si="6"/>
        <v>0.15040618955512575</v>
      </c>
      <c r="Y16" s="118">
        <f t="shared" si="6"/>
        <v>0.17640232108317216</v>
      </c>
      <c r="Z16" s="118">
        <f t="shared" si="6"/>
        <v>0.200541586073501</v>
      </c>
      <c r="AA16" s="118">
        <f t="shared" si="6"/>
        <v>0.22282398452611221</v>
      </c>
      <c r="AB16" s="118">
        <f t="shared" si="6"/>
        <v>0.24232108317214704</v>
      </c>
      <c r="AC16" s="118">
        <f t="shared" si="6"/>
        <v>0.25903288201160546</v>
      </c>
      <c r="AD16" s="118">
        <f t="shared" si="6"/>
        <v>0.27388781431334619</v>
      </c>
      <c r="AE16" s="118">
        <f t="shared" si="6"/>
        <v>0.29059961315280469</v>
      </c>
      <c r="AF16" s="118">
        <f t="shared" si="6"/>
        <v>0.30174081237911027</v>
      </c>
      <c r="AG16" s="118">
        <f t="shared" si="6"/>
        <v>0.3147388781431335</v>
      </c>
      <c r="AH16" s="118">
        <f t="shared" si="6"/>
        <v>1.1141199226305609E-2</v>
      </c>
      <c r="AI16" s="118">
        <f t="shared" si="6"/>
        <v>5.477756286266925E-2</v>
      </c>
      <c r="AJ16" s="118">
        <f t="shared" si="6"/>
        <v>8.8201160541586082E-2</v>
      </c>
      <c r="AK16" s="118">
        <f t="shared" ref="AK16:AZ16" si="7">+W16</f>
        <v>0.1197678916827853</v>
      </c>
      <c r="AL16" s="118">
        <f t="shared" si="7"/>
        <v>0.15040618955512575</v>
      </c>
      <c r="AM16" s="118">
        <f t="shared" si="7"/>
        <v>0.17640232108317216</v>
      </c>
      <c r="AN16" s="118">
        <f t="shared" si="7"/>
        <v>0.200541586073501</v>
      </c>
      <c r="AO16" s="118">
        <f t="shared" si="7"/>
        <v>0.22282398452611221</v>
      </c>
      <c r="AP16" s="118">
        <f t="shared" si="7"/>
        <v>0.24232108317214704</v>
      </c>
      <c r="AQ16" s="118">
        <f t="shared" si="7"/>
        <v>0.25903288201160546</v>
      </c>
      <c r="AR16" s="118">
        <f t="shared" si="7"/>
        <v>0.27388781431334619</v>
      </c>
      <c r="AS16" s="118">
        <f t="shared" si="7"/>
        <v>0.29059961315280469</v>
      </c>
      <c r="AT16" s="118">
        <f t="shared" si="7"/>
        <v>0.30174081237911027</v>
      </c>
      <c r="AU16" s="118">
        <f t="shared" si="7"/>
        <v>0.3147388781431335</v>
      </c>
      <c r="AV16" s="118">
        <f t="shared" si="7"/>
        <v>1.1141199226305609E-2</v>
      </c>
      <c r="AW16" s="118">
        <f t="shared" si="7"/>
        <v>5.477756286266925E-2</v>
      </c>
      <c r="AX16" s="118">
        <f t="shared" si="7"/>
        <v>8.8201160541586082E-2</v>
      </c>
      <c r="AY16" s="118">
        <f t="shared" si="7"/>
        <v>0.1197678916827853</v>
      </c>
      <c r="AZ16" s="118">
        <f t="shared" si="7"/>
        <v>0.15040618955512575</v>
      </c>
      <c r="BA16" s="118">
        <f t="shared" ref="U16:BA17" si="8">+AM16</f>
        <v>0.17640232108317216</v>
      </c>
    </row>
    <row r="17" spans="2:53" hidden="1">
      <c r="B17" s="155" t="s">
        <v>912</v>
      </c>
      <c r="C17" s="118" t="s">
        <v>910</v>
      </c>
      <c r="D17" s="118" t="s">
        <v>911</v>
      </c>
      <c r="E17" s="118"/>
      <c r="F17" s="118">
        <v>2.7852998065764022E-3</v>
      </c>
      <c r="G17" s="118">
        <v>1.3926499032882013E-2</v>
      </c>
      <c r="H17" s="118">
        <v>2.2282398452611218E-2</v>
      </c>
      <c r="I17" s="118">
        <v>2.9709864603481628E-2</v>
      </c>
      <c r="J17" s="118">
        <v>3.7137330754352035E-2</v>
      </c>
      <c r="K17" s="118">
        <v>4.4564796905222435E-2</v>
      </c>
      <c r="L17" s="118">
        <v>5.0135396518375251E-2</v>
      </c>
      <c r="M17" s="118">
        <v>5.5705996131528053E-2</v>
      </c>
      <c r="N17" s="118">
        <v>6.0348162475822059E-2</v>
      </c>
      <c r="O17" s="118">
        <v>6.4990328820116058E-2</v>
      </c>
      <c r="P17" s="118">
        <v>6.8704061895551269E-2</v>
      </c>
      <c r="Q17" s="118">
        <v>7.2417794970986465E-2</v>
      </c>
      <c r="R17" s="118">
        <v>7.5203094777562873E-2</v>
      </c>
      <c r="S17" s="118">
        <v>7.8916827852998084E-2</v>
      </c>
      <c r="T17" s="118">
        <f>+F17</f>
        <v>2.7852998065764022E-3</v>
      </c>
      <c r="U17" s="118">
        <f t="shared" si="8"/>
        <v>1.3926499032882013E-2</v>
      </c>
      <c r="V17" s="118">
        <f t="shared" si="8"/>
        <v>2.2282398452611218E-2</v>
      </c>
      <c r="W17" s="118">
        <f t="shared" si="8"/>
        <v>2.9709864603481628E-2</v>
      </c>
      <c r="X17" s="118">
        <f t="shared" si="8"/>
        <v>3.7137330754352035E-2</v>
      </c>
      <c r="Y17" s="118">
        <f t="shared" si="8"/>
        <v>4.4564796905222435E-2</v>
      </c>
      <c r="Z17" s="118">
        <f t="shared" si="8"/>
        <v>5.0135396518375251E-2</v>
      </c>
      <c r="AA17" s="118">
        <f t="shared" si="8"/>
        <v>5.5705996131528053E-2</v>
      </c>
      <c r="AB17" s="118">
        <f t="shared" si="8"/>
        <v>6.0348162475822059E-2</v>
      </c>
      <c r="AC17" s="118">
        <f t="shared" si="8"/>
        <v>6.4990328820116058E-2</v>
      </c>
      <c r="AD17" s="118">
        <f t="shared" si="8"/>
        <v>6.8704061895551269E-2</v>
      </c>
      <c r="AE17" s="118">
        <f t="shared" si="8"/>
        <v>7.2417794970986465E-2</v>
      </c>
      <c r="AF17" s="118">
        <f t="shared" si="8"/>
        <v>7.5203094777562873E-2</v>
      </c>
      <c r="AG17" s="118">
        <f t="shared" si="8"/>
        <v>7.8916827852998084E-2</v>
      </c>
      <c r="AH17" s="118">
        <f t="shared" si="8"/>
        <v>2.7852998065764022E-3</v>
      </c>
      <c r="AI17" s="118">
        <f t="shared" si="8"/>
        <v>1.3926499032882013E-2</v>
      </c>
      <c r="AJ17" s="118">
        <f t="shared" si="8"/>
        <v>2.2282398452611218E-2</v>
      </c>
      <c r="AK17" s="118">
        <f t="shared" si="8"/>
        <v>2.9709864603481628E-2</v>
      </c>
      <c r="AL17" s="118">
        <f t="shared" si="8"/>
        <v>3.7137330754352035E-2</v>
      </c>
      <c r="AM17" s="118">
        <f t="shared" si="8"/>
        <v>4.4564796905222435E-2</v>
      </c>
      <c r="AN17" s="118">
        <f t="shared" si="8"/>
        <v>5.0135396518375251E-2</v>
      </c>
      <c r="AO17" s="118">
        <f t="shared" si="8"/>
        <v>5.5705996131528053E-2</v>
      </c>
      <c r="AP17" s="118">
        <f t="shared" si="8"/>
        <v>6.0348162475822059E-2</v>
      </c>
      <c r="AQ17" s="118">
        <f t="shared" si="8"/>
        <v>6.4990328820116058E-2</v>
      </c>
      <c r="AR17" s="118">
        <f t="shared" si="8"/>
        <v>6.8704061895551269E-2</v>
      </c>
      <c r="AS17" s="118">
        <f t="shared" si="8"/>
        <v>7.2417794970986465E-2</v>
      </c>
      <c r="AT17" s="118">
        <f t="shared" si="8"/>
        <v>7.5203094777562873E-2</v>
      </c>
      <c r="AU17" s="118">
        <f t="shared" si="8"/>
        <v>7.8916827852998084E-2</v>
      </c>
      <c r="AV17" s="118">
        <f t="shared" si="8"/>
        <v>2.7852998065764022E-3</v>
      </c>
      <c r="AW17" s="118">
        <f t="shared" si="8"/>
        <v>1.3926499032882013E-2</v>
      </c>
      <c r="AX17" s="118">
        <f t="shared" si="8"/>
        <v>2.2282398452611218E-2</v>
      </c>
      <c r="AY17" s="118">
        <f t="shared" si="8"/>
        <v>2.9709864603481628E-2</v>
      </c>
      <c r="AZ17" s="118">
        <f t="shared" si="8"/>
        <v>3.7137330754352035E-2</v>
      </c>
      <c r="BA17" s="118">
        <f t="shared" si="8"/>
        <v>4.4564796905222435E-2</v>
      </c>
    </row>
    <row r="18" spans="2:53" ht="16.5" hidden="1" customHeight="1">
      <c r="B18" s="155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</row>
    <row r="19" spans="2:53" s="152" customFormat="1">
      <c r="B19" s="154" t="s">
        <v>915</v>
      </c>
      <c r="C19" s="119"/>
      <c r="D19" s="119"/>
      <c r="E19" s="119"/>
      <c r="F19" s="152">
        <f>'Growth Rates'!F9</f>
        <v>3.0424305838419696E-3</v>
      </c>
      <c r="G19" s="152">
        <f>'Growth Rates'!G9</f>
        <v>1.7733488643563812E-2</v>
      </c>
      <c r="H19" s="152">
        <f>'Growth Rates'!H9</f>
        <v>4.031407695233348E-2</v>
      </c>
      <c r="I19" s="152">
        <f>'Growth Rates'!I9</f>
        <v>7.2387966132038822E-2</v>
      </c>
      <c r="J19" s="152">
        <f>'Growth Rates'!J9</f>
        <v>0.11667541327347526</v>
      </c>
      <c r="K19" s="152">
        <f>'Growth Rates'!K9</f>
        <v>0.17259988866951723</v>
      </c>
      <c r="L19" s="152">
        <f>'Growth Rates'!L9</f>
        <v>0.23805453939324267</v>
      </c>
      <c r="M19" s="152">
        <f>'Growth Rates'!M9</f>
        <v>0.32475378247498388</v>
      </c>
      <c r="N19" s="152">
        <f>'Growth Rates'!N9</f>
        <v>0.4287694636940993</v>
      </c>
      <c r="O19" s="152">
        <f>'Growth Rates'!O9</f>
        <v>0.54907295246839283</v>
      </c>
      <c r="P19" s="152">
        <f>'Growth Rates'!P9</f>
        <v>0.68512768190617646</v>
      </c>
      <c r="Q19" s="152">
        <f>'Growth Rates'!Q9</f>
        <v>0.83035492647679388</v>
      </c>
      <c r="R19" s="152">
        <f>'Growth Rates'!R9</f>
        <v>0.97983187735160149</v>
      </c>
      <c r="S19" s="152">
        <f>'Growth Rates'!S9</f>
        <v>1.1404464420195264</v>
      </c>
      <c r="T19" s="152">
        <f>'Growth Rates'!T9</f>
        <v>1.3129332224879684</v>
      </c>
      <c r="U19" s="152">
        <f>'Growth Rates'!U9</f>
        <v>3.0424305838419696E-3</v>
      </c>
      <c r="V19" s="152">
        <f>'Growth Rates'!V9</f>
        <v>1.7733488643563812E-2</v>
      </c>
      <c r="W19" s="152">
        <f>'Growth Rates'!W9</f>
        <v>4.031407695233348E-2</v>
      </c>
      <c r="X19" s="152">
        <f>'Growth Rates'!X9</f>
        <v>7.2387966132038822E-2</v>
      </c>
      <c r="Y19" s="152">
        <f>'Growth Rates'!Y9</f>
        <v>0.11667541327347526</v>
      </c>
      <c r="Z19" s="152">
        <f>'Growth Rates'!Z9</f>
        <v>0.17259988866951723</v>
      </c>
      <c r="AA19" s="152">
        <f>'Growth Rates'!AA9</f>
        <v>0.23805453939324267</v>
      </c>
      <c r="AB19" s="152">
        <f>'Growth Rates'!AB9</f>
        <v>0.32475378247498388</v>
      </c>
      <c r="AC19" s="152">
        <f>'Growth Rates'!AC9</f>
        <v>0.4287694636940993</v>
      </c>
      <c r="AD19" s="152">
        <f>'Growth Rates'!AD9</f>
        <v>0.54907295246839283</v>
      </c>
      <c r="AE19" s="152">
        <f>'Growth Rates'!AE9</f>
        <v>0.68512768190617646</v>
      </c>
      <c r="AF19" s="152">
        <f>'Growth Rates'!AF9</f>
        <v>0.83035492647679388</v>
      </c>
      <c r="AG19" s="152">
        <f>'Growth Rates'!AG9</f>
        <v>0.97983187735160149</v>
      </c>
      <c r="AH19" s="152">
        <f>'Growth Rates'!AH9</f>
        <v>1.1404464420195264</v>
      </c>
      <c r="AI19" s="152">
        <f>'Growth Rates'!AI9</f>
        <v>1.3129332224879684</v>
      </c>
      <c r="AJ19" s="152">
        <f>'Growth Rates'!AJ9</f>
        <v>3.0424305838419696E-3</v>
      </c>
      <c r="AK19" s="152">
        <f>'Growth Rates'!AK9</f>
        <v>1.7733488643563812E-2</v>
      </c>
      <c r="AL19" s="152">
        <f>'Growth Rates'!AL9</f>
        <v>4.031407695233348E-2</v>
      </c>
      <c r="AM19" s="152">
        <f>'Growth Rates'!AM9</f>
        <v>7.2387966132038822E-2</v>
      </c>
      <c r="AN19" s="152">
        <f>'Growth Rates'!AN9</f>
        <v>0.11667541327347526</v>
      </c>
      <c r="AO19" s="152">
        <f>'Growth Rates'!AO9</f>
        <v>0.17259988866951723</v>
      </c>
      <c r="AP19" s="152">
        <f>'Growth Rates'!AP9</f>
        <v>0.23805453939324267</v>
      </c>
      <c r="AQ19" s="152">
        <f>'Growth Rates'!AQ9</f>
        <v>0.32475378247498388</v>
      </c>
      <c r="AR19" s="152">
        <f>'Growth Rates'!AR9</f>
        <v>0.4287694636940993</v>
      </c>
      <c r="AS19" s="152">
        <f>'Growth Rates'!AS9</f>
        <v>0.54907295246839283</v>
      </c>
      <c r="AT19" s="152">
        <f>'Growth Rates'!AT9</f>
        <v>0</v>
      </c>
      <c r="AU19" s="152">
        <f>'Growth Rates'!AU9</f>
        <v>0</v>
      </c>
      <c r="AV19" s="152">
        <f>'Growth Rates'!AV9</f>
        <v>0</v>
      </c>
      <c r="AW19" s="152">
        <f>'Growth Rates'!AW9</f>
        <v>0</v>
      </c>
      <c r="AX19" s="152">
        <f>'Growth Rates'!AX9</f>
        <v>0</v>
      </c>
      <c r="AY19" s="152">
        <f>'Growth Rates'!AY9</f>
        <v>0</v>
      </c>
      <c r="AZ19" s="152">
        <f>'Growth Rates'!AZ9</f>
        <v>0</v>
      </c>
      <c r="BA19" s="152">
        <f>'Growth Rates'!BA9</f>
        <v>0</v>
      </c>
    </row>
    <row r="20" spans="2:53">
      <c r="B20" s="22" t="s">
        <v>916</v>
      </c>
    </row>
    <row r="21" spans="2:53" hidden="1">
      <c r="B21" s="156"/>
      <c r="L21" s="120"/>
    </row>
    <row r="22" spans="2:53" s="152" customFormat="1" hidden="1">
      <c r="B22" s="154" t="s">
        <v>907</v>
      </c>
      <c r="C22" s="119" t="s">
        <v>908</v>
      </c>
      <c r="D22" s="119" t="s">
        <v>106</v>
      </c>
      <c r="E22" s="119"/>
      <c r="F22" s="119">
        <v>1</v>
      </c>
      <c r="G22" s="119">
        <v>2</v>
      </c>
      <c r="H22" s="119">
        <v>3</v>
      </c>
      <c r="I22" s="119">
        <v>4</v>
      </c>
      <c r="J22" s="119">
        <v>5</v>
      </c>
      <c r="K22" s="119">
        <v>6</v>
      </c>
      <c r="L22" s="119">
        <v>7</v>
      </c>
      <c r="M22" s="119">
        <v>8</v>
      </c>
      <c r="N22" s="119">
        <v>9</v>
      </c>
      <c r="O22" s="119">
        <v>10</v>
      </c>
      <c r="P22" s="119">
        <v>11</v>
      </c>
      <c r="Q22" s="119">
        <v>12</v>
      </c>
      <c r="R22" s="119">
        <v>13</v>
      </c>
      <c r="S22" s="119">
        <v>14</v>
      </c>
      <c r="T22" s="119">
        <v>15</v>
      </c>
      <c r="U22" s="119">
        <v>16</v>
      </c>
      <c r="V22" s="119">
        <v>17</v>
      </c>
      <c r="W22" s="119">
        <v>18</v>
      </c>
      <c r="X22" s="119">
        <v>19</v>
      </c>
      <c r="Y22" s="119">
        <v>20</v>
      </c>
      <c r="Z22" s="119">
        <v>21</v>
      </c>
      <c r="AA22" s="119">
        <v>22</v>
      </c>
      <c r="AB22" s="119">
        <v>23</v>
      </c>
      <c r="AC22" s="119">
        <v>24</v>
      </c>
      <c r="AD22" s="119">
        <v>25</v>
      </c>
      <c r="AE22" s="119">
        <v>26</v>
      </c>
      <c r="AF22" s="119">
        <v>27</v>
      </c>
      <c r="AG22" s="119">
        <v>28</v>
      </c>
      <c r="AH22" s="119">
        <v>29</v>
      </c>
      <c r="AI22" s="119">
        <v>30</v>
      </c>
      <c r="AJ22" s="119">
        <v>31</v>
      </c>
      <c r="AK22" s="119">
        <v>32</v>
      </c>
      <c r="AL22" s="119">
        <v>33</v>
      </c>
      <c r="AM22" s="119">
        <v>34</v>
      </c>
      <c r="AN22" s="119">
        <v>35</v>
      </c>
      <c r="AO22" s="119">
        <v>36</v>
      </c>
      <c r="AP22" s="119">
        <v>37</v>
      </c>
      <c r="AQ22" s="119">
        <v>38</v>
      </c>
      <c r="AR22" s="119">
        <v>39</v>
      </c>
      <c r="AS22" s="119">
        <v>40</v>
      </c>
      <c r="AT22" s="119">
        <v>41</v>
      </c>
      <c r="AU22" s="119">
        <v>42</v>
      </c>
      <c r="AV22" s="119">
        <v>43</v>
      </c>
      <c r="AW22" s="119">
        <v>44</v>
      </c>
      <c r="AX22" s="119">
        <v>45</v>
      </c>
      <c r="AY22" s="119">
        <v>46</v>
      </c>
      <c r="AZ22" s="119">
        <v>47</v>
      </c>
      <c r="BA22" s="119">
        <v>48</v>
      </c>
    </row>
    <row r="23" spans="2:53" s="118" customFormat="1" hidden="1">
      <c r="B23" s="155" t="s">
        <v>909</v>
      </c>
      <c r="C23" s="118" t="s">
        <v>910</v>
      </c>
      <c r="D23" s="118" t="s">
        <v>911</v>
      </c>
      <c r="F23" s="117">
        <v>1.7408123791102514E-4</v>
      </c>
      <c r="G23" s="117">
        <v>4.8742746615087042E-3</v>
      </c>
      <c r="H23" s="117">
        <v>9.2843326885880088E-3</v>
      </c>
      <c r="I23" s="117">
        <v>1.3926499032882013E-2</v>
      </c>
      <c r="J23" s="117">
        <v>1.8800773694390718E-2</v>
      </c>
      <c r="K23" s="117">
        <v>2.3442940038684721E-2</v>
      </c>
      <c r="L23" s="117">
        <f>+K23</f>
        <v>2.3442940038684721E-2</v>
      </c>
      <c r="M23" s="117">
        <f t="shared" ref="M23:BA24" si="9">+L23</f>
        <v>2.3442940038684721E-2</v>
      </c>
      <c r="N23" s="117">
        <f t="shared" si="9"/>
        <v>2.3442940038684721E-2</v>
      </c>
      <c r="O23" s="117">
        <f t="shared" si="9"/>
        <v>2.3442940038684721E-2</v>
      </c>
      <c r="P23" s="117">
        <f t="shared" si="9"/>
        <v>2.3442940038684721E-2</v>
      </c>
      <c r="Q23" s="117">
        <f t="shared" si="9"/>
        <v>2.3442940038684721E-2</v>
      </c>
      <c r="R23" s="117">
        <f t="shared" si="9"/>
        <v>2.3442940038684721E-2</v>
      </c>
      <c r="S23" s="117">
        <f t="shared" si="9"/>
        <v>2.3442940038684721E-2</v>
      </c>
      <c r="T23" s="117">
        <f t="shared" si="9"/>
        <v>2.3442940038684721E-2</v>
      </c>
      <c r="U23" s="117">
        <f t="shared" si="9"/>
        <v>2.3442940038684721E-2</v>
      </c>
      <c r="V23" s="117">
        <f t="shared" si="9"/>
        <v>2.3442940038684721E-2</v>
      </c>
      <c r="W23" s="117">
        <f t="shared" si="9"/>
        <v>2.3442940038684721E-2</v>
      </c>
      <c r="X23" s="117">
        <f t="shared" si="9"/>
        <v>2.3442940038684721E-2</v>
      </c>
      <c r="Y23" s="117">
        <f t="shared" si="9"/>
        <v>2.3442940038684721E-2</v>
      </c>
      <c r="Z23" s="117">
        <f t="shared" si="9"/>
        <v>2.3442940038684721E-2</v>
      </c>
      <c r="AA23" s="117">
        <f t="shared" si="9"/>
        <v>2.3442940038684721E-2</v>
      </c>
      <c r="AB23" s="117">
        <f t="shared" si="9"/>
        <v>2.3442940038684721E-2</v>
      </c>
      <c r="AC23" s="117">
        <f t="shared" si="9"/>
        <v>2.3442940038684721E-2</v>
      </c>
      <c r="AD23" s="117">
        <f t="shared" si="9"/>
        <v>2.3442940038684721E-2</v>
      </c>
      <c r="AE23" s="117">
        <f t="shared" si="9"/>
        <v>2.3442940038684721E-2</v>
      </c>
      <c r="AF23" s="117">
        <f t="shared" si="9"/>
        <v>2.3442940038684721E-2</v>
      </c>
      <c r="AG23" s="117">
        <f t="shared" si="9"/>
        <v>2.3442940038684721E-2</v>
      </c>
      <c r="AH23" s="117">
        <f t="shared" si="9"/>
        <v>2.3442940038684721E-2</v>
      </c>
      <c r="AI23" s="117">
        <f t="shared" si="9"/>
        <v>2.3442940038684721E-2</v>
      </c>
      <c r="AJ23" s="117">
        <f t="shared" si="9"/>
        <v>2.3442940038684721E-2</v>
      </c>
      <c r="AK23" s="117">
        <f t="shared" si="9"/>
        <v>2.3442940038684721E-2</v>
      </c>
      <c r="AL23" s="117">
        <f t="shared" si="9"/>
        <v>2.3442940038684721E-2</v>
      </c>
      <c r="AM23" s="117">
        <f t="shared" si="9"/>
        <v>2.3442940038684721E-2</v>
      </c>
      <c r="AN23" s="117">
        <f t="shared" si="9"/>
        <v>2.3442940038684721E-2</v>
      </c>
      <c r="AO23" s="117">
        <f t="shared" si="9"/>
        <v>2.3442940038684721E-2</v>
      </c>
      <c r="AP23" s="117">
        <f t="shared" si="9"/>
        <v>2.3442940038684721E-2</v>
      </c>
      <c r="AQ23" s="117">
        <f t="shared" si="9"/>
        <v>2.3442940038684721E-2</v>
      </c>
      <c r="AR23" s="117">
        <f t="shared" si="9"/>
        <v>2.3442940038684721E-2</v>
      </c>
      <c r="AS23" s="117">
        <f t="shared" si="9"/>
        <v>2.3442940038684721E-2</v>
      </c>
      <c r="AT23" s="117">
        <f t="shared" si="9"/>
        <v>2.3442940038684721E-2</v>
      </c>
      <c r="AU23" s="117">
        <f t="shared" si="9"/>
        <v>2.3442940038684721E-2</v>
      </c>
      <c r="AV23" s="117">
        <f t="shared" si="9"/>
        <v>2.3442940038684721E-2</v>
      </c>
      <c r="AW23" s="117">
        <f t="shared" si="9"/>
        <v>2.3442940038684721E-2</v>
      </c>
      <c r="AX23" s="117">
        <f t="shared" si="9"/>
        <v>2.3442940038684721E-2</v>
      </c>
      <c r="AY23" s="117">
        <f t="shared" si="9"/>
        <v>2.3442940038684721E-2</v>
      </c>
      <c r="AZ23" s="117">
        <f t="shared" si="9"/>
        <v>2.3442940038684721E-2</v>
      </c>
      <c r="BA23" s="117">
        <f t="shared" si="9"/>
        <v>2.3442940038684721E-2</v>
      </c>
    </row>
    <row r="24" spans="2:53" s="118" customFormat="1" hidden="1">
      <c r="B24" s="155" t="s">
        <v>912</v>
      </c>
      <c r="C24" s="118" t="s">
        <v>910</v>
      </c>
      <c r="D24" s="118" t="s">
        <v>911</v>
      </c>
      <c r="F24" s="117">
        <v>5.8027079303675055E-5</v>
      </c>
      <c r="G24" s="117">
        <v>2.9013539651837528E-4</v>
      </c>
      <c r="H24" s="117">
        <v>5.8027079303675055E-4</v>
      </c>
      <c r="I24" s="117">
        <v>8.7040618955512583E-4</v>
      </c>
      <c r="J24" s="117">
        <v>1.1605415860735011E-3</v>
      </c>
      <c r="K24" s="117">
        <v>1.4506769825918765E-3</v>
      </c>
      <c r="L24" s="117">
        <f>+K24</f>
        <v>1.4506769825918765E-3</v>
      </c>
      <c r="M24" s="117">
        <f t="shared" si="9"/>
        <v>1.4506769825918765E-3</v>
      </c>
      <c r="N24" s="117">
        <f t="shared" si="9"/>
        <v>1.4506769825918765E-3</v>
      </c>
      <c r="O24" s="117">
        <f t="shared" si="9"/>
        <v>1.4506769825918765E-3</v>
      </c>
      <c r="P24" s="117">
        <f t="shared" si="9"/>
        <v>1.4506769825918765E-3</v>
      </c>
      <c r="Q24" s="117">
        <f t="shared" si="9"/>
        <v>1.4506769825918765E-3</v>
      </c>
      <c r="R24" s="117">
        <f t="shared" si="9"/>
        <v>1.4506769825918765E-3</v>
      </c>
      <c r="S24" s="117">
        <f t="shared" si="9"/>
        <v>1.4506769825918765E-3</v>
      </c>
      <c r="T24" s="117">
        <f t="shared" si="9"/>
        <v>1.4506769825918765E-3</v>
      </c>
      <c r="U24" s="117">
        <f t="shared" si="9"/>
        <v>1.4506769825918765E-3</v>
      </c>
      <c r="V24" s="117">
        <f t="shared" si="9"/>
        <v>1.4506769825918765E-3</v>
      </c>
      <c r="W24" s="117">
        <f t="shared" si="9"/>
        <v>1.4506769825918765E-3</v>
      </c>
      <c r="X24" s="117">
        <f t="shared" si="9"/>
        <v>1.4506769825918765E-3</v>
      </c>
      <c r="Y24" s="117">
        <f t="shared" si="9"/>
        <v>1.4506769825918765E-3</v>
      </c>
      <c r="Z24" s="117">
        <f t="shared" si="9"/>
        <v>1.4506769825918765E-3</v>
      </c>
      <c r="AA24" s="117">
        <f t="shared" si="9"/>
        <v>1.4506769825918765E-3</v>
      </c>
      <c r="AB24" s="117">
        <f t="shared" si="9"/>
        <v>1.4506769825918765E-3</v>
      </c>
      <c r="AC24" s="117">
        <f t="shared" si="9"/>
        <v>1.4506769825918765E-3</v>
      </c>
      <c r="AD24" s="117">
        <f t="shared" si="9"/>
        <v>1.4506769825918765E-3</v>
      </c>
      <c r="AE24" s="117">
        <f t="shared" si="9"/>
        <v>1.4506769825918765E-3</v>
      </c>
      <c r="AF24" s="117">
        <f t="shared" si="9"/>
        <v>1.4506769825918765E-3</v>
      </c>
      <c r="AG24" s="117">
        <f t="shared" si="9"/>
        <v>1.4506769825918765E-3</v>
      </c>
      <c r="AH24" s="117">
        <f t="shared" si="9"/>
        <v>1.4506769825918765E-3</v>
      </c>
      <c r="AI24" s="117">
        <f t="shared" si="9"/>
        <v>1.4506769825918765E-3</v>
      </c>
      <c r="AJ24" s="117">
        <f t="shared" si="9"/>
        <v>1.4506769825918765E-3</v>
      </c>
      <c r="AK24" s="117">
        <f t="shared" si="9"/>
        <v>1.4506769825918765E-3</v>
      </c>
      <c r="AL24" s="117">
        <f t="shared" si="9"/>
        <v>1.4506769825918765E-3</v>
      </c>
      <c r="AM24" s="117">
        <f t="shared" si="9"/>
        <v>1.4506769825918765E-3</v>
      </c>
      <c r="AN24" s="117">
        <f t="shared" si="9"/>
        <v>1.4506769825918765E-3</v>
      </c>
      <c r="AO24" s="117">
        <f t="shared" si="9"/>
        <v>1.4506769825918765E-3</v>
      </c>
      <c r="AP24" s="117">
        <f t="shared" si="9"/>
        <v>1.4506769825918765E-3</v>
      </c>
      <c r="AQ24" s="117">
        <f t="shared" si="9"/>
        <v>1.4506769825918765E-3</v>
      </c>
      <c r="AR24" s="117">
        <f t="shared" si="9"/>
        <v>1.4506769825918765E-3</v>
      </c>
      <c r="AS24" s="117">
        <f t="shared" si="9"/>
        <v>1.4506769825918765E-3</v>
      </c>
      <c r="AT24" s="117">
        <f t="shared" si="9"/>
        <v>1.4506769825918765E-3</v>
      </c>
      <c r="AU24" s="117">
        <f t="shared" si="9"/>
        <v>1.4506769825918765E-3</v>
      </c>
      <c r="AV24" s="117">
        <f t="shared" si="9"/>
        <v>1.4506769825918765E-3</v>
      </c>
      <c r="AW24" s="117">
        <f t="shared" si="9"/>
        <v>1.4506769825918765E-3</v>
      </c>
      <c r="AX24" s="117">
        <f t="shared" si="9"/>
        <v>1.4506769825918765E-3</v>
      </c>
      <c r="AY24" s="117">
        <f t="shared" si="9"/>
        <v>1.4506769825918765E-3</v>
      </c>
      <c r="AZ24" s="117">
        <f t="shared" si="9"/>
        <v>1.4506769825918765E-3</v>
      </c>
      <c r="BA24" s="117">
        <f t="shared" si="9"/>
        <v>1.4506769825918765E-3</v>
      </c>
    </row>
    <row r="25" spans="2:53" s="118" customFormat="1" ht="13.5" hidden="1">
      <c r="B25" s="155"/>
    </row>
    <row r="26" spans="2:53" s="152" customFormat="1">
      <c r="B26" s="24" t="s">
        <v>8</v>
      </c>
      <c r="C26" s="119"/>
      <c r="D26" s="119"/>
      <c r="E26" s="119"/>
      <c r="F26" s="152">
        <f>'Growth Rates'!F10</f>
        <v>1.0321464225419271E-3</v>
      </c>
      <c r="G26" s="152">
        <f>'Growth Rates'!G10</f>
        <v>6.0115270203998138E-3</v>
      </c>
      <c r="H26" s="152">
        <f>'Growth Rates'!H10</f>
        <v>1.2624529676011353E-2</v>
      </c>
      <c r="I26" s="152">
        <f>'Growth Rates'!I10</f>
        <v>2.2486877793298381E-2</v>
      </c>
      <c r="J26" s="152">
        <f>'Growth Rates'!J10</f>
        <v>3.6929456729391061E-2</v>
      </c>
      <c r="K26" s="152">
        <f>'Growth Rates'!K10</f>
        <v>5.5735041105005399E-2</v>
      </c>
      <c r="L26" s="152">
        <f>'Growth Rates'!L10</f>
        <v>5.5735041105005399E-2</v>
      </c>
      <c r="M26" s="152">
        <f>'Growth Rates'!M10</f>
        <v>5.5735041105005399E-2</v>
      </c>
      <c r="N26" s="152">
        <f>'Growth Rates'!N10</f>
        <v>5.5735041105005399E-2</v>
      </c>
      <c r="O26" s="152">
        <f>'Growth Rates'!O10</f>
        <v>5.5735041105005399E-2</v>
      </c>
      <c r="P26" s="152">
        <f>'Growth Rates'!P10</f>
        <v>5.5735041105005399E-2</v>
      </c>
      <c r="Q26" s="152">
        <f>'Growth Rates'!Q10</f>
        <v>5.5735041105005399E-2</v>
      </c>
      <c r="R26" s="152">
        <f>'Growth Rates'!R10</f>
        <v>5.5735041105005399E-2</v>
      </c>
      <c r="S26" s="152">
        <f>'Growth Rates'!S10</f>
        <v>5.5735041105005399E-2</v>
      </c>
      <c r="T26" s="152">
        <f>'Growth Rates'!T10</f>
        <v>5.5735041105005399E-2</v>
      </c>
      <c r="U26" s="152">
        <f>'Growth Rates'!U10</f>
        <v>5.5735041105005399E-2</v>
      </c>
      <c r="V26" s="152">
        <f>'Growth Rates'!V10</f>
        <v>5.5735041105005399E-2</v>
      </c>
      <c r="W26" s="152">
        <f>'Growth Rates'!W10</f>
        <v>5.5735041105005399E-2</v>
      </c>
      <c r="X26" s="152">
        <f>'Growth Rates'!X10</f>
        <v>5.5735041105005399E-2</v>
      </c>
      <c r="Y26" s="152">
        <f>'Growth Rates'!Y10</f>
        <v>5.5735041105005399E-2</v>
      </c>
      <c r="Z26" s="152">
        <f>'Growth Rates'!Z10</f>
        <v>5.5735041105005399E-2</v>
      </c>
      <c r="AA26" s="152">
        <f>'Growth Rates'!AA10</f>
        <v>5.5735041105005399E-2</v>
      </c>
      <c r="AB26" s="152">
        <f>'Growth Rates'!AB10</f>
        <v>5.5735041105005399E-2</v>
      </c>
      <c r="AC26" s="152">
        <f>'Growth Rates'!AC10</f>
        <v>5.5735041105005399E-2</v>
      </c>
      <c r="AD26" s="152">
        <f>'Growth Rates'!AD10</f>
        <v>5.5735041105005399E-2</v>
      </c>
      <c r="AE26" s="152">
        <f>'Growth Rates'!AE10</f>
        <v>5.5735041105005399E-2</v>
      </c>
      <c r="AF26" s="152">
        <f>'Growth Rates'!AF10</f>
        <v>5.5735041105005399E-2</v>
      </c>
      <c r="AG26" s="152">
        <f>'Growth Rates'!AG10</f>
        <v>5.5735041105005399E-2</v>
      </c>
      <c r="AH26" s="152">
        <f>'Growth Rates'!AH10</f>
        <v>5.5735041105005399E-2</v>
      </c>
      <c r="AI26" s="152">
        <f>'Growth Rates'!AI10</f>
        <v>5.5735041105005399E-2</v>
      </c>
      <c r="AJ26" s="152">
        <f>'Growth Rates'!AJ10</f>
        <v>5.5735041105005399E-2</v>
      </c>
      <c r="AK26" s="152">
        <f>'Growth Rates'!AK10</f>
        <v>5.5735041105005399E-2</v>
      </c>
      <c r="AL26" s="152">
        <f>'Growth Rates'!AL10</f>
        <v>5.5735041105005399E-2</v>
      </c>
      <c r="AM26" s="152">
        <f>'Growth Rates'!AM10</f>
        <v>5.5735041105005399E-2</v>
      </c>
      <c r="AN26" s="152">
        <f>'Growth Rates'!AN10</f>
        <v>5.5735041105005399E-2</v>
      </c>
      <c r="AO26" s="152">
        <f>'Growth Rates'!AO10</f>
        <v>5.5735041105005399E-2</v>
      </c>
      <c r="AP26" s="152">
        <f>'Growth Rates'!AP10</f>
        <v>5.5735041105005399E-2</v>
      </c>
      <c r="AQ26" s="152">
        <f>'Growth Rates'!AQ10</f>
        <v>5.5735041105005399E-2</v>
      </c>
      <c r="AR26" s="152">
        <f>'Growth Rates'!AR10</f>
        <v>5.5735041105005399E-2</v>
      </c>
      <c r="AS26" s="152">
        <f>'Growth Rates'!AS10</f>
        <v>5.5735041105005399E-2</v>
      </c>
      <c r="AT26" s="152">
        <f>'Growth Rates'!AT10</f>
        <v>0</v>
      </c>
      <c r="AU26" s="152">
        <f>'Growth Rates'!AU10</f>
        <v>0</v>
      </c>
      <c r="AV26" s="152">
        <f>'Growth Rates'!AV10</f>
        <v>0</v>
      </c>
      <c r="AW26" s="152">
        <f>'Growth Rates'!AW10</f>
        <v>0</v>
      </c>
      <c r="AX26" s="152">
        <f>'Growth Rates'!AX10</f>
        <v>0</v>
      </c>
      <c r="AY26" s="152">
        <f>'Growth Rates'!AY10</f>
        <v>0</v>
      </c>
      <c r="AZ26" s="152">
        <f>'Growth Rates'!AZ10</f>
        <v>0</v>
      </c>
      <c r="BA26" s="152">
        <f>'Growth Rates'!BA10</f>
        <v>0</v>
      </c>
    </row>
    <row r="27" spans="2:53">
      <c r="B27" s="153" t="s">
        <v>917</v>
      </c>
    </row>
    <row r="28" spans="2:53" hidden="1">
      <c r="B28" s="154" t="s">
        <v>907</v>
      </c>
      <c r="C28" s="119" t="s">
        <v>908</v>
      </c>
      <c r="D28" s="119" t="s">
        <v>106</v>
      </c>
      <c r="E28" s="119"/>
      <c r="F28" s="119">
        <v>1</v>
      </c>
      <c r="G28" s="119">
        <v>2</v>
      </c>
      <c r="H28" s="119">
        <v>3</v>
      </c>
      <c r="I28" s="119">
        <v>4</v>
      </c>
      <c r="J28" s="119">
        <v>5</v>
      </c>
      <c r="K28" s="119">
        <v>6</v>
      </c>
      <c r="L28" s="119">
        <v>7</v>
      </c>
      <c r="M28" s="119">
        <v>8</v>
      </c>
      <c r="N28" s="119">
        <v>9</v>
      </c>
      <c r="O28" s="119">
        <v>10</v>
      </c>
      <c r="P28" s="119">
        <v>11</v>
      </c>
      <c r="Q28" s="119">
        <v>12</v>
      </c>
      <c r="R28" s="119">
        <v>13</v>
      </c>
      <c r="S28" s="119">
        <v>14</v>
      </c>
      <c r="T28" s="119">
        <v>15</v>
      </c>
      <c r="U28" s="119">
        <v>16</v>
      </c>
      <c r="V28" s="119">
        <v>17</v>
      </c>
      <c r="W28" s="119">
        <v>18</v>
      </c>
      <c r="X28" s="119">
        <v>19</v>
      </c>
      <c r="Y28" s="119">
        <v>20</v>
      </c>
      <c r="Z28" s="119">
        <v>21</v>
      </c>
      <c r="AA28" s="119">
        <v>22</v>
      </c>
      <c r="AB28" s="119">
        <v>23</v>
      </c>
      <c r="AC28" s="119">
        <v>24</v>
      </c>
      <c r="AD28" s="119">
        <v>25</v>
      </c>
      <c r="AE28" s="119">
        <v>26</v>
      </c>
      <c r="AF28" s="119">
        <v>27</v>
      </c>
      <c r="AG28" s="119">
        <v>28</v>
      </c>
      <c r="AH28" s="119">
        <v>29</v>
      </c>
      <c r="AI28" s="119">
        <v>30</v>
      </c>
      <c r="AJ28" s="119">
        <v>31</v>
      </c>
      <c r="AK28" s="119">
        <v>32</v>
      </c>
      <c r="AL28" s="119">
        <v>33</v>
      </c>
      <c r="AM28" s="119">
        <v>34</v>
      </c>
      <c r="AN28" s="119">
        <v>35</v>
      </c>
      <c r="AO28" s="119">
        <v>36</v>
      </c>
      <c r="AP28" s="119">
        <v>37</v>
      </c>
      <c r="AQ28" s="119">
        <v>38</v>
      </c>
      <c r="AR28" s="119">
        <v>39</v>
      </c>
      <c r="AS28" s="119">
        <v>40</v>
      </c>
      <c r="AT28" s="119">
        <v>41</v>
      </c>
      <c r="AU28" s="119">
        <v>42</v>
      </c>
      <c r="AV28" s="119">
        <v>43</v>
      </c>
      <c r="AW28" s="119">
        <v>44</v>
      </c>
      <c r="AX28" s="119">
        <v>45</v>
      </c>
      <c r="AY28" s="119">
        <v>46</v>
      </c>
      <c r="AZ28" s="119">
        <v>47</v>
      </c>
      <c r="BA28" s="119">
        <v>48</v>
      </c>
    </row>
    <row r="29" spans="2:53" ht="19.5" hidden="1">
      <c r="B29" s="155" t="s">
        <v>909</v>
      </c>
      <c r="C29" s="118" t="s">
        <v>910</v>
      </c>
      <c r="D29" s="118" t="s">
        <v>911</v>
      </c>
      <c r="E29" s="118"/>
      <c r="F29" s="503">
        <v>4.6421663442940044E-4</v>
      </c>
      <c r="G29" s="117">
        <v>3.2495164410058031E-3</v>
      </c>
      <c r="H29" s="117">
        <v>6.7311411992263051E-3</v>
      </c>
      <c r="I29" s="117">
        <v>1.0676982591876211E-2</v>
      </c>
      <c r="J29" s="117">
        <v>1.5087040618955515E-2</v>
      </c>
      <c r="K29" s="117">
        <v>1.9264990328820116E-2</v>
      </c>
      <c r="L29" s="117">
        <v>2.3210831721470024E-2</v>
      </c>
      <c r="M29" s="117">
        <v>2.692456479690522E-2</v>
      </c>
      <c r="N29" s="117">
        <v>3.040618955512573E-2</v>
      </c>
      <c r="O29" s="117">
        <v>3.3655705996131532E-2</v>
      </c>
      <c r="P29" s="117">
        <v>3.6441005802707933E-2</v>
      </c>
      <c r="Q29" s="117">
        <v>3.876208897485494E-2</v>
      </c>
      <c r="R29" s="117">
        <v>4.108317214700194E-2</v>
      </c>
      <c r="S29" s="117">
        <v>4.3172147001934238E-2</v>
      </c>
      <c r="T29" s="117">
        <v>4.5029013539651844E-2</v>
      </c>
      <c r="U29" s="117">
        <v>4.7117988394584143E-2</v>
      </c>
      <c r="V29" s="117">
        <v>4.9206963249516449E-2</v>
      </c>
      <c r="W29" s="117">
        <v>5.106382978723404E-2</v>
      </c>
      <c r="X29" s="117">
        <v>5.2920696324951652E-2</v>
      </c>
      <c r="Y29" s="117">
        <v>5.5009671179883944E-2</v>
      </c>
      <c r="Z29" s="117">
        <v>5.6866537717601556E-2</v>
      </c>
      <c r="AA29" s="117">
        <v>5.8723404255319155E-2</v>
      </c>
      <c r="AB29" s="117">
        <v>6.058027079303676E-2</v>
      </c>
      <c r="AC29" s="117">
        <v>6.2437137330754358E-2</v>
      </c>
      <c r="AD29" s="117">
        <v>6.4061895551257256E-2</v>
      </c>
      <c r="AE29" s="117">
        <v>6.5686653771760153E-2</v>
      </c>
      <c r="AF29" s="117">
        <v>6.7543520309477759E-2</v>
      </c>
      <c r="AG29" s="117">
        <v>6.8936170212765963E-2</v>
      </c>
      <c r="AH29" s="117">
        <v>7.056092843326886E-2</v>
      </c>
      <c r="AI29" s="117">
        <v>7.2185686653771758E-2</v>
      </c>
      <c r="AJ29" s="117">
        <v>7.3810444874274669E-2</v>
      </c>
      <c r="AK29" s="117">
        <v>7.5435203094777567E-2</v>
      </c>
      <c r="AL29" s="117">
        <v>7.6827852998065771E-2</v>
      </c>
      <c r="AM29" s="117">
        <v>7.8220502901353975E-2</v>
      </c>
      <c r="AN29" s="117">
        <v>7.9613152804642165E-2</v>
      </c>
      <c r="AO29" s="117">
        <f>+F29</f>
        <v>4.6421663442940044E-4</v>
      </c>
      <c r="AP29" s="117">
        <f t="shared" ref="AP29:BA30" si="10">+G29</f>
        <v>3.2495164410058031E-3</v>
      </c>
      <c r="AQ29" s="117">
        <f t="shared" si="10"/>
        <v>6.7311411992263051E-3</v>
      </c>
      <c r="AR29" s="117">
        <f t="shared" si="10"/>
        <v>1.0676982591876211E-2</v>
      </c>
      <c r="AS29" s="117">
        <f t="shared" si="10"/>
        <v>1.5087040618955515E-2</v>
      </c>
      <c r="AT29" s="117">
        <f t="shared" si="10"/>
        <v>1.9264990328820116E-2</v>
      </c>
      <c r="AU29" s="117">
        <f t="shared" si="10"/>
        <v>2.3210831721470024E-2</v>
      </c>
      <c r="AV29" s="117">
        <f t="shared" si="10"/>
        <v>2.692456479690522E-2</v>
      </c>
      <c r="AW29" s="117">
        <f t="shared" si="10"/>
        <v>3.040618955512573E-2</v>
      </c>
      <c r="AX29" s="117">
        <f t="shared" si="10"/>
        <v>3.3655705996131532E-2</v>
      </c>
      <c r="AY29" s="117">
        <f t="shared" si="10"/>
        <v>3.6441005802707933E-2</v>
      </c>
      <c r="AZ29" s="117">
        <f t="shared" si="10"/>
        <v>3.876208897485494E-2</v>
      </c>
      <c r="BA29" s="117">
        <f t="shared" si="10"/>
        <v>4.108317214700194E-2</v>
      </c>
    </row>
    <row r="30" spans="2:53" ht="19.5" hidden="1">
      <c r="B30" s="155" t="s">
        <v>912</v>
      </c>
      <c r="C30" s="118" t="s">
        <v>910</v>
      </c>
      <c r="D30" s="118" t="s">
        <v>911</v>
      </c>
      <c r="E30" s="118"/>
      <c r="F30" s="503">
        <v>2.3210831721470022E-4</v>
      </c>
      <c r="G30" s="117">
        <v>6.9632495164410055E-4</v>
      </c>
      <c r="H30" s="117">
        <v>1.6247582205029015E-3</v>
      </c>
      <c r="I30" s="117">
        <v>2.5531914893617024E-3</v>
      </c>
      <c r="J30" s="117">
        <v>3.7137330754352035E-3</v>
      </c>
      <c r="K30" s="117">
        <v>4.8742746615087042E-3</v>
      </c>
      <c r="L30" s="117">
        <v>5.802707930367506E-3</v>
      </c>
      <c r="M30" s="117">
        <v>6.7311411992263051E-3</v>
      </c>
      <c r="N30" s="117">
        <v>7.6595744680851069E-3</v>
      </c>
      <c r="O30" s="117">
        <v>8.355899419729208E-3</v>
      </c>
      <c r="P30" s="117">
        <v>9.0522243713733082E-3</v>
      </c>
      <c r="Q30" s="117">
        <v>9.7485493230174084E-3</v>
      </c>
      <c r="R30" s="117">
        <v>1.021276595744681E-2</v>
      </c>
      <c r="S30" s="117">
        <v>1.0676982591876211E-2</v>
      </c>
      <c r="T30" s="117">
        <v>1.1373307543520311E-2</v>
      </c>
      <c r="U30" s="117">
        <v>1.1837524177949711E-2</v>
      </c>
      <c r="V30" s="117">
        <v>1.2301740812379112E-2</v>
      </c>
      <c r="W30" s="117">
        <v>1.276595744680851E-2</v>
      </c>
      <c r="X30" s="117">
        <v>1.3230174081237913E-2</v>
      </c>
      <c r="Y30" s="117">
        <v>1.3694390715667313E-2</v>
      </c>
      <c r="Z30" s="117">
        <v>1.4158607350096714E-2</v>
      </c>
      <c r="AA30" s="117">
        <v>1.4622823984526113E-2</v>
      </c>
      <c r="AB30" s="117">
        <v>1.5087040618955515E-2</v>
      </c>
      <c r="AC30" s="117">
        <v>1.5551257253384914E-2</v>
      </c>
      <c r="AD30" s="117">
        <v>1.6015473887814314E-2</v>
      </c>
      <c r="AE30" s="117">
        <v>1.6479690522243715E-2</v>
      </c>
      <c r="AF30" s="117">
        <v>1.6943907156673117E-2</v>
      </c>
      <c r="AG30" s="117">
        <v>1.7176015473887817E-2</v>
      </c>
      <c r="AH30" s="117">
        <v>1.7640232108317215E-2</v>
      </c>
      <c r="AI30" s="117">
        <v>1.8104448742746616E-2</v>
      </c>
      <c r="AJ30" s="117">
        <v>1.833655705996132E-2</v>
      </c>
      <c r="AK30" s="117">
        <v>1.8800773694390718E-2</v>
      </c>
      <c r="AL30" s="117">
        <v>1.9264990328820116E-2</v>
      </c>
      <c r="AM30" s="117">
        <v>1.9497098646034817E-2</v>
      </c>
      <c r="AN30" s="117">
        <v>1.9961315280464218E-2</v>
      </c>
      <c r="AO30" s="117">
        <f>+F30</f>
        <v>2.3210831721470022E-4</v>
      </c>
      <c r="AP30" s="117">
        <f t="shared" si="10"/>
        <v>6.9632495164410055E-4</v>
      </c>
      <c r="AQ30" s="117">
        <f t="shared" si="10"/>
        <v>1.6247582205029015E-3</v>
      </c>
      <c r="AR30" s="117">
        <f t="shared" si="10"/>
        <v>2.5531914893617024E-3</v>
      </c>
      <c r="AS30" s="117">
        <f t="shared" si="10"/>
        <v>3.7137330754352035E-3</v>
      </c>
      <c r="AT30" s="117">
        <f t="shared" si="10"/>
        <v>4.8742746615087042E-3</v>
      </c>
      <c r="AU30" s="117">
        <f t="shared" si="10"/>
        <v>5.802707930367506E-3</v>
      </c>
      <c r="AV30" s="117">
        <f t="shared" si="10"/>
        <v>6.7311411992263051E-3</v>
      </c>
      <c r="AW30" s="117">
        <f t="shared" si="10"/>
        <v>7.6595744680851069E-3</v>
      </c>
      <c r="AX30" s="117">
        <f t="shared" si="10"/>
        <v>8.355899419729208E-3</v>
      </c>
      <c r="AY30" s="117">
        <f t="shared" si="10"/>
        <v>9.0522243713733082E-3</v>
      </c>
      <c r="AZ30" s="117">
        <f t="shared" si="10"/>
        <v>9.7485493230174084E-3</v>
      </c>
      <c r="BA30" s="117">
        <f t="shared" si="10"/>
        <v>1.021276595744681E-2</v>
      </c>
    </row>
    <row r="31" spans="2:53" hidden="1">
      <c r="B31" s="155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2:53" s="152" customFormat="1">
      <c r="B32" s="24" t="s">
        <v>8</v>
      </c>
      <c r="C32" s="119"/>
      <c r="D32" s="119"/>
      <c r="E32" s="119"/>
      <c r="F32" s="152">
        <f>'Growth Rates'!F11</f>
        <v>6.7540053225408081E-4</v>
      </c>
      <c r="G32" s="152">
        <f>'Growth Rates'!G11</f>
        <v>3.9156285619804986E-3</v>
      </c>
      <c r="H32" s="152">
        <f>'Growth Rates'!H11</f>
        <v>8.644414151686243E-3</v>
      </c>
      <c r="I32" s="152">
        <f>'Growth Rates'!I11</f>
        <v>1.5260138761026016E-2</v>
      </c>
      <c r="J32" s="152">
        <f>'Growth Rates'!J11</f>
        <v>1.2208111008820813E-2</v>
      </c>
      <c r="K32" s="152">
        <f>'Growth Rates'!K11</f>
        <v>1.9648155217542117E-2</v>
      </c>
      <c r="L32" s="152">
        <f>'Growth Rates'!L11</f>
        <v>2.9335647517018927E-2</v>
      </c>
      <c r="M32" s="152">
        <f>'Growth Rates'!M11</f>
        <v>1.5260138761026016E-2</v>
      </c>
      <c r="N32" s="152">
        <f>'Growth Rates'!N11</f>
        <v>2.4560194021927644E-2</v>
      </c>
      <c r="O32" s="152">
        <f>'Growth Rates'!O11</f>
        <v>3.6669559396273657E-2</v>
      </c>
      <c r="P32" s="152">
        <f>'Growth Rates'!P11</f>
        <v>1.5260138761026016E-2</v>
      </c>
      <c r="Q32" s="152">
        <f>'Growth Rates'!Q11</f>
        <v>2.4560194021927644E-2</v>
      </c>
      <c r="R32" s="152">
        <f>'Growth Rates'!R11</f>
        <v>3.6669559396273657E-2</v>
      </c>
      <c r="S32" s="152">
        <f>'Growth Rates'!S11</f>
        <v>1.5260138761026016E-2</v>
      </c>
      <c r="T32" s="152">
        <f>'Growth Rates'!T11</f>
        <v>2.4560194021927644E-2</v>
      </c>
      <c r="U32" s="152">
        <f>'Growth Rates'!U11</f>
        <v>3.6669559396273657E-2</v>
      </c>
      <c r="V32" s="152">
        <f>'Growth Rates'!V11</f>
        <v>1.5260138761026016E-2</v>
      </c>
      <c r="W32" s="152">
        <f>'Growth Rates'!W11</f>
        <v>2.4560194021927644E-2</v>
      </c>
      <c r="X32" s="152">
        <f>'Growth Rates'!X11</f>
        <v>3.6669559396273657E-2</v>
      </c>
      <c r="Y32" s="152">
        <f>'Growth Rates'!Y11</f>
        <v>1.5260138761026016E-2</v>
      </c>
      <c r="Z32" s="152">
        <f>'Growth Rates'!Z11</f>
        <v>6.7540053225408081E-4</v>
      </c>
      <c r="AA32" s="152">
        <f>'Growth Rates'!AA11</f>
        <v>3.9156285619804986E-3</v>
      </c>
      <c r="AB32" s="152">
        <f>'Growth Rates'!AB11</f>
        <v>8.644414151686243E-3</v>
      </c>
      <c r="AC32" s="152">
        <f>'Growth Rates'!AC11</f>
        <v>1.5260138761026016E-2</v>
      </c>
      <c r="AD32" s="152">
        <f>'Growth Rates'!AD11</f>
        <v>1.2208111008820813E-2</v>
      </c>
      <c r="AE32" s="152">
        <f>'Growth Rates'!AE11</f>
        <v>1.9648155217542117E-2</v>
      </c>
      <c r="AF32" s="152">
        <f>'Growth Rates'!AF11</f>
        <v>2.9335647517018927E-2</v>
      </c>
      <c r="AG32" s="152">
        <f>'Growth Rates'!AG11</f>
        <v>1.5260138761026016E-2</v>
      </c>
      <c r="AH32" s="152">
        <f>'Growth Rates'!AH11</f>
        <v>2.4560194021927644E-2</v>
      </c>
      <c r="AI32" s="152">
        <f>'Growth Rates'!AI11</f>
        <v>3.6669559396273657E-2</v>
      </c>
      <c r="AJ32" s="152">
        <f>'Growth Rates'!AJ11</f>
        <v>1.5260138761026016E-2</v>
      </c>
      <c r="AK32" s="152">
        <f>'Growth Rates'!AK11</f>
        <v>2.4560194021927644E-2</v>
      </c>
      <c r="AL32" s="152">
        <f>'Growth Rates'!AL11</f>
        <v>3.6669559396273657E-2</v>
      </c>
      <c r="AM32" s="152">
        <f>'Growth Rates'!AM11</f>
        <v>1.5260138761026016E-2</v>
      </c>
      <c r="AN32" s="152">
        <f>'Growth Rates'!AN11</f>
        <v>2.4560194021927644E-2</v>
      </c>
      <c r="AO32" s="152">
        <f>'Growth Rates'!AO11</f>
        <v>3.6669559396273657E-2</v>
      </c>
      <c r="AP32" s="152">
        <f>'Growth Rates'!AP11</f>
        <v>1.5260138761026016E-2</v>
      </c>
      <c r="AQ32" s="152">
        <f>'Growth Rates'!AQ11</f>
        <v>2.4560194021927644E-2</v>
      </c>
      <c r="AR32" s="152">
        <f>'Growth Rates'!AR11</f>
        <v>3.6669559396273657E-2</v>
      </c>
      <c r="AS32" s="152">
        <f>'Growth Rates'!AS11</f>
        <v>1.5260138761026016E-2</v>
      </c>
      <c r="AT32" s="152">
        <f>'Growth Rates'!AT11</f>
        <v>0</v>
      </c>
      <c r="AU32" s="152">
        <f>'Growth Rates'!AU11</f>
        <v>0</v>
      </c>
      <c r="AV32" s="152">
        <f>'Growth Rates'!AV11</f>
        <v>0</v>
      </c>
      <c r="AW32" s="152">
        <f>'Growth Rates'!AW11</f>
        <v>0</v>
      </c>
      <c r="AX32" s="152">
        <f>'Growth Rates'!AX11</f>
        <v>0</v>
      </c>
      <c r="AY32" s="152">
        <f>'Growth Rates'!AY11</f>
        <v>0</v>
      </c>
      <c r="AZ32" s="152">
        <f>'Growth Rates'!AZ11</f>
        <v>0</v>
      </c>
      <c r="BA32" s="152">
        <f>'Growth Rates'!BA11</f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B55BF-A1E0-B948-9894-97335DC4CD08}">
  <dimension ref="B2:M54"/>
  <sheetViews>
    <sheetView workbookViewId="0">
      <selection activeCell="B1" sqref="B1:B1048576"/>
    </sheetView>
  </sheetViews>
  <sheetFormatPr defaultColWidth="11.5546875" defaultRowHeight="15.75"/>
  <cols>
    <col min="1" max="1" width="2.88671875" style="269" customWidth="1"/>
    <col min="2" max="2" width="12.88671875" style="269" hidden="1" customWidth="1"/>
    <col min="3" max="4" width="11.5546875" style="269"/>
    <col min="5" max="5" width="0" style="269" hidden="1" customWidth="1"/>
    <col min="6" max="6" width="11.5546875" style="268"/>
    <col min="7" max="7" width="9.109375" style="269" customWidth="1"/>
    <col min="8" max="9" width="0" style="269" hidden="1" customWidth="1"/>
    <col min="10" max="10" width="15.6640625" style="269" customWidth="1"/>
    <col min="11" max="11" width="11.5546875" style="284"/>
    <col min="12" max="12" width="11.5546875" style="269"/>
    <col min="13" max="13" width="15.44140625" style="285" customWidth="1"/>
    <col min="14" max="16384" width="11.5546875" style="269"/>
  </cols>
  <sheetData>
    <row r="2" spans="2:13" ht="16.5" thickBot="1">
      <c r="B2" s="494" t="s">
        <v>265</v>
      </c>
      <c r="C2" s="494"/>
      <c r="D2" s="494"/>
      <c r="E2" s="494"/>
      <c r="F2" s="494"/>
      <c r="G2" s="494"/>
      <c r="H2" s="494"/>
      <c r="I2" s="494"/>
      <c r="J2" s="495" t="s">
        <v>266</v>
      </c>
      <c r="K2" s="495"/>
      <c r="L2" s="495"/>
      <c r="M2" s="495"/>
    </row>
    <row r="3" spans="2:13" s="286" customFormat="1" ht="75.75" thickBot="1">
      <c r="B3" s="270" t="s">
        <v>267</v>
      </c>
      <c r="C3" s="270" t="s">
        <v>18</v>
      </c>
      <c r="D3" s="270" t="s">
        <v>268</v>
      </c>
      <c r="E3" s="270" t="s">
        <v>269</v>
      </c>
      <c r="F3" s="271" t="s">
        <v>270</v>
      </c>
      <c r="G3" s="270" t="s">
        <v>271</v>
      </c>
      <c r="H3" s="270" t="s">
        <v>272</v>
      </c>
      <c r="I3" s="271" t="s">
        <v>273</v>
      </c>
      <c r="J3" s="329" t="s">
        <v>274</v>
      </c>
      <c r="K3" s="330" t="s">
        <v>275</v>
      </c>
      <c r="L3" s="331" t="s">
        <v>276</v>
      </c>
      <c r="M3" s="332" t="s">
        <v>277</v>
      </c>
    </row>
    <row r="4" spans="2:13">
      <c r="B4" s="287">
        <v>0</v>
      </c>
      <c r="C4" s="288" t="s">
        <v>281</v>
      </c>
      <c r="D4" s="288" t="s">
        <v>632</v>
      </c>
      <c r="E4" s="289">
        <v>4.76</v>
      </c>
      <c r="F4" s="272">
        <f>E4*_xlfn.XLOOKUP(Summary!$C$26,'Curve Comparison'!$B$3:$B$9,'Curve Comparison'!$D$3:$D$9)</f>
        <v>3.661538461538461</v>
      </c>
      <c r="G4" s="289">
        <v>5.27</v>
      </c>
      <c r="H4" s="289" t="s">
        <v>918</v>
      </c>
      <c r="I4" s="290" t="s">
        <v>919</v>
      </c>
      <c r="J4" s="324">
        <v>0.45240000000000002</v>
      </c>
      <c r="K4" s="325">
        <f t="shared" ref="K4:K35" si="0">(0.0673*(J4*(F4^2)*G4)^0.976)/1000</f>
        <v>1.9795370134735543E-3</v>
      </c>
      <c r="L4" s="323">
        <f>+EXP(-1.085+0.9256*LN(K4))/K4</f>
        <v>0.53694048817168782</v>
      </c>
      <c r="M4" s="291">
        <f t="shared" ref="M4:M35" si="1">+K4*(1+L4)</f>
        <v>3.0424305838419696E-3</v>
      </c>
    </row>
    <row r="5" spans="2:13">
      <c r="B5" s="292">
        <v>1</v>
      </c>
      <c r="C5" s="293" t="s">
        <v>287</v>
      </c>
      <c r="D5" s="293" t="s">
        <v>632</v>
      </c>
      <c r="E5" s="294">
        <v>9.5299999999999994</v>
      </c>
      <c r="F5" s="272">
        <f>E5*_xlfn.XLOOKUP(Summary!$C$26,'Curve Comparison'!$B$3:$B$9,'Curve Comparison'!$D$3:$D$9)</f>
        <v>7.3307692307692296</v>
      </c>
      <c r="G5" s="294">
        <v>8.3800000000000008</v>
      </c>
      <c r="H5" s="294" t="s">
        <v>920</v>
      </c>
      <c r="I5" s="295" t="s">
        <v>921</v>
      </c>
      <c r="J5" s="274">
        <v>0.45240000000000002</v>
      </c>
      <c r="K5" s="325">
        <f t="shared" si="0"/>
        <v>1.206877522078466E-2</v>
      </c>
      <c r="L5" s="323">
        <f>+EXP(-1.085+0.9256*LN(K5))/K5</f>
        <v>0.46936937006030804</v>
      </c>
      <c r="M5" s="296">
        <f t="shared" si="1"/>
        <v>1.7733488643563812E-2</v>
      </c>
    </row>
    <row r="6" spans="2:13">
      <c r="B6" s="292">
        <v>2</v>
      </c>
      <c r="C6" s="293" t="s">
        <v>292</v>
      </c>
      <c r="D6" s="293" t="s">
        <v>632</v>
      </c>
      <c r="E6" s="294">
        <v>13.11</v>
      </c>
      <c r="F6" s="272">
        <f>E6*_xlfn.XLOOKUP(Summary!$C$26,'Curve Comparison'!$B$3:$B$9,'Curve Comparison'!$D$3:$D$9)</f>
        <v>10.084615384615383</v>
      </c>
      <c r="G6" s="294">
        <v>10.48</v>
      </c>
      <c r="H6" s="294" t="s">
        <v>922</v>
      </c>
      <c r="I6" s="295" t="s">
        <v>923</v>
      </c>
      <c r="J6" s="274">
        <v>0.45240000000000002</v>
      </c>
      <c r="K6" s="325">
        <f t="shared" si="0"/>
        <v>2.7978263786915061E-2</v>
      </c>
      <c r="L6" s="323">
        <f>+EXP(-1.085+0.9256*LN(K6))/K6</f>
        <v>0.4409070290911925</v>
      </c>
      <c r="M6" s="296">
        <f t="shared" si="1"/>
        <v>4.031407695233348E-2</v>
      </c>
    </row>
    <row r="7" spans="2:13">
      <c r="B7" s="292">
        <v>3</v>
      </c>
      <c r="C7" s="293" t="s">
        <v>297</v>
      </c>
      <c r="D7" s="293" t="s">
        <v>924</v>
      </c>
      <c r="E7" s="294">
        <v>16.21</v>
      </c>
      <c r="F7" s="272">
        <f>E7*_xlfn.XLOOKUP(Summary!$C$26,'Curve Comparison'!$B$3:$B$9,'Curve Comparison'!$D$3:$D$9)</f>
        <v>12.469230769230769</v>
      </c>
      <c r="G7" s="294">
        <v>12.66</v>
      </c>
      <c r="H7" s="294" t="s">
        <v>925</v>
      </c>
      <c r="I7" s="295" t="s">
        <v>926</v>
      </c>
      <c r="J7" s="274">
        <v>0.45240000000000002</v>
      </c>
      <c r="K7" s="325">
        <f t="shared" si="0"/>
        <v>5.0916604763856975E-2</v>
      </c>
      <c r="L7" s="323">
        <f>+EXP(-1.085+0.9256*LN(K7))/K7</f>
        <v>0.42169664430223824</v>
      </c>
      <c r="M7" s="296">
        <f t="shared" si="1"/>
        <v>7.2387966132038822E-2</v>
      </c>
    </row>
    <row r="8" spans="2:13">
      <c r="B8" s="292">
        <v>4</v>
      </c>
      <c r="C8" s="293" t="s">
        <v>304</v>
      </c>
      <c r="D8" s="293" t="s">
        <v>927</v>
      </c>
      <c r="E8" s="294">
        <v>19.16</v>
      </c>
      <c r="F8" s="272">
        <f>E8*_xlfn.XLOOKUP(Summary!$C$26,'Curve Comparison'!$B$3:$B$9,'Curve Comparison'!$D$3:$D$9)</f>
        <v>14.738461538461538</v>
      </c>
      <c r="G8" s="294">
        <v>14.94</v>
      </c>
      <c r="H8" s="294" t="s">
        <v>928</v>
      </c>
      <c r="I8" s="295" t="s">
        <v>929</v>
      </c>
      <c r="J8" s="274">
        <v>0.45240000000000002</v>
      </c>
      <c r="K8" s="325">
        <f t="shared" si="0"/>
        <v>8.2944941057022423E-2</v>
      </c>
      <c r="L8" s="323">
        <f t="shared" ref="L8:L54" si="2">+EXP(-1.085+0.9256*LN(K8))/K8</f>
        <v>0.40666099446937992</v>
      </c>
      <c r="M8" s="296">
        <f t="shared" si="1"/>
        <v>0.11667541327347526</v>
      </c>
    </row>
    <row r="9" spans="2:13">
      <c r="B9" s="292">
        <v>5</v>
      </c>
      <c r="C9" s="293" t="s">
        <v>311</v>
      </c>
      <c r="D9" s="293" t="s">
        <v>930</v>
      </c>
      <c r="E9" s="294">
        <v>21.9</v>
      </c>
      <c r="F9" s="272">
        <f>E9*_xlfn.XLOOKUP(Summary!$C$26,'Curve Comparison'!$B$3:$B$9,'Curve Comparison'!$D$3:$D$9)</f>
        <v>16.846153846153843</v>
      </c>
      <c r="G9" s="294">
        <v>17.23</v>
      </c>
      <c r="H9" s="294" t="s">
        <v>931</v>
      </c>
      <c r="I9" s="295" t="s">
        <v>932</v>
      </c>
      <c r="J9" s="274">
        <v>0.45240000000000002</v>
      </c>
      <c r="K9" s="325">
        <f t="shared" si="0"/>
        <v>0.12375109129135402</v>
      </c>
      <c r="L9" s="323">
        <f t="shared" si="2"/>
        <v>0.39473427562069568</v>
      </c>
      <c r="M9" s="296">
        <f t="shared" si="1"/>
        <v>0.17259988866951723</v>
      </c>
    </row>
    <row r="10" spans="2:13">
      <c r="B10" s="292">
        <v>6</v>
      </c>
      <c r="C10" s="293" t="s">
        <v>318</v>
      </c>
      <c r="D10" s="293" t="s">
        <v>933</v>
      </c>
      <c r="E10" s="294">
        <v>24.42</v>
      </c>
      <c r="F10" s="272">
        <f>E10*_xlfn.XLOOKUP(Summary!$C$26,'Curve Comparison'!$B$3:$B$9,'Curve Comparison'!$D$3:$D$9)</f>
        <v>18.784615384615385</v>
      </c>
      <c r="G10" s="294">
        <v>19.399999999999999</v>
      </c>
      <c r="H10" s="294" t="s">
        <v>934</v>
      </c>
      <c r="I10" s="295" t="s">
        <v>935</v>
      </c>
      <c r="J10" s="274">
        <v>0.45240000000000002</v>
      </c>
      <c r="K10" s="325">
        <f t="shared" si="0"/>
        <v>0.17185481729415011</v>
      </c>
      <c r="L10" s="323">
        <f t="shared" si="2"/>
        <v>0.3852072530837688</v>
      </c>
      <c r="M10" s="296">
        <f t="shared" si="1"/>
        <v>0.23805453939324267</v>
      </c>
    </row>
    <row r="11" spans="2:13">
      <c r="B11" s="292">
        <v>7</v>
      </c>
      <c r="C11" s="293" t="s">
        <v>325</v>
      </c>
      <c r="D11" s="293" t="s">
        <v>936</v>
      </c>
      <c r="E11" s="294">
        <v>27.25</v>
      </c>
      <c r="F11" s="272">
        <f>E11*_xlfn.XLOOKUP(Summary!$C$26,'Curve Comparison'!$B$3:$B$9,'Curve Comparison'!$D$3:$D$9)</f>
        <v>20.96153846153846</v>
      </c>
      <c r="G11" s="294">
        <v>21.56</v>
      </c>
      <c r="H11" s="294" t="s">
        <v>937</v>
      </c>
      <c r="I11" s="295" t="s">
        <v>938</v>
      </c>
      <c r="J11" s="274">
        <v>0.45240000000000002</v>
      </c>
      <c r="K11" s="325">
        <f t="shared" si="0"/>
        <v>0.23597408008904475</v>
      </c>
      <c r="L11" s="323">
        <f t="shared" si="2"/>
        <v>0.37622650060734686</v>
      </c>
      <c r="M11" s="296">
        <f t="shared" si="1"/>
        <v>0.32475378247498388</v>
      </c>
    </row>
    <row r="12" spans="2:13">
      <c r="B12" s="292">
        <v>8</v>
      </c>
      <c r="C12" s="293" t="s">
        <v>332</v>
      </c>
      <c r="D12" s="293" t="s">
        <v>939</v>
      </c>
      <c r="E12" s="294">
        <v>30.15</v>
      </c>
      <c r="F12" s="272">
        <f>E12*_xlfn.XLOOKUP(Summary!$C$26,'Curve Comparison'!$B$3:$B$9,'Curve Comparison'!$D$3:$D$9)</f>
        <v>23.19230769230769</v>
      </c>
      <c r="G12" s="294">
        <v>23.55</v>
      </c>
      <c r="H12" s="294" t="s">
        <v>940</v>
      </c>
      <c r="I12" s="295" t="s">
        <v>941</v>
      </c>
      <c r="J12" s="274">
        <v>0.45240000000000002</v>
      </c>
      <c r="K12" s="325">
        <f t="shared" si="0"/>
        <v>0.31334276096422586</v>
      </c>
      <c r="L12" s="323">
        <f t="shared" si="2"/>
        <v>0.36837201017403315</v>
      </c>
      <c r="M12" s="296">
        <f t="shared" si="1"/>
        <v>0.4287694636940993</v>
      </c>
    </row>
    <row r="13" spans="2:13">
      <c r="B13" s="297">
        <v>9</v>
      </c>
      <c r="C13" s="298" t="s">
        <v>339</v>
      </c>
      <c r="D13" s="298" t="s">
        <v>942</v>
      </c>
      <c r="E13" s="298">
        <v>33.07</v>
      </c>
      <c r="F13" s="272">
        <f>E13*_xlfn.XLOOKUP(Summary!$C$26,'Curve Comparison'!$B$3:$B$9,'Curve Comparison'!$D$3:$D$9)</f>
        <v>25.438461538461535</v>
      </c>
      <c r="G13" s="298">
        <v>25.35</v>
      </c>
      <c r="H13" s="298" t="s">
        <v>943</v>
      </c>
      <c r="I13" s="299" t="s">
        <v>944</v>
      </c>
      <c r="J13" s="274">
        <v>0.45240000000000002</v>
      </c>
      <c r="K13" s="325">
        <f t="shared" si="0"/>
        <v>0.40327911881610534</v>
      </c>
      <c r="L13" s="323">
        <f t="shared" si="2"/>
        <v>0.36152090909216955</v>
      </c>
      <c r="M13" s="296">
        <f t="shared" si="1"/>
        <v>0.54907295246839283</v>
      </c>
    </row>
    <row r="14" spans="2:13">
      <c r="B14" s="300">
        <v>10</v>
      </c>
      <c r="C14" s="301" t="s">
        <v>346</v>
      </c>
      <c r="D14" s="301" t="s">
        <v>945</v>
      </c>
      <c r="E14" s="301">
        <v>35.96</v>
      </c>
      <c r="F14" s="272">
        <f>E14*_xlfn.XLOOKUP(Summary!$C$26,'Curve Comparison'!$B$3:$B$9,'Curve Comparison'!$D$3:$D$9)</f>
        <v>27.661538461538459</v>
      </c>
      <c r="G14" s="301">
        <v>27.02</v>
      </c>
      <c r="H14" s="301" t="s">
        <v>946</v>
      </c>
      <c r="I14" s="302" t="s">
        <v>947</v>
      </c>
      <c r="J14" s="274">
        <v>0.45240000000000002</v>
      </c>
      <c r="K14" s="325">
        <f t="shared" si="0"/>
        <v>0.50544349571851566</v>
      </c>
      <c r="L14" s="323">
        <f t="shared" si="2"/>
        <v>0.35549806795362915</v>
      </c>
      <c r="M14" s="296">
        <f t="shared" si="1"/>
        <v>0.68512768190617646</v>
      </c>
    </row>
    <row r="15" spans="2:13">
      <c r="B15" s="297">
        <v>11</v>
      </c>
      <c r="C15" s="298" t="s">
        <v>353</v>
      </c>
      <c r="D15" s="298" t="s">
        <v>948</v>
      </c>
      <c r="E15" s="298">
        <v>38.72</v>
      </c>
      <c r="F15" s="272">
        <f>E15*_xlfn.XLOOKUP(Summary!$C$26,'Curve Comparison'!$B$3:$B$9,'Curve Comparison'!$D$3:$D$9)</f>
        <v>29.784615384615382</v>
      </c>
      <c r="G15" s="298">
        <v>28.49</v>
      </c>
      <c r="H15" s="298" t="s">
        <v>949</v>
      </c>
      <c r="I15" s="299" t="s">
        <v>950</v>
      </c>
      <c r="J15" s="274">
        <v>0.45240000000000002</v>
      </c>
      <c r="K15" s="325">
        <f t="shared" si="0"/>
        <v>0.61491816916693021</v>
      </c>
      <c r="L15" s="323">
        <f t="shared" si="2"/>
        <v>0.35035028742398339</v>
      </c>
      <c r="M15" s="296">
        <f t="shared" si="1"/>
        <v>0.83035492647679388</v>
      </c>
    </row>
    <row r="16" spans="2:13">
      <c r="B16" s="300">
        <v>12</v>
      </c>
      <c r="C16" s="301" t="s">
        <v>360</v>
      </c>
      <c r="D16" s="301" t="s">
        <v>951</v>
      </c>
      <c r="E16" s="301">
        <v>41.32</v>
      </c>
      <c r="F16" s="272">
        <f>E16*_xlfn.XLOOKUP(Summary!$C$26,'Curve Comparison'!$B$3:$B$9,'Curve Comparison'!$D$3:$D$9)</f>
        <v>31.784615384615382</v>
      </c>
      <c r="G16" s="301">
        <v>29.74</v>
      </c>
      <c r="H16" s="301" t="s">
        <v>952</v>
      </c>
      <c r="I16" s="302" t="s">
        <v>953</v>
      </c>
      <c r="J16" s="274">
        <v>0.45240000000000002</v>
      </c>
      <c r="K16" s="325">
        <f t="shared" si="0"/>
        <v>0.72796987259890567</v>
      </c>
      <c r="L16" s="323">
        <f t="shared" si="2"/>
        <v>0.34597861014979936</v>
      </c>
      <c r="M16" s="296">
        <f t="shared" si="1"/>
        <v>0.97983187735160149</v>
      </c>
    </row>
    <row r="17" spans="2:13">
      <c r="B17" s="297">
        <v>13</v>
      </c>
      <c r="C17" s="298" t="s">
        <v>367</v>
      </c>
      <c r="D17" s="298" t="s">
        <v>954</v>
      </c>
      <c r="E17" s="298">
        <v>43.86</v>
      </c>
      <c r="F17" s="275">
        <f>E17*_xlfn.XLOOKUP(Summary!$C$26,'Curve Comparison'!$B$3:$B$9,'Curve Comparison'!$D$3:$D$9)</f>
        <v>33.738461538461536</v>
      </c>
      <c r="G17" s="298">
        <v>30.93</v>
      </c>
      <c r="H17" s="298" t="s">
        <v>955</v>
      </c>
      <c r="I17" s="299" t="s">
        <v>956</v>
      </c>
      <c r="J17" s="274">
        <v>0.45240000000000002</v>
      </c>
      <c r="K17" s="325">
        <f t="shared" si="0"/>
        <v>0.84979947208155249</v>
      </c>
      <c r="L17" s="323">
        <f t="shared" si="2"/>
        <v>0.34201829900652309</v>
      </c>
      <c r="M17" s="296">
        <f t="shared" si="1"/>
        <v>1.1404464420195264</v>
      </c>
    </row>
    <row r="18" spans="2:13" ht="16.5" thickBot="1">
      <c r="B18" s="303">
        <v>14</v>
      </c>
      <c r="C18" s="304" t="s">
        <v>374</v>
      </c>
      <c r="D18" s="304" t="s">
        <v>957</v>
      </c>
      <c r="E18" s="304">
        <v>46.31</v>
      </c>
      <c r="F18" s="276">
        <f>E18*_xlfn.XLOOKUP(Summary!$C$26,'Curve Comparison'!$B$3:$B$9,'Curve Comparison'!$D$3:$D$9)</f>
        <v>35.623076923076923</v>
      </c>
      <c r="G18" s="304">
        <v>32.14</v>
      </c>
      <c r="H18" s="304" t="s">
        <v>958</v>
      </c>
      <c r="I18" s="305" t="s">
        <v>959</v>
      </c>
      <c r="J18" s="277">
        <v>0.45240000000000002</v>
      </c>
      <c r="K18" s="326">
        <f t="shared" si="0"/>
        <v>0.98098335494508326</v>
      </c>
      <c r="L18" s="323">
        <f t="shared" si="2"/>
        <v>0.33838481139312321</v>
      </c>
      <c r="M18" s="278">
        <f t="shared" si="1"/>
        <v>1.3129332224879684</v>
      </c>
    </row>
    <row r="19" spans="2:13">
      <c r="B19" s="306">
        <v>15</v>
      </c>
      <c r="C19" s="307" t="s">
        <v>381</v>
      </c>
      <c r="D19" s="307" t="s">
        <v>960</v>
      </c>
      <c r="E19" s="307">
        <v>48.68</v>
      </c>
      <c r="F19" s="308">
        <f t="shared" ref="F19:F54" si="3">+E19*0.7</f>
        <v>34.076000000000001</v>
      </c>
      <c r="G19" s="307">
        <v>33.17</v>
      </c>
      <c r="H19" s="307" t="s">
        <v>961</v>
      </c>
      <c r="I19" s="309" t="s">
        <v>962</v>
      </c>
      <c r="J19" s="279">
        <v>0.45240000000000002</v>
      </c>
      <c r="K19" s="310">
        <f t="shared" si="0"/>
        <v>0.92766759080200101</v>
      </c>
      <c r="L19" s="310">
        <f t="shared" si="2"/>
        <v>0.33979461638845931</v>
      </c>
      <c r="M19" s="273">
        <f t="shared" si="1"/>
        <v>1.2428840439545732</v>
      </c>
    </row>
    <row r="20" spans="2:13">
      <c r="B20" s="311">
        <v>16</v>
      </c>
      <c r="C20" s="312" t="s">
        <v>388</v>
      </c>
      <c r="D20" s="312" t="s">
        <v>963</v>
      </c>
      <c r="E20" s="312">
        <v>50.96</v>
      </c>
      <c r="F20" s="313">
        <f t="shared" si="3"/>
        <v>35.671999999999997</v>
      </c>
      <c r="G20" s="312">
        <v>34.35</v>
      </c>
      <c r="H20" s="312" t="s">
        <v>964</v>
      </c>
      <c r="I20" s="314" t="s">
        <v>965</v>
      </c>
      <c r="J20" s="281">
        <v>0.45240000000000002</v>
      </c>
      <c r="K20" s="280">
        <f t="shared" si="0"/>
        <v>1.0495734068435507</v>
      </c>
      <c r="L20" s="280">
        <f t="shared" si="2"/>
        <v>0.33668760896603367</v>
      </c>
      <c r="M20" s="296">
        <f t="shared" si="1"/>
        <v>1.4029517676280399</v>
      </c>
    </row>
    <row r="21" spans="2:13">
      <c r="B21" s="315">
        <v>17</v>
      </c>
      <c r="C21" s="316" t="s">
        <v>395</v>
      </c>
      <c r="D21" s="316" t="s">
        <v>966</v>
      </c>
      <c r="E21" s="316">
        <v>53.2</v>
      </c>
      <c r="F21" s="317">
        <f t="shared" si="3"/>
        <v>37.24</v>
      </c>
      <c r="G21" s="316">
        <v>35.58</v>
      </c>
      <c r="H21" s="316" t="s">
        <v>967</v>
      </c>
      <c r="I21" s="318" t="s">
        <v>968</v>
      </c>
      <c r="J21" s="281">
        <v>0.45240000000000002</v>
      </c>
      <c r="K21" s="280">
        <f t="shared" si="0"/>
        <v>1.1813892089704905</v>
      </c>
      <c r="L21" s="280">
        <f t="shared" si="2"/>
        <v>0.33373706936098579</v>
      </c>
      <c r="M21" s="296">
        <f t="shared" si="1"/>
        <v>1.5756625813469951</v>
      </c>
    </row>
    <row r="22" spans="2:13">
      <c r="B22" s="311">
        <v>18</v>
      </c>
      <c r="C22" s="312" t="s">
        <v>402</v>
      </c>
      <c r="D22" s="312" t="s">
        <v>969</v>
      </c>
      <c r="E22" s="312">
        <v>55.41</v>
      </c>
      <c r="F22" s="313">
        <f t="shared" si="3"/>
        <v>38.786999999999992</v>
      </c>
      <c r="G22" s="312">
        <v>36.79</v>
      </c>
      <c r="H22" s="312" t="s">
        <v>970</v>
      </c>
      <c r="I22" s="314" t="s">
        <v>971</v>
      </c>
      <c r="J22" s="281">
        <v>0.45240000000000002</v>
      </c>
      <c r="K22" s="280">
        <f t="shared" si="0"/>
        <v>1.3215172435566904</v>
      </c>
      <c r="L22" s="280">
        <f t="shared" si="2"/>
        <v>0.33096545670572514</v>
      </c>
      <c r="M22" s="296">
        <f t="shared" si="1"/>
        <v>1.7588938016149216</v>
      </c>
    </row>
    <row r="23" spans="2:13">
      <c r="B23" s="315">
        <v>19</v>
      </c>
      <c r="C23" s="316" t="s">
        <v>409</v>
      </c>
      <c r="D23" s="316" t="s">
        <v>972</v>
      </c>
      <c r="E23" s="316">
        <v>57.55</v>
      </c>
      <c r="F23" s="317">
        <f t="shared" si="3"/>
        <v>40.284999999999997</v>
      </c>
      <c r="G23" s="316">
        <v>37.82</v>
      </c>
      <c r="H23" s="316" t="s">
        <v>973</v>
      </c>
      <c r="I23" s="318" t="s">
        <v>974</v>
      </c>
      <c r="J23" s="281">
        <v>0.45240000000000002</v>
      </c>
      <c r="K23" s="280">
        <f t="shared" si="0"/>
        <v>1.4618445076752311</v>
      </c>
      <c r="L23" s="280">
        <f t="shared" si="2"/>
        <v>0.32848976261287194</v>
      </c>
      <c r="M23" s="296">
        <f t="shared" si="1"/>
        <v>1.9420454629783985</v>
      </c>
    </row>
    <row r="24" spans="2:13">
      <c r="B24" s="311">
        <v>20</v>
      </c>
      <c r="C24" s="312" t="s">
        <v>416</v>
      </c>
      <c r="D24" s="312" t="s">
        <v>975</v>
      </c>
      <c r="E24" s="312">
        <v>59.67</v>
      </c>
      <c r="F24" s="313">
        <f t="shared" si="3"/>
        <v>41.768999999999998</v>
      </c>
      <c r="G24" s="312">
        <v>39.03</v>
      </c>
      <c r="H24" s="312" t="s">
        <v>976</v>
      </c>
      <c r="I24" s="314" t="s">
        <v>977</v>
      </c>
      <c r="J24" s="281">
        <v>0.45240000000000002</v>
      </c>
      <c r="K24" s="280">
        <f t="shared" si="0"/>
        <v>1.6177718126821956</v>
      </c>
      <c r="L24" s="280">
        <f t="shared" si="2"/>
        <v>0.32602210163118889</v>
      </c>
      <c r="M24" s="296">
        <f t="shared" si="1"/>
        <v>2.1452011790125431</v>
      </c>
    </row>
    <row r="25" spans="2:13">
      <c r="B25" s="315">
        <v>21</v>
      </c>
      <c r="C25" s="316" t="s">
        <v>423</v>
      </c>
      <c r="D25" s="316" t="s">
        <v>978</v>
      </c>
      <c r="E25" s="316">
        <v>61.75</v>
      </c>
      <c r="F25" s="317">
        <f t="shared" si="3"/>
        <v>43.224999999999994</v>
      </c>
      <c r="G25" s="316">
        <v>40.1</v>
      </c>
      <c r="H25" s="316" t="s">
        <v>979</v>
      </c>
      <c r="I25" s="318" t="s">
        <v>980</v>
      </c>
      <c r="J25" s="281">
        <v>0.45240000000000002</v>
      </c>
      <c r="K25" s="280">
        <f t="shared" si="0"/>
        <v>1.7759418833443303</v>
      </c>
      <c r="L25" s="280">
        <f t="shared" si="2"/>
        <v>0.32376730343293914</v>
      </c>
      <c r="M25" s="296">
        <f t="shared" si="1"/>
        <v>2.3509337979683393</v>
      </c>
    </row>
    <row r="26" spans="2:13">
      <c r="B26" s="311">
        <v>22</v>
      </c>
      <c r="C26" s="312" t="s">
        <v>430</v>
      </c>
      <c r="D26" s="312" t="s">
        <v>981</v>
      </c>
      <c r="E26" s="312">
        <v>63.82</v>
      </c>
      <c r="F26" s="313">
        <f t="shared" si="3"/>
        <v>44.673999999999999</v>
      </c>
      <c r="G26" s="312">
        <v>41.33</v>
      </c>
      <c r="H26" s="312" t="s">
        <v>982</v>
      </c>
      <c r="I26" s="314" t="s">
        <v>983</v>
      </c>
      <c r="J26" s="281">
        <v>0.45240000000000002</v>
      </c>
      <c r="K26" s="280">
        <f t="shared" si="0"/>
        <v>1.9506852547755027</v>
      </c>
      <c r="L26" s="280">
        <f t="shared" si="2"/>
        <v>0.32151449659217629</v>
      </c>
      <c r="M26" s="296">
        <f t="shared" si="1"/>
        <v>2.5778588424744298</v>
      </c>
    </row>
    <row r="27" spans="2:13">
      <c r="B27" s="315">
        <v>23</v>
      </c>
      <c r="C27" s="316" t="s">
        <v>437</v>
      </c>
      <c r="D27" s="316" t="s">
        <v>984</v>
      </c>
      <c r="E27" s="316">
        <v>65.86</v>
      </c>
      <c r="F27" s="317">
        <f t="shared" si="3"/>
        <v>46.101999999999997</v>
      </c>
      <c r="G27" s="316">
        <v>42.38</v>
      </c>
      <c r="H27" s="316" t="s">
        <v>985</v>
      </c>
      <c r="I27" s="318" t="s">
        <v>986</v>
      </c>
      <c r="J27" s="281">
        <v>0.45240000000000002</v>
      </c>
      <c r="K27" s="280">
        <f t="shared" si="0"/>
        <v>2.1256668106199652</v>
      </c>
      <c r="L27" s="280">
        <f t="shared" si="2"/>
        <v>0.31946614773754445</v>
      </c>
      <c r="M27" s="296">
        <f t="shared" si="1"/>
        <v>2.8047453979822778</v>
      </c>
    </row>
    <row r="28" spans="2:13">
      <c r="B28" s="311">
        <v>24</v>
      </c>
      <c r="C28" s="312" t="s">
        <v>444</v>
      </c>
      <c r="D28" s="312" t="s">
        <v>987</v>
      </c>
      <c r="E28" s="312">
        <v>67.86</v>
      </c>
      <c r="F28" s="313">
        <f t="shared" si="3"/>
        <v>47.501999999999995</v>
      </c>
      <c r="G28" s="312">
        <v>43.48</v>
      </c>
      <c r="H28" s="312" t="s">
        <v>988</v>
      </c>
      <c r="I28" s="314" t="s">
        <v>989</v>
      </c>
      <c r="J28" s="281">
        <v>0.45240000000000002</v>
      </c>
      <c r="K28" s="280">
        <f t="shared" si="0"/>
        <v>2.3105603924197435</v>
      </c>
      <c r="L28" s="280">
        <f t="shared" si="2"/>
        <v>0.31748990302885804</v>
      </c>
      <c r="M28" s="296">
        <f t="shared" si="1"/>
        <v>3.0441399873514081</v>
      </c>
    </row>
    <row r="29" spans="2:13">
      <c r="B29" s="315">
        <v>25</v>
      </c>
      <c r="C29" s="316" t="s">
        <v>451</v>
      </c>
      <c r="D29" s="316" t="s">
        <v>990</v>
      </c>
      <c r="E29" s="316">
        <v>69.900000000000006</v>
      </c>
      <c r="F29" s="317">
        <f t="shared" si="3"/>
        <v>48.93</v>
      </c>
      <c r="G29" s="316">
        <v>44.53</v>
      </c>
      <c r="H29" s="316" t="s">
        <v>991</v>
      </c>
      <c r="I29" s="318" t="s">
        <v>992</v>
      </c>
      <c r="J29" s="281">
        <v>0.45240000000000002</v>
      </c>
      <c r="K29" s="280">
        <f t="shared" si="0"/>
        <v>2.5057686405299626</v>
      </c>
      <c r="L29" s="280">
        <f t="shared" si="2"/>
        <v>0.31557985986446663</v>
      </c>
      <c r="M29" s="296">
        <f t="shared" si="1"/>
        <v>3.296538756961183</v>
      </c>
    </row>
    <row r="30" spans="2:13">
      <c r="B30" s="311">
        <v>26</v>
      </c>
      <c r="C30" s="312" t="s">
        <v>458</v>
      </c>
      <c r="D30" s="312" t="s">
        <v>993</v>
      </c>
      <c r="E30" s="312">
        <v>71.959999999999994</v>
      </c>
      <c r="F30" s="313">
        <f t="shared" si="3"/>
        <v>50.371999999999993</v>
      </c>
      <c r="G30" s="312">
        <v>45.46</v>
      </c>
      <c r="H30" s="312" t="s">
        <v>994</v>
      </c>
      <c r="I30" s="314" t="s">
        <v>995</v>
      </c>
      <c r="J30" s="281">
        <v>0.45240000000000002</v>
      </c>
      <c r="K30" s="280">
        <f t="shared" si="0"/>
        <v>2.705981052042576</v>
      </c>
      <c r="L30" s="280">
        <f t="shared" si="2"/>
        <v>0.31378019288992953</v>
      </c>
      <c r="M30" s="296">
        <f t="shared" si="1"/>
        <v>3.5550643085089901</v>
      </c>
    </row>
    <row r="31" spans="2:13">
      <c r="B31" s="315">
        <v>27</v>
      </c>
      <c r="C31" s="316" t="s">
        <v>464</v>
      </c>
      <c r="D31" s="316" t="s">
        <v>996</v>
      </c>
      <c r="E31" s="316">
        <v>74.03</v>
      </c>
      <c r="F31" s="317">
        <f t="shared" si="3"/>
        <v>51.820999999999998</v>
      </c>
      <c r="G31" s="316">
        <v>46.39</v>
      </c>
      <c r="H31" s="316" t="s">
        <v>997</v>
      </c>
      <c r="I31" s="318" t="s">
        <v>998</v>
      </c>
      <c r="J31" s="281">
        <v>0.45240000000000002</v>
      </c>
      <c r="K31" s="280">
        <f t="shared" si="0"/>
        <v>2.9170952269012163</v>
      </c>
      <c r="L31" s="280">
        <f t="shared" si="2"/>
        <v>0.31203130109358407</v>
      </c>
      <c r="M31" s="296">
        <f t="shared" si="1"/>
        <v>3.8273202459650864</v>
      </c>
    </row>
    <row r="32" spans="2:13">
      <c r="B32" s="311">
        <v>28</v>
      </c>
      <c r="C32" s="312" t="s">
        <v>471</v>
      </c>
      <c r="D32" s="312" t="s">
        <v>999</v>
      </c>
      <c r="E32" s="312">
        <v>76.12</v>
      </c>
      <c r="F32" s="313">
        <f t="shared" si="3"/>
        <v>53.283999999999999</v>
      </c>
      <c r="G32" s="312">
        <v>47.3</v>
      </c>
      <c r="H32" s="312" t="s">
        <v>1000</v>
      </c>
      <c r="I32" s="314" t="s">
        <v>1001</v>
      </c>
      <c r="J32" s="281">
        <v>0.45240000000000002</v>
      </c>
      <c r="K32" s="280">
        <f t="shared" si="0"/>
        <v>3.1389657963147748</v>
      </c>
      <c r="L32" s="280">
        <f t="shared" si="2"/>
        <v>0.31033414727489084</v>
      </c>
      <c r="M32" s="296">
        <f t="shared" si="1"/>
        <v>4.1130940700391694</v>
      </c>
    </row>
    <row r="33" spans="2:13">
      <c r="B33" s="315">
        <v>29</v>
      </c>
      <c r="C33" s="316" t="s">
        <v>478</v>
      </c>
      <c r="D33" s="316" t="s">
        <v>1002</v>
      </c>
      <c r="E33" s="316">
        <v>78.239999999999995</v>
      </c>
      <c r="F33" s="317">
        <f t="shared" si="3"/>
        <v>54.767999999999994</v>
      </c>
      <c r="G33" s="316">
        <v>48.11</v>
      </c>
      <c r="H33" s="316" t="s">
        <v>1003</v>
      </c>
      <c r="I33" s="318" t="s">
        <v>1004</v>
      </c>
      <c r="J33" s="281">
        <v>0.45240000000000002</v>
      </c>
      <c r="K33" s="280">
        <f t="shared" si="0"/>
        <v>3.3672185072929333</v>
      </c>
      <c r="L33" s="280">
        <f t="shared" si="2"/>
        <v>0.30871768039880665</v>
      </c>
      <c r="M33" s="296">
        <f t="shared" si="1"/>
        <v>4.4067383942603406</v>
      </c>
    </row>
    <row r="34" spans="2:13">
      <c r="B34" s="311">
        <v>30</v>
      </c>
      <c r="C34" s="312" t="s">
        <v>485</v>
      </c>
      <c r="D34" s="312" t="s">
        <v>1005</v>
      </c>
      <c r="E34" s="312">
        <v>80.41</v>
      </c>
      <c r="F34" s="313">
        <f t="shared" si="3"/>
        <v>56.286999999999992</v>
      </c>
      <c r="G34" s="312">
        <v>48.95</v>
      </c>
      <c r="H34" s="312" t="s">
        <v>1006</v>
      </c>
      <c r="I34" s="314" t="s">
        <v>1007</v>
      </c>
      <c r="J34" s="281">
        <v>0.45240000000000002</v>
      </c>
      <c r="K34" s="280">
        <f t="shared" si="0"/>
        <v>3.6124376913402965</v>
      </c>
      <c r="L34" s="280">
        <f t="shared" si="2"/>
        <v>0.30710730010778148</v>
      </c>
      <c r="M34" s="296">
        <f t="shared" si="1"/>
        <v>4.7218436775354027</v>
      </c>
    </row>
    <row r="35" spans="2:13">
      <c r="B35" s="315">
        <v>31</v>
      </c>
      <c r="C35" s="316" t="s">
        <v>492</v>
      </c>
      <c r="D35" s="316" t="s">
        <v>1008</v>
      </c>
      <c r="E35" s="316">
        <v>82.61</v>
      </c>
      <c r="F35" s="317">
        <f t="shared" si="3"/>
        <v>57.826999999999998</v>
      </c>
      <c r="G35" s="316">
        <v>49.87</v>
      </c>
      <c r="H35" s="316" t="s">
        <v>1009</v>
      </c>
      <c r="I35" s="318" t="s">
        <v>1010</v>
      </c>
      <c r="J35" s="281">
        <v>0.45240000000000002</v>
      </c>
      <c r="K35" s="280">
        <f t="shared" si="0"/>
        <v>3.8777106025500614</v>
      </c>
      <c r="L35" s="280">
        <f t="shared" si="2"/>
        <v>0.30549244742546472</v>
      </c>
      <c r="M35" s="296">
        <f t="shared" si="1"/>
        <v>5.0623219049307533</v>
      </c>
    </row>
    <row r="36" spans="2:13">
      <c r="B36" s="311">
        <v>32</v>
      </c>
      <c r="C36" s="312" t="s">
        <v>499</v>
      </c>
      <c r="D36" s="312" t="s">
        <v>1011</v>
      </c>
      <c r="E36" s="312">
        <v>84.79</v>
      </c>
      <c r="F36" s="313">
        <f t="shared" si="3"/>
        <v>59.353000000000002</v>
      </c>
      <c r="G36" s="312">
        <v>50.7</v>
      </c>
      <c r="H36" s="312" t="s">
        <v>1012</v>
      </c>
      <c r="I36" s="314" t="s">
        <v>1013</v>
      </c>
      <c r="J36" s="281">
        <v>0.45240000000000002</v>
      </c>
      <c r="K36" s="280">
        <f t="shared" ref="K36:K54" si="4">(0.0673*(J36*(F36^2)*G36)^0.976)/1000</f>
        <v>4.1462261714201896</v>
      </c>
      <c r="L36" s="280">
        <f t="shared" si="2"/>
        <v>0.30397446640882408</v>
      </c>
      <c r="M36" s="296">
        <f t="shared" ref="M36:M54" si="5">+K36*(1+L36)</f>
        <v>5.4065730594879433</v>
      </c>
    </row>
    <row r="37" spans="2:13">
      <c r="B37" s="315">
        <v>33</v>
      </c>
      <c r="C37" s="316" t="s">
        <v>506</v>
      </c>
      <c r="D37" s="316" t="s">
        <v>1014</v>
      </c>
      <c r="E37" s="316">
        <v>87.01</v>
      </c>
      <c r="F37" s="317">
        <f t="shared" si="3"/>
        <v>60.906999999999996</v>
      </c>
      <c r="G37" s="316">
        <v>51.63</v>
      </c>
      <c r="H37" s="316" t="s">
        <v>1015</v>
      </c>
      <c r="I37" s="318" t="s">
        <v>1016</v>
      </c>
      <c r="J37" s="281">
        <v>0.45240000000000002</v>
      </c>
      <c r="K37" s="280">
        <f t="shared" si="4"/>
        <v>4.4388245928915646</v>
      </c>
      <c r="L37" s="280">
        <f t="shared" si="2"/>
        <v>0.30243618362540858</v>
      </c>
      <c r="M37" s="296">
        <f t="shared" si="5"/>
        <v>5.781285762548297</v>
      </c>
    </row>
    <row r="38" spans="2:13">
      <c r="B38" s="311">
        <v>34</v>
      </c>
      <c r="C38" s="312" t="s">
        <v>513</v>
      </c>
      <c r="D38" s="312" t="s">
        <v>1017</v>
      </c>
      <c r="E38" s="312">
        <v>89.26</v>
      </c>
      <c r="F38" s="313">
        <f t="shared" si="3"/>
        <v>62.481999999999999</v>
      </c>
      <c r="G38" s="312">
        <v>52.93</v>
      </c>
      <c r="H38" s="312" t="s">
        <v>1018</v>
      </c>
      <c r="I38" s="314" t="s">
        <v>1019</v>
      </c>
      <c r="J38" s="281">
        <v>0.45240000000000002</v>
      </c>
      <c r="K38" s="280">
        <f t="shared" si="4"/>
        <v>4.7802628263375162</v>
      </c>
      <c r="L38" s="280">
        <f t="shared" si="2"/>
        <v>0.30077329601270181</v>
      </c>
      <c r="M38" s="296">
        <f t="shared" si="5"/>
        <v>6.2180382324220451</v>
      </c>
    </row>
    <row r="39" spans="2:13">
      <c r="B39" s="315">
        <v>35</v>
      </c>
      <c r="C39" s="316" t="s">
        <v>520</v>
      </c>
      <c r="D39" s="316" t="s">
        <v>1020</v>
      </c>
      <c r="E39" s="316">
        <v>91.54</v>
      </c>
      <c r="F39" s="317">
        <f t="shared" si="3"/>
        <v>64.078000000000003</v>
      </c>
      <c r="G39" s="316">
        <v>54.28</v>
      </c>
      <c r="H39" s="316" t="s">
        <v>1021</v>
      </c>
      <c r="I39" s="318" t="s">
        <v>1022</v>
      </c>
      <c r="J39" s="281">
        <v>0.45240000000000002</v>
      </c>
      <c r="K39" s="280">
        <f t="shared" si="4"/>
        <v>5.1464702631701922</v>
      </c>
      <c r="L39" s="280">
        <f t="shared" si="2"/>
        <v>0.29912601324801857</v>
      </c>
      <c r="M39" s="296">
        <f t="shared" si="5"/>
        <v>6.685913395291772</v>
      </c>
    </row>
    <row r="40" spans="2:13">
      <c r="B40" s="311">
        <v>36</v>
      </c>
      <c r="C40" s="312" t="s">
        <v>527</v>
      </c>
      <c r="D40" s="312" t="s">
        <v>1023</v>
      </c>
      <c r="E40" s="312">
        <v>93.86</v>
      </c>
      <c r="F40" s="313">
        <f t="shared" si="3"/>
        <v>65.701999999999998</v>
      </c>
      <c r="G40" s="312">
        <v>55.62</v>
      </c>
      <c r="H40" s="312" t="s">
        <v>1024</v>
      </c>
      <c r="I40" s="314" t="s">
        <v>1025</v>
      </c>
      <c r="J40" s="281">
        <v>0.45240000000000002</v>
      </c>
      <c r="K40" s="280">
        <f t="shared" si="4"/>
        <v>5.5343161726291745</v>
      </c>
      <c r="L40" s="280">
        <f t="shared" si="2"/>
        <v>0.2975133978773663</v>
      </c>
      <c r="M40" s="296">
        <f t="shared" si="5"/>
        <v>7.1808493820757411</v>
      </c>
    </row>
    <row r="41" spans="2:13">
      <c r="B41" s="315">
        <v>37</v>
      </c>
      <c r="C41" s="316" t="s">
        <v>534</v>
      </c>
      <c r="D41" s="316" t="s">
        <v>1026</v>
      </c>
      <c r="E41" s="316">
        <v>96.15</v>
      </c>
      <c r="F41" s="317">
        <f t="shared" si="3"/>
        <v>67.304999999999993</v>
      </c>
      <c r="G41" s="316">
        <v>56.99</v>
      </c>
      <c r="H41" s="316" t="s">
        <v>1027</v>
      </c>
      <c r="I41" s="318" t="s">
        <v>1028</v>
      </c>
      <c r="J41" s="281">
        <v>0.45240000000000002</v>
      </c>
      <c r="K41" s="280">
        <f t="shared" si="4"/>
        <v>5.9403631147656064</v>
      </c>
      <c r="L41" s="280">
        <f t="shared" si="2"/>
        <v>0.29595031085337936</v>
      </c>
      <c r="M41" s="296">
        <f t="shared" si="5"/>
        <v>7.6984154251624366</v>
      </c>
    </row>
    <row r="42" spans="2:13">
      <c r="B42" s="311">
        <v>38</v>
      </c>
      <c r="C42" s="312" t="s">
        <v>541</v>
      </c>
      <c r="D42" s="312" t="s">
        <v>1029</v>
      </c>
      <c r="E42" s="312">
        <v>98.47</v>
      </c>
      <c r="F42" s="313">
        <f t="shared" si="3"/>
        <v>68.928999999999988</v>
      </c>
      <c r="G42" s="312">
        <v>58.28</v>
      </c>
      <c r="H42" s="312" t="s">
        <v>1030</v>
      </c>
      <c r="I42" s="314" t="s">
        <v>1031</v>
      </c>
      <c r="J42" s="281">
        <v>0.45240000000000002</v>
      </c>
      <c r="K42" s="280">
        <f t="shared" si="4"/>
        <v>6.3608162970556261</v>
      </c>
      <c r="L42" s="280">
        <f t="shared" si="2"/>
        <v>0.29444835396843089</v>
      </c>
      <c r="M42" s="296">
        <f t="shared" si="5"/>
        <v>8.2337481856192252</v>
      </c>
    </row>
    <row r="43" spans="2:13">
      <c r="B43" s="315">
        <v>39</v>
      </c>
      <c r="C43" s="316" t="s">
        <v>548</v>
      </c>
      <c r="D43" s="316" t="s">
        <v>1032</v>
      </c>
      <c r="E43" s="316">
        <v>100.83</v>
      </c>
      <c r="F43" s="317">
        <f t="shared" si="3"/>
        <v>70.580999999999989</v>
      </c>
      <c r="G43" s="316">
        <v>59.62</v>
      </c>
      <c r="H43" s="316" t="s">
        <v>1033</v>
      </c>
      <c r="I43" s="318" t="s">
        <v>1034</v>
      </c>
      <c r="J43" s="281">
        <v>0.45240000000000002</v>
      </c>
      <c r="K43" s="280">
        <f t="shared" si="4"/>
        <v>6.8112415511887363</v>
      </c>
      <c r="L43" s="280">
        <f t="shared" si="2"/>
        <v>0.29295333859562317</v>
      </c>
      <c r="M43" s="296">
        <f t="shared" si="5"/>
        <v>8.8066175035907079</v>
      </c>
    </row>
    <row r="44" spans="2:13">
      <c r="B44" s="311">
        <v>40</v>
      </c>
      <c r="C44" s="312" t="s">
        <v>555</v>
      </c>
      <c r="D44" s="312" t="s">
        <v>1035</v>
      </c>
      <c r="E44" s="312">
        <v>103.21</v>
      </c>
      <c r="F44" s="313">
        <f t="shared" si="3"/>
        <v>72.246999999999986</v>
      </c>
      <c r="G44" s="312">
        <v>61</v>
      </c>
      <c r="H44" s="312" t="s">
        <v>1036</v>
      </c>
      <c r="I44" s="314" t="s">
        <v>1037</v>
      </c>
      <c r="J44" s="281">
        <v>0.45240000000000002</v>
      </c>
      <c r="K44" s="280">
        <f t="shared" si="4"/>
        <v>7.2895936878361995</v>
      </c>
      <c r="L44" s="280">
        <f t="shared" si="2"/>
        <v>0.29147771748637757</v>
      </c>
      <c r="M44" s="296">
        <f t="shared" si="5"/>
        <v>9.4143478173698014</v>
      </c>
    </row>
    <row r="45" spans="2:13">
      <c r="B45" s="315">
        <v>41</v>
      </c>
      <c r="C45" s="316" t="s">
        <v>562</v>
      </c>
      <c r="D45" s="316" t="s">
        <v>1038</v>
      </c>
      <c r="E45" s="316">
        <v>105.62</v>
      </c>
      <c r="F45" s="317">
        <f t="shared" si="3"/>
        <v>73.933999999999997</v>
      </c>
      <c r="G45" s="316">
        <v>62.37</v>
      </c>
      <c r="H45" s="316" t="s">
        <v>1039</v>
      </c>
      <c r="I45" s="318" t="s">
        <v>1040</v>
      </c>
      <c r="J45" s="281">
        <v>0.45240000000000002</v>
      </c>
      <c r="K45" s="280">
        <f t="shared" si="4"/>
        <v>7.7926528389616019</v>
      </c>
      <c r="L45" s="280">
        <f t="shared" si="2"/>
        <v>0.29003412452534488</v>
      </c>
      <c r="M45" s="296">
        <f t="shared" si="5"/>
        <v>10.052788082839774</v>
      </c>
    </row>
    <row r="46" spans="2:13">
      <c r="B46" s="311">
        <v>42</v>
      </c>
      <c r="C46" s="312" t="s">
        <v>569</v>
      </c>
      <c r="D46" s="312" t="s">
        <v>1041</v>
      </c>
      <c r="E46" s="312">
        <v>108.08</v>
      </c>
      <c r="F46" s="313">
        <f t="shared" si="3"/>
        <v>75.655999999999992</v>
      </c>
      <c r="G46" s="312">
        <v>63.81</v>
      </c>
      <c r="H46" s="312" t="s">
        <v>874</v>
      </c>
      <c r="I46" s="314" t="s">
        <v>1042</v>
      </c>
      <c r="J46" s="281">
        <v>0.45240000000000002</v>
      </c>
      <c r="K46" s="280">
        <f t="shared" si="4"/>
        <v>8.3344856452555725</v>
      </c>
      <c r="L46" s="280">
        <f t="shared" si="2"/>
        <v>0.2885872263905484</v>
      </c>
      <c r="M46" s="296">
        <f t="shared" si="5"/>
        <v>10.739711741011719</v>
      </c>
    </row>
    <row r="47" spans="2:13">
      <c r="B47" s="315">
        <v>43</v>
      </c>
      <c r="C47" s="316" t="s">
        <v>576</v>
      </c>
      <c r="D47" s="316" t="s">
        <v>1043</v>
      </c>
      <c r="E47" s="316">
        <v>110.56</v>
      </c>
      <c r="F47" s="317">
        <f t="shared" si="3"/>
        <v>77.391999999999996</v>
      </c>
      <c r="G47" s="316">
        <v>65.290000000000006</v>
      </c>
      <c r="H47" s="316" t="s">
        <v>1044</v>
      </c>
      <c r="I47" s="318" t="s">
        <v>1045</v>
      </c>
      <c r="J47" s="281">
        <v>0.45240000000000002</v>
      </c>
      <c r="K47" s="280">
        <f t="shared" si="4"/>
        <v>8.9090253656042044</v>
      </c>
      <c r="L47" s="280">
        <f t="shared" si="2"/>
        <v>0.287159455118429</v>
      </c>
      <c r="M47" s="296">
        <f t="shared" si="5"/>
        <v>11.467336235227371</v>
      </c>
    </row>
    <row r="48" spans="2:13">
      <c r="B48" s="311">
        <v>44</v>
      </c>
      <c r="C48" s="312" t="s">
        <v>583</v>
      </c>
      <c r="D48" s="312" t="s">
        <v>1046</v>
      </c>
      <c r="E48" s="312">
        <v>113.08</v>
      </c>
      <c r="F48" s="313">
        <f t="shared" si="3"/>
        <v>79.155999999999992</v>
      </c>
      <c r="G48" s="312">
        <v>66.83</v>
      </c>
      <c r="H48" s="312" t="s">
        <v>1047</v>
      </c>
      <c r="I48" s="314" t="s">
        <v>1048</v>
      </c>
      <c r="J48" s="281">
        <v>0.45240000000000002</v>
      </c>
      <c r="K48" s="280">
        <f t="shared" si="4"/>
        <v>9.5239634396110411</v>
      </c>
      <c r="L48" s="280">
        <f t="shared" si="2"/>
        <v>0.28573697901840389</v>
      </c>
      <c r="M48" s="296">
        <f t="shared" si="5"/>
        <v>12.245311981127227</v>
      </c>
    </row>
    <row r="49" spans="2:13">
      <c r="B49" s="315">
        <v>45</v>
      </c>
      <c r="C49" s="316" t="s">
        <v>590</v>
      </c>
      <c r="D49" s="316" t="s">
        <v>1049</v>
      </c>
      <c r="E49" s="316">
        <v>115.61</v>
      </c>
      <c r="F49" s="317">
        <f t="shared" si="3"/>
        <v>80.926999999999992</v>
      </c>
      <c r="G49" s="316">
        <v>68.430000000000007</v>
      </c>
      <c r="H49" s="316" t="s">
        <v>1050</v>
      </c>
      <c r="I49" s="318" t="s">
        <v>1051</v>
      </c>
      <c r="J49" s="281">
        <v>0.45240000000000002</v>
      </c>
      <c r="K49" s="280">
        <f t="shared" si="4"/>
        <v>10.176633599714553</v>
      </c>
      <c r="L49" s="280">
        <f t="shared" si="2"/>
        <v>0.28433134487251022</v>
      </c>
      <c r="M49" s="296">
        <f t="shared" si="5"/>
        <v>13.070169517396167</v>
      </c>
    </row>
    <row r="50" spans="2:13">
      <c r="B50" s="311">
        <v>46</v>
      </c>
      <c r="C50" s="312" t="s">
        <v>597</v>
      </c>
      <c r="D50" s="312" t="s">
        <v>1052</v>
      </c>
      <c r="E50" s="312">
        <v>118.07</v>
      </c>
      <c r="F50" s="313">
        <f t="shared" si="3"/>
        <v>82.648999999999987</v>
      </c>
      <c r="G50" s="312">
        <v>69.959999999999994</v>
      </c>
      <c r="H50" s="312" t="s">
        <v>1053</v>
      </c>
      <c r="I50" s="314" t="s">
        <v>1054</v>
      </c>
      <c r="J50" s="281">
        <v>0.45240000000000002</v>
      </c>
      <c r="K50" s="280">
        <f t="shared" si="4"/>
        <v>10.834935374835098</v>
      </c>
      <c r="L50" s="280">
        <f t="shared" si="2"/>
        <v>0.2830084537479054</v>
      </c>
      <c r="M50" s="296">
        <f t="shared" si="5"/>
        <v>13.901313681725661</v>
      </c>
    </row>
    <row r="51" spans="2:13">
      <c r="B51" s="315">
        <v>47</v>
      </c>
      <c r="C51" s="316" t="s">
        <v>604</v>
      </c>
      <c r="D51" s="316" t="s">
        <v>1055</v>
      </c>
      <c r="E51" s="316">
        <v>120.57</v>
      </c>
      <c r="F51" s="317">
        <f t="shared" si="3"/>
        <v>84.398999999999987</v>
      </c>
      <c r="G51" s="316">
        <v>71.33</v>
      </c>
      <c r="H51" s="316" t="s">
        <v>1056</v>
      </c>
      <c r="I51" s="318" t="s">
        <v>1057</v>
      </c>
      <c r="J51" s="281">
        <v>0.45240000000000002</v>
      </c>
      <c r="K51" s="280">
        <f t="shared" si="4"/>
        <v>11.502949686827135</v>
      </c>
      <c r="L51" s="280">
        <f t="shared" si="2"/>
        <v>0.28175152874764969</v>
      </c>
      <c r="M51" s="296">
        <f t="shared" si="5"/>
        <v>14.743923346197979</v>
      </c>
    </row>
    <row r="52" spans="2:13">
      <c r="B52" s="311">
        <v>48</v>
      </c>
      <c r="C52" s="312" t="s">
        <v>611</v>
      </c>
      <c r="D52" s="312" t="s">
        <v>1058</v>
      </c>
      <c r="E52" s="312">
        <v>123.11</v>
      </c>
      <c r="F52" s="313">
        <f t="shared" si="3"/>
        <v>86.176999999999992</v>
      </c>
      <c r="G52" s="312">
        <v>72.75</v>
      </c>
      <c r="H52" s="312" t="s">
        <v>1059</v>
      </c>
      <c r="I52" s="314" t="s">
        <v>1060</v>
      </c>
      <c r="J52" s="281">
        <v>0.45240000000000002</v>
      </c>
      <c r="K52" s="280">
        <f t="shared" si="4"/>
        <v>12.213442178990407</v>
      </c>
      <c r="L52" s="280">
        <f t="shared" si="2"/>
        <v>0.28049797734486798</v>
      </c>
      <c r="M52" s="296">
        <f t="shared" si="5"/>
        <v>15.639288006615713</v>
      </c>
    </row>
    <row r="53" spans="2:13">
      <c r="B53" s="315">
        <v>49</v>
      </c>
      <c r="C53" s="316" t="s">
        <v>618</v>
      </c>
      <c r="D53" s="316" t="s">
        <v>1061</v>
      </c>
      <c r="E53" s="316">
        <v>125.66</v>
      </c>
      <c r="F53" s="317">
        <f t="shared" si="3"/>
        <v>87.961999999999989</v>
      </c>
      <c r="G53" s="316">
        <v>74.23</v>
      </c>
      <c r="H53" s="316" t="s">
        <v>1062</v>
      </c>
      <c r="I53" s="318" t="s">
        <v>1063</v>
      </c>
      <c r="J53" s="281">
        <v>0.45240000000000002</v>
      </c>
      <c r="K53" s="280">
        <f t="shared" si="4"/>
        <v>12.964467933776167</v>
      </c>
      <c r="L53" s="280">
        <f t="shared" si="2"/>
        <v>0.27925537282136903</v>
      </c>
      <c r="M53" s="296">
        <f t="shared" si="5"/>
        <v>16.584865260053512</v>
      </c>
    </row>
    <row r="54" spans="2:13" ht="16.5" thickBot="1">
      <c r="B54" s="319">
        <v>50</v>
      </c>
      <c r="C54" s="320" t="s">
        <v>625</v>
      </c>
      <c r="D54" s="320" t="s">
        <v>1064</v>
      </c>
      <c r="E54" s="320">
        <v>128.25</v>
      </c>
      <c r="F54" s="321">
        <f t="shared" si="3"/>
        <v>89.774999999999991</v>
      </c>
      <c r="G54" s="320">
        <v>75.75</v>
      </c>
      <c r="H54" s="320" t="s">
        <v>1065</v>
      </c>
      <c r="I54" s="322" t="s">
        <v>1066</v>
      </c>
      <c r="J54" s="282">
        <v>0.45240000000000002</v>
      </c>
      <c r="K54" s="283">
        <f t="shared" si="4"/>
        <v>13.760744770493249</v>
      </c>
      <c r="L54" s="283">
        <f t="shared" si="2"/>
        <v>0.27801967211648448</v>
      </c>
      <c r="M54" s="278">
        <f t="shared" si="5"/>
        <v>17.58650251966441</v>
      </c>
    </row>
  </sheetData>
  <mergeCells count="2">
    <mergeCell ref="B2:I2"/>
    <mergeCell ref="J2:M2"/>
  </mergeCells>
  <dataValidations disablePrompts="1" count="1">
    <dataValidation type="custom" allowBlank="1" showDropDown="1" sqref="B4:B54" xr:uid="{8B1AC0B0-C0C0-4CFC-8BC1-55A134FF0913}">
      <formula1>AND(ISNUMBER(B4),(NOT(OR(NOT(ISERROR(DATEVALUE(B4))), AND(ISNUMBER(B4), LEFT(CELL("format", B4))="D")))))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C81B8-9006-9E46-8073-F96AA16EEB25}">
  <dimension ref="B2:AV117"/>
  <sheetViews>
    <sheetView topLeftCell="A53" zoomScale="70" zoomScaleNormal="70" workbookViewId="0">
      <selection activeCell="G92" sqref="G92"/>
    </sheetView>
  </sheetViews>
  <sheetFormatPr defaultColWidth="10.6640625" defaultRowHeight="15"/>
  <cols>
    <col min="1" max="1" width="4.109375" style="3" customWidth="1"/>
    <col min="2" max="2" width="13.88671875" style="3" customWidth="1"/>
    <col min="3" max="3" width="10.6640625" style="3"/>
    <col min="4" max="4" width="10.5546875" style="3" customWidth="1"/>
    <col min="5" max="16384" width="10.6640625" style="3"/>
  </cols>
  <sheetData>
    <row r="2" spans="2:20" ht="30">
      <c r="B2" s="5" t="s">
        <v>1067</v>
      </c>
      <c r="C2" s="504" t="s">
        <v>1068</v>
      </c>
      <c r="D2" s="504" t="s">
        <v>1069</v>
      </c>
    </row>
    <row r="3" spans="2:20">
      <c r="B3" s="11" t="s">
        <v>1070</v>
      </c>
      <c r="C3" s="505">
        <f>0.7</f>
        <v>0.7</v>
      </c>
      <c r="D3" s="327">
        <f t="shared" ref="D3:D9" si="0">C3/$C$9</f>
        <v>0.53846153846153844</v>
      </c>
    </row>
    <row r="4" spans="2:20">
      <c r="B4" s="11" t="s">
        <v>1071</v>
      </c>
      <c r="C4" s="327">
        <f>C3+0.1</f>
        <v>0.79999999999999993</v>
      </c>
      <c r="D4" s="327">
        <f t="shared" si="0"/>
        <v>0.61538461538461531</v>
      </c>
    </row>
    <row r="5" spans="2:20">
      <c r="B5" s="11" t="s">
        <v>1072</v>
      </c>
      <c r="C5" s="327">
        <f t="shared" ref="C5:C9" si="1">C4+0.1</f>
        <v>0.89999999999999991</v>
      </c>
      <c r="D5" s="327">
        <f t="shared" si="0"/>
        <v>0.69230769230769218</v>
      </c>
    </row>
    <row r="6" spans="2:20">
      <c r="B6" s="11" t="s">
        <v>16</v>
      </c>
      <c r="C6" s="327">
        <f t="shared" si="1"/>
        <v>0.99999999999999989</v>
      </c>
      <c r="D6" s="327">
        <f t="shared" si="0"/>
        <v>0.76923076923076916</v>
      </c>
    </row>
    <row r="7" spans="2:20">
      <c r="B7" s="11" t="s">
        <v>1073</v>
      </c>
      <c r="C7" s="327">
        <f t="shared" si="1"/>
        <v>1.0999999999999999</v>
      </c>
      <c r="D7" s="327">
        <f t="shared" si="0"/>
        <v>0.84615384615384603</v>
      </c>
    </row>
    <row r="8" spans="2:20">
      <c r="B8" s="11" t="s">
        <v>1074</v>
      </c>
      <c r="C8" s="327">
        <f t="shared" si="1"/>
        <v>1.2</v>
      </c>
      <c r="D8" s="327">
        <f t="shared" si="0"/>
        <v>0.92307692307692302</v>
      </c>
    </row>
    <row r="9" spans="2:20">
      <c r="B9" s="11" t="s">
        <v>1075</v>
      </c>
      <c r="C9" s="327">
        <f t="shared" si="1"/>
        <v>1.3</v>
      </c>
      <c r="D9" s="327">
        <f t="shared" si="0"/>
        <v>1</v>
      </c>
    </row>
    <row r="12" spans="2:20" ht="22.5">
      <c r="B12" s="148" t="s">
        <v>1076</v>
      </c>
      <c r="E12" s="444"/>
    </row>
    <row r="13" spans="2:20">
      <c r="B13" s="5"/>
      <c r="E13" s="444"/>
    </row>
    <row r="14" spans="2:20">
      <c r="B14" s="5" t="s">
        <v>1077</v>
      </c>
      <c r="E14" s="444"/>
      <c r="F14" s="3">
        <f t="shared" ref="F14:T14" si="2">F68</f>
        <v>1</v>
      </c>
      <c r="G14" s="3">
        <f t="shared" si="2"/>
        <v>2</v>
      </c>
      <c r="H14" s="3">
        <f t="shared" si="2"/>
        <v>3</v>
      </c>
      <c r="I14" s="3">
        <f t="shared" si="2"/>
        <v>4</v>
      </c>
      <c r="J14" s="3">
        <f t="shared" si="2"/>
        <v>5</v>
      </c>
      <c r="K14" s="3">
        <f t="shared" si="2"/>
        <v>6</v>
      </c>
      <c r="L14" s="3">
        <f t="shared" si="2"/>
        <v>7</v>
      </c>
      <c r="M14" s="3">
        <f t="shared" si="2"/>
        <v>8</v>
      </c>
      <c r="N14" s="3">
        <f t="shared" si="2"/>
        <v>9</v>
      </c>
      <c r="O14" s="3">
        <f t="shared" si="2"/>
        <v>10</v>
      </c>
      <c r="P14" s="3">
        <f t="shared" si="2"/>
        <v>11</v>
      </c>
      <c r="Q14" s="3">
        <f t="shared" si="2"/>
        <v>12</v>
      </c>
      <c r="R14" s="3">
        <f t="shared" si="2"/>
        <v>13</v>
      </c>
      <c r="S14" s="3">
        <f t="shared" si="2"/>
        <v>14</v>
      </c>
      <c r="T14" s="3">
        <f t="shared" si="2"/>
        <v>15</v>
      </c>
    </row>
    <row r="15" spans="2:20">
      <c r="B15" s="506" t="s">
        <v>1078</v>
      </c>
      <c r="C15" s="445"/>
      <c r="D15" s="446" t="s">
        <v>1077</v>
      </c>
      <c r="E15" s="447" t="s">
        <v>1079</v>
      </c>
      <c r="F15" s="486">
        <v>3.24</v>
      </c>
      <c r="G15" s="486">
        <v>4.71</v>
      </c>
      <c r="H15" s="486">
        <v>5.93</v>
      </c>
      <c r="I15" s="486">
        <v>7.5</v>
      </c>
      <c r="J15" s="486">
        <v>11.07</v>
      </c>
      <c r="K15" s="486">
        <v>15.18</v>
      </c>
      <c r="L15" s="448"/>
      <c r="M15" s="448"/>
      <c r="N15" s="448"/>
      <c r="O15" s="448"/>
      <c r="P15" s="448"/>
    </row>
    <row r="16" spans="2:20">
      <c r="B16" s="507" t="s">
        <v>1080</v>
      </c>
      <c r="D16" s="11" t="s">
        <v>1077</v>
      </c>
      <c r="E16" s="444" t="s">
        <v>1079</v>
      </c>
      <c r="F16" s="443" cm="1">
        <f t="array" ref="F16:P16">TRANSPOSE('AirImpact - Melia volkensii'!F4:F14)</f>
        <v>2.6846153846153844</v>
      </c>
      <c r="G16" s="443">
        <v>5.3615384615384611</v>
      </c>
      <c r="H16" s="443">
        <v>7.4999999999999991</v>
      </c>
      <c r="I16" s="443">
        <v>9.3461538461538449</v>
      </c>
      <c r="J16" s="443">
        <v>11.107692307692306</v>
      </c>
      <c r="K16" s="443">
        <v>12.799999999999999</v>
      </c>
      <c r="L16" s="443">
        <v>14.384615384615383</v>
      </c>
      <c r="M16" s="443">
        <v>15.838461538461537</v>
      </c>
      <c r="N16" s="443">
        <v>17.192307692307693</v>
      </c>
      <c r="O16" s="443">
        <v>18.469230769230769</v>
      </c>
      <c r="P16" s="443">
        <v>19.892307692307689</v>
      </c>
    </row>
    <row r="17" spans="2:20">
      <c r="B17" s="507" t="s">
        <v>1081</v>
      </c>
      <c r="D17" s="11" t="s">
        <v>1077</v>
      </c>
      <c r="E17" s="444" t="s">
        <v>1079</v>
      </c>
      <c r="F17" s="443" cm="1">
        <f t="array" ref="F17:T17">TRANSPOSE('AirImpact - Maesopsis eminii'!F4:F18)</f>
        <v>3.661538461538461</v>
      </c>
      <c r="G17" s="443">
        <v>7.3307692307692296</v>
      </c>
      <c r="H17" s="443">
        <v>10.084615384615383</v>
      </c>
      <c r="I17" s="443">
        <v>12.469230769230769</v>
      </c>
      <c r="J17" s="443">
        <v>14.738461538461538</v>
      </c>
      <c r="K17" s="443">
        <v>16.846153846153843</v>
      </c>
      <c r="L17" s="443">
        <v>18.784615384615385</v>
      </c>
      <c r="M17" s="443">
        <v>20.96153846153846</v>
      </c>
      <c r="N17" s="443">
        <v>23.19230769230769</v>
      </c>
      <c r="O17" s="443">
        <v>25.438461538461535</v>
      </c>
      <c r="P17" s="443">
        <v>27.661538461538459</v>
      </c>
      <c r="Q17" s="443">
        <v>29.784615384615382</v>
      </c>
      <c r="R17" s="443">
        <v>31.784615384615382</v>
      </c>
      <c r="S17" s="443">
        <v>33.738461538461536</v>
      </c>
      <c r="T17" s="443">
        <v>35.623076923076923</v>
      </c>
    </row>
    <row r="18" spans="2:20">
      <c r="B18" s="507" t="s">
        <v>1082</v>
      </c>
      <c r="D18" s="11" t="s">
        <v>1077</v>
      </c>
      <c r="E18" s="444" t="s">
        <v>1079</v>
      </c>
      <c r="F18" s="443" cm="1">
        <f t="array" ref="F18:P18">TRANSPOSE('AirImpact - Acacia polyacantha'!F4:F14)</f>
        <v>2.069230769230769</v>
      </c>
      <c r="G18" s="443">
        <v>4.138461538461538</v>
      </c>
      <c r="H18" s="443">
        <v>5.4384615384615378</v>
      </c>
      <c r="I18" s="443">
        <v>6.6923076923076907</v>
      </c>
      <c r="J18" s="443">
        <v>8.023076923076923</v>
      </c>
      <c r="K18" s="443">
        <v>9.407692307692308</v>
      </c>
      <c r="L18" s="443">
        <v>10.815384615384614</v>
      </c>
      <c r="M18" s="443">
        <v>12.269230769230768</v>
      </c>
      <c r="N18" s="443">
        <v>13.746153846153845</v>
      </c>
      <c r="O18" s="443">
        <v>15.223076923076921</v>
      </c>
      <c r="P18" s="443">
        <v>16.623076923076923</v>
      </c>
    </row>
    <row r="19" spans="2:20">
      <c r="B19" s="507" t="s">
        <v>1083</v>
      </c>
      <c r="D19" s="11" t="s">
        <v>1077</v>
      </c>
      <c r="E19" s="444" t="s">
        <v>1079</v>
      </c>
      <c r="F19" s="443" cm="1">
        <f t="array" ref="F19:P19">(TRANSPOSE('Ex-Ante - AirImpact - Charcoal'!F5:F15)+TRANSPOSE('Ex-Ante - AirImpact - Charcoal'!S5:S15))/2</f>
        <v>1.6807692307692306</v>
      </c>
      <c r="G19" s="443">
        <v>3.3576923076923073</v>
      </c>
      <c r="H19" s="443">
        <v>4.6076923076923073</v>
      </c>
      <c r="I19" s="443">
        <v>5.6576923076923062</v>
      </c>
      <c r="J19" s="443">
        <v>6.6999999999999993</v>
      </c>
      <c r="K19" s="443">
        <v>7.773076923076923</v>
      </c>
      <c r="L19" s="443">
        <v>8.8807692307692303</v>
      </c>
      <c r="M19" s="443">
        <v>10.026923076923076</v>
      </c>
      <c r="N19" s="443">
        <v>11.176923076923076</v>
      </c>
      <c r="O19" s="443">
        <v>12.334615384615383</v>
      </c>
      <c r="P19" s="443">
        <v>13.465384615384615</v>
      </c>
    </row>
    <row r="20" spans="2:20">
      <c r="B20" s="507"/>
      <c r="D20" s="11"/>
      <c r="E20" s="444"/>
      <c r="F20" s="10"/>
      <c r="G20" s="443"/>
      <c r="H20" s="443"/>
      <c r="I20" s="443"/>
      <c r="J20" s="443"/>
      <c r="K20" s="443"/>
      <c r="L20" s="443"/>
      <c r="M20" s="443"/>
      <c r="N20" s="443"/>
      <c r="O20" s="443"/>
      <c r="P20" s="443"/>
    </row>
    <row r="21" spans="2:20">
      <c r="B21" s="5" t="s">
        <v>1084</v>
      </c>
      <c r="D21" s="11"/>
      <c r="E21" s="444"/>
      <c r="F21" s="3">
        <f>F14</f>
        <v>1</v>
      </c>
      <c r="G21" s="3">
        <f t="shared" ref="G21:T21" si="3">G14</f>
        <v>2</v>
      </c>
      <c r="H21" s="3">
        <f t="shared" si="3"/>
        <v>3</v>
      </c>
      <c r="I21" s="3">
        <f t="shared" si="3"/>
        <v>4</v>
      </c>
      <c r="J21" s="3">
        <f t="shared" si="3"/>
        <v>5</v>
      </c>
      <c r="K21" s="3">
        <f t="shared" si="3"/>
        <v>6</v>
      </c>
      <c r="L21" s="3">
        <f t="shared" si="3"/>
        <v>7</v>
      </c>
      <c r="M21" s="3">
        <f t="shared" si="3"/>
        <v>8</v>
      </c>
      <c r="N21" s="3">
        <f t="shared" si="3"/>
        <v>9</v>
      </c>
      <c r="O21" s="3">
        <f t="shared" si="3"/>
        <v>10</v>
      </c>
      <c r="P21" s="3">
        <f t="shared" si="3"/>
        <v>11</v>
      </c>
      <c r="Q21" s="3">
        <f t="shared" si="3"/>
        <v>12</v>
      </c>
      <c r="R21" s="3">
        <f t="shared" si="3"/>
        <v>13</v>
      </c>
      <c r="S21" s="3">
        <f t="shared" si="3"/>
        <v>14</v>
      </c>
      <c r="T21" s="3">
        <f t="shared" si="3"/>
        <v>15</v>
      </c>
    </row>
    <row r="22" spans="2:20">
      <c r="B22" s="506" t="s">
        <v>1078</v>
      </c>
      <c r="C22" s="445"/>
      <c r="D22" s="446" t="s">
        <v>1085</v>
      </c>
      <c r="E22" s="447" t="s">
        <v>1086</v>
      </c>
      <c r="F22" s="485">
        <f>F75</f>
        <v>4.7280000000000004E-3</v>
      </c>
      <c r="G22" s="485">
        <f t="shared" ref="G22:M22" si="4">G75</f>
        <v>7.9080000000000001E-3</v>
      </c>
      <c r="H22" s="485">
        <f t="shared" si="4"/>
        <v>1.2168E-2</v>
      </c>
      <c r="I22" s="485">
        <f t="shared" si="4"/>
        <v>1.9584000000000001E-2</v>
      </c>
      <c r="J22" s="485">
        <f t="shared" si="4"/>
        <v>3.6527999999999998E-2</v>
      </c>
      <c r="K22" s="485">
        <f t="shared" si="4"/>
        <v>6.4416000000000001E-2</v>
      </c>
      <c r="L22" s="485">
        <f t="shared" si="4"/>
        <v>9.2303999999999997E-2</v>
      </c>
      <c r="M22" s="485">
        <f t="shared" si="4"/>
        <v>0.12019199999999999</v>
      </c>
      <c r="N22" s="448"/>
      <c r="O22" s="448"/>
      <c r="P22" s="448"/>
    </row>
    <row r="23" spans="2:20">
      <c r="B23" s="507" t="s">
        <v>1080</v>
      </c>
      <c r="D23" s="11" t="s">
        <v>1085</v>
      </c>
      <c r="E23" s="444" t="s">
        <v>1086</v>
      </c>
      <c r="F23" s="10" cm="1">
        <f t="array" ref="F23:P23">TRANSPOSE('AirImpact - Melia volkensii'!M4:M14)</f>
        <v>1.8613310245223038E-3</v>
      </c>
      <c r="G23" s="443">
        <v>1.0729354460064183E-2</v>
      </c>
      <c r="H23" s="443">
        <v>2.4761821046176361E-2</v>
      </c>
      <c r="I23" s="443">
        <v>4.4308104571972047E-2</v>
      </c>
      <c r="J23" s="443">
        <v>7.0881254571550617E-2</v>
      </c>
      <c r="K23" s="443">
        <v>0.10509494283876561</v>
      </c>
      <c r="L23" s="443">
        <v>0.14600063151862577</v>
      </c>
      <c r="M23" s="443">
        <v>0.19234777400272074</v>
      </c>
      <c r="N23" s="443">
        <v>0.24437196668468711</v>
      </c>
      <c r="O23" s="443">
        <v>0.30147679746424594</v>
      </c>
      <c r="P23" s="443">
        <v>0.37097670183301612</v>
      </c>
    </row>
    <row r="24" spans="2:20">
      <c r="B24" s="507" t="s">
        <v>1081</v>
      </c>
      <c r="D24" s="11" t="s">
        <v>1085</v>
      </c>
      <c r="E24" s="444" t="s">
        <v>1086</v>
      </c>
      <c r="F24" s="443" cm="1">
        <f t="array" ref="F24:P24">TRANSPOSE('AirImpact - Maesopsis eminii'!M4:M14)</f>
        <v>3.0424305838419696E-3</v>
      </c>
      <c r="G24" s="443">
        <v>1.7733488643563812E-2</v>
      </c>
      <c r="H24" s="443">
        <v>4.031407695233348E-2</v>
      </c>
      <c r="I24" s="443">
        <v>7.2387966132038822E-2</v>
      </c>
      <c r="J24" s="443">
        <v>0.11667541327347526</v>
      </c>
      <c r="K24" s="443">
        <v>0.17259988866951723</v>
      </c>
      <c r="L24" s="443">
        <v>0.23805453939324267</v>
      </c>
      <c r="M24" s="443">
        <v>0.32475378247498388</v>
      </c>
      <c r="N24" s="443">
        <v>0.4287694636940993</v>
      </c>
      <c r="O24" s="443">
        <v>0.54907295246839283</v>
      </c>
      <c r="P24" s="443">
        <v>0.68512768190617646</v>
      </c>
    </row>
    <row r="25" spans="2:20">
      <c r="B25" s="507" t="s">
        <v>1082</v>
      </c>
      <c r="D25" s="11" t="s">
        <v>1085</v>
      </c>
      <c r="E25" s="444" t="s">
        <v>1086</v>
      </c>
      <c r="F25" s="443" cm="1">
        <f t="array" ref="F25:P25">TRANSPOSE('AirImpact - Acacia polyacantha'!M4:M14)</f>
        <v>1.0321464225419271E-3</v>
      </c>
      <c r="G25" s="443">
        <v>6.0115270203998138E-3</v>
      </c>
      <c r="H25" s="443">
        <v>1.2624529676011353E-2</v>
      </c>
      <c r="I25" s="443">
        <v>2.2486877793298381E-2</v>
      </c>
      <c r="J25" s="443">
        <v>3.6929456729391061E-2</v>
      </c>
      <c r="K25" s="443">
        <v>5.5735041105005399E-2</v>
      </c>
      <c r="L25" s="443">
        <v>7.9634540058344541E-2</v>
      </c>
      <c r="M25" s="443">
        <v>0.10922562084776101</v>
      </c>
      <c r="N25" s="443">
        <v>0.144806345951103</v>
      </c>
      <c r="O25" s="443">
        <v>0.18605575080506664</v>
      </c>
      <c r="P25" s="443">
        <v>0.23013921757894445</v>
      </c>
    </row>
    <row r="26" spans="2:20">
      <c r="B26" s="507" t="s">
        <v>1083</v>
      </c>
      <c r="D26" s="11" t="s">
        <v>1085</v>
      </c>
      <c r="E26" s="444" t="s">
        <v>1086</v>
      </c>
      <c r="F26" s="443" cm="1">
        <f t="array" ref="F26:P26">TRANSPOSE('Ex-Ante - AirImpact - Charcoal'!AB5:AB15)</f>
        <v>6.7540053225408081E-4</v>
      </c>
      <c r="G26" s="443">
        <v>3.9156285619804986E-3</v>
      </c>
      <c r="H26" s="443">
        <v>8.644414151686243E-3</v>
      </c>
      <c r="I26" s="443">
        <v>1.5260138761026016E-2</v>
      </c>
      <c r="J26" s="443">
        <v>2.4560194021927644E-2</v>
      </c>
      <c r="K26" s="443">
        <v>3.6669559396273657E-2</v>
      </c>
      <c r="L26" s="443">
        <v>5.2167303188008773E-2</v>
      </c>
      <c r="M26" s="443">
        <v>7.1305383521045013E-2</v>
      </c>
      <c r="N26" s="443">
        <v>9.4064954717988342E-2</v>
      </c>
      <c r="O26" s="443">
        <v>0.12049170554694903</v>
      </c>
      <c r="P26" s="443">
        <v>0.14938516801055263</v>
      </c>
    </row>
    <row r="27" spans="2:20">
      <c r="B27" s="5"/>
      <c r="D27" s="11"/>
      <c r="E27" s="444"/>
      <c r="F27" s="10"/>
      <c r="G27" s="443"/>
      <c r="H27" s="443"/>
      <c r="I27" s="443"/>
      <c r="J27" s="443"/>
      <c r="K27" s="443"/>
      <c r="L27" s="443"/>
      <c r="M27" s="443"/>
      <c r="N27" s="443"/>
      <c r="O27" s="443"/>
      <c r="P27" s="443"/>
    </row>
    <row r="28" spans="2:20" ht="22.5">
      <c r="B28" s="148" t="s">
        <v>1087</v>
      </c>
      <c r="D28" s="11"/>
      <c r="E28" s="444"/>
      <c r="H28" s="443"/>
      <c r="I28" s="443"/>
      <c r="J28" s="443"/>
      <c r="K28" s="443"/>
      <c r="L28" s="443"/>
      <c r="M28" s="443"/>
      <c r="N28" s="443"/>
      <c r="O28" s="443"/>
      <c r="P28" s="443"/>
    </row>
    <row r="29" spans="2:20">
      <c r="E29" s="449">
        <v>44795</v>
      </c>
      <c r="F29" s="449">
        <v>45170</v>
      </c>
      <c r="G29" s="449">
        <v>45323</v>
      </c>
    </row>
    <row r="30" spans="2:20">
      <c r="B30" s="5" t="s">
        <v>1077</v>
      </c>
      <c r="E30" s="444"/>
      <c r="F30" s="508">
        <f>YEARFRAC($E$29,F29)</f>
        <v>1.0249999999999999</v>
      </c>
      <c r="G30" s="508">
        <f>YEARFRAC($E$29,G29)</f>
        <v>1.4416666666666667</v>
      </c>
    </row>
    <row r="31" spans="2:20">
      <c r="B31" s="506" t="s">
        <v>1088</v>
      </c>
      <c r="C31" s="445"/>
      <c r="D31" s="446" t="s">
        <v>1077</v>
      </c>
      <c r="E31" s="447" t="s">
        <v>1079</v>
      </c>
      <c r="F31" s="448">
        <f>'Ex Post'!AH74</f>
        <v>2.5203174403237387</v>
      </c>
      <c r="G31" s="448">
        <f>'Ex Post'!AV74</f>
        <v>3.3217841591530295</v>
      </c>
      <c r="H31" s="448"/>
      <c r="I31" s="448"/>
      <c r="J31" s="448"/>
      <c r="K31" s="448"/>
      <c r="L31" s="448"/>
      <c r="M31" s="448"/>
      <c r="N31" s="448"/>
      <c r="O31" s="448"/>
      <c r="P31" s="448"/>
    </row>
    <row r="32" spans="2:20">
      <c r="B32" s="507" t="s">
        <v>1089</v>
      </c>
      <c r="D32" s="11" t="s">
        <v>1077</v>
      </c>
      <c r="E32" s="444" t="s">
        <v>1079</v>
      </c>
      <c r="F32" s="443">
        <f>'Ex Post'!AE74</f>
        <v>3.8516323070318417</v>
      </c>
      <c r="G32" s="443">
        <f>'Ex Post'!AS74</f>
        <v>5.9703254278377251</v>
      </c>
      <c r="I32" s="443"/>
      <c r="J32" s="443"/>
      <c r="K32" s="443"/>
      <c r="L32" s="443"/>
      <c r="M32" s="443"/>
      <c r="N32" s="443"/>
      <c r="O32" s="443"/>
      <c r="P32" s="443"/>
    </row>
    <row r="33" spans="2:20">
      <c r="B33" s="507" t="s">
        <v>1090</v>
      </c>
      <c r="D33" s="11" t="s">
        <v>1077</v>
      </c>
      <c r="E33" s="444" t="s">
        <v>1079</v>
      </c>
      <c r="F33" s="443"/>
      <c r="G33" s="443"/>
      <c r="I33" s="443"/>
      <c r="J33" s="443"/>
      <c r="K33" s="443"/>
      <c r="L33" s="443"/>
      <c r="M33" s="443"/>
      <c r="N33" s="443"/>
      <c r="O33" s="443"/>
      <c r="P33" s="443"/>
      <c r="Q33" s="443"/>
      <c r="R33" s="443"/>
      <c r="S33" s="443"/>
      <c r="T33" s="443"/>
    </row>
    <row r="34" spans="2:20">
      <c r="B34" s="507" t="s">
        <v>1091</v>
      </c>
      <c r="D34" s="11" t="s">
        <v>1077</v>
      </c>
      <c r="E34" s="444" t="s">
        <v>1079</v>
      </c>
      <c r="F34" s="443">
        <f>'Ex Post'!AG74</f>
        <v>2.0350675664458908</v>
      </c>
      <c r="G34" s="443">
        <f>'Ex Post'!AU74</f>
        <v>4.480903926664797</v>
      </c>
      <c r="I34" s="443"/>
      <c r="J34" s="443"/>
      <c r="K34" s="443"/>
      <c r="L34" s="443"/>
      <c r="M34" s="443"/>
      <c r="N34" s="443"/>
      <c r="O34" s="443"/>
      <c r="P34" s="443"/>
    </row>
    <row r="35" spans="2:20">
      <c r="B35" s="507" t="s">
        <v>1092</v>
      </c>
      <c r="D35" s="11" t="s">
        <v>1077</v>
      </c>
      <c r="E35" s="444" t="s">
        <v>1079</v>
      </c>
      <c r="F35" s="443">
        <f>'Ex Post'!AF74</f>
        <v>2.0930440352112361</v>
      </c>
      <c r="G35" s="443">
        <f>'Ex Post'!AT74</f>
        <v>3.0074629396442005</v>
      </c>
      <c r="I35" s="443"/>
      <c r="J35" s="443"/>
      <c r="K35" s="443"/>
      <c r="L35" s="443"/>
      <c r="M35" s="443"/>
      <c r="N35" s="443"/>
      <c r="O35" s="443"/>
      <c r="P35" s="443"/>
    </row>
    <row r="36" spans="2:20">
      <c r="B36" s="507"/>
      <c r="D36" s="11"/>
      <c r="E36" s="444"/>
      <c r="F36" s="443"/>
      <c r="G36" s="443"/>
      <c r="I36" s="443"/>
      <c r="J36" s="443"/>
      <c r="K36" s="443"/>
      <c r="L36" s="443"/>
      <c r="M36" s="443"/>
      <c r="N36" s="443"/>
      <c r="O36" s="443"/>
      <c r="P36" s="443"/>
    </row>
    <row r="37" spans="2:20">
      <c r="B37" s="507"/>
      <c r="D37" s="11"/>
      <c r="E37" s="449">
        <v>44795</v>
      </c>
      <c r="F37" s="449">
        <v>45170</v>
      </c>
      <c r="G37" s="449">
        <v>45323</v>
      </c>
      <c r="H37" s="443"/>
      <c r="I37" s="443"/>
      <c r="J37" s="443"/>
      <c r="K37" s="443"/>
      <c r="L37" s="443"/>
      <c r="M37" s="443"/>
      <c r="N37" s="443"/>
      <c r="O37" s="443"/>
      <c r="P37" s="443"/>
    </row>
    <row r="38" spans="2:20">
      <c r="B38" s="5" t="s">
        <v>1084</v>
      </c>
      <c r="D38" s="11"/>
      <c r="E38" s="444"/>
      <c r="F38" s="508">
        <f>YEARFRAC($E$29,F37)</f>
        <v>1.0249999999999999</v>
      </c>
      <c r="G38" s="508">
        <f>YEARFRAC($E$29,G37)</f>
        <v>1.4416666666666667</v>
      </c>
    </row>
    <row r="39" spans="2:20">
      <c r="B39" s="506" t="s">
        <v>1088</v>
      </c>
      <c r="C39" s="445"/>
      <c r="D39" s="446" t="s">
        <v>1085</v>
      </c>
      <c r="E39" s="447" t="s">
        <v>1086</v>
      </c>
      <c r="F39" s="485">
        <f>'Ex Post'!AM74</f>
        <v>7.294267701346643E-4</v>
      </c>
      <c r="G39" s="485">
        <f>'Ex Post'!BB74</f>
        <v>1.5223853384419652E-3</v>
      </c>
      <c r="H39" s="448"/>
      <c r="I39" s="448"/>
      <c r="J39" s="448"/>
      <c r="K39" s="448"/>
      <c r="L39" s="448"/>
      <c r="M39" s="448"/>
      <c r="N39" s="448"/>
      <c r="O39" s="448"/>
      <c r="P39" s="448"/>
    </row>
    <row r="40" spans="2:20">
      <c r="B40" s="507" t="s">
        <v>1089</v>
      </c>
      <c r="D40" s="11" t="s">
        <v>1085</v>
      </c>
      <c r="E40" s="444" t="s">
        <v>1086</v>
      </c>
      <c r="F40" s="10">
        <f>'Ex Post'!AJ74</f>
        <v>3.2150779037195677E-3</v>
      </c>
      <c r="G40" s="10">
        <f>'Ex Post'!AY74</f>
        <v>1.0147638824430254E-2</v>
      </c>
      <c r="H40" s="443"/>
      <c r="I40" s="443"/>
      <c r="J40" s="443"/>
      <c r="K40" s="443"/>
      <c r="L40" s="443"/>
      <c r="M40" s="443"/>
      <c r="N40" s="443"/>
      <c r="O40" s="443"/>
      <c r="P40" s="443"/>
    </row>
    <row r="41" spans="2:20">
      <c r="B41" s="507" t="s">
        <v>1090</v>
      </c>
      <c r="D41" s="11" t="s">
        <v>1085</v>
      </c>
      <c r="E41" s="444" t="s">
        <v>1086</v>
      </c>
      <c r="F41" s="10"/>
      <c r="G41" s="10"/>
      <c r="H41" s="443"/>
      <c r="I41" s="443"/>
      <c r="J41" s="443"/>
      <c r="K41" s="443"/>
      <c r="L41" s="443"/>
      <c r="M41" s="443"/>
      <c r="N41" s="443"/>
      <c r="O41" s="443"/>
      <c r="P41" s="443"/>
    </row>
    <row r="42" spans="2:20">
      <c r="B42" s="507" t="s">
        <v>1091</v>
      </c>
      <c r="D42" s="11" t="s">
        <v>1085</v>
      </c>
      <c r="E42" s="444" t="s">
        <v>1086</v>
      </c>
      <c r="F42" s="10">
        <f>'Ex Post'!AL74</f>
        <v>5.847358546714847E-4</v>
      </c>
      <c r="G42" s="10">
        <f>'Ex Post'!BA74</f>
        <v>3.9033481358431649E-3</v>
      </c>
      <c r="H42" s="443"/>
      <c r="I42" s="443"/>
      <c r="J42" s="443"/>
      <c r="K42" s="443"/>
      <c r="L42" s="443"/>
      <c r="M42" s="443"/>
      <c r="N42" s="443"/>
      <c r="O42" s="443"/>
      <c r="P42" s="443"/>
    </row>
    <row r="43" spans="2:20">
      <c r="B43" s="507" t="s">
        <v>1092</v>
      </c>
      <c r="D43" s="11" t="s">
        <v>1085</v>
      </c>
      <c r="E43" s="444" t="s">
        <v>1086</v>
      </c>
      <c r="F43" s="10">
        <f>'Ex Post'!AK74</f>
        <v>7.6843062786634351E-4</v>
      </c>
      <c r="G43" s="10">
        <f>'Ex Post'!AZ74</f>
        <v>2.0791733731194053E-3</v>
      </c>
      <c r="H43" s="443"/>
      <c r="I43" s="443"/>
      <c r="J43" s="443"/>
      <c r="K43" s="443"/>
      <c r="L43" s="443"/>
      <c r="M43" s="443"/>
      <c r="N43" s="443"/>
      <c r="O43" s="443"/>
      <c r="P43" s="443"/>
    </row>
    <row r="65" spans="2:48" ht="16.5">
      <c r="B65" s="216" t="s">
        <v>1093</v>
      </c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</row>
    <row r="67" spans="2:48" ht="16.5">
      <c r="B67" s="240" t="s">
        <v>28</v>
      </c>
      <c r="C67" s="240"/>
      <c r="D67" s="240"/>
      <c r="E67" s="240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2:48" s="5" customFormat="1" hidden="1">
      <c r="B68" s="4" t="s">
        <v>907</v>
      </c>
      <c r="C68" s="4" t="s">
        <v>908</v>
      </c>
      <c r="D68" s="4" t="s">
        <v>106</v>
      </c>
      <c r="E68" s="4"/>
      <c r="F68" s="4">
        <v>1</v>
      </c>
      <c r="G68" s="4">
        <v>2</v>
      </c>
      <c r="H68" s="4">
        <v>3</v>
      </c>
      <c r="I68" s="4">
        <v>4</v>
      </c>
      <c r="J68" s="4">
        <v>5</v>
      </c>
      <c r="K68" s="4">
        <v>6</v>
      </c>
      <c r="L68" s="4">
        <v>7</v>
      </c>
      <c r="M68" s="4">
        <v>8</v>
      </c>
      <c r="N68" s="4">
        <v>9</v>
      </c>
      <c r="O68" s="4">
        <v>10</v>
      </c>
      <c r="P68" s="4">
        <v>11</v>
      </c>
      <c r="Q68" s="4">
        <v>12</v>
      </c>
      <c r="R68" s="4">
        <v>13</v>
      </c>
      <c r="S68" s="4">
        <v>14</v>
      </c>
      <c r="T68" s="4">
        <v>15</v>
      </c>
      <c r="U68" s="4">
        <v>16</v>
      </c>
      <c r="V68" s="4">
        <v>17</v>
      </c>
      <c r="W68" s="4">
        <v>18</v>
      </c>
      <c r="X68" s="4">
        <v>19</v>
      </c>
      <c r="Y68" s="4">
        <v>20</v>
      </c>
      <c r="Z68" s="4">
        <v>21</v>
      </c>
      <c r="AA68" s="4">
        <v>22</v>
      </c>
      <c r="AB68" s="4">
        <v>23</v>
      </c>
      <c r="AC68" s="4">
        <v>24</v>
      </c>
      <c r="AD68" s="4">
        <v>25</v>
      </c>
      <c r="AE68" s="4">
        <v>26</v>
      </c>
      <c r="AF68" s="4">
        <v>27</v>
      </c>
      <c r="AG68" s="4">
        <v>28</v>
      </c>
      <c r="AH68" s="4">
        <v>29</v>
      </c>
      <c r="AI68" s="4">
        <v>30</v>
      </c>
      <c r="AJ68" s="4">
        <v>31</v>
      </c>
      <c r="AK68" s="4">
        <v>32</v>
      </c>
      <c r="AL68" s="4">
        <v>33</v>
      </c>
      <c r="AM68" s="4">
        <v>34</v>
      </c>
      <c r="AN68" s="4">
        <v>35</v>
      </c>
      <c r="AO68" s="4">
        <v>36</v>
      </c>
      <c r="AP68" s="4">
        <v>37</v>
      </c>
      <c r="AQ68" s="4">
        <v>38</v>
      </c>
      <c r="AR68" s="4">
        <v>39</v>
      </c>
      <c r="AS68" s="4">
        <v>40</v>
      </c>
      <c r="AT68" s="4">
        <v>41</v>
      </c>
      <c r="AU68" s="4"/>
      <c r="AV68" s="4"/>
    </row>
    <row r="69" spans="2:48" hidden="1">
      <c r="B69" s="2" t="s">
        <v>1094</v>
      </c>
      <c r="C69" s="2" t="s">
        <v>910</v>
      </c>
      <c r="D69" s="2" t="s">
        <v>1095</v>
      </c>
      <c r="E69" s="2"/>
      <c r="F69" s="2">
        <v>1.4399999999999998E-4</v>
      </c>
      <c r="G69" s="2">
        <v>2.9999999999999997E-4</v>
      </c>
      <c r="H69" s="2">
        <v>5.2799999999999993E-4</v>
      </c>
      <c r="I69" s="2">
        <v>9.7199999999999999E-4</v>
      </c>
      <c r="J69" s="2">
        <v>2.16E-3</v>
      </c>
      <c r="K69" s="2">
        <v>4.3799999999999993E-3</v>
      </c>
      <c r="L69" s="2">
        <v>6.5999999999999982E-3</v>
      </c>
      <c r="M69" s="2">
        <v>8.819999999999998E-3</v>
      </c>
      <c r="N69" s="2">
        <v>1.1039999999999998E-2</v>
      </c>
      <c r="O69" s="2">
        <v>1.3259999999999997E-2</v>
      </c>
      <c r="P69" s="6">
        <v>1.5479999999999997E-2</v>
      </c>
      <c r="Q69" s="2">
        <f>+F69</f>
        <v>1.4399999999999998E-4</v>
      </c>
      <c r="R69" s="2">
        <f t="shared" ref="R69:AG72" si="5">+G69</f>
        <v>2.9999999999999997E-4</v>
      </c>
      <c r="S69" s="2">
        <f t="shared" si="5"/>
        <v>5.2799999999999993E-4</v>
      </c>
      <c r="T69" s="2">
        <f t="shared" si="5"/>
        <v>9.7199999999999999E-4</v>
      </c>
      <c r="U69" s="2">
        <f t="shared" si="5"/>
        <v>2.16E-3</v>
      </c>
      <c r="V69" s="2">
        <f t="shared" si="5"/>
        <v>4.3799999999999993E-3</v>
      </c>
      <c r="W69" s="2">
        <f t="shared" si="5"/>
        <v>6.5999999999999982E-3</v>
      </c>
      <c r="X69" s="2">
        <f t="shared" si="5"/>
        <v>8.819999999999998E-3</v>
      </c>
      <c r="Y69" s="2">
        <f t="shared" si="5"/>
        <v>1.1039999999999998E-2</v>
      </c>
      <c r="Z69" s="2">
        <f t="shared" si="5"/>
        <v>1.3259999999999997E-2</v>
      </c>
      <c r="AA69" s="6">
        <f t="shared" si="5"/>
        <v>1.5479999999999997E-2</v>
      </c>
      <c r="AB69" s="2">
        <f t="shared" si="5"/>
        <v>1.4399999999999998E-4</v>
      </c>
      <c r="AC69" s="2">
        <f t="shared" si="5"/>
        <v>2.9999999999999997E-4</v>
      </c>
      <c r="AD69" s="2">
        <f t="shared" si="5"/>
        <v>5.2799999999999993E-4</v>
      </c>
      <c r="AE69" s="2">
        <f t="shared" si="5"/>
        <v>9.7199999999999999E-4</v>
      </c>
      <c r="AF69" s="2">
        <f t="shared" si="5"/>
        <v>2.16E-3</v>
      </c>
      <c r="AG69" s="2">
        <f t="shared" si="5"/>
        <v>4.3799999999999993E-3</v>
      </c>
      <c r="AH69" s="2">
        <f t="shared" ref="AH69:AT72" si="6">+W69</f>
        <v>6.5999999999999982E-3</v>
      </c>
      <c r="AI69" s="2">
        <f t="shared" si="6"/>
        <v>8.819999999999998E-3</v>
      </c>
      <c r="AJ69" s="2">
        <f t="shared" si="6"/>
        <v>1.1039999999999998E-2</v>
      </c>
      <c r="AK69" s="2">
        <f t="shared" si="6"/>
        <v>1.3259999999999997E-2</v>
      </c>
      <c r="AL69" s="6">
        <f t="shared" si="6"/>
        <v>1.5479999999999997E-2</v>
      </c>
      <c r="AM69" s="2">
        <f t="shared" si="6"/>
        <v>1.4399999999999998E-4</v>
      </c>
      <c r="AN69" s="2">
        <f t="shared" si="6"/>
        <v>2.9999999999999997E-4</v>
      </c>
      <c r="AO69" s="2">
        <f t="shared" si="6"/>
        <v>5.2799999999999993E-4</v>
      </c>
      <c r="AP69" s="2">
        <f t="shared" si="6"/>
        <v>9.7199999999999999E-4</v>
      </c>
      <c r="AQ69" s="2">
        <f t="shared" si="6"/>
        <v>2.16E-3</v>
      </c>
      <c r="AR69" s="2">
        <f t="shared" si="6"/>
        <v>4.3799999999999993E-3</v>
      </c>
      <c r="AS69" s="2">
        <f t="shared" si="6"/>
        <v>6.5999999999999982E-3</v>
      </c>
      <c r="AT69" s="2">
        <f t="shared" si="6"/>
        <v>8.819999999999998E-3</v>
      </c>
    </row>
    <row r="70" spans="2:48" hidden="1">
      <c r="B70" s="2" t="s">
        <v>1096</v>
      </c>
      <c r="C70" s="2" t="s">
        <v>910</v>
      </c>
      <c r="D70" s="2" t="s">
        <v>1095</v>
      </c>
      <c r="E70" s="2"/>
      <c r="F70" s="2">
        <v>2.568E-3</v>
      </c>
      <c r="G70" s="2">
        <v>4.8960000000000002E-3</v>
      </c>
      <c r="H70" s="2">
        <v>7.5839999999999996E-3</v>
      </c>
      <c r="I70" s="2">
        <v>1.1988E-2</v>
      </c>
      <c r="J70" s="2">
        <v>2.1360000000000001E-2</v>
      </c>
      <c r="K70" s="2">
        <v>3.6024E-2</v>
      </c>
      <c r="L70" s="2">
        <v>5.0687999999999997E-2</v>
      </c>
      <c r="M70" s="2">
        <v>6.5351999999999993E-2</v>
      </c>
      <c r="N70" s="2">
        <v>8.001599999999999E-2</v>
      </c>
      <c r="O70" s="2">
        <v>9.4679999999999986E-2</v>
      </c>
      <c r="P70" s="6">
        <v>0.10934399999999998</v>
      </c>
      <c r="Q70" s="2">
        <f t="shared" ref="Q70:Q72" si="7">+F70</f>
        <v>2.568E-3</v>
      </c>
      <c r="R70" s="2">
        <f t="shared" si="5"/>
        <v>4.8960000000000002E-3</v>
      </c>
      <c r="S70" s="2">
        <f t="shared" si="5"/>
        <v>7.5839999999999996E-3</v>
      </c>
      <c r="T70" s="2">
        <f t="shared" si="5"/>
        <v>1.1988E-2</v>
      </c>
      <c r="U70" s="2">
        <f t="shared" si="5"/>
        <v>2.1360000000000001E-2</v>
      </c>
      <c r="V70" s="2">
        <f t="shared" si="5"/>
        <v>3.6024E-2</v>
      </c>
      <c r="W70" s="2">
        <f t="shared" si="5"/>
        <v>5.0687999999999997E-2</v>
      </c>
      <c r="X70" s="2">
        <f t="shared" si="5"/>
        <v>6.5351999999999993E-2</v>
      </c>
      <c r="Y70" s="2">
        <f t="shared" si="5"/>
        <v>8.001599999999999E-2</v>
      </c>
      <c r="Z70" s="2">
        <f t="shared" si="5"/>
        <v>9.4679999999999986E-2</v>
      </c>
      <c r="AA70" s="6">
        <f t="shared" si="5"/>
        <v>0.10934399999999998</v>
      </c>
      <c r="AB70" s="2">
        <f t="shared" si="5"/>
        <v>2.568E-3</v>
      </c>
      <c r="AC70" s="2">
        <f t="shared" si="5"/>
        <v>4.8960000000000002E-3</v>
      </c>
      <c r="AD70" s="2">
        <f t="shared" si="5"/>
        <v>7.5839999999999996E-3</v>
      </c>
      <c r="AE70" s="2">
        <f t="shared" si="5"/>
        <v>1.1988E-2</v>
      </c>
      <c r="AF70" s="2">
        <f t="shared" si="5"/>
        <v>2.1360000000000001E-2</v>
      </c>
      <c r="AG70" s="2">
        <f t="shared" si="5"/>
        <v>3.6024E-2</v>
      </c>
      <c r="AH70" s="2">
        <f t="shared" si="6"/>
        <v>5.0687999999999997E-2</v>
      </c>
      <c r="AI70" s="2">
        <f t="shared" si="6"/>
        <v>6.5351999999999993E-2</v>
      </c>
      <c r="AJ70" s="2">
        <f t="shared" si="6"/>
        <v>8.001599999999999E-2</v>
      </c>
      <c r="AK70" s="2">
        <f t="shared" si="6"/>
        <v>9.4679999999999986E-2</v>
      </c>
      <c r="AL70" s="6">
        <f t="shared" si="6"/>
        <v>0.10934399999999998</v>
      </c>
      <c r="AM70" s="2">
        <f t="shared" si="6"/>
        <v>2.568E-3</v>
      </c>
      <c r="AN70" s="2">
        <f t="shared" si="6"/>
        <v>4.8960000000000002E-3</v>
      </c>
      <c r="AO70" s="2">
        <f t="shared" si="6"/>
        <v>7.5839999999999996E-3</v>
      </c>
      <c r="AP70" s="2">
        <f t="shared" si="6"/>
        <v>1.1988E-2</v>
      </c>
      <c r="AQ70" s="2">
        <f t="shared" si="6"/>
        <v>2.1360000000000001E-2</v>
      </c>
      <c r="AR70" s="2">
        <f t="shared" si="6"/>
        <v>3.6024E-2</v>
      </c>
      <c r="AS70" s="2">
        <f t="shared" si="6"/>
        <v>5.0687999999999997E-2</v>
      </c>
      <c r="AT70" s="2">
        <f t="shared" si="6"/>
        <v>6.5351999999999993E-2</v>
      </c>
    </row>
    <row r="71" spans="2:48" hidden="1">
      <c r="B71" s="2" t="s">
        <v>1097</v>
      </c>
      <c r="C71" s="2" t="s">
        <v>910</v>
      </c>
      <c r="D71" s="2" t="s">
        <v>1095</v>
      </c>
      <c r="E71" s="2"/>
      <c r="F71" s="2">
        <v>1.2960000000000001E-3</v>
      </c>
      <c r="G71" s="2">
        <v>1.0920000000000001E-3</v>
      </c>
      <c r="H71" s="2">
        <v>1.4279999999999998E-3</v>
      </c>
      <c r="I71" s="2">
        <v>2.604E-3</v>
      </c>
      <c r="J71" s="2">
        <v>5.9159999999999994E-3</v>
      </c>
      <c r="K71" s="2">
        <v>1.2252000000000001E-2</v>
      </c>
      <c r="L71" s="2">
        <v>1.8588E-2</v>
      </c>
      <c r="M71" s="2">
        <v>2.4924000000000002E-2</v>
      </c>
      <c r="N71" s="2">
        <v>3.1260000000000003E-2</v>
      </c>
      <c r="O71" s="2">
        <v>3.7596000000000004E-2</v>
      </c>
      <c r="P71" s="6">
        <v>4.3932000000000006E-2</v>
      </c>
      <c r="Q71" s="2">
        <f t="shared" si="7"/>
        <v>1.2960000000000001E-3</v>
      </c>
      <c r="R71" s="2">
        <f t="shared" si="5"/>
        <v>1.0920000000000001E-3</v>
      </c>
      <c r="S71" s="2">
        <f t="shared" si="5"/>
        <v>1.4279999999999998E-3</v>
      </c>
      <c r="T71" s="2">
        <f t="shared" si="5"/>
        <v>2.604E-3</v>
      </c>
      <c r="U71" s="2">
        <f t="shared" si="5"/>
        <v>5.9159999999999994E-3</v>
      </c>
      <c r="V71" s="2">
        <f t="shared" si="5"/>
        <v>1.2252000000000001E-2</v>
      </c>
      <c r="W71" s="2">
        <f t="shared" si="5"/>
        <v>1.8588E-2</v>
      </c>
      <c r="X71" s="2">
        <f t="shared" si="5"/>
        <v>2.4924000000000002E-2</v>
      </c>
      <c r="Y71" s="2">
        <f t="shared" si="5"/>
        <v>3.1260000000000003E-2</v>
      </c>
      <c r="Z71" s="2">
        <f t="shared" si="5"/>
        <v>3.7596000000000004E-2</v>
      </c>
      <c r="AA71" s="6">
        <f t="shared" si="5"/>
        <v>4.3932000000000006E-2</v>
      </c>
      <c r="AB71" s="2">
        <f t="shared" si="5"/>
        <v>1.2960000000000001E-3</v>
      </c>
      <c r="AC71" s="2">
        <f t="shared" si="5"/>
        <v>1.0920000000000001E-3</v>
      </c>
      <c r="AD71" s="2">
        <f t="shared" si="5"/>
        <v>1.4279999999999998E-3</v>
      </c>
      <c r="AE71" s="2">
        <f t="shared" si="5"/>
        <v>2.604E-3</v>
      </c>
      <c r="AF71" s="2">
        <f t="shared" si="5"/>
        <v>5.9159999999999994E-3</v>
      </c>
      <c r="AG71" s="2">
        <f t="shared" si="5"/>
        <v>1.2252000000000001E-2</v>
      </c>
      <c r="AH71" s="2">
        <f t="shared" si="6"/>
        <v>1.8588E-2</v>
      </c>
      <c r="AI71" s="2">
        <f t="shared" si="6"/>
        <v>2.4924000000000002E-2</v>
      </c>
      <c r="AJ71" s="2">
        <f t="shared" si="6"/>
        <v>3.1260000000000003E-2</v>
      </c>
      <c r="AK71" s="2">
        <f t="shared" si="6"/>
        <v>3.7596000000000004E-2</v>
      </c>
      <c r="AL71" s="6">
        <f t="shared" si="6"/>
        <v>4.3932000000000006E-2</v>
      </c>
      <c r="AM71" s="2">
        <f t="shared" si="6"/>
        <v>1.2960000000000001E-3</v>
      </c>
      <c r="AN71" s="2">
        <f t="shared" si="6"/>
        <v>1.0920000000000001E-3</v>
      </c>
      <c r="AO71" s="2">
        <f t="shared" si="6"/>
        <v>1.4279999999999998E-3</v>
      </c>
      <c r="AP71" s="2">
        <f t="shared" si="6"/>
        <v>2.604E-3</v>
      </c>
      <c r="AQ71" s="2">
        <f t="shared" si="6"/>
        <v>5.9159999999999994E-3</v>
      </c>
      <c r="AR71" s="2">
        <f t="shared" si="6"/>
        <v>1.2252000000000001E-2</v>
      </c>
      <c r="AS71" s="2">
        <f t="shared" si="6"/>
        <v>1.8588E-2</v>
      </c>
      <c r="AT71" s="2">
        <f t="shared" si="6"/>
        <v>2.4924000000000002E-2</v>
      </c>
    </row>
    <row r="72" spans="2:48" hidden="1">
      <c r="B72" s="2" t="s">
        <v>1098</v>
      </c>
      <c r="C72" s="2" t="s">
        <v>910</v>
      </c>
      <c r="D72" s="2" t="s">
        <v>1095</v>
      </c>
      <c r="E72" s="2"/>
      <c r="F72" s="2">
        <v>7.1999999999999994E-4</v>
      </c>
      <c r="G72" s="2">
        <v>1.6200000000000001E-3</v>
      </c>
      <c r="H72" s="2">
        <v>2.6279999999999997E-3</v>
      </c>
      <c r="I72" s="2">
        <v>4.0200000000000001E-3</v>
      </c>
      <c r="J72" s="2">
        <v>7.0920000000000002E-3</v>
      </c>
      <c r="K72" s="2">
        <v>1.176E-2</v>
      </c>
      <c r="L72" s="2">
        <v>1.6427999999999998E-2</v>
      </c>
      <c r="M72" s="2">
        <v>2.1095999999999997E-2</v>
      </c>
      <c r="N72" s="2">
        <v>2.5763999999999995E-2</v>
      </c>
      <c r="O72" s="2">
        <v>3.0431999999999994E-2</v>
      </c>
      <c r="P72" s="6">
        <v>3.5099999999999992E-2</v>
      </c>
      <c r="Q72" s="2">
        <f t="shared" si="7"/>
        <v>7.1999999999999994E-4</v>
      </c>
      <c r="R72" s="2">
        <f t="shared" si="5"/>
        <v>1.6200000000000001E-3</v>
      </c>
      <c r="S72" s="2">
        <f t="shared" si="5"/>
        <v>2.6279999999999997E-3</v>
      </c>
      <c r="T72" s="2">
        <f t="shared" si="5"/>
        <v>4.0200000000000001E-3</v>
      </c>
      <c r="U72" s="2">
        <f t="shared" si="5"/>
        <v>7.0920000000000002E-3</v>
      </c>
      <c r="V72" s="2">
        <f t="shared" si="5"/>
        <v>1.176E-2</v>
      </c>
      <c r="W72" s="2">
        <f t="shared" si="5"/>
        <v>1.6427999999999998E-2</v>
      </c>
      <c r="X72" s="2">
        <f t="shared" si="5"/>
        <v>2.1095999999999997E-2</v>
      </c>
      <c r="Y72" s="2">
        <f t="shared" si="5"/>
        <v>2.5763999999999995E-2</v>
      </c>
      <c r="Z72" s="2">
        <f t="shared" si="5"/>
        <v>3.0431999999999994E-2</v>
      </c>
      <c r="AA72" s="6">
        <f t="shared" si="5"/>
        <v>3.5099999999999992E-2</v>
      </c>
      <c r="AB72" s="2">
        <f t="shared" si="5"/>
        <v>7.1999999999999994E-4</v>
      </c>
      <c r="AC72" s="2">
        <f t="shared" si="5"/>
        <v>1.6200000000000001E-3</v>
      </c>
      <c r="AD72" s="2">
        <f t="shared" si="5"/>
        <v>2.6279999999999997E-3</v>
      </c>
      <c r="AE72" s="2">
        <f t="shared" si="5"/>
        <v>4.0200000000000001E-3</v>
      </c>
      <c r="AF72" s="2">
        <f t="shared" si="5"/>
        <v>7.0920000000000002E-3</v>
      </c>
      <c r="AG72" s="2">
        <f t="shared" si="5"/>
        <v>1.176E-2</v>
      </c>
      <c r="AH72" s="2">
        <f t="shared" si="6"/>
        <v>1.6427999999999998E-2</v>
      </c>
      <c r="AI72" s="2">
        <f t="shared" si="6"/>
        <v>2.1095999999999997E-2</v>
      </c>
      <c r="AJ72" s="2">
        <f t="shared" si="6"/>
        <v>2.5763999999999995E-2</v>
      </c>
      <c r="AK72" s="2">
        <f t="shared" si="6"/>
        <v>3.0431999999999994E-2</v>
      </c>
      <c r="AL72" s="6">
        <f t="shared" si="6"/>
        <v>3.5099999999999992E-2</v>
      </c>
      <c r="AM72" s="2">
        <f t="shared" si="6"/>
        <v>7.1999999999999994E-4</v>
      </c>
      <c r="AN72" s="2">
        <f t="shared" si="6"/>
        <v>1.6200000000000001E-3</v>
      </c>
      <c r="AO72" s="2">
        <f t="shared" si="6"/>
        <v>2.6279999999999997E-3</v>
      </c>
      <c r="AP72" s="2">
        <f t="shared" si="6"/>
        <v>4.0200000000000001E-3</v>
      </c>
      <c r="AQ72" s="2">
        <f t="shared" si="6"/>
        <v>7.0920000000000002E-3</v>
      </c>
      <c r="AR72" s="2">
        <f t="shared" si="6"/>
        <v>1.176E-2</v>
      </c>
      <c r="AS72" s="2">
        <f t="shared" si="6"/>
        <v>1.6427999999999998E-2</v>
      </c>
      <c r="AT72" s="2">
        <f t="shared" si="6"/>
        <v>2.1095999999999997E-2</v>
      </c>
    </row>
    <row r="73" spans="2:48" hidden="1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2:48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2:48" s="5" customFormat="1" ht="16.5">
      <c r="B75" s="240" t="s">
        <v>1099</v>
      </c>
      <c r="C75" s="240"/>
      <c r="D75" s="240"/>
      <c r="E75" s="240"/>
      <c r="F75" s="5">
        <f>+SUM(F69:F72)</f>
        <v>4.7280000000000004E-3</v>
      </c>
      <c r="G75" s="5">
        <f>+SUM(G69:G72)</f>
        <v>7.9080000000000001E-3</v>
      </c>
      <c r="H75" s="5">
        <f>+SUM(H69:H72)</f>
        <v>1.2168E-2</v>
      </c>
      <c r="I75" s="5">
        <f>+SUM(I69:I72)</f>
        <v>1.9584000000000001E-2</v>
      </c>
      <c r="J75" s="5">
        <f t="shared" ref="J75:AT75" si="8">+SUM(J69:J72)</f>
        <v>3.6527999999999998E-2</v>
      </c>
      <c r="K75" s="5">
        <f t="shared" si="8"/>
        <v>6.4416000000000001E-2</v>
      </c>
      <c r="L75" s="5">
        <f t="shared" si="8"/>
        <v>9.2303999999999997E-2</v>
      </c>
      <c r="M75" s="5">
        <f t="shared" si="8"/>
        <v>0.12019199999999999</v>
      </c>
      <c r="N75" s="5">
        <f t="shared" si="8"/>
        <v>0.14807999999999999</v>
      </c>
      <c r="O75" s="5">
        <f t="shared" si="8"/>
        <v>0.17596799999999999</v>
      </c>
      <c r="P75" s="5">
        <f>+SUM(P69:P72)</f>
        <v>0.20385599999999998</v>
      </c>
      <c r="Q75" s="5">
        <f t="shared" si="8"/>
        <v>4.7280000000000004E-3</v>
      </c>
      <c r="R75" s="5">
        <f t="shared" si="8"/>
        <v>7.9080000000000001E-3</v>
      </c>
      <c r="S75" s="5">
        <f t="shared" si="8"/>
        <v>1.2168E-2</v>
      </c>
      <c r="T75" s="5">
        <f t="shared" si="8"/>
        <v>1.9584000000000001E-2</v>
      </c>
      <c r="U75" s="5">
        <f t="shared" si="8"/>
        <v>3.6527999999999998E-2</v>
      </c>
      <c r="V75" s="5">
        <f t="shared" si="8"/>
        <v>6.4416000000000001E-2</v>
      </c>
      <c r="W75" s="5">
        <f t="shared" si="8"/>
        <v>9.2303999999999997E-2</v>
      </c>
      <c r="X75" s="5">
        <f t="shared" si="8"/>
        <v>0.12019199999999999</v>
      </c>
      <c r="Y75" s="5">
        <f t="shared" si="8"/>
        <v>0.14807999999999999</v>
      </c>
      <c r="Z75" s="5">
        <f t="shared" si="8"/>
        <v>0.17596799999999999</v>
      </c>
      <c r="AA75" s="5">
        <f t="shared" si="8"/>
        <v>0.20385599999999998</v>
      </c>
      <c r="AB75" s="5">
        <f t="shared" si="8"/>
        <v>4.7280000000000004E-3</v>
      </c>
      <c r="AC75" s="5">
        <f t="shared" si="8"/>
        <v>7.9080000000000001E-3</v>
      </c>
      <c r="AD75" s="5">
        <f t="shared" si="8"/>
        <v>1.2168E-2</v>
      </c>
      <c r="AE75" s="5">
        <f t="shared" si="8"/>
        <v>1.9584000000000001E-2</v>
      </c>
      <c r="AF75" s="5">
        <f t="shared" si="8"/>
        <v>3.6527999999999998E-2</v>
      </c>
      <c r="AG75" s="5">
        <f t="shared" si="8"/>
        <v>6.4416000000000001E-2</v>
      </c>
      <c r="AH75" s="5">
        <f t="shared" si="8"/>
        <v>9.2303999999999997E-2</v>
      </c>
      <c r="AI75" s="5">
        <f t="shared" si="8"/>
        <v>0.12019199999999999</v>
      </c>
      <c r="AJ75" s="5">
        <f t="shared" si="8"/>
        <v>0.14807999999999999</v>
      </c>
      <c r="AK75" s="5">
        <f t="shared" si="8"/>
        <v>0.17596799999999999</v>
      </c>
      <c r="AL75" s="5">
        <f t="shared" si="8"/>
        <v>0.20385599999999998</v>
      </c>
      <c r="AM75" s="5">
        <f t="shared" si="8"/>
        <v>4.7280000000000004E-3</v>
      </c>
      <c r="AN75" s="5">
        <f t="shared" si="8"/>
        <v>7.9080000000000001E-3</v>
      </c>
      <c r="AO75" s="5">
        <f t="shared" si="8"/>
        <v>1.2168E-2</v>
      </c>
      <c r="AP75" s="5">
        <f t="shared" si="8"/>
        <v>1.9584000000000001E-2</v>
      </c>
      <c r="AQ75" s="5">
        <f t="shared" si="8"/>
        <v>3.6527999999999998E-2</v>
      </c>
      <c r="AR75" s="5">
        <f t="shared" si="8"/>
        <v>6.4416000000000001E-2</v>
      </c>
      <c r="AS75" s="5">
        <f t="shared" si="8"/>
        <v>9.2303999999999997E-2</v>
      </c>
      <c r="AT75" s="5">
        <f t="shared" si="8"/>
        <v>0.12019199999999999</v>
      </c>
    </row>
    <row r="76" spans="2:48">
      <c r="B76" s="2"/>
      <c r="C76" s="2"/>
      <c r="D76" s="2"/>
      <c r="E76" s="2"/>
    </row>
    <row r="77" spans="2:48" s="5" customFormat="1">
      <c r="B77" s="4" t="s">
        <v>907</v>
      </c>
      <c r="C77" s="4" t="s">
        <v>908</v>
      </c>
      <c r="D77" s="4" t="s">
        <v>106</v>
      </c>
      <c r="E77" s="4"/>
      <c r="F77" s="4">
        <v>1</v>
      </c>
      <c r="G77" s="4">
        <v>2</v>
      </c>
      <c r="H77" s="4">
        <v>3</v>
      </c>
      <c r="I77" s="4">
        <v>4</v>
      </c>
      <c r="J77" s="4">
        <v>5</v>
      </c>
      <c r="K77" s="4">
        <v>6</v>
      </c>
      <c r="L77" s="4">
        <v>7</v>
      </c>
      <c r="M77" s="4">
        <v>8</v>
      </c>
      <c r="N77" s="4">
        <v>9</v>
      </c>
      <c r="O77" s="4">
        <v>10</v>
      </c>
      <c r="P77" s="4">
        <v>11</v>
      </c>
      <c r="Q77" s="4">
        <v>12</v>
      </c>
      <c r="R77" s="4">
        <v>13</v>
      </c>
      <c r="S77" s="4">
        <v>14</v>
      </c>
      <c r="T77" s="4">
        <v>15</v>
      </c>
      <c r="U77" s="4">
        <v>16</v>
      </c>
      <c r="V77" s="4">
        <v>17</v>
      </c>
      <c r="W77" s="4">
        <v>18</v>
      </c>
      <c r="X77" s="4">
        <v>19</v>
      </c>
      <c r="Y77" s="4">
        <v>20</v>
      </c>
      <c r="Z77" s="4">
        <v>21</v>
      </c>
      <c r="AA77" s="4">
        <v>22</v>
      </c>
      <c r="AB77" s="4">
        <v>23</v>
      </c>
      <c r="AC77" s="4">
        <v>24</v>
      </c>
      <c r="AD77" s="4">
        <v>25</v>
      </c>
      <c r="AE77" s="4">
        <v>26</v>
      </c>
      <c r="AF77" s="4">
        <v>27</v>
      </c>
      <c r="AG77" s="4">
        <v>28</v>
      </c>
      <c r="AH77" s="4">
        <v>29</v>
      </c>
      <c r="AI77" s="4">
        <v>30</v>
      </c>
      <c r="AJ77" s="4">
        <v>31</v>
      </c>
      <c r="AK77" s="4">
        <v>32</v>
      </c>
      <c r="AL77" s="4">
        <v>33</v>
      </c>
      <c r="AM77" s="4">
        <v>34</v>
      </c>
      <c r="AN77" s="4">
        <v>35</v>
      </c>
      <c r="AO77" s="4">
        <v>36</v>
      </c>
      <c r="AP77" s="4">
        <v>37</v>
      </c>
      <c r="AQ77" s="4">
        <v>38</v>
      </c>
      <c r="AR77" s="4">
        <v>39</v>
      </c>
      <c r="AS77" s="4">
        <v>40</v>
      </c>
      <c r="AT77" s="4">
        <v>41</v>
      </c>
      <c r="AU77" s="4"/>
      <c r="AV77" s="4"/>
    </row>
    <row r="78" spans="2:48">
      <c r="B78" s="2" t="s">
        <v>1094</v>
      </c>
      <c r="C78" s="2" t="s">
        <v>910</v>
      </c>
      <c r="D78" s="2" t="s">
        <v>1095</v>
      </c>
      <c r="E78" s="2"/>
      <c r="F78" s="2">
        <f t="shared" ref="F78:AT78" si="9">+F69</f>
        <v>1.4399999999999998E-4</v>
      </c>
      <c r="G78" s="2">
        <f t="shared" si="9"/>
        <v>2.9999999999999997E-4</v>
      </c>
      <c r="H78" s="2">
        <f t="shared" si="9"/>
        <v>5.2799999999999993E-4</v>
      </c>
      <c r="I78" s="2">
        <f t="shared" si="9"/>
        <v>9.7199999999999999E-4</v>
      </c>
      <c r="J78" s="2">
        <f t="shared" si="9"/>
        <v>2.16E-3</v>
      </c>
      <c r="K78" s="2">
        <f t="shared" si="9"/>
        <v>4.3799999999999993E-3</v>
      </c>
      <c r="L78" s="2">
        <f t="shared" si="9"/>
        <v>6.5999999999999982E-3</v>
      </c>
      <c r="M78" s="2">
        <f t="shared" si="9"/>
        <v>8.819999999999998E-3</v>
      </c>
      <c r="N78" s="2">
        <f t="shared" si="9"/>
        <v>1.1039999999999998E-2</v>
      </c>
      <c r="O78" s="2">
        <f t="shared" si="9"/>
        <v>1.3259999999999997E-2</v>
      </c>
      <c r="P78" s="6">
        <f t="shared" si="9"/>
        <v>1.5479999999999997E-2</v>
      </c>
      <c r="Q78" s="2">
        <f t="shared" si="9"/>
        <v>1.4399999999999998E-4</v>
      </c>
      <c r="R78" s="2">
        <f t="shared" si="9"/>
        <v>2.9999999999999997E-4</v>
      </c>
      <c r="S78" s="2">
        <f t="shared" si="9"/>
        <v>5.2799999999999993E-4</v>
      </c>
      <c r="T78" s="2">
        <f t="shared" si="9"/>
        <v>9.7199999999999999E-4</v>
      </c>
      <c r="U78" s="2">
        <f t="shared" si="9"/>
        <v>2.16E-3</v>
      </c>
      <c r="V78" s="2">
        <f t="shared" si="9"/>
        <v>4.3799999999999993E-3</v>
      </c>
      <c r="W78" s="2">
        <f t="shared" si="9"/>
        <v>6.5999999999999982E-3</v>
      </c>
      <c r="X78" s="2">
        <f t="shared" si="9"/>
        <v>8.819999999999998E-3</v>
      </c>
      <c r="Y78" s="2">
        <f t="shared" si="9"/>
        <v>1.1039999999999998E-2</v>
      </c>
      <c r="Z78" s="2">
        <f t="shared" si="9"/>
        <v>1.3259999999999997E-2</v>
      </c>
      <c r="AA78" s="6">
        <f t="shared" si="9"/>
        <v>1.5479999999999997E-2</v>
      </c>
      <c r="AB78" s="2">
        <f t="shared" si="9"/>
        <v>1.4399999999999998E-4</v>
      </c>
      <c r="AC78" s="2">
        <f t="shared" si="9"/>
        <v>2.9999999999999997E-4</v>
      </c>
      <c r="AD78" s="2">
        <f t="shared" si="9"/>
        <v>5.2799999999999993E-4</v>
      </c>
      <c r="AE78" s="2">
        <f t="shared" si="9"/>
        <v>9.7199999999999999E-4</v>
      </c>
      <c r="AF78" s="2">
        <f t="shared" si="9"/>
        <v>2.16E-3</v>
      </c>
      <c r="AG78" s="2">
        <f t="shared" si="9"/>
        <v>4.3799999999999993E-3</v>
      </c>
      <c r="AH78" s="2">
        <f t="shared" si="9"/>
        <v>6.5999999999999982E-3</v>
      </c>
      <c r="AI78" s="2">
        <f t="shared" si="9"/>
        <v>8.819999999999998E-3</v>
      </c>
      <c r="AJ78" s="2">
        <f t="shared" si="9"/>
        <v>1.1039999999999998E-2</v>
      </c>
      <c r="AK78" s="2">
        <f t="shared" si="9"/>
        <v>1.3259999999999997E-2</v>
      </c>
      <c r="AL78" s="6">
        <f t="shared" si="9"/>
        <v>1.5479999999999997E-2</v>
      </c>
      <c r="AM78" s="2">
        <f t="shared" si="9"/>
        <v>1.4399999999999998E-4</v>
      </c>
      <c r="AN78" s="2">
        <f t="shared" si="9"/>
        <v>2.9999999999999997E-4</v>
      </c>
      <c r="AO78" s="2">
        <f t="shared" si="9"/>
        <v>5.2799999999999993E-4</v>
      </c>
      <c r="AP78" s="2">
        <f t="shared" si="9"/>
        <v>9.7199999999999999E-4</v>
      </c>
      <c r="AQ78" s="2">
        <f t="shared" si="9"/>
        <v>2.16E-3</v>
      </c>
      <c r="AR78" s="2">
        <f t="shared" si="9"/>
        <v>4.3799999999999993E-3</v>
      </c>
      <c r="AS78" s="2">
        <f t="shared" si="9"/>
        <v>6.5999999999999982E-3</v>
      </c>
      <c r="AT78" s="2">
        <f t="shared" si="9"/>
        <v>8.819999999999998E-3</v>
      </c>
    </row>
    <row r="79" spans="2:48">
      <c r="B79" s="2" t="s">
        <v>1096</v>
      </c>
      <c r="C79" s="2" t="s">
        <v>910</v>
      </c>
      <c r="D79" s="2" t="s">
        <v>1095</v>
      </c>
      <c r="E79" s="2"/>
      <c r="F79" s="2">
        <f t="shared" ref="F79:AT79" si="10">+F70</f>
        <v>2.568E-3</v>
      </c>
      <c r="G79" s="2">
        <f t="shared" si="10"/>
        <v>4.8960000000000002E-3</v>
      </c>
      <c r="H79" s="2">
        <f t="shared" si="10"/>
        <v>7.5839999999999996E-3</v>
      </c>
      <c r="I79" s="2">
        <f t="shared" si="10"/>
        <v>1.1988E-2</v>
      </c>
      <c r="J79" s="2">
        <f t="shared" si="10"/>
        <v>2.1360000000000001E-2</v>
      </c>
      <c r="K79" s="2">
        <f t="shared" si="10"/>
        <v>3.6024E-2</v>
      </c>
      <c r="L79" s="2">
        <f t="shared" si="10"/>
        <v>5.0687999999999997E-2</v>
      </c>
      <c r="M79" s="2">
        <f t="shared" si="10"/>
        <v>6.5351999999999993E-2</v>
      </c>
      <c r="N79" s="2">
        <f t="shared" si="10"/>
        <v>8.001599999999999E-2</v>
      </c>
      <c r="O79" s="2">
        <f t="shared" si="10"/>
        <v>9.4679999999999986E-2</v>
      </c>
      <c r="P79" s="6">
        <f t="shared" si="10"/>
        <v>0.10934399999999998</v>
      </c>
      <c r="Q79" s="2">
        <f t="shared" si="10"/>
        <v>2.568E-3</v>
      </c>
      <c r="R79" s="2">
        <f t="shared" si="10"/>
        <v>4.8960000000000002E-3</v>
      </c>
      <c r="S79" s="2">
        <f t="shared" si="10"/>
        <v>7.5839999999999996E-3</v>
      </c>
      <c r="T79" s="2">
        <f t="shared" si="10"/>
        <v>1.1988E-2</v>
      </c>
      <c r="U79" s="2">
        <f t="shared" si="10"/>
        <v>2.1360000000000001E-2</v>
      </c>
      <c r="V79" s="2">
        <f t="shared" si="10"/>
        <v>3.6024E-2</v>
      </c>
      <c r="W79" s="2">
        <f t="shared" si="10"/>
        <v>5.0687999999999997E-2</v>
      </c>
      <c r="X79" s="2">
        <f t="shared" si="10"/>
        <v>6.5351999999999993E-2</v>
      </c>
      <c r="Y79" s="2">
        <f t="shared" si="10"/>
        <v>8.001599999999999E-2</v>
      </c>
      <c r="Z79" s="2">
        <f t="shared" si="10"/>
        <v>9.4679999999999986E-2</v>
      </c>
      <c r="AA79" s="6">
        <f t="shared" si="10"/>
        <v>0.10934399999999998</v>
      </c>
      <c r="AB79" s="2">
        <f t="shared" si="10"/>
        <v>2.568E-3</v>
      </c>
      <c r="AC79" s="2">
        <f t="shared" si="10"/>
        <v>4.8960000000000002E-3</v>
      </c>
      <c r="AD79" s="2">
        <f t="shared" si="10"/>
        <v>7.5839999999999996E-3</v>
      </c>
      <c r="AE79" s="2">
        <f t="shared" si="10"/>
        <v>1.1988E-2</v>
      </c>
      <c r="AF79" s="2">
        <f t="shared" si="10"/>
        <v>2.1360000000000001E-2</v>
      </c>
      <c r="AG79" s="2">
        <f t="shared" si="10"/>
        <v>3.6024E-2</v>
      </c>
      <c r="AH79" s="2">
        <f t="shared" si="10"/>
        <v>5.0687999999999997E-2</v>
      </c>
      <c r="AI79" s="2">
        <f t="shared" si="10"/>
        <v>6.5351999999999993E-2</v>
      </c>
      <c r="AJ79" s="2">
        <f t="shared" si="10"/>
        <v>8.001599999999999E-2</v>
      </c>
      <c r="AK79" s="2">
        <f t="shared" si="10"/>
        <v>9.4679999999999986E-2</v>
      </c>
      <c r="AL79" s="6">
        <f t="shared" si="10"/>
        <v>0.10934399999999998</v>
      </c>
      <c r="AM79" s="2">
        <f t="shared" si="10"/>
        <v>2.568E-3</v>
      </c>
      <c r="AN79" s="2">
        <f t="shared" si="10"/>
        <v>4.8960000000000002E-3</v>
      </c>
      <c r="AO79" s="2">
        <f t="shared" si="10"/>
        <v>7.5839999999999996E-3</v>
      </c>
      <c r="AP79" s="2">
        <f t="shared" si="10"/>
        <v>1.1988E-2</v>
      </c>
      <c r="AQ79" s="2">
        <f t="shared" si="10"/>
        <v>2.1360000000000001E-2</v>
      </c>
      <c r="AR79" s="2">
        <f t="shared" si="10"/>
        <v>3.6024E-2</v>
      </c>
      <c r="AS79" s="2">
        <f t="shared" si="10"/>
        <v>5.0687999999999997E-2</v>
      </c>
      <c r="AT79" s="2">
        <f t="shared" si="10"/>
        <v>6.5351999999999993E-2</v>
      </c>
    </row>
    <row r="80" spans="2:48">
      <c r="B80" s="2" t="s">
        <v>1097</v>
      </c>
      <c r="C80" s="2" t="s">
        <v>910</v>
      </c>
      <c r="D80" s="2" t="s">
        <v>1095</v>
      </c>
      <c r="E80" s="2"/>
      <c r="F80" s="2">
        <f t="shared" ref="F80:AT80" si="11">+F71</f>
        <v>1.2960000000000001E-3</v>
      </c>
      <c r="G80" s="2">
        <f t="shared" si="11"/>
        <v>1.0920000000000001E-3</v>
      </c>
      <c r="H80" s="2">
        <f t="shared" si="11"/>
        <v>1.4279999999999998E-3</v>
      </c>
      <c r="I80" s="2">
        <f t="shared" si="11"/>
        <v>2.604E-3</v>
      </c>
      <c r="J80" s="2">
        <f t="shared" si="11"/>
        <v>5.9159999999999994E-3</v>
      </c>
      <c r="K80" s="2">
        <f t="shared" si="11"/>
        <v>1.2252000000000001E-2</v>
      </c>
      <c r="L80" s="2">
        <f t="shared" si="11"/>
        <v>1.8588E-2</v>
      </c>
      <c r="M80" s="2">
        <f t="shared" si="11"/>
        <v>2.4924000000000002E-2</v>
      </c>
      <c r="N80" s="2">
        <f t="shared" si="11"/>
        <v>3.1260000000000003E-2</v>
      </c>
      <c r="O80" s="2">
        <f t="shared" si="11"/>
        <v>3.7596000000000004E-2</v>
      </c>
      <c r="P80" s="6">
        <f t="shared" si="11"/>
        <v>4.3932000000000006E-2</v>
      </c>
      <c r="Q80" s="2">
        <f t="shared" si="11"/>
        <v>1.2960000000000001E-3</v>
      </c>
      <c r="R80" s="2">
        <f t="shared" si="11"/>
        <v>1.0920000000000001E-3</v>
      </c>
      <c r="S80" s="2">
        <f t="shared" si="11"/>
        <v>1.4279999999999998E-3</v>
      </c>
      <c r="T80" s="2">
        <f t="shared" si="11"/>
        <v>2.604E-3</v>
      </c>
      <c r="U80" s="2">
        <f t="shared" si="11"/>
        <v>5.9159999999999994E-3</v>
      </c>
      <c r="V80" s="2">
        <f t="shared" si="11"/>
        <v>1.2252000000000001E-2</v>
      </c>
      <c r="W80" s="2">
        <f t="shared" si="11"/>
        <v>1.8588E-2</v>
      </c>
      <c r="X80" s="2">
        <f t="shared" si="11"/>
        <v>2.4924000000000002E-2</v>
      </c>
      <c r="Y80" s="2">
        <f t="shared" si="11"/>
        <v>3.1260000000000003E-2</v>
      </c>
      <c r="Z80" s="2">
        <f t="shared" si="11"/>
        <v>3.7596000000000004E-2</v>
      </c>
      <c r="AA80" s="6">
        <f t="shared" si="11"/>
        <v>4.3932000000000006E-2</v>
      </c>
      <c r="AB80" s="2">
        <f t="shared" si="11"/>
        <v>1.2960000000000001E-3</v>
      </c>
      <c r="AC80" s="2">
        <f t="shared" si="11"/>
        <v>1.0920000000000001E-3</v>
      </c>
      <c r="AD80" s="2">
        <f t="shared" si="11"/>
        <v>1.4279999999999998E-3</v>
      </c>
      <c r="AE80" s="2">
        <f t="shared" si="11"/>
        <v>2.604E-3</v>
      </c>
      <c r="AF80" s="2">
        <f t="shared" si="11"/>
        <v>5.9159999999999994E-3</v>
      </c>
      <c r="AG80" s="2">
        <f t="shared" si="11"/>
        <v>1.2252000000000001E-2</v>
      </c>
      <c r="AH80" s="2">
        <f t="shared" si="11"/>
        <v>1.8588E-2</v>
      </c>
      <c r="AI80" s="2">
        <f t="shared" si="11"/>
        <v>2.4924000000000002E-2</v>
      </c>
      <c r="AJ80" s="2">
        <f t="shared" si="11"/>
        <v>3.1260000000000003E-2</v>
      </c>
      <c r="AK80" s="2">
        <f t="shared" si="11"/>
        <v>3.7596000000000004E-2</v>
      </c>
      <c r="AL80" s="6">
        <f t="shared" si="11"/>
        <v>4.3932000000000006E-2</v>
      </c>
      <c r="AM80" s="2">
        <f t="shared" si="11"/>
        <v>1.2960000000000001E-3</v>
      </c>
      <c r="AN80" s="2">
        <f t="shared" si="11"/>
        <v>1.0920000000000001E-3</v>
      </c>
      <c r="AO80" s="2">
        <f t="shared" si="11"/>
        <v>1.4279999999999998E-3</v>
      </c>
      <c r="AP80" s="2">
        <f t="shared" si="11"/>
        <v>2.604E-3</v>
      </c>
      <c r="AQ80" s="2">
        <f t="shared" si="11"/>
        <v>5.9159999999999994E-3</v>
      </c>
      <c r="AR80" s="2">
        <f t="shared" si="11"/>
        <v>1.2252000000000001E-2</v>
      </c>
      <c r="AS80" s="2">
        <f t="shared" si="11"/>
        <v>1.8588E-2</v>
      </c>
      <c r="AT80" s="2">
        <f t="shared" si="11"/>
        <v>2.4924000000000002E-2</v>
      </c>
    </row>
    <row r="81" spans="2:48">
      <c r="B81" s="2" t="s">
        <v>1098</v>
      </c>
      <c r="C81" s="2" t="s">
        <v>910</v>
      </c>
      <c r="D81" s="2" t="s">
        <v>1095</v>
      </c>
      <c r="E81" s="2"/>
      <c r="F81" s="2">
        <f t="shared" ref="F81:AT81" si="12">+F72</f>
        <v>7.1999999999999994E-4</v>
      </c>
      <c r="G81" s="2">
        <f t="shared" si="12"/>
        <v>1.6200000000000001E-3</v>
      </c>
      <c r="H81" s="2">
        <f t="shared" si="12"/>
        <v>2.6279999999999997E-3</v>
      </c>
      <c r="I81" s="2">
        <f t="shared" si="12"/>
        <v>4.0200000000000001E-3</v>
      </c>
      <c r="J81" s="2">
        <f t="shared" si="12"/>
        <v>7.0920000000000002E-3</v>
      </c>
      <c r="K81" s="2">
        <f t="shared" si="12"/>
        <v>1.176E-2</v>
      </c>
      <c r="L81" s="2">
        <f t="shared" si="12"/>
        <v>1.6427999999999998E-2</v>
      </c>
      <c r="M81" s="2">
        <f t="shared" si="12"/>
        <v>2.1095999999999997E-2</v>
      </c>
      <c r="N81" s="2">
        <f t="shared" si="12"/>
        <v>2.5763999999999995E-2</v>
      </c>
      <c r="O81" s="2">
        <f t="shared" si="12"/>
        <v>3.0431999999999994E-2</v>
      </c>
      <c r="P81" s="6">
        <f t="shared" si="12"/>
        <v>3.5099999999999992E-2</v>
      </c>
      <c r="Q81" s="2">
        <f t="shared" si="12"/>
        <v>7.1999999999999994E-4</v>
      </c>
      <c r="R81" s="2">
        <f t="shared" si="12"/>
        <v>1.6200000000000001E-3</v>
      </c>
      <c r="S81" s="2">
        <f t="shared" si="12"/>
        <v>2.6279999999999997E-3</v>
      </c>
      <c r="T81" s="2">
        <f t="shared" si="12"/>
        <v>4.0200000000000001E-3</v>
      </c>
      <c r="U81" s="2">
        <f t="shared" si="12"/>
        <v>7.0920000000000002E-3</v>
      </c>
      <c r="V81" s="2">
        <f t="shared" si="12"/>
        <v>1.176E-2</v>
      </c>
      <c r="W81" s="2">
        <f t="shared" si="12"/>
        <v>1.6427999999999998E-2</v>
      </c>
      <c r="X81" s="2">
        <f t="shared" si="12"/>
        <v>2.1095999999999997E-2</v>
      </c>
      <c r="Y81" s="2">
        <f t="shared" si="12"/>
        <v>2.5763999999999995E-2</v>
      </c>
      <c r="Z81" s="2">
        <f t="shared" si="12"/>
        <v>3.0431999999999994E-2</v>
      </c>
      <c r="AA81" s="6">
        <f t="shared" si="12"/>
        <v>3.5099999999999992E-2</v>
      </c>
      <c r="AB81" s="2">
        <f t="shared" si="12"/>
        <v>7.1999999999999994E-4</v>
      </c>
      <c r="AC81" s="2">
        <f t="shared" si="12"/>
        <v>1.6200000000000001E-3</v>
      </c>
      <c r="AD81" s="2">
        <f t="shared" si="12"/>
        <v>2.6279999999999997E-3</v>
      </c>
      <c r="AE81" s="2">
        <f t="shared" si="12"/>
        <v>4.0200000000000001E-3</v>
      </c>
      <c r="AF81" s="2">
        <f t="shared" si="12"/>
        <v>7.0920000000000002E-3</v>
      </c>
      <c r="AG81" s="2">
        <f t="shared" si="12"/>
        <v>1.176E-2</v>
      </c>
      <c r="AH81" s="2">
        <f t="shared" si="12"/>
        <v>1.6427999999999998E-2</v>
      </c>
      <c r="AI81" s="2">
        <f t="shared" si="12"/>
        <v>2.1095999999999997E-2</v>
      </c>
      <c r="AJ81" s="2">
        <f t="shared" si="12"/>
        <v>2.5763999999999995E-2</v>
      </c>
      <c r="AK81" s="2">
        <f t="shared" si="12"/>
        <v>3.0431999999999994E-2</v>
      </c>
      <c r="AL81" s="6">
        <f t="shared" si="12"/>
        <v>3.5099999999999992E-2</v>
      </c>
      <c r="AM81" s="2">
        <f t="shared" si="12"/>
        <v>7.1999999999999994E-4</v>
      </c>
      <c r="AN81" s="2">
        <f t="shared" si="12"/>
        <v>1.6200000000000001E-3</v>
      </c>
      <c r="AO81" s="2">
        <f t="shared" si="12"/>
        <v>2.6279999999999997E-3</v>
      </c>
      <c r="AP81" s="2">
        <f t="shared" si="12"/>
        <v>4.0200000000000001E-3</v>
      </c>
      <c r="AQ81" s="2">
        <f t="shared" si="12"/>
        <v>7.0920000000000002E-3</v>
      </c>
      <c r="AR81" s="2">
        <f t="shared" si="12"/>
        <v>1.176E-2</v>
      </c>
      <c r="AS81" s="2">
        <f t="shared" si="12"/>
        <v>1.6427999999999998E-2</v>
      </c>
      <c r="AT81" s="2">
        <f t="shared" si="12"/>
        <v>2.1095999999999997E-2</v>
      </c>
    </row>
    <row r="82" spans="2:48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spans="2:48" s="5" customFormat="1">
      <c r="B83" s="7" t="s">
        <v>914</v>
      </c>
      <c r="C83" s="7"/>
      <c r="D83" s="7"/>
      <c r="E83" s="7"/>
      <c r="F83" s="8">
        <f>+SUM(F78:F81)</f>
        <v>4.7280000000000004E-3</v>
      </c>
      <c r="G83" s="8">
        <f t="shared" ref="G83:AT83" si="13">+SUM(G78:G81)</f>
        <v>7.9080000000000001E-3</v>
      </c>
      <c r="H83" s="8">
        <f t="shared" si="13"/>
        <v>1.2168E-2</v>
      </c>
      <c r="I83" s="8">
        <f t="shared" si="13"/>
        <v>1.9584000000000001E-2</v>
      </c>
      <c r="J83" s="8">
        <f t="shared" si="13"/>
        <v>3.6527999999999998E-2</v>
      </c>
      <c r="K83" s="8">
        <f t="shared" si="13"/>
        <v>6.4416000000000001E-2</v>
      </c>
      <c r="L83" s="8">
        <f t="shared" si="13"/>
        <v>9.2303999999999997E-2</v>
      </c>
      <c r="M83" s="8">
        <f t="shared" si="13"/>
        <v>0.12019199999999999</v>
      </c>
      <c r="N83" s="8">
        <f t="shared" si="13"/>
        <v>0.14807999999999999</v>
      </c>
      <c r="O83" s="8">
        <f t="shared" si="13"/>
        <v>0.17596799999999999</v>
      </c>
      <c r="P83" s="8">
        <f t="shared" si="13"/>
        <v>0.20385599999999998</v>
      </c>
      <c r="Q83" s="8">
        <f t="shared" si="13"/>
        <v>4.7280000000000004E-3</v>
      </c>
      <c r="R83" s="8">
        <f t="shared" si="13"/>
        <v>7.9080000000000001E-3</v>
      </c>
      <c r="S83" s="8">
        <f t="shared" si="13"/>
        <v>1.2168E-2</v>
      </c>
      <c r="T83" s="8">
        <f t="shared" si="13"/>
        <v>1.9584000000000001E-2</v>
      </c>
      <c r="U83" s="8">
        <f t="shared" si="13"/>
        <v>3.6527999999999998E-2</v>
      </c>
      <c r="V83" s="8">
        <f t="shared" si="13"/>
        <v>6.4416000000000001E-2</v>
      </c>
      <c r="W83" s="8">
        <f t="shared" si="13"/>
        <v>9.2303999999999997E-2</v>
      </c>
      <c r="X83" s="8">
        <f t="shared" si="13"/>
        <v>0.12019199999999999</v>
      </c>
      <c r="Y83" s="8">
        <f t="shared" si="13"/>
        <v>0.14807999999999999</v>
      </c>
      <c r="Z83" s="8">
        <f t="shared" si="13"/>
        <v>0.17596799999999999</v>
      </c>
      <c r="AA83" s="8">
        <f t="shared" si="13"/>
        <v>0.20385599999999998</v>
      </c>
      <c r="AB83" s="8">
        <f t="shared" si="13"/>
        <v>4.7280000000000004E-3</v>
      </c>
      <c r="AC83" s="8">
        <f t="shared" si="13"/>
        <v>7.9080000000000001E-3</v>
      </c>
      <c r="AD83" s="8">
        <f t="shared" si="13"/>
        <v>1.2168E-2</v>
      </c>
      <c r="AE83" s="8">
        <f t="shared" si="13"/>
        <v>1.9584000000000001E-2</v>
      </c>
      <c r="AF83" s="8">
        <f t="shared" si="13"/>
        <v>3.6527999999999998E-2</v>
      </c>
      <c r="AG83" s="8">
        <f t="shared" si="13"/>
        <v>6.4416000000000001E-2</v>
      </c>
      <c r="AH83" s="8">
        <f t="shared" si="13"/>
        <v>9.2303999999999997E-2</v>
      </c>
      <c r="AI83" s="8">
        <f t="shared" si="13"/>
        <v>0.12019199999999999</v>
      </c>
      <c r="AJ83" s="8">
        <f t="shared" si="13"/>
        <v>0.14807999999999999</v>
      </c>
      <c r="AK83" s="8">
        <f t="shared" si="13"/>
        <v>0.17596799999999999</v>
      </c>
      <c r="AL83" s="8">
        <f t="shared" si="13"/>
        <v>0.20385599999999998</v>
      </c>
      <c r="AM83" s="8">
        <f t="shared" si="13"/>
        <v>4.7280000000000004E-3</v>
      </c>
      <c r="AN83" s="8">
        <f t="shared" si="13"/>
        <v>7.9080000000000001E-3</v>
      </c>
      <c r="AO83" s="8">
        <f t="shared" si="13"/>
        <v>1.2168E-2</v>
      </c>
      <c r="AP83" s="8">
        <f t="shared" si="13"/>
        <v>1.9584000000000001E-2</v>
      </c>
      <c r="AQ83" s="8">
        <f t="shared" si="13"/>
        <v>3.6527999999999998E-2</v>
      </c>
      <c r="AR83" s="8">
        <f t="shared" si="13"/>
        <v>6.4416000000000001E-2</v>
      </c>
      <c r="AS83" s="8">
        <f t="shared" si="13"/>
        <v>9.2303999999999997E-2</v>
      </c>
      <c r="AT83" s="8">
        <f t="shared" si="13"/>
        <v>0.12019199999999999</v>
      </c>
    </row>
    <row r="84" spans="2:48" s="5" customFormat="1">
      <c r="B84" s="4"/>
      <c r="C84" s="4"/>
      <c r="D84" s="4"/>
      <c r="E84" s="4"/>
      <c r="F84" s="9">
        <f>F85/F83</f>
        <v>0.39368253479744153</v>
      </c>
      <c r="G84" s="9">
        <f t="shared" ref="G84" si="14">G85/G83</f>
        <v>1.356772187666184</v>
      </c>
      <c r="H84" s="9">
        <f t="shared" ref="H84" si="15">H85/H83</f>
        <v>2.0349951550112064</v>
      </c>
      <c r="I84" s="9">
        <f t="shared" ref="I84" si="16">I85/I83</f>
        <v>2.2624644899904025</v>
      </c>
      <c r="J84" s="9">
        <f t="shared" ref="J84" si="17">J85/J83</f>
        <v>1.9404636052220385</v>
      </c>
      <c r="K84" s="9">
        <f t="shared" ref="K84" si="18">K85/K83</f>
        <v>1.6315037077553032</v>
      </c>
      <c r="L84" s="9">
        <f t="shared" ref="L84" si="19">L85/L83</f>
        <v>1.5817367775895494</v>
      </c>
      <c r="M84" s="9">
        <f t="shared" ref="M84" si="20">M85/M83</f>
        <v>1.6003375765668326</v>
      </c>
      <c r="N84" s="9">
        <f t="shared" ref="N84" si="21">N85/N83</f>
        <v>1.6502698992753047</v>
      </c>
      <c r="O84" s="9">
        <f t="shared" ref="O84" si="22">O85/O83</f>
        <v>1.7132478488375498</v>
      </c>
      <c r="P84" s="9">
        <f t="shared" ref="P84" si="23">P85/P83</f>
        <v>1.8197978074376822</v>
      </c>
    </row>
    <row r="85" spans="2:48" s="5" customFormat="1" ht="16.5">
      <c r="B85" s="240" t="s">
        <v>30</v>
      </c>
      <c r="C85" s="240"/>
      <c r="D85" s="240"/>
      <c r="E85" s="240"/>
      <c r="F85" s="5" cm="1">
        <f t="array" ref="F85:P85">+TRANSPOSE('AirImpact - Melia volkensii'!M4:M14)</f>
        <v>1.8613310245223038E-3</v>
      </c>
      <c r="G85" s="5">
        <v>1.0729354460064183E-2</v>
      </c>
      <c r="H85" s="5">
        <v>2.4761821046176361E-2</v>
      </c>
      <c r="I85" s="5">
        <v>4.4308104571972047E-2</v>
      </c>
      <c r="J85" s="5">
        <v>7.0881254571550617E-2</v>
      </c>
      <c r="K85" s="5">
        <v>0.10509494283876561</v>
      </c>
      <c r="L85" s="5">
        <v>0.14600063151862577</v>
      </c>
      <c r="M85" s="5">
        <v>0.19234777400272074</v>
      </c>
      <c r="N85" s="5">
        <v>0.24437196668468711</v>
      </c>
      <c r="O85" s="5">
        <v>0.30147679746424594</v>
      </c>
      <c r="P85" s="5">
        <v>0.37097670183301612</v>
      </c>
      <c r="Q85" s="5">
        <f>F85</f>
        <v>1.8613310245223038E-3</v>
      </c>
      <c r="R85" s="5">
        <f t="shared" ref="R85:AT85" si="24">G85</f>
        <v>1.0729354460064183E-2</v>
      </c>
      <c r="S85" s="5">
        <f t="shared" si="24"/>
        <v>2.4761821046176361E-2</v>
      </c>
      <c r="T85" s="5">
        <f t="shared" si="24"/>
        <v>4.4308104571972047E-2</v>
      </c>
      <c r="U85" s="5">
        <f t="shared" si="24"/>
        <v>7.0881254571550617E-2</v>
      </c>
      <c r="V85" s="5">
        <f t="shared" si="24"/>
        <v>0.10509494283876561</v>
      </c>
      <c r="W85" s="5">
        <f t="shared" si="24"/>
        <v>0.14600063151862577</v>
      </c>
      <c r="X85" s="5">
        <f t="shared" si="24"/>
        <v>0.19234777400272074</v>
      </c>
      <c r="Y85" s="5">
        <f t="shared" si="24"/>
        <v>0.24437196668468711</v>
      </c>
      <c r="Z85" s="5">
        <f t="shared" si="24"/>
        <v>0.30147679746424594</v>
      </c>
      <c r="AA85" s="5">
        <f t="shared" si="24"/>
        <v>0.37097670183301612</v>
      </c>
      <c r="AB85" s="5">
        <f t="shared" si="24"/>
        <v>1.8613310245223038E-3</v>
      </c>
      <c r="AC85" s="5">
        <f t="shared" si="24"/>
        <v>1.0729354460064183E-2</v>
      </c>
      <c r="AD85" s="5">
        <f t="shared" si="24"/>
        <v>2.4761821046176361E-2</v>
      </c>
      <c r="AE85" s="5">
        <f t="shared" si="24"/>
        <v>4.4308104571972047E-2</v>
      </c>
      <c r="AF85" s="5">
        <f t="shared" si="24"/>
        <v>7.0881254571550617E-2</v>
      </c>
      <c r="AG85" s="5">
        <f t="shared" si="24"/>
        <v>0.10509494283876561</v>
      </c>
      <c r="AH85" s="5">
        <f t="shared" si="24"/>
        <v>0.14600063151862577</v>
      </c>
      <c r="AI85" s="5">
        <f t="shared" si="24"/>
        <v>0.19234777400272074</v>
      </c>
      <c r="AJ85" s="5">
        <f t="shared" si="24"/>
        <v>0.24437196668468711</v>
      </c>
      <c r="AK85" s="5">
        <f t="shared" si="24"/>
        <v>0.30147679746424594</v>
      </c>
      <c r="AL85" s="5">
        <f t="shared" si="24"/>
        <v>0.37097670183301612</v>
      </c>
      <c r="AM85" s="5">
        <f t="shared" si="24"/>
        <v>1.8613310245223038E-3</v>
      </c>
      <c r="AN85" s="5">
        <f t="shared" si="24"/>
        <v>1.0729354460064183E-2</v>
      </c>
      <c r="AO85" s="5">
        <f t="shared" si="24"/>
        <v>2.4761821046176361E-2</v>
      </c>
      <c r="AP85" s="5">
        <f t="shared" si="24"/>
        <v>4.4308104571972047E-2</v>
      </c>
      <c r="AQ85" s="5">
        <f t="shared" si="24"/>
        <v>7.0881254571550617E-2</v>
      </c>
      <c r="AR85" s="5">
        <f t="shared" si="24"/>
        <v>0.10509494283876561</v>
      </c>
      <c r="AS85" s="5">
        <f t="shared" si="24"/>
        <v>0.14600063151862577</v>
      </c>
      <c r="AT85" s="5">
        <f t="shared" si="24"/>
        <v>0.19234777400272074</v>
      </c>
    </row>
    <row r="86" spans="2:48"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</row>
    <row r="87" spans="2:48" s="5" customFormat="1">
      <c r="B87" s="4" t="s">
        <v>907</v>
      </c>
      <c r="C87" s="4" t="s">
        <v>908</v>
      </c>
      <c r="D87" s="4" t="s">
        <v>106</v>
      </c>
      <c r="E87" s="4"/>
      <c r="F87" s="5">
        <v>1</v>
      </c>
      <c r="G87" s="5">
        <v>2</v>
      </c>
      <c r="H87" s="5">
        <v>3</v>
      </c>
      <c r="I87" s="5">
        <v>4</v>
      </c>
      <c r="J87" s="5">
        <v>5</v>
      </c>
      <c r="K87" s="5">
        <v>6</v>
      </c>
      <c r="L87" s="5">
        <v>7</v>
      </c>
      <c r="M87" s="5">
        <v>8</v>
      </c>
      <c r="N87" s="5">
        <v>9</v>
      </c>
      <c r="O87" s="5">
        <v>10</v>
      </c>
      <c r="P87" s="5">
        <v>11</v>
      </c>
      <c r="Q87" s="5">
        <v>12</v>
      </c>
      <c r="R87" s="5">
        <v>13</v>
      </c>
      <c r="S87" s="5">
        <v>14</v>
      </c>
      <c r="T87" s="5">
        <v>15</v>
      </c>
      <c r="U87" s="5">
        <v>16</v>
      </c>
      <c r="V87" s="5">
        <v>17</v>
      </c>
      <c r="W87" s="5">
        <v>18</v>
      </c>
      <c r="X87" s="5">
        <v>19</v>
      </c>
      <c r="Y87" s="5">
        <v>20</v>
      </c>
      <c r="Z87" s="5">
        <v>21</v>
      </c>
      <c r="AA87" s="5">
        <v>22</v>
      </c>
      <c r="AB87" s="5">
        <v>23</v>
      </c>
      <c r="AC87" s="5">
        <v>24</v>
      </c>
      <c r="AD87" s="5">
        <v>25</v>
      </c>
      <c r="AE87" s="5">
        <v>26</v>
      </c>
      <c r="AF87" s="5">
        <v>27</v>
      </c>
      <c r="AG87" s="5">
        <v>28</v>
      </c>
      <c r="AH87" s="5">
        <v>29</v>
      </c>
      <c r="AI87" s="5">
        <v>30</v>
      </c>
      <c r="AJ87" s="5">
        <v>31</v>
      </c>
      <c r="AK87" s="5">
        <v>32</v>
      </c>
      <c r="AL87" s="5">
        <v>33</v>
      </c>
      <c r="AM87" s="5">
        <v>34</v>
      </c>
      <c r="AN87" s="5">
        <v>35</v>
      </c>
      <c r="AO87" s="5">
        <v>36</v>
      </c>
      <c r="AP87" s="5">
        <v>37</v>
      </c>
      <c r="AQ87" s="5">
        <v>38</v>
      </c>
      <c r="AR87" s="5">
        <v>39</v>
      </c>
      <c r="AS87" s="5">
        <v>40</v>
      </c>
      <c r="AT87" s="5">
        <v>41</v>
      </c>
      <c r="AU87" s="4"/>
      <c r="AV87" s="4"/>
    </row>
    <row r="88" spans="2:48" s="5" customFormat="1" ht="16.5">
      <c r="B88" s="240" t="s">
        <v>31</v>
      </c>
      <c r="C88" s="240"/>
      <c r="D88" s="240"/>
      <c r="E88" s="240"/>
      <c r="F88" s="5" cm="1">
        <f t="array" ref="F88:T88">+TRANSPOSE('AirImpact - Maesopsis eminii'!M4:M18)</f>
        <v>3.0424305838419696E-3</v>
      </c>
      <c r="G88" s="5">
        <v>1.7733488643563812E-2</v>
      </c>
      <c r="H88" s="5">
        <v>4.031407695233348E-2</v>
      </c>
      <c r="I88" s="5">
        <v>7.2387966132038822E-2</v>
      </c>
      <c r="J88" s="5">
        <v>0.11667541327347526</v>
      </c>
      <c r="K88" s="5">
        <v>0.17259988866951723</v>
      </c>
      <c r="L88" s="5">
        <v>0.23805453939324267</v>
      </c>
      <c r="M88" s="5">
        <v>0.32475378247498388</v>
      </c>
      <c r="N88" s="5">
        <v>0.4287694636940993</v>
      </c>
      <c r="O88" s="5">
        <v>0.54907295246839283</v>
      </c>
      <c r="P88" s="5">
        <v>0.68512768190617646</v>
      </c>
      <c r="Q88" s="5">
        <v>0.83035492647679388</v>
      </c>
      <c r="R88" s="5">
        <v>0.97983187735160149</v>
      </c>
      <c r="S88" s="5">
        <v>1.1404464420195264</v>
      </c>
      <c r="T88" s="5">
        <v>1.3129332224879684</v>
      </c>
      <c r="U88" s="5">
        <f>F88</f>
        <v>3.0424305838419696E-3</v>
      </c>
      <c r="V88" s="5">
        <f>G88</f>
        <v>1.7733488643563812E-2</v>
      </c>
      <c r="W88" s="5">
        <f t="shared" ref="W88:AT88" si="25">H88</f>
        <v>4.031407695233348E-2</v>
      </c>
      <c r="X88" s="5">
        <f t="shared" si="25"/>
        <v>7.2387966132038822E-2</v>
      </c>
      <c r="Y88" s="5">
        <f t="shared" si="25"/>
        <v>0.11667541327347526</v>
      </c>
      <c r="Z88" s="5">
        <f t="shared" si="25"/>
        <v>0.17259988866951723</v>
      </c>
      <c r="AA88" s="5">
        <f t="shared" si="25"/>
        <v>0.23805453939324267</v>
      </c>
      <c r="AB88" s="5">
        <f t="shared" si="25"/>
        <v>0.32475378247498388</v>
      </c>
      <c r="AC88" s="5">
        <f t="shared" si="25"/>
        <v>0.4287694636940993</v>
      </c>
      <c r="AD88" s="5">
        <f t="shared" si="25"/>
        <v>0.54907295246839283</v>
      </c>
      <c r="AE88" s="5">
        <f t="shared" si="25"/>
        <v>0.68512768190617646</v>
      </c>
      <c r="AF88" s="5">
        <f t="shared" si="25"/>
        <v>0.83035492647679388</v>
      </c>
      <c r="AG88" s="5">
        <f t="shared" si="25"/>
        <v>0.97983187735160149</v>
      </c>
      <c r="AH88" s="5">
        <f t="shared" si="25"/>
        <v>1.1404464420195264</v>
      </c>
      <c r="AI88" s="5">
        <f t="shared" si="25"/>
        <v>1.3129332224879684</v>
      </c>
      <c r="AJ88" s="5">
        <f t="shared" si="25"/>
        <v>3.0424305838419696E-3</v>
      </c>
      <c r="AK88" s="5">
        <f t="shared" si="25"/>
        <v>1.7733488643563812E-2</v>
      </c>
      <c r="AL88" s="5">
        <f t="shared" si="25"/>
        <v>4.031407695233348E-2</v>
      </c>
      <c r="AM88" s="5">
        <f t="shared" si="25"/>
        <v>7.2387966132038822E-2</v>
      </c>
      <c r="AN88" s="5">
        <f t="shared" si="25"/>
        <v>0.11667541327347526</v>
      </c>
      <c r="AO88" s="5">
        <f t="shared" si="25"/>
        <v>0.17259988866951723</v>
      </c>
      <c r="AP88" s="5">
        <f t="shared" si="25"/>
        <v>0.23805453939324267</v>
      </c>
      <c r="AQ88" s="5">
        <f t="shared" si="25"/>
        <v>0.32475378247498388</v>
      </c>
      <c r="AR88" s="5">
        <f t="shared" si="25"/>
        <v>0.4287694636940993</v>
      </c>
      <c r="AS88" s="5">
        <f t="shared" si="25"/>
        <v>0.54907295246839283</v>
      </c>
      <c r="AT88" s="5">
        <f t="shared" si="25"/>
        <v>0.68512768190617646</v>
      </c>
    </row>
    <row r="89" spans="2:48" s="5" customFormat="1" ht="16.5">
      <c r="B89" s="487"/>
      <c r="C89" s="487"/>
      <c r="D89" s="487"/>
      <c r="E89" s="487"/>
    </row>
    <row r="90" spans="2:48" s="5" customFormat="1">
      <c r="B90" s="257" t="s">
        <v>1100</v>
      </c>
      <c r="C90" s="257"/>
      <c r="D90" s="257"/>
      <c r="E90" s="257"/>
      <c r="F90" s="5" cm="1">
        <f t="array" ref="F90:P90">+TRANSPOSE('AirImpact - Acacia polyacantha'!M4:M14)</f>
        <v>1.0321464225419271E-3</v>
      </c>
      <c r="G90" s="5">
        <v>6.0115270203998138E-3</v>
      </c>
      <c r="H90" s="5">
        <v>1.2624529676011353E-2</v>
      </c>
      <c r="I90" s="5">
        <v>2.2486877793298381E-2</v>
      </c>
      <c r="J90" s="5">
        <v>3.6929456729391061E-2</v>
      </c>
      <c r="K90" s="5">
        <v>5.5735041105005399E-2</v>
      </c>
      <c r="L90" s="5">
        <v>7.9634540058344541E-2</v>
      </c>
      <c r="M90" s="5">
        <v>0.10922562084776101</v>
      </c>
      <c r="N90" s="5">
        <v>0.144806345951103</v>
      </c>
      <c r="O90" s="5">
        <v>0.18605575080506664</v>
      </c>
      <c r="P90" s="5">
        <v>0.23013921757894445</v>
      </c>
      <c r="Q90" s="5">
        <f>P90</f>
        <v>0.23013921757894445</v>
      </c>
      <c r="R90" s="5">
        <f t="shared" ref="R90:AT91" si="26">Q90</f>
        <v>0.23013921757894445</v>
      </c>
      <c r="S90" s="5">
        <f t="shared" si="26"/>
        <v>0.23013921757894445</v>
      </c>
      <c r="T90" s="5">
        <f t="shared" si="26"/>
        <v>0.23013921757894445</v>
      </c>
      <c r="U90" s="5">
        <f t="shared" si="26"/>
        <v>0.23013921757894445</v>
      </c>
      <c r="V90" s="5">
        <f t="shared" si="26"/>
        <v>0.23013921757894445</v>
      </c>
      <c r="W90" s="5">
        <f t="shared" si="26"/>
        <v>0.23013921757894445</v>
      </c>
      <c r="X90" s="5">
        <f t="shared" si="26"/>
        <v>0.23013921757894445</v>
      </c>
      <c r="Y90" s="5">
        <f t="shared" si="26"/>
        <v>0.23013921757894445</v>
      </c>
      <c r="Z90" s="5">
        <f t="shared" si="26"/>
        <v>0.23013921757894445</v>
      </c>
      <c r="AA90" s="5">
        <f t="shared" si="26"/>
        <v>0.23013921757894445</v>
      </c>
      <c r="AB90" s="5">
        <f t="shared" si="26"/>
        <v>0.23013921757894445</v>
      </c>
      <c r="AC90" s="5">
        <f t="shared" si="26"/>
        <v>0.23013921757894445</v>
      </c>
      <c r="AD90" s="5">
        <f t="shared" si="26"/>
        <v>0.23013921757894445</v>
      </c>
      <c r="AE90" s="5">
        <f t="shared" si="26"/>
        <v>0.23013921757894445</v>
      </c>
      <c r="AF90" s="5">
        <f t="shared" si="26"/>
        <v>0.23013921757894445</v>
      </c>
      <c r="AG90" s="5">
        <f t="shared" si="26"/>
        <v>0.23013921757894445</v>
      </c>
      <c r="AH90" s="5">
        <f t="shared" si="26"/>
        <v>0.23013921757894445</v>
      </c>
      <c r="AI90" s="5">
        <f t="shared" si="26"/>
        <v>0.23013921757894445</v>
      </c>
      <c r="AJ90" s="5">
        <f t="shared" si="26"/>
        <v>0.23013921757894445</v>
      </c>
      <c r="AK90" s="5">
        <f t="shared" si="26"/>
        <v>0.23013921757894445</v>
      </c>
      <c r="AL90" s="5">
        <f t="shared" si="26"/>
        <v>0.23013921757894445</v>
      </c>
      <c r="AM90" s="5">
        <f t="shared" si="26"/>
        <v>0.23013921757894445</v>
      </c>
      <c r="AN90" s="5">
        <f t="shared" si="26"/>
        <v>0.23013921757894445</v>
      </c>
      <c r="AO90" s="5">
        <f t="shared" si="26"/>
        <v>0.23013921757894445</v>
      </c>
      <c r="AP90" s="5">
        <f t="shared" si="26"/>
        <v>0.23013921757894445</v>
      </c>
      <c r="AQ90" s="5">
        <f t="shared" si="26"/>
        <v>0.23013921757894445</v>
      </c>
      <c r="AR90" s="5">
        <f t="shared" si="26"/>
        <v>0.23013921757894445</v>
      </c>
      <c r="AS90" s="5">
        <f t="shared" si="26"/>
        <v>0.23013921757894445</v>
      </c>
      <c r="AT90" s="5">
        <f t="shared" si="26"/>
        <v>0.23013921757894445</v>
      </c>
    </row>
    <row r="91" spans="2:48" ht="16.5">
      <c r="B91" s="240" t="s">
        <v>916</v>
      </c>
      <c r="C91" s="240"/>
      <c r="D91" s="240"/>
      <c r="E91" s="240"/>
      <c r="F91" s="5">
        <f>F90</f>
        <v>1.0321464225419271E-3</v>
      </c>
      <c r="G91" s="5">
        <f t="shared" ref="G91:K91" si="27">G90</f>
        <v>6.0115270203998138E-3</v>
      </c>
      <c r="H91" s="5">
        <f t="shared" si="27"/>
        <v>1.2624529676011353E-2</v>
      </c>
      <c r="I91" s="5">
        <f t="shared" si="27"/>
        <v>2.2486877793298381E-2</v>
      </c>
      <c r="J91" s="5">
        <f t="shared" si="27"/>
        <v>3.6929456729391061E-2</v>
      </c>
      <c r="K91" s="5">
        <f t="shared" si="27"/>
        <v>5.5735041105005399E-2</v>
      </c>
      <c r="L91" s="5">
        <f>K91</f>
        <v>5.5735041105005399E-2</v>
      </c>
      <c r="M91" s="5">
        <f t="shared" ref="M91:Q91" si="28">L91</f>
        <v>5.5735041105005399E-2</v>
      </c>
      <c r="N91" s="5">
        <f t="shared" si="28"/>
        <v>5.5735041105005399E-2</v>
      </c>
      <c r="O91" s="5">
        <f t="shared" si="28"/>
        <v>5.5735041105005399E-2</v>
      </c>
      <c r="P91" s="5">
        <f t="shared" si="28"/>
        <v>5.5735041105005399E-2</v>
      </c>
      <c r="Q91" s="5">
        <f t="shared" si="28"/>
        <v>5.5735041105005399E-2</v>
      </c>
      <c r="R91" s="5">
        <f t="shared" si="26"/>
        <v>5.5735041105005399E-2</v>
      </c>
      <c r="S91" s="5">
        <f t="shared" si="26"/>
        <v>5.5735041105005399E-2</v>
      </c>
      <c r="T91" s="5">
        <f t="shared" si="26"/>
        <v>5.5735041105005399E-2</v>
      </c>
      <c r="U91" s="5">
        <f t="shared" ref="U91" si="29">T91</f>
        <v>5.5735041105005399E-2</v>
      </c>
      <c r="V91" s="5">
        <f t="shared" ref="V91" si="30">U91</f>
        <v>5.5735041105005399E-2</v>
      </c>
      <c r="W91" s="5">
        <f t="shared" ref="W91" si="31">V91</f>
        <v>5.5735041105005399E-2</v>
      </c>
      <c r="X91" s="5">
        <f t="shared" ref="X91" si="32">W91</f>
        <v>5.5735041105005399E-2</v>
      </c>
      <c r="Y91" s="5">
        <f t="shared" ref="Y91" si="33">X91</f>
        <v>5.5735041105005399E-2</v>
      </c>
      <c r="Z91" s="5">
        <f t="shared" ref="Z91" si="34">Y91</f>
        <v>5.5735041105005399E-2</v>
      </c>
      <c r="AA91" s="5">
        <f t="shared" ref="AA91" si="35">Z91</f>
        <v>5.5735041105005399E-2</v>
      </c>
      <c r="AB91" s="5">
        <f t="shared" ref="AB91" si="36">AA91</f>
        <v>5.5735041105005399E-2</v>
      </c>
      <c r="AC91" s="5">
        <f t="shared" ref="AC91" si="37">AB91</f>
        <v>5.5735041105005399E-2</v>
      </c>
      <c r="AD91" s="5">
        <f t="shared" ref="AD91" si="38">AC91</f>
        <v>5.5735041105005399E-2</v>
      </c>
      <c r="AE91" s="5">
        <f t="shared" ref="AE91" si="39">AD91</f>
        <v>5.5735041105005399E-2</v>
      </c>
      <c r="AF91" s="5">
        <f t="shared" ref="AF91" si="40">AE91</f>
        <v>5.5735041105005399E-2</v>
      </c>
      <c r="AG91" s="5">
        <f t="shared" ref="AG91" si="41">AF91</f>
        <v>5.5735041105005399E-2</v>
      </c>
      <c r="AH91" s="5">
        <f t="shared" ref="AH91" si="42">AG91</f>
        <v>5.5735041105005399E-2</v>
      </c>
      <c r="AI91" s="5">
        <f t="shared" ref="AI91" si="43">AH91</f>
        <v>5.5735041105005399E-2</v>
      </c>
      <c r="AJ91" s="5">
        <f t="shared" ref="AJ91" si="44">AI91</f>
        <v>5.5735041105005399E-2</v>
      </c>
      <c r="AK91" s="5">
        <f t="shared" ref="AK91" si="45">AJ91</f>
        <v>5.5735041105005399E-2</v>
      </c>
      <c r="AL91" s="5">
        <f t="shared" ref="AL91" si="46">AK91</f>
        <v>5.5735041105005399E-2</v>
      </c>
      <c r="AM91" s="5">
        <f t="shared" ref="AM91" si="47">AL91</f>
        <v>5.5735041105005399E-2</v>
      </c>
      <c r="AN91" s="5">
        <f t="shared" ref="AN91" si="48">AM91</f>
        <v>5.5735041105005399E-2</v>
      </c>
      <c r="AO91" s="5">
        <f t="shared" ref="AO91" si="49">AN91</f>
        <v>5.5735041105005399E-2</v>
      </c>
      <c r="AP91" s="5">
        <f t="shared" ref="AP91" si="50">AO91</f>
        <v>5.5735041105005399E-2</v>
      </c>
      <c r="AQ91" s="5">
        <f t="shared" ref="AQ91" si="51">AP91</f>
        <v>5.5735041105005399E-2</v>
      </c>
      <c r="AR91" s="5">
        <f t="shared" ref="AR91" si="52">AQ91</f>
        <v>5.5735041105005399E-2</v>
      </c>
      <c r="AS91" s="5">
        <f t="shared" ref="AS91" si="53">AR91</f>
        <v>5.5735041105005399E-2</v>
      </c>
      <c r="AT91" s="5">
        <f t="shared" ref="AT91" si="54">AS91</f>
        <v>5.5735041105005399E-2</v>
      </c>
    </row>
    <row r="92" spans="2:48"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</row>
    <row r="93" spans="2:48">
      <c r="B93" s="257" t="s">
        <v>1101</v>
      </c>
      <c r="C93" s="257"/>
      <c r="D93" s="257"/>
      <c r="E93" s="257"/>
      <c r="F93" s="5" cm="1">
        <f t="array" ref="F93:AS93">+TRANSPOSE('Ex-Ante - AirImpact - Charcoal'!AB5:AB44)</f>
        <v>6.7540053225408081E-4</v>
      </c>
      <c r="G93" s="5">
        <v>3.9156285619804986E-3</v>
      </c>
      <c r="H93" s="5">
        <v>8.644414151686243E-3</v>
      </c>
      <c r="I93" s="5">
        <v>1.5260138761026016E-2</v>
      </c>
      <c r="J93" s="5">
        <v>2.4560194021927644E-2</v>
      </c>
      <c r="K93" s="5">
        <v>3.6669559396273657E-2</v>
      </c>
      <c r="L93" s="5">
        <v>5.2167303188008773E-2</v>
      </c>
      <c r="M93" s="5">
        <v>7.1305383521045013E-2</v>
      </c>
      <c r="N93" s="5">
        <v>9.4064954717988342E-2</v>
      </c>
      <c r="O93" s="5">
        <v>0.12049170554694903</v>
      </c>
      <c r="P93" s="5">
        <v>0.14938516801055263</v>
      </c>
      <c r="Q93" s="5">
        <v>0.18057268340488308</v>
      </c>
      <c r="R93" s="5">
        <v>0.21454131843046542</v>
      </c>
      <c r="S93" s="5">
        <v>0.25069438539818045</v>
      </c>
      <c r="T93" s="5">
        <v>0.28931328510150334</v>
      </c>
      <c r="U93" s="5">
        <v>0.32996064936838315</v>
      </c>
      <c r="V93" s="5">
        <v>0.37329327175329607</v>
      </c>
      <c r="W93" s="5">
        <v>0.41791285350358487</v>
      </c>
      <c r="X93" s="5">
        <v>0.46515908390950356</v>
      </c>
      <c r="Y93" s="5">
        <v>0.51555162948917022</v>
      </c>
      <c r="Z93" s="5">
        <v>0.56899190660084198</v>
      </c>
      <c r="AA93" s="5">
        <v>0.62440956769209843</v>
      </c>
      <c r="AB93" s="5">
        <v>0.68338286455363606</v>
      </c>
      <c r="AC93" s="5">
        <v>0.74524377191689783</v>
      </c>
      <c r="AD93" s="5">
        <v>0.81026029797362054</v>
      </c>
      <c r="AE93" s="5">
        <v>0.87987792239278062</v>
      </c>
      <c r="AF93" s="5">
        <v>0.95123355115628305</v>
      </c>
      <c r="AG93" s="5">
        <v>1.0252019489821802</v>
      </c>
      <c r="AH93" s="5">
        <v>1.102702650381481</v>
      </c>
      <c r="AI93" s="5">
        <v>1.1845745036074462</v>
      </c>
      <c r="AJ93" s="5">
        <v>1.2709877546171329</v>
      </c>
      <c r="AK93" s="5">
        <v>1.3630671448870924</v>
      </c>
      <c r="AL93" s="5">
        <v>1.4609168309347644</v>
      </c>
      <c r="AM93" s="5">
        <v>1.5649067128362917</v>
      </c>
      <c r="AN93" s="5">
        <v>1.6733973046493151</v>
      </c>
      <c r="AO93" s="5">
        <v>1.7825341545162607</v>
      </c>
      <c r="AP93" s="5">
        <v>1.8934352667953285</v>
      </c>
      <c r="AQ93" s="5">
        <v>2.0101943884078564</v>
      </c>
      <c r="AR93" s="5">
        <v>2.1161612260541762</v>
      </c>
      <c r="AS93" s="5">
        <v>2.2457694590687178</v>
      </c>
      <c r="AT93" s="5"/>
    </row>
    <row r="94" spans="2:48" ht="16.5">
      <c r="B94" s="240" t="s">
        <v>917</v>
      </c>
      <c r="C94" s="240"/>
      <c r="D94" s="240"/>
      <c r="E94" s="240"/>
      <c r="F94" s="5">
        <f>F93</f>
        <v>6.7540053225408081E-4</v>
      </c>
      <c r="G94" s="5">
        <f t="shared" ref="G94:I94" si="55">G93</f>
        <v>3.9156285619804986E-3</v>
      </c>
      <c r="H94" s="5">
        <f t="shared" si="55"/>
        <v>8.644414151686243E-3</v>
      </c>
      <c r="I94" s="5">
        <f t="shared" si="55"/>
        <v>1.5260138761026016E-2</v>
      </c>
      <c r="J94" s="5">
        <f>I93*80%</f>
        <v>1.2208111008820813E-2</v>
      </c>
      <c r="K94" s="5">
        <f>J93*80%</f>
        <v>1.9648155217542117E-2</v>
      </c>
      <c r="L94" s="5">
        <f>K93*80%</f>
        <v>2.9335647517018927E-2</v>
      </c>
      <c r="M94" s="5">
        <f>I93</f>
        <v>1.5260138761026016E-2</v>
      </c>
      <c r="N94" s="5">
        <f>J93</f>
        <v>2.4560194021927644E-2</v>
      </c>
      <c r="O94" s="5">
        <f>K93</f>
        <v>3.6669559396273657E-2</v>
      </c>
      <c r="P94" s="5">
        <f>M94</f>
        <v>1.5260138761026016E-2</v>
      </c>
      <c r="Q94" s="5">
        <f>N94</f>
        <v>2.4560194021927644E-2</v>
      </c>
      <c r="R94" s="5">
        <f>O94</f>
        <v>3.6669559396273657E-2</v>
      </c>
      <c r="S94" s="5">
        <f t="shared" ref="S94" si="56">P94</f>
        <v>1.5260138761026016E-2</v>
      </c>
      <c r="T94" s="5">
        <f t="shared" ref="T94" si="57">Q94</f>
        <v>2.4560194021927644E-2</v>
      </c>
      <c r="U94" s="5">
        <f t="shared" ref="U94" si="58">R94</f>
        <v>3.6669559396273657E-2</v>
      </c>
      <c r="V94" s="5">
        <f t="shared" ref="V94" si="59">S94</f>
        <v>1.5260138761026016E-2</v>
      </c>
      <c r="W94" s="5">
        <f t="shared" ref="W94" si="60">T94</f>
        <v>2.4560194021927644E-2</v>
      </c>
      <c r="X94" s="5">
        <f t="shared" ref="X94" si="61">U94</f>
        <v>3.6669559396273657E-2</v>
      </c>
      <c r="Y94" s="5">
        <f t="shared" ref="Y94" si="62">V94</f>
        <v>1.5260138761026016E-2</v>
      </c>
      <c r="Z94" s="5">
        <f t="shared" ref="Z94" si="63">F94</f>
        <v>6.7540053225408081E-4</v>
      </c>
      <c r="AA94" s="5">
        <f t="shared" ref="AA94" si="64">G94</f>
        <v>3.9156285619804986E-3</v>
      </c>
      <c r="AB94" s="5">
        <f t="shared" ref="AB94" si="65">H94</f>
        <v>8.644414151686243E-3</v>
      </c>
      <c r="AC94" s="5">
        <f t="shared" ref="AC94" si="66">I94</f>
        <v>1.5260138761026016E-2</v>
      </c>
      <c r="AD94" s="5">
        <f t="shared" ref="AD94" si="67">J94</f>
        <v>1.2208111008820813E-2</v>
      </c>
      <c r="AE94" s="5">
        <f t="shared" ref="AE94" si="68">K94</f>
        <v>1.9648155217542117E-2</v>
      </c>
      <c r="AF94" s="5">
        <f t="shared" ref="AF94" si="69">L94</f>
        <v>2.9335647517018927E-2</v>
      </c>
      <c r="AG94" s="5">
        <f t="shared" ref="AG94" si="70">M94</f>
        <v>1.5260138761026016E-2</v>
      </c>
      <c r="AH94" s="5">
        <f t="shared" ref="AH94" si="71">N94</f>
        <v>2.4560194021927644E-2</v>
      </c>
      <c r="AI94" s="5">
        <f t="shared" ref="AI94" si="72">O94</f>
        <v>3.6669559396273657E-2</v>
      </c>
      <c r="AJ94" s="5">
        <f t="shared" ref="AJ94" si="73">P94</f>
        <v>1.5260138761026016E-2</v>
      </c>
      <c r="AK94" s="5">
        <f t="shared" ref="AK94" si="74">Q94</f>
        <v>2.4560194021927644E-2</v>
      </c>
      <c r="AL94" s="5">
        <f t="shared" ref="AL94" si="75">R94</f>
        <v>3.6669559396273657E-2</v>
      </c>
      <c r="AM94" s="5">
        <f t="shared" ref="AM94" si="76">S94</f>
        <v>1.5260138761026016E-2</v>
      </c>
      <c r="AN94" s="5">
        <f t="shared" ref="AN94" si="77">T94</f>
        <v>2.4560194021927644E-2</v>
      </c>
      <c r="AO94" s="5">
        <f t="shared" ref="AO94" si="78">U94</f>
        <v>3.6669559396273657E-2</v>
      </c>
      <c r="AP94" s="5">
        <f t="shared" ref="AP94" si="79">V94</f>
        <v>1.5260138761026016E-2</v>
      </c>
      <c r="AQ94" s="5">
        <f t="shared" ref="AQ94" si="80">W94</f>
        <v>2.4560194021927644E-2</v>
      </c>
      <c r="AR94" s="5">
        <f t="shared" ref="AR94" si="81">X94</f>
        <v>3.6669559396273657E-2</v>
      </c>
      <c r="AS94" s="5">
        <f t="shared" ref="AS94:AT94" si="82">Y94</f>
        <v>1.5260138761026016E-2</v>
      </c>
      <c r="AT94" s="5">
        <f t="shared" si="82"/>
        <v>6.7540053225408081E-4</v>
      </c>
    </row>
    <row r="95" spans="2:48">
      <c r="B95" s="4"/>
      <c r="C95" s="4"/>
      <c r="D95" s="4"/>
      <c r="E95" s="4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</row>
    <row r="113" spans="5:16">
      <c r="E113" s="11"/>
    </row>
    <row r="114" spans="5:16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</row>
    <row r="116" spans="5:16">
      <c r="F116" s="505"/>
      <c r="G116" s="505"/>
      <c r="H116" s="505"/>
      <c r="I116" s="505"/>
      <c r="J116" s="505"/>
      <c r="K116" s="505"/>
      <c r="L116" s="505"/>
      <c r="M116" s="505"/>
      <c r="N116" s="505"/>
      <c r="O116" s="505"/>
      <c r="P116" s="505"/>
    </row>
    <row r="117" spans="5:16">
      <c r="F117" s="505"/>
      <c r="G117" s="505"/>
      <c r="H117" s="505"/>
      <c r="I117" s="505"/>
      <c r="J117" s="505"/>
      <c r="K117" s="505"/>
      <c r="L117" s="505"/>
      <c r="M117" s="505"/>
      <c r="N117" s="505"/>
      <c r="O117" s="505"/>
      <c r="P117" s="505"/>
    </row>
  </sheetData>
  <conditionalFormatting sqref="F84:P8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08D3B-F8BA-4A46-98C4-2B83F463E415}">
  <dimension ref="A1:R842"/>
  <sheetViews>
    <sheetView topLeftCell="A105" workbookViewId="0"/>
  </sheetViews>
  <sheetFormatPr defaultColWidth="9.88671875" defaultRowHeight="15"/>
  <cols>
    <col min="1" max="7" width="9.88671875" style="117"/>
    <col min="8" max="8" width="0" style="117" hidden="1" customWidth="1"/>
    <col min="9" max="9" width="9.88671875" style="117"/>
    <col min="10" max="10" width="15.109375" style="117" customWidth="1"/>
    <col min="11" max="12" width="9.88671875" style="117"/>
    <col min="13" max="13" width="11.88671875" style="117" customWidth="1"/>
    <col min="14" max="14" width="22.33203125" style="117" customWidth="1"/>
    <col min="15" max="15" width="9.88671875" style="117"/>
    <col min="16" max="16" width="14" style="117" bestFit="1" customWidth="1"/>
    <col min="17" max="17" width="22.33203125" style="117" bestFit="1" customWidth="1"/>
    <col min="18" max="18" width="14.33203125" style="117" bestFit="1" customWidth="1"/>
    <col min="19" max="16384" width="9.88671875" style="117"/>
  </cols>
  <sheetData>
    <row r="1" spans="1:18">
      <c r="A1" s="121" t="s">
        <v>1102</v>
      </c>
      <c r="B1" s="121" t="s">
        <v>1103</v>
      </c>
      <c r="C1" s="121" t="s">
        <v>1104</v>
      </c>
      <c r="D1" s="121" t="s">
        <v>104</v>
      </c>
      <c r="E1" s="121" t="s">
        <v>1105</v>
      </c>
      <c r="F1" s="121" t="s">
        <v>1106</v>
      </c>
      <c r="G1" s="121" t="s">
        <v>1107</v>
      </c>
      <c r="H1" s="121" t="s">
        <v>1108</v>
      </c>
      <c r="I1" s="121" t="s">
        <v>1109</v>
      </c>
      <c r="J1" s="121" t="s">
        <v>1110</v>
      </c>
      <c r="K1" s="121" t="s">
        <v>1111</v>
      </c>
      <c r="L1" s="122" t="s">
        <v>1112</v>
      </c>
      <c r="M1" s="123" t="s">
        <v>1113</v>
      </c>
      <c r="N1" s="124" t="s">
        <v>1114</v>
      </c>
    </row>
    <row r="2" spans="1:18">
      <c r="A2" s="121" t="s">
        <v>1115</v>
      </c>
      <c r="B2" s="121" t="s">
        <v>1116</v>
      </c>
      <c r="C2" s="121">
        <v>1</v>
      </c>
      <c r="D2" s="121" t="s">
        <v>1117</v>
      </c>
      <c r="E2" s="125">
        <v>44827</v>
      </c>
      <c r="F2" s="121" t="s">
        <v>1118</v>
      </c>
      <c r="G2" s="121" t="s">
        <v>1119</v>
      </c>
      <c r="H2" s="121">
        <v>0.30399999999999999</v>
      </c>
      <c r="I2" s="121" t="s">
        <v>1120</v>
      </c>
      <c r="J2" s="121" t="s">
        <v>95</v>
      </c>
      <c r="K2" s="121">
        <v>15479</v>
      </c>
      <c r="L2" s="122">
        <v>35</v>
      </c>
      <c r="M2" s="126">
        <v>0.30399999999999999</v>
      </c>
      <c r="N2" s="127">
        <f t="shared" ref="N2:N65" si="0">+M2*L2</f>
        <v>10.64</v>
      </c>
    </row>
    <row r="3" spans="1:18">
      <c r="A3" s="121" t="s">
        <v>1121</v>
      </c>
      <c r="B3" s="121" t="s">
        <v>1122</v>
      </c>
      <c r="C3" s="121">
        <v>1</v>
      </c>
      <c r="D3" s="121" t="s">
        <v>1123</v>
      </c>
      <c r="E3" s="125">
        <v>44847</v>
      </c>
      <c r="F3" s="121" t="s">
        <v>1118</v>
      </c>
      <c r="G3" s="121" t="s">
        <v>1124</v>
      </c>
      <c r="H3" s="121">
        <v>0.1328</v>
      </c>
      <c r="I3" s="121" t="s">
        <v>1120</v>
      </c>
      <c r="J3" s="121" t="s">
        <v>95</v>
      </c>
      <c r="K3" s="121">
        <v>15302</v>
      </c>
      <c r="L3" s="122">
        <v>39</v>
      </c>
      <c r="M3" s="126">
        <v>0.1328</v>
      </c>
      <c r="N3" s="127">
        <f t="shared" si="0"/>
        <v>5.1791999999999998</v>
      </c>
      <c r="P3" s="128" t="s">
        <v>1125</v>
      </c>
      <c r="Q3" s="128"/>
      <c r="R3" s="128"/>
    </row>
    <row r="4" spans="1:18">
      <c r="A4" s="121" t="s">
        <v>1126</v>
      </c>
      <c r="B4" s="121" t="s">
        <v>1127</v>
      </c>
      <c r="C4" s="121">
        <v>1</v>
      </c>
      <c r="D4" s="121" t="s">
        <v>1123</v>
      </c>
      <c r="E4" s="125">
        <v>44838</v>
      </c>
      <c r="F4" s="121" t="s">
        <v>1118</v>
      </c>
      <c r="G4" s="121" t="s">
        <v>1124</v>
      </c>
      <c r="H4" s="121">
        <v>6.8000000000000005E-2</v>
      </c>
      <c r="I4" s="121" t="s">
        <v>1120</v>
      </c>
      <c r="J4" s="121" t="s">
        <v>95</v>
      </c>
      <c r="K4" s="121">
        <v>15125</v>
      </c>
      <c r="L4" s="122">
        <v>40</v>
      </c>
      <c r="M4" s="126">
        <v>6.8000000000000005E-2</v>
      </c>
      <c r="N4" s="127">
        <f t="shared" si="0"/>
        <v>2.72</v>
      </c>
      <c r="P4" s="129"/>
      <c r="Q4" s="130" t="s">
        <v>95</v>
      </c>
      <c r="R4" s="130" t="s">
        <v>96</v>
      </c>
    </row>
    <row r="5" spans="1:18">
      <c r="A5" s="121" t="s">
        <v>1128</v>
      </c>
      <c r="B5" s="121" t="s">
        <v>1129</v>
      </c>
      <c r="C5" s="121">
        <v>1</v>
      </c>
      <c r="D5" s="121" t="s">
        <v>1130</v>
      </c>
      <c r="E5" s="125">
        <v>44789</v>
      </c>
      <c r="F5" s="121" t="s">
        <v>1118</v>
      </c>
      <c r="G5" s="121" t="s">
        <v>1131</v>
      </c>
      <c r="H5" s="121">
        <v>0.44750000000000001</v>
      </c>
      <c r="I5" s="121" t="s">
        <v>1120</v>
      </c>
      <c r="J5" s="121" t="s">
        <v>95</v>
      </c>
      <c r="K5" s="121">
        <v>15125</v>
      </c>
      <c r="L5" s="122">
        <v>40</v>
      </c>
      <c r="M5" s="126">
        <v>0.44750000000000001</v>
      </c>
      <c r="N5" s="127">
        <f t="shared" si="0"/>
        <v>17.899999999999999</v>
      </c>
      <c r="P5" s="129" t="s">
        <v>97</v>
      </c>
      <c r="Q5" s="131">
        <v>2.4874000000000001</v>
      </c>
      <c r="R5" s="131">
        <v>64.197500000000005</v>
      </c>
    </row>
    <row r="6" spans="1:18">
      <c r="A6" s="121" t="s">
        <v>1132</v>
      </c>
      <c r="B6" s="121" t="s">
        <v>1133</v>
      </c>
      <c r="C6" s="121">
        <v>1</v>
      </c>
      <c r="D6" s="121" t="s">
        <v>1123</v>
      </c>
      <c r="E6" s="125">
        <v>44845</v>
      </c>
      <c r="F6" s="121" t="s">
        <v>1118</v>
      </c>
      <c r="G6" s="121" t="s">
        <v>1124</v>
      </c>
      <c r="H6" s="121">
        <v>0.18229999999999999</v>
      </c>
      <c r="I6" s="121" t="s">
        <v>1120</v>
      </c>
      <c r="J6" s="121" t="s">
        <v>95</v>
      </c>
      <c r="K6" s="121">
        <v>15125</v>
      </c>
      <c r="L6" s="122">
        <v>40</v>
      </c>
      <c r="M6" s="126">
        <v>0.18240000000000001</v>
      </c>
      <c r="N6" s="127">
        <f t="shared" si="0"/>
        <v>7.2960000000000003</v>
      </c>
      <c r="P6" s="129" t="s">
        <v>98</v>
      </c>
      <c r="Q6" s="131"/>
      <c r="R6" s="131">
        <v>72.029700000000005</v>
      </c>
    </row>
    <row r="7" spans="1:18" ht="15.75" thickBot="1">
      <c r="A7" s="121" t="s">
        <v>1134</v>
      </c>
      <c r="B7" s="121" t="s">
        <v>1135</v>
      </c>
      <c r="C7" s="121">
        <v>1</v>
      </c>
      <c r="D7" s="121" t="s">
        <v>1123</v>
      </c>
      <c r="E7" s="125">
        <v>44838</v>
      </c>
      <c r="F7" s="121" t="s">
        <v>1118</v>
      </c>
      <c r="G7" s="121" t="s">
        <v>1124</v>
      </c>
      <c r="H7" s="121">
        <v>0.36259999999999998</v>
      </c>
      <c r="I7" s="121" t="s">
        <v>1120</v>
      </c>
      <c r="J7" s="121" t="s">
        <v>95</v>
      </c>
      <c r="K7" s="121">
        <v>15479</v>
      </c>
      <c r="L7" s="122">
        <v>35</v>
      </c>
      <c r="M7" s="126">
        <v>0.36259999999999998</v>
      </c>
      <c r="N7" s="127">
        <f t="shared" si="0"/>
        <v>12.690999999999999</v>
      </c>
      <c r="Q7" s="132"/>
      <c r="R7" s="132"/>
    </row>
    <row r="8" spans="1:18">
      <c r="A8" s="121" t="s">
        <v>1136</v>
      </c>
      <c r="B8" s="121" t="s">
        <v>1137</v>
      </c>
      <c r="C8" s="121">
        <v>1</v>
      </c>
      <c r="D8" s="121" t="s">
        <v>1123</v>
      </c>
      <c r="E8" s="125">
        <v>44847</v>
      </c>
      <c r="F8" s="121" t="s">
        <v>1118</v>
      </c>
      <c r="G8" s="121" t="s">
        <v>1124</v>
      </c>
      <c r="H8" s="121">
        <v>0.13719999999999999</v>
      </c>
      <c r="I8" s="121" t="s">
        <v>1120</v>
      </c>
      <c r="J8" s="121" t="s">
        <v>95</v>
      </c>
      <c r="K8" s="121">
        <v>15125</v>
      </c>
      <c r="L8" s="122">
        <v>40</v>
      </c>
      <c r="M8" s="126">
        <v>0.13719999999999999</v>
      </c>
      <c r="N8" s="127">
        <f t="shared" si="0"/>
        <v>5.4879999999999995</v>
      </c>
      <c r="P8" s="133" t="s">
        <v>1138</v>
      </c>
      <c r="Q8" s="134"/>
      <c r="R8" s="135"/>
    </row>
    <row r="9" spans="1:18">
      <c r="A9" s="121" t="s">
        <v>1139</v>
      </c>
      <c r="B9" s="121" t="s">
        <v>1140</v>
      </c>
      <c r="C9" s="121">
        <v>1</v>
      </c>
      <c r="D9" s="121" t="s">
        <v>1123</v>
      </c>
      <c r="E9" s="125">
        <v>44837</v>
      </c>
      <c r="F9" s="121" t="s">
        <v>1118</v>
      </c>
      <c r="G9" s="121" t="s">
        <v>1124</v>
      </c>
      <c r="H9" s="121">
        <v>0.74739999999999995</v>
      </c>
      <c r="I9" s="121" t="s">
        <v>1120</v>
      </c>
      <c r="J9" s="121" t="s">
        <v>95</v>
      </c>
      <c r="K9" s="121">
        <v>15481</v>
      </c>
      <c r="L9" s="122">
        <v>37</v>
      </c>
      <c r="M9" s="126">
        <v>0.74739999999999995</v>
      </c>
      <c r="N9" s="127">
        <f t="shared" si="0"/>
        <v>27.653799999999997</v>
      </c>
      <c r="P9" s="136"/>
      <c r="Q9" s="137" t="s">
        <v>95</v>
      </c>
      <c r="R9" s="138" t="s">
        <v>96</v>
      </c>
    </row>
    <row r="10" spans="1:18">
      <c r="A10" s="121" t="s">
        <v>1141</v>
      </c>
      <c r="B10" s="121" t="s">
        <v>1142</v>
      </c>
      <c r="C10" s="121">
        <v>1</v>
      </c>
      <c r="D10" s="121" t="s">
        <v>1123</v>
      </c>
      <c r="E10" s="125">
        <v>44784</v>
      </c>
      <c r="F10" s="121" t="s">
        <v>1118</v>
      </c>
      <c r="G10" s="121" t="s">
        <v>1143</v>
      </c>
      <c r="H10" s="121">
        <v>1.17E-2</v>
      </c>
      <c r="I10" s="121" t="s">
        <v>1120</v>
      </c>
      <c r="J10" s="121" t="s">
        <v>95</v>
      </c>
      <c r="K10" s="121">
        <v>14758</v>
      </c>
      <c r="L10" s="122">
        <v>41</v>
      </c>
      <c r="M10" s="126">
        <v>1.17E-2</v>
      </c>
      <c r="N10" s="127">
        <f t="shared" si="0"/>
        <v>0.47970000000000002</v>
      </c>
      <c r="P10" s="136" t="s">
        <v>97</v>
      </c>
      <c r="Q10" s="139">
        <f>GETPIVOTDATA("GSOC * area_FAOSOC (tC)",$P$14,"IPCC-Soils","HAC Soils","IPCC-Clima","Tropical moist")/Q5</f>
        <v>37.71154619281176</v>
      </c>
      <c r="R10" s="140">
        <f>GETPIVOTDATA("GSOC * area_FAOSOC (tC)",$P$14,"IPCC-Soils","HAC Soils","IPCC-Clima","Tropical montane")/R5</f>
        <v>42.781393356439139</v>
      </c>
    </row>
    <row r="11" spans="1:18" ht="15.75" thickBot="1">
      <c r="A11" s="121" t="s">
        <v>1144</v>
      </c>
      <c r="B11" s="121" t="s">
        <v>1145</v>
      </c>
      <c r="C11" s="121">
        <v>1</v>
      </c>
      <c r="D11" s="121" t="s">
        <v>1123</v>
      </c>
      <c r="E11" s="125">
        <v>44855</v>
      </c>
      <c r="F11" s="121" t="s">
        <v>1118</v>
      </c>
      <c r="G11" s="121" t="s">
        <v>1124</v>
      </c>
      <c r="H11" s="121">
        <v>9.3899999999999997E-2</v>
      </c>
      <c r="I11" s="121" t="s">
        <v>1120</v>
      </c>
      <c r="J11" s="121" t="s">
        <v>95</v>
      </c>
      <c r="K11" s="121">
        <v>15125</v>
      </c>
      <c r="L11" s="122">
        <v>40</v>
      </c>
      <c r="M11" s="126">
        <v>9.3899999999999997E-2</v>
      </c>
      <c r="N11" s="127">
        <f t="shared" si="0"/>
        <v>3.7559999999999998</v>
      </c>
      <c r="P11" s="141" t="s">
        <v>98</v>
      </c>
      <c r="Q11" s="142"/>
      <c r="R11" s="143">
        <f>GETPIVOTDATA("GSOC * area_FAOSOC (tC)",$P$14,"IPCC-Soils","LAC Soils","IPCC-Clima","Tropical montane")/R6</f>
        <v>40.732681102378578</v>
      </c>
    </row>
    <row r="12" spans="1:18">
      <c r="A12" s="121" t="s">
        <v>1146</v>
      </c>
      <c r="B12" s="121" t="s">
        <v>1147</v>
      </c>
      <c r="C12" s="121">
        <v>1</v>
      </c>
      <c r="D12" s="121" t="s">
        <v>1148</v>
      </c>
      <c r="E12" s="125">
        <v>44795</v>
      </c>
      <c r="F12" s="121" t="s">
        <v>1149</v>
      </c>
      <c r="G12" s="121" t="s">
        <v>1150</v>
      </c>
      <c r="H12" s="121">
        <v>1.1348</v>
      </c>
      <c r="I12" s="121" t="s">
        <v>1120</v>
      </c>
      <c r="J12" s="121" t="s">
        <v>96</v>
      </c>
      <c r="K12" s="121">
        <v>24256</v>
      </c>
      <c r="L12" s="122">
        <v>45</v>
      </c>
      <c r="M12" s="126">
        <v>0.81940000000000002</v>
      </c>
      <c r="N12" s="127">
        <f t="shared" si="0"/>
        <v>36.872999999999998</v>
      </c>
    </row>
    <row r="13" spans="1:18">
      <c r="A13" s="121" t="s">
        <v>1146</v>
      </c>
      <c r="B13" s="121" t="s">
        <v>1147</v>
      </c>
      <c r="C13" s="121">
        <v>1</v>
      </c>
      <c r="D13" s="121" t="s">
        <v>1148</v>
      </c>
      <c r="E13" s="125">
        <v>44795</v>
      </c>
      <c r="F13" s="121" t="s">
        <v>1149</v>
      </c>
      <c r="G13" s="121" t="s">
        <v>1150</v>
      </c>
      <c r="H13" s="121">
        <v>1.1348</v>
      </c>
      <c r="I13" s="121" t="s">
        <v>1120</v>
      </c>
      <c r="J13" s="121" t="s">
        <v>96</v>
      </c>
      <c r="K13" s="121">
        <v>24439</v>
      </c>
      <c r="L13" s="122">
        <v>42</v>
      </c>
      <c r="M13" s="126">
        <v>0.31530000000000002</v>
      </c>
      <c r="N13" s="127">
        <f t="shared" si="0"/>
        <v>13.242600000000001</v>
      </c>
    </row>
    <row r="14" spans="1:18">
      <c r="A14" s="121" t="s">
        <v>1151</v>
      </c>
      <c r="B14" s="121" t="s">
        <v>1152</v>
      </c>
      <c r="C14" s="121">
        <v>1</v>
      </c>
      <c r="D14" s="121" t="s">
        <v>1153</v>
      </c>
      <c r="E14" s="125">
        <v>44749</v>
      </c>
      <c r="F14" s="121" t="s">
        <v>1154</v>
      </c>
      <c r="G14" s="121" t="s">
        <v>1155</v>
      </c>
      <c r="H14" s="121">
        <v>0.40129999999999999</v>
      </c>
      <c r="I14" s="121" t="s">
        <v>1120</v>
      </c>
      <c r="J14" s="121" t="s">
        <v>96</v>
      </c>
      <c r="K14" s="121">
        <v>5652</v>
      </c>
      <c r="L14" s="122">
        <v>41</v>
      </c>
      <c r="M14" s="126">
        <v>0.40129999999999999</v>
      </c>
      <c r="N14" s="127">
        <f t="shared" si="0"/>
        <v>16.453299999999999</v>
      </c>
      <c r="P14" s="117" t="s">
        <v>1156</v>
      </c>
      <c r="Q14" s="117" t="s">
        <v>1157</v>
      </c>
    </row>
    <row r="15" spans="1:18">
      <c r="A15" s="121" t="s">
        <v>1158</v>
      </c>
      <c r="B15" s="121" t="s">
        <v>1159</v>
      </c>
      <c r="C15" s="121">
        <v>1</v>
      </c>
      <c r="D15" s="121" t="s">
        <v>1160</v>
      </c>
      <c r="E15" s="125">
        <v>44795</v>
      </c>
      <c r="F15" s="121" t="s">
        <v>1149</v>
      </c>
      <c r="G15" s="121" t="s">
        <v>1150</v>
      </c>
      <c r="H15" s="121">
        <v>8.7400000000000005E-2</v>
      </c>
      <c r="I15" s="121" t="s">
        <v>1120</v>
      </c>
      <c r="J15" s="121" t="s">
        <v>96</v>
      </c>
      <c r="K15" s="121">
        <v>24621</v>
      </c>
      <c r="L15" s="122">
        <v>43</v>
      </c>
      <c r="M15" s="126">
        <v>8.7400000000000005E-2</v>
      </c>
      <c r="N15" s="127">
        <f t="shared" si="0"/>
        <v>3.7582000000000004</v>
      </c>
      <c r="P15" s="144" t="s">
        <v>95</v>
      </c>
      <c r="Q15" s="117">
        <v>93.803699999999978</v>
      </c>
    </row>
    <row r="16" spans="1:18">
      <c r="A16" s="121" t="s">
        <v>1161</v>
      </c>
      <c r="B16" s="121" t="s">
        <v>1162</v>
      </c>
      <c r="C16" s="121">
        <v>1</v>
      </c>
      <c r="D16" s="121" t="s">
        <v>1163</v>
      </c>
      <c r="E16" s="125">
        <v>44795</v>
      </c>
      <c r="F16" s="121" t="s">
        <v>1149</v>
      </c>
      <c r="G16" s="121" t="s">
        <v>1150</v>
      </c>
      <c r="H16" s="121">
        <v>0.1633</v>
      </c>
      <c r="I16" s="121" t="s">
        <v>1120</v>
      </c>
      <c r="J16" s="121" t="s">
        <v>96</v>
      </c>
      <c r="K16" s="121">
        <v>21312</v>
      </c>
      <c r="L16" s="122">
        <v>44</v>
      </c>
      <c r="M16" s="126">
        <v>0.1633</v>
      </c>
      <c r="N16" s="127">
        <f t="shared" si="0"/>
        <v>7.1852</v>
      </c>
      <c r="P16" s="145" t="s">
        <v>1120</v>
      </c>
      <c r="Q16" s="117">
        <v>93.803699999999978</v>
      </c>
    </row>
    <row r="17" spans="1:17">
      <c r="A17" s="121" t="s">
        <v>1164</v>
      </c>
      <c r="B17" s="121" t="s">
        <v>1165</v>
      </c>
      <c r="C17" s="121">
        <v>1</v>
      </c>
      <c r="D17" s="121" t="s">
        <v>1166</v>
      </c>
      <c r="E17" s="125">
        <v>44810</v>
      </c>
      <c r="F17" s="121" t="s">
        <v>1167</v>
      </c>
      <c r="G17" s="121" t="s">
        <v>1168</v>
      </c>
      <c r="H17" s="121">
        <v>0.34860000000000002</v>
      </c>
      <c r="I17" s="121" t="s">
        <v>1120</v>
      </c>
      <c r="J17" s="121" t="s">
        <v>96</v>
      </c>
      <c r="K17" s="121">
        <v>15764</v>
      </c>
      <c r="L17" s="122">
        <v>34</v>
      </c>
      <c r="M17" s="126">
        <v>0.34860000000000002</v>
      </c>
      <c r="N17" s="127">
        <f t="shared" si="0"/>
        <v>11.852400000000001</v>
      </c>
      <c r="P17" s="144" t="s">
        <v>96</v>
      </c>
      <c r="Q17" s="117">
        <v>5680.4213</v>
      </c>
    </row>
    <row r="18" spans="1:17">
      <c r="A18" s="121" t="s">
        <v>1169</v>
      </c>
      <c r="B18" s="121" t="s">
        <v>1170</v>
      </c>
      <c r="C18" s="121">
        <v>1</v>
      </c>
      <c r="D18" s="121" t="s">
        <v>1166</v>
      </c>
      <c r="E18" s="125">
        <v>44762</v>
      </c>
      <c r="F18" s="121" t="s">
        <v>1118</v>
      </c>
      <c r="G18" s="121" t="s">
        <v>1131</v>
      </c>
      <c r="H18" s="121">
        <v>3.32E-2</v>
      </c>
      <c r="I18" s="121" t="s">
        <v>1120</v>
      </c>
      <c r="J18" s="121" t="s">
        <v>96</v>
      </c>
      <c r="K18" s="121">
        <v>26238</v>
      </c>
      <c r="L18" s="122">
        <v>32</v>
      </c>
      <c r="M18" s="126">
        <v>3.32E-2</v>
      </c>
      <c r="N18" s="127">
        <f t="shared" si="0"/>
        <v>1.0624</v>
      </c>
      <c r="P18" s="145" t="s">
        <v>1120</v>
      </c>
      <c r="Q18" s="117">
        <v>2746.458500000002</v>
      </c>
    </row>
    <row r="19" spans="1:17">
      <c r="A19" s="121" t="s">
        <v>1171</v>
      </c>
      <c r="B19" s="121" t="s">
        <v>1172</v>
      </c>
      <c r="C19" s="121">
        <v>1</v>
      </c>
      <c r="D19" s="121" t="s">
        <v>1173</v>
      </c>
      <c r="E19" s="125">
        <v>44795</v>
      </c>
      <c r="F19" s="121" t="s">
        <v>1118</v>
      </c>
      <c r="G19" s="121" t="s">
        <v>1119</v>
      </c>
      <c r="H19" s="121">
        <v>9.5899999999999999E-2</v>
      </c>
      <c r="I19" s="121" t="s">
        <v>1120</v>
      </c>
      <c r="J19" s="121" t="s">
        <v>96</v>
      </c>
      <c r="K19" s="121">
        <v>17308</v>
      </c>
      <c r="L19" s="122">
        <v>43</v>
      </c>
      <c r="M19" s="126">
        <v>9.5899999999999999E-2</v>
      </c>
      <c r="N19" s="127">
        <f t="shared" si="0"/>
        <v>4.1237000000000004</v>
      </c>
      <c r="P19" s="145" t="s">
        <v>1174</v>
      </c>
      <c r="Q19" s="117">
        <v>2933.9627999999984</v>
      </c>
    </row>
    <row r="20" spans="1:17">
      <c r="A20" s="121" t="s">
        <v>1175</v>
      </c>
      <c r="B20" s="121" t="s">
        <v>1176</v>
      </c>
      <c r="C20" s="121">
        <v>1</v>
      </c>
      <c r="D20" s="121" t="s">
        <v>1117</v>
      </c>
      <c r="E20" s="125">
        <v>44795</v>
      </c>
      <c r="F20" s="121" t="s">
        <v>1118</v>
      </c>
      <c r="G20" s="121" t="s">
        <v>1177</v>
      </c>
      <c r="H20" s="121">
        <v>0.34429999999999999</v>
      </c>
      <c r="I20" s="121" t="s">
        <v>1120</v>
      </c>
      <c r="J20" s="121" t="s">
        <v>96</v>
      </c>
      <c r="K20" s="121">
        <v>21547</v>
      </c>
      <c r="L20" s="122">
        <v>40</v>
      </c>
      <c r="M20" s="126">
        <v>0.34429999999999999</v>
      </c>
      <c r="N20" s="127">
        <f t="shared" si="0"/>
        <v>13.772</v>
      </c>
      <c r="P20" s="144" t="s">
        <v>1178</v>
      </c>
      <c r="Q20" s="117">
        <v>5774.2250000000004</v>
      </c>
    </row>
    <row r="21" spans="1:17">
      <c r="A21" s="121" t="s">
        <v>1179</v>
      </c>
      <c r="B21" s="121" t="s">
        <v>1180</v>
      </c>
      <c r="C21" s="121">
        <v>1</v>
      </c>
      <c r="D21" s="121" t="s">
        <v>1181</v>
      </c>
      <c r="E21" s="125">
        <v>44776</v>
      </c>
      <c r="F21" s="121" t="s">
        <v>1118</v>
      </c>
      <c r="G21" s="121" t="s">
        <v>1177</v>
      </c>
      <c r="H21" s="121">
        <v>0.45419999999999999</v>
      </c>
      <c r="I21" s="121" t="s">
        <v>1120</v>
      </c>
      <c r="J21" s="121" t="s">
        <v>96</v>
      </c>
      <c r="K21" s="121">
        <v>20392</v>
      </c>
      <c r="L21" s="122">
        <v>40</v>
      </c>
      <c r="M21" s="126">
        <v>0.45419999999999999</v>
      </c>
      <c r="N21" s="127">
        <f t="shared" si="0"/>
        <v>18.167999999999999</v>
      </c>
    </row>
    <row r="22" spans="1:17">
      <c r="A22" s="121" t="s">
        <v>1182</v>
      </c>
      <c r="B22" s="121" t="s">
        <v>1183</v>
      </c>
      <c r="C22" s="121">
        <v>1</v>
      </c>
      <c r="D22" s="121" t="s">
        <v>1184</v>
      </c>
      <c r="E22" s="125">
        <v>44795</v>
      </c>
      <c r="F22" s="121" t="s">
        <v>1124</v>
      </c>
      <c r="G22" s="121" t="s">
        <v>1124</v>
      </c>
      <c r="H22" s="121">
        <v>4.87E-2</v>
      </c>
      <c r="I22" s="121" t="s">
        <v>1120</v>
      </c>
      <c r="J22" s="121" t="s">
        <v>96</v>
      </c>
      <c r="K22" s="121">
        <v>24254</v>
      </c>
      <c r="L22" s="122">
        <v>50</v>
      </c>
      <c r="M22" s="126">
        <v>4.87E-2</v>
      </c>
      <c r="N22" s="127">
        <f t="shared" si="0"/>
        <v>2.4350000000000001</v>
      </c>
    </row>
    <row r="23" spans="1:17">
      <c r="A23" s="121" t="s">
        <v>1185</v>
      </c>
      <c r="B23" s="121" t="s">
        <v>1186</v>
      </c>
      <c r="C23" s="121">
        <v>1</v>
      </c>
      <c r="D23" s="121" t="s">
        <v>1187</v>
      </c>
      <c r="E23" s="125">
        <v>44733</v>
      </c>
      <c r="F23" s="121" t="s">
        <v>1149</v>
      </c>
      <c r="G23" s="121" t="s">
        <v>1150</v>
      </c>
      <c r="H23" s="121">
        <v>0.60409999999999997</v>
      </c>
      <c r="I23" s="121" t="s">
        <v>1120</v>
      </c>
      <c r="J23" s="121" t="s">
        <v>96</v>
      </c>
      <c r="K23" s="121">
        <v>24254</v>
      </c>
      <c r="L23" s="122">
        <v>50</v>
      </c>
      <c r="M23" s="126">
        <v>0.60409999999999997</v>
      </c>
      <c r="N23" s="127">
        <f t="shared" si="0"/>
        <v>30.204999999999998</v>
      </c>
    </row>
    <row r="24" spans="1:17">
      <c r="A24" s="121" t="s">
        <v>1188</v>
      </c>
      <c r="B24" s="121" t="s">
        <v>1189</v>
      </c>
      <c r="C24" s="121">
        <v>1</v>
      </c>
      <c r="D24" s="121" t="s">
        <v>1117</v>
      </c>
      <c r="E24" s="125">
        <v>44695</v>
      </c>
      <c r="F24" s="121" t="s">
        <v>1118</v>
      </c>
      <c r="G24" s="121" t="s">
        <v>1131</v>
      </c>
      <c r="H24" s="121">
        <v>4.0000000000000002E-4</v>
      </c>
      <c r="I24" s="121" t="s">
        <v>1120</v>
      </c>
      <c r="J24" s="121" t="s">
        <v>96</v>
      </c>
      <c r="K24" s="121">
        <v>14826</v>
      </c>
      <c r="L24" s="122">
        <v>39</v>
      </c>
      <c r="M24" s="126">
        <v>8.0000000000000004E-4</v>
      </c>
      <c r="N24" s="127">
        <f t="shared" si="0"/>
        <v>3.1200000000000002E-2</v>
      </c>
    </row>
    <row r="25" spans="1:17">
      <c r="A25" s="121" t="s">
        <v>1190</v>
      </c>
      <c r="B25" s="121" t="s">
        <v>1191</v>
      </c>
      <c r="C25" s="121">
        <v>1</v>
      </c>
      <c r="D25" s="121" t="s">
        <v>1117</v>
      </c>
      <c r="E25" s="125">
        <v>44795</v>
      </c>
      <c r="F25" s="121" t="s">
        <v>1118</v>
      </c>
      <c r="G25" s="121" t="s">
        <v>1119</v>
      </c>
      <c r="H25" s="121">
        <v>0.1105</v>
      </c>
      <c r="I25" s="121" t="s">
        <v>1120</v>
      </c>
      <c r="J25" s="121" t="s">
        <v>96</v>
      </c>
      <c r="K25" s="121">
        <v>17308</v>
      </c>
      <c r="L25" s="122">
        <v>43</v>
      </c>
      <c r="M25" s="126">
        <v>0.1105</v>
      </c>
      <c r="N25" s="127">
        <f t="shared" si="0"/>
        <v>4.7515000000000001</v>
      </c>
    </row>
    <row r="26" spans="1:17">
      <c r="A26" s="121" t="s">
        <v>1192</v>
      </c>
      <c r="B26" s="121" t="s">
        <v>1193</v>
      </c>
      <c r="C26" s="121">
        <v>1</v>
      </c>
      <c r="D26" s="121" t="s">
        <v>1194</v>
      </c>
      <c r="E26" s="125">
        <v>44834</v>
      </c>
      <c r="F26" s="121" t="s">
        <v>1118</v>
      </c>
      <c r="G26" s="121" t="s">
        <v>1119</v>
      </c>
      <c r="H26" s="121">
        <v>1.6299999999999999E-2</v>
      </c>
      <c r="I26" s="121" t="s">
        <v>1120</v>
      </c>
      <c r="J26" s="121" t="s">
        <v>96</v>
      </c>
      <c r="K26" s="121">
        <v>16519</v>
      </c>
      <c r="L26" s="122">
        <v>49</v>
      </c>
      <c r="M26" s="126">
        <v>1.6299999999999999E-2</v>
      </c>
      <c r="N26" s="127">
        <f t="shared" si="0"/>
        <v>0.79869999999999997</v>
      </c>
    </row>
    <row r="27" spans="1:17">
      <c r="A27" s="121" t="s">
        <v>1195</v>
      </c>
      <c r="B27" s="121" t="s">
        <v>1196</v>
      </c>
      <c r="C27" s="121">
        <v>1</v>
      </c>
      <c r="D27" s="121" t="s">
        <v>1123</v>
      </c>
      <c r="E27" s="125">
        <v>44795</v>
      </c>
      <c r="F27" s="121" t="s">
        <v>1118</v>
      </c>
      <c r="G27" s="121" t="s">
        <v>1177</v>
      </c>
      <c r="H27" s="121">
        <v>2.6100000000000002E-2</v>
      </c>
      <c r="I27" s="121" t="s">
        <v>1120</v>
      </c>
      <c r="J27" s="121" t="s">
        <v>96</v>
      </c>
      <c r="K27" s="121">
        <v>21547</v>
      </c>
      <c r="L27" s="122">
        <v>40</v>
      </c>
      <c r="M27" s="126">
        <v>2.6100000000000002E-2</v>
      </c>
      <c r="N27" s="127">
        <f t="shared" si="0"/>
        <v>1.044</v>
      </c>
    </row>
    <row r="28" spans="1:17">
      <c r="A28" s="121" t="s">
        <v>1197</v>
      </c>
      <c r="B28" s="121" t="s">
        <v>1198</v>
      </c>
      <c r="C28" s="121">
        <v>1</v>
      </c>
      <c r="D28" s="121" t="s">
        <v>1117</v>
      </c>
      <c r="E28" s="125">
        <v>44785</v>
      </c>
      <c r="F28" s="121" t="s">
        <v>1118</v>
      </c>
      <c r="G28" s="121" t="s">
        <v>1119</v>
      </c>
      <c r="H28" s="121">
        <v>2.6700000000000002E-2</v>
      </c>
      <c r="I28" s="121" t="s">
        <v>1120</v>
      </c>
      <c r="J28" s="121" t="s">
        <v>96</v>
      </c>
      <c r="K28" s="121">
        <v>17308</v>
      </c>
      <c r="L28" s="122">
        <v>43</v>
      </c>
      <c r="M28" s="126">
        <v>2.6700000000000002E-2</v>
      </c>
      <c r="N28" s="127">
        <f t="shared" si="0"/>
        <v>1.1481000000000001</v>
      </c>
    </row>
    <row r="29" spans="1:17">
      <c r="A29" s="121" t="s">
        <v>1199</v>
      </c>
      <c r="B29" s="121" t="s">
        <v>1200</v>
      </c>
      <c r="C29" s="121">
        <v>1</v>
      </c>
      <c r="D29" s="121" t="s">
        <v>1123</v>
      </c>
      <c r="E29" s="125">
        <v>44795</v>
      </c>
      <c r="F29" s="121" t="s">
        <v>1124</v>
      </c>
      <c r="G29" s="121" t="s">
        <v>1124</v>
      </c>
      <c r="H29" s="121">
        <v>3.5200000000000002E-2</v>
      </c>
      <c r="I29" s="121" t="s">
        <v>1120</v>
      </c>
      <c r="J29" s="121" t="s">
        <v>96</v>
      </c>
      <c r="K29" s="121">
        <v>24254</v>
      </c>
      <c r="L29" s="122">
        <v>50</v>
      </c>
      <c r="M29" s="126">
        <v>3.5200000000000002E-2</v>
      </c>
      <c r="N29" s="127">
        <f t="shared" si="0"/>
        <v>1.76</v>
      </c>
    </row>
    <row r="30" spans="1:17">
      <c r="A30" s="121" t="s">
        <v>1201</v>
      </c>
      <c r="B30" s="121" t="s">
        <v>1202</v>
      </c>
      <c r="C30" s="121">
        <v>1</v>
      </c>
      <c r="D30" s="121" t="s">
        <v>1203</v>
      </c>
      <c r="E30" s="125">
        <v>16489</v>
      </c>
      <c r="F30" s="121" t="s">
        <v>1118</v>
      </c>
      <c r="G30" s="121" t="s">
        <v>1131</v>
      </c>
      <c r="H30" s="121">
        <v>5.2400000000000002E-2</v>
      </c>
      <c r="I30" s="121" t="s">
        <v>1120</v>
      </c>
      <c r="J30" s="121" t="s">
        <v>96</v>
      </c>
      <c r="K30" s="121">
        <v>26623</v>
      </c>
      <c r="L30" s="122">
        <v>40</v>
      </c>
      <c r="M30" s="126">
        <v>5.2400000000000002E-2</v>
      </c>
      <c r="N30" s="127">
        <f t="shared" si="0"/>
        <v>2.0960000000000001</v>
      </c>
    </row>
    <row r="31" spans="1:17">
      <c r="A31" s="121" t="s">
        <v>1204</v>
      </c>
      <c r="B31" s="121" t="s">
        <v>1205</v>
      </c>
      <c r="C31" s="121">
        <v>1</v>
      </c>
      <c r="D31" s="121" t="s">
        <v>1117</v>
      </c>
      <c r="E31" s="125">
        <v>44795</v>
      </c>
      <c r="F31" s="121" t="s">
        <v>1124</v>
      </c>
      <c r="G31" s="121" t="s">
        <v>1124</v>
      </c>
      <c r="H31" s="121">
        <v>2.76E-2</v>
      </c>
      <c r="I31" s="121" t="s">
        <v>1120</v>
      </c>
      <c r="J31" s="121" t="s">
        <v>96</v>
      </c>
      <c r="K31" s="121">
        <v>17308</v>
      </c>
      <c r="L31" s="122">
        <v>43</v>
      </c>
      <c r="M31" s="126">
        <v>2.76E-2</v>
      </c>
      <c r="N31" s="127">
        <f t="shared" si="0"/>
        <v>1.1868000000000001</v>
      </c>
    </row>
    <row r="32" spans="1:17">
      <c r="A32" s="121" t="s">
        <v>1206</v>
      </c>
      <c r="B32" s="121" t="s">
        <v>1207</v>
      </c>
      <c r="C32" s="121">
        <v>1</v>
      </c>
      <c r="D32" s="121" t="s">
        <v>1163</v>
      </c>
      <c r="E32" s="125">
        <v>44795</v>
      </c>
      <c r="F32" s="121" t="s">
        <v>1149</v>
      </c>
      <c r="G32" s="121" t="s">
        <v>1150</v>
      </c>
      <c r="H32" s="121">
        <v>9.8900000000000002E-2</v>
      </c>
      <c r="I32" s="121" t="s">
        <v>1120</v>
      </c>
      <c r="J32" s="121" t="s">
        <v>96</v>
      </c>
      <c r="K32" s="121">
        <v>24254</v>
      </c>
      <c r="L32" s="122">
        <v>50</v>
      </c>
      <c r="M32" s="126">
        <v>9.8900000000000002E-2</v>
      </c>
      <c r="N32" s="127">
        <f t="shared" si="0"/>
        <v>4.9450000000000003</v>
      </c>
    </row>
    <row r="33" spans="1:14">
      <c r="A33" s="121" t="s">
        <v>1208</v>
      </c>
      <c r="B33" s="121" t="s">
        <v>1209</v>
      </c>
      <c r="C33" s="121">
        <v>1</v>
      </c>
      <c r="D33" s="121" t="s">
        <v>1210</v>
      </c>
      <c r="E33" s="125">
        <v>44795</v>
      </c>
      <c r="F33" s="121" t="s">
        <v>1118</v>
      </c>
      <c r="G33" s="121" t="s">
        <v>1177</v>
      </c>
      <c r="H33" s="121">
        <v>0.3503</v>
      </c>
      <c r="I33" s="121" t="s">
        <v>1120</v>
      </c>
      <c r="J33" s="121" t="s">
        <v>96</v>
      </c>
      <c r="K33" s="121">
        <v>21547</v>
      </c>
      <c r="L33" s="122">
        <v>40</v>
      </c>
      <c r="M33" s="126">
        <v>0.3503</v>
      </c>
      <c r="N33" s="127">
        <f t="shared" si="0"/>
        <v>14.012</v>
      </c>
    </row>
    <row r="34" spans="1:14">
      <c r="A34" s="121" t="s">
        <v>1211</v>
      </c>
      <c r="B34" s="121" t="s">
        <v>1212</v>
      </c>
      <c r="C34" s="121">
        <v>1</v>
      </c>
      <c r="D34" s="121" t="s">
        <v>1123</v>
      </c>
      <c r="E34" s="125">
        <v>44795</v>
      </c>
      <c r="F34" s="121" t="s">
        <v>1118</v>
      </c>
      <c r="G34" s="121" t="s">
        <v>1143</v>
      </c>
      <c r="H34" s="121">
        <v>3.09E-2</v>
      </c>
      <c r="I34" s="121" t="s">
        <v>1120</v>
      </c>
      <c r="J34" s="121" t="s">
        <v>96</v>
      </c>
      <c r="K34" s="121">
        <v>14491</v>
      </c>
      <c r="L34" s="122">
        <v>41</v>
      </c>
      <c r="M34" s="126">
        <v>3.09E-2</v>
      </c>
      <c r="N34" s="127">
        <f t="shared" si="0"/>
        <v>1.2668999999999999</v>
      </c>
    </row>
    <row r="35" spans="1:14">
      <c r="A35" s="121" t="s">
        <v>1213</v>
      </c>
      <c r="B35" s="121" t="s">
        <v>1214</v>
      </c>
      <c r="C35" s="121">
        <v>1</v>
      </c>
      <c r="D35" s="121" t="s">
        <v>1166</v>
      </c>
      <c r="E35" s="125">
        <v>44694</v>
      </c>
      <c r="F35" s="121" t="s">
        <v>1118</v>
      </c>
      <c r="G35" s="121" t="s">
        <v>1143</v>
      </c>
      <c r="H35" s="121">
        <v>3.2500000000000001E-2</v>
      </c>
      <c r="I35" s="121" t="s">
        <v>1120</v>
      </c>
      <c r="J35" s="121" t="s">
        <v>96</v>
      </c>
      <c r="K35" s="121">
        <v>26635</v>
      </c>
      <c r="L35" s="122">
        <v>23</v>
      </c>
      <c r="M35" s="126">
        <v>3.2500000000000001E-2</v>
      </c>
      <c r="N35" s="127">
        <f t="shared" si="0"/>
        <v>0.74750000000000005</v>
      </c>
    </row>
    <row r="36" spans="1:14">
      <c r="A36" s="121" t="s">
        <v>1215</v>
      </c>
      <c r="B36" s="121" t="s">
        <v>1216</v>
      </c>
      <c r="C36" s="121">
        <v>1</v>
      </c>
      <c r="D36" s="121" t="s">
        <v>1217</v>
      </c>
      <c r="E36" s="125">
        <v>44749</v>
      </c>
      <c r="F36" s="121" t="s">
        <v>1154</v>
      </c>
      <c r="G36" s="121" t="s">
        <v>1155</v>
      </c>
      <c r="H36" s="121">
        <v>0.1709</v>
      </c>
      <c r="I36" s="121" t="s">
        <v>1120</v>
      </c>
      <c r="J36" s="121" t="s">
        <v>96</v>
      </c>
      <c r="K36" s="121">
        <v>5652</v>
      </c>
      <c r="L36" s="122">
        <v>41</v>
      </c>
      <c r="M36" s="126">
        <v>0.1709</v>
      </c>
      <c r="N36" s="127">
        <f t="shared" si="0"/>
        <v>7.0068999999999999</v>
      </c>
    </row>
    <row r="37" spans="1:14">
      <c r="A37" s="121" t="s">
        <v>1218</v>
      </c>
      <c r="B37" s="121" t="s">
        <v>1219</v>
      </c>
      <c r="C37" s="121">
        <v>1</v>
      </c>
      <c r="D37" s="121" t="s">
        <v>1220</v>
      </c>
      <c r="E37" s="125">
        <v>44766</v>
      </c>
      <c r="F37" s="121" t="s">
        <v>1118</v>
      </c>
      <c r="G37" s="121" t="s">
        <v>1131</v>
      </c>
      <c r="H37" s="121">
        <v>1.0699999999999999E-2</v>
      </c>
      <c r="I37" s="121" t="s">
        <v>1120</v>
      </c>
      <c r="J37" s="121" t="s">
        <v>96</v>
      </c>
      <c r="K37" s="121">
        <v>18953</v>
      </c>
      <c r="L37" s="122">
        <v>40</v>
      </c>
      <c r="M37" s="126">
        <v>1.0699999999999999E-2</v>
      </c>
      <c r="N37" s="127">
        <f t="shared" si="0"/>
        <v>0.42799999999999999</v>
      </c>
    </row>
    <row r="38" spans="1:14">
      <c r="A38" s="121" t="s">
        <v>1221</v>
      </c>
      <c r="B38" s="121" t="s">
        <v>1222</v>
      </c>
      <c r="C38" s="121">
        <v>1</v>
      </c>
      <c r="D38" s="121" t="s">
        <v>1203</v>
      </c>
      <c r="E38" s="125">
        <v>16775</v>
      </c>
      <c r="F38" s="121" t="s">
        <v>1118</v>
      </c>
      <c r="G38" s="121" t="s">
        <v>1143</v>
      </c>
      <c r="H38" s="121">
        <v>1.3299999999999999E-2</v>
      </c>
      <c r="I38" s="121" t="s">
        <v>1120</v>
      </c>
      <c r="J38" s="121" t="s">
        <v>96</v>
      </c>
      <c r="K38" s="121">
        <v>17308</v>
      </c>
      <c r="L38" s="122">
        <v>43</v>
      </c>
      <c r="M38" s="126">
        <v>1.3299999999999999E-2</v>
      </c>
      <c r="N38" s="127">
        <f t="shared" si="0"/>
        <v>0.57189999999999996</v>
      </c>
    </row>
    <row r="39" spans="1:14">
      <c r="A39" s="121" t="s">
        <v>1223</v>
      </c>
      <c r="B39" s="121" t="s">
        <v>1224</v>
      </c>
      <c r="C39" s="121">
        <v>1</v>
      </c>
      <c r="D39" s="121" t="s">
        <v>1225</v>
      </c>
      <c r="E39" s="125">
        <v>44795</v>
      </c>
      <c r="F39" s="121" t="s">
        <v>1118</v>
      </c>
      <c r="G39" s="121" t="s">
        <v>1177</v>
      </c>
      <c r="H39" s="121">
        <v>0.19220000000000001</v>
      </c>
      <c r="I39" s="121" t="s">
        <v>1120</v>
      </c>
      <c r="J39" s="121" t="s">
        <v>96</v>
      </c>
      <c r="K39" s="121">
        <v>21546</v>
      </c>
      <c r="L39" s="122">
        <v>37</v>
      </c>
      <c r="M39" s="126">
        <v>0.19220000000000001</v>
      </c>
      <c r="N39" s="127">
        <f t="shared" si="0"/>
        <v>7.1114000000000006</v>
      </c>
    </row>
    <row r="40" spans="1:14">
      <c r="A40" s="121" t="s">
        <v>1226</v>
      </c>
      <c r="B40" s="121" t="s">
        <v>1227</v>
      </c>
      <c r="C40" s="121">
        <v>1</v>
      </c>
      <c r="D40" s="121" t="s">
        <v>1228</v>
      </c>
      <c r="E40" s="125">
        <v>44810</v>
      </c>
      <c r="F40" s="121" t="s">
        <v>1149</v>
      </c>
      <c r="G40" s="121" t="s">
        <v>1150</v>
      </c>
      <c r="H40" s="121">
        <v>0.36780000000000002</v>
      </c>
      <c r="I40" s="121" t="s">
        <v>1120</v>
      </c>
      <c r="J40" s="121" t="s">
        <v>96</v>
      </c>
      <c r="K40" s="121">
        <v>24254</v>
      </c>
      <c r="L40" s="122">
        <v>50</v>
      </c>
      <c r="M40" s="126">
        <v>0.36780000000000002</v>
      </c>
      <c r="N40" s="127">
        <f t="shared" si="0"/>
        <v>18.39</v>
      </c>
    </row>
    <row r="41" spans="1:14">
      <c r="A41" s="121" t="s">
        <v>1229</v>
      </c>
      <c r="B41" s="121" t="s">
        <v>1230</v>
      </c>
      <c r="C41" s="121">
        <v>1</v>
      </c>
      <c r="D41" s="121" t="s">
        <v>1117</v>
      </c>
      <c r="E41" s="125">
        <v>44795</v>
      </c>
      <c r="F41" s="121" t="s">
        <v>1124</v>
      </c>
      <c r="G41" s="121" t="s">
        <v>1124</v>
      </c>
      <c r="H41" s="121">
        <v>2.7300000000000001E-2</v>
      </c>
      <c r="I41" s="121" t="s">
        <v>1120</v>
      </c>
      <c r="J41" s="121" t="s">
        <v>96</v>
      </c>
      <c r="K41" s="121">
        <v>17308</v>
      </c>
      <c r="L41" s="122">
        <v>43</v>
      </c>
      <c r="M41" s="126">
        <v>2.7300000000000001E-2</v>
      </c>
      <c r="N41" s="127">
        <f t="shared" si="0"/>
        <v>1.1739000000000002</v>
      </c>
    </row>
    <row r="42" spans="1:14">
      <c r="A42" s="121" t="s">
        <v>1231</v>
      </c>
      <c r="B42" s="121" t="s">
        <v>1232</v>
      </c>
      <c r="C42" s="121">
        <v>1</v>
      </c>
      <c r="D42" s="121" t="s">
        <v>1166</v>
      </c>
      <c r="E42" s="125">
        <v>44795</v>
      </c>
      <c r="F42" s="121" t="s">
        <v>1118</v>
      </c>
      <c r="G42" s="121" t="s">
        <v>1143</v>
      </c>
      <c r="H42" s="121">
        <v>8.5000000000000006E-3</v>
      </c>
      <c r="I42" s="121" t="s">
        <v>1120</v>
      </c>
      <c r="J42" s="121" t="s">
        <v>96</v>
      </c>
      <c r="K42" s="121">
        <v>14487</v>
      </c>
      <c r="L42" s="122">
        <v>36</v>
      </c>
      <c r="M42" s="126">
        <v>8.5000000000000006E-3</v>
      </c>
      <c r="N42" s="127">
        <f t="shared" si="0"/>
        <v>0.30600000000000005</v>
      </c>
    </row>
    <row r="43" spans="1:14">
      <c r="A43" s="121" t="s">
        <v>1233</v>
      </c>
      <c r="B43" s="121" t="s">
        <v>1234</v>
      </c>
      <c r="C43" s="121">
        <v>1</v>
      </c>
      <c r="D43" s="121" t="s">
        <v>1235</v>
      </c>
      <c r="E43" s="125">
        <v>44772</v>
      </c>
      <c r="F43" s="121" t="s">
        <v>1118</v>
      </c>
      <c r="G43" s="121" t="s">
        <v>1119</v>
      </c>
      <c r="H43" s="121">
        <v>1.78E-2</v>
      </c>
      <c r="I43" s="121" t="s">
        <v>1120</v>
      </c>
      <c r="J43" s="121" t="s">
        <v>96</v>
      </c>
      <c r="K43" s="121">
        <v>17308</v>
      </c>
      <c r="L43" s="122">
        <v>43</v>
      </c>
      <c r="M43" s="126">
        <v>1.78E-2</v>
      </c>
      <c r="N43" s="127">
        <f t="shared" si="0"/>
        <v>0.76539999999999997</v>
      </c>
    </row>
    <row r="44" spans="1:14">
      <c r="A44" s="121" t="s">
        <v>1236</v>
      </c>
      <c r="B44" s="121" t="s">
        <v>1237</v>
      </c>
      <c r="C44" s="121">
        <v>1</v>
      </c>
      <c r="D44" s="121" t="s">
        <v>1123</v>
      </c>
      <c r="E44" s="125">
        <v>44795</v>
      </c>
      <c r="F44" s="121" t="s">
        <v>1124</v>
      </c>
      <c r="G44" s="121" t="s">
        <v>1124</v>
      </c>
      <c r="H44" s="121">
        <v>9.1000000000000004E-3</v>
      </c>
      <c r="I44" s="121" t="s">
        <v>1120</v>
      </c>
      <c r="J44" s="121" t="s">
        <v>96</v>
      </c>
      <c r="K44" s="121">
        <v>24252</v>
      </c>
      <c r="L44" s="122">
        <v>45</v>
      </c>
      <c r="M44" s="126">
        <v>9.1000000000000004E-3</v>
      </c>
      <c r="N44" s="127">
        <f t="shared" si="0"/>
        <v>0.40950000000000003</v>
      </c>
    </row>
    <row r="45" spans="1:14">
      <c r="A45" s="121" t="s">
        <v>1238</v>
      </c>
      <c r="B45" s="121" t="s">
        <v>1239</v>
      </c>
      <c r="C45" s="121">
        <v>1</v>
      </c>
      <c r="D45" s="121" t="s">
        <v>1117</v>
      </c>
      <c r="E45" s="125">
        <v>44737</v>
      </c>
      <c r="F45" s="121" t="s">
        <v>1118</v>
      </c>
      <c r="G45" s="121" t="s">
        <v>1143</v>
      </c>
      <c r="H45" s="121">
        <v>5.6099999999999997E-2</v>
      </c>
      <c r="I45" s="121" t="s">
        <v>1120</v>
      </c>
      <c r="J45" s="121" t="s">
        <v>96</v>
      </c>
      <c r="K45" s="121">
        <v>14491</v>
      </c>
      <c r="L45" s="122">
        <v>41</v>
      </c>
      <c r="M45" s="126">
        <v>5.6099999999999997E-2</v>
      </c>
      <c r="N45" s="127">
        <f t="shared" si="0"/>
        <v>2.3001</v>
      </c>
    </row>
    <row r="46" spans="1:14">
      <c r="A46" s="121" t="s">
        <v>1240</v>
      </c>
      <c r="B46" s="121" t="s">
        <v>1241</v>
      </c>
      <c r="C46" s="121">
        <v>1</v>
      </c>
      <c r="D46" s="121" t="s">
        <v>1117</v>
      </c>
      <c r="E46" s="125">
        <v>44795</v>
      </c>
      <c r="F46" s="121" t="s">
        <v>1118</v>
      </c>
      <c r="G46" s="121" t="s">
        <v>1177</v>
      </c>
      <c r="H46" s="121">
        <v>0.22289999999999999</v>
      </c>
      <c r="I46" s="121" t="s">
        <v>1120</v>
      </c>
      <c r="J46" s="121" t="s">
        <v>96</v>
      </c>
      <c r="K46" s="121">
        <v>21546</v>
      </c>
      <c r="L46" s="122">
        <v>37</v>
      </c>
      <c r="M46" s="126">
        <v>0.22289999999999999</v>
      </c>
      <c r="N46" s="127">
        <f t="shared" si="0"/>
        <v>8.2472999999999992</v>
      </c>
    </row>
    <row r="47" spans="1:14">
      <c r="A47" s="121" t="s">
        <v>1242</v>
      </c>
      <c r="B47" s="121" t="s">
        <v>1243</v>
      </c>
      <c r="C47" s="121">
        <v>1</v>
      </c>
      <c r="D47" s="121" t="s">
        <v>1160</v>
      </c>
      <c r="E47" s="125">
        <v>44826</v>
      </c>
      <c r="F47" s="121" t="s">
        <v>1149</v>
      </c>
      <c r="G47" s="121" t="s">
        <v>1150</v>
      </c>
      <c r="H47" s="121">
        <v>8.14E-2</v>
      </c>
      <c r="I47" s="121" t="s">
        <v>1120</v>
      </c>
      <c r="J47" s="121" t="s">
        <v>96</v>
      </c>
      <c r="K47" s="121">
        <v>24251</v>
      </c>
      <c r="L47" s="122">
        <v>46</v>
      </c>
      <c r="M47" s="126">
        <v>8.14E-2</v>
      </c>
      <c r="N47" s="127">
        <f t="shared" si="0"/>
        <v>3.7444000000000002</v>
      </c>
    </row>
    <row r="48" spans="1:14">
      <c r="A48" s="121" t="s">
        <v>1244</v>
      </c>
      <c r="B48" s="121" t="s">
        <v>1245</v>
      </c>
      <c r="C48" s="121">
        <v>1</v>
      </c>
      <c r="D48" s="121" t="s">
        <v>1123</v>
      </c>
      <c r="E48" s="125">
        <v>44795</v>
      </c>
      <c r="F48" s="121" t="s">
        <v>1149</v>
      </c>
      <c r="G48" s="121" t="s">
        <v>1150</v>
      </c>
      <c r="H48" s="121">
        <v>2.0500000000000001E-2</v>
      </c>
      <c r="I48" s="121" t="s">
        <v>1120</v>
      </c>
      <c r="J48" s="121" t="s">
        <v>96</v>
      </c>
      <c r="K48" s="121">
        <v>23846</v>
      </c>
      <c r="L48" s="122">
        <v>45</v>
      </c>
      <c r="M48" s="126">
        <v>2.0500000000000001E-2</v>
      </c>
      <c r="N48" s="127">
        <f t="shared" si="0"/>
        <v>0.92249999999999999</v>
      </c>
    </row>
    <row r="49" spans="1:14">
      <c r="A49" s="121" t="s">
        <v>1246</v>
      </c>
      <c r="B49" s="121" t="s">
        <v>1247</v>
      </c>
      <c r="C49" s="121">
        <v>1</v>
      </c>
      <c r="D49" s="121" t="s">
        <v>1160</v>
      </c>
      <c r="E49" s="125">
        <v>44810</v>
      </c>
      <c r="F49" s="121" t="s">
        <v>1149</v>
      </c>
      <c r="G49" s="121" t="s">
        <v>1150</v>
      </c>
      <c r="H49" s="121">
        <v>0.11219999999999999</v>
      </c>
      <c r="I49" s="121" t="s">
        <v>1120</v>
      </c>
      <c r="J49" s="121" t="s">
        <v>96</v>
      </c>
      <c r="K49" s="121">
        <v>24254</v>
      </c>
      <c r="L49" s="122">
        <v>50</v>
      </c>
      <c r="M49" s="126">
        <v>0.11219999999999999</v>
      </c>
      <c r="N49" s="127">
        <f t="shared" si="0"/>
        <v>5.6099999999999994</v>
      </c>
    </row>
    <row r="50" spans="1:14">
      <c r="A50" s="121" t="s">
        <v>1248</v>
      </c>
      <c r="B50" s="121" t="s">
        <v>1249</v>
      </c>
      <c r="C50" s="121">
        <v>1</v>
      </c>
      <c r="D50" s="121" t="s">
        <v>1130</v>
      </c>
      <c r="E50" s="125">
        <v>44795</v>
      </c>
      <c r="F50" s="121" t="s">
        <v>1118</v>
      </c>
      <c r="G50" s="121" t="s">
        <v>1177</v>
      </c>
      <c r="H50" s="121">
        <v>0.1711</v>
      </c>
      <c r="I50" s="121" t="s">
        <v>1120</v>
      </c>
      <c r="J50" s="121" t="s">
        <v>96</v>
      </c>
      <c r="K50" s="121">
        <v>21362</v>
      </c>
      <c r="L50" s="122">
        <v>38</v>
      </c>
      <c r="M50" s="126">
        <v>0.1711</v>
      </c>
      <c r="N50" s="127">
        <f t="shared" si="0"/>
        <v>6.5018000000000002</v>
      </c>
    </row>
    <row r="51" spans="1:14">
      <c r="A51" s="121" t="s">
        <v>1250</v>
      </c>
      <c r="B51" s="121" t="s">
        <v>1251</v>
      </c>
      <c r="C51" s="121">
        <v>1</v>
      </c>
      <c r="D51" s="121" t="s">
        <v>1252</v>
      </c>
      <c r="E51" s="125">
        <v>44801</v>
      </c>
      <c r="F51" s="121" t="s">
        <v>1118</v>
      </c>
      <c r="G51" s="121" t="s">
        <v>1131</v>
      </c>
      <c r="H51" s="121">
        <v>0.2321</v>
      </c>
      <c r="I51" s="121" t="s">
        <v>1120</v>
      </c>
      <c r="J51" s="121" t="s">
        <v>96</v>
      </c>
      <c r="K51" s="121">
        <v>17984</v>
      </c>
      <c r="L51" s="122">
        <v>42</v>
      </c>
      <c r="M51" s="126">
        <v>0.2321</v>
      </c>
      <c r="N51" s="127">
        <f t="shared" si="0"/>
        <v>9.7482000000000006</v>
      </c>
    </row>
    <row r="52" spans="1:14">
      <c r="A52" s="121" t="s">
        <v>1253</v>
      </c>
      <c r="B52" s="121" t="s">
        <v>1254</v>
      </c>
      <c r="C52" s="121">
        <v>1</v>
      </c>
      <c r="D52" s="121" t="s">
        <v>1255</v>
      </c>
      <c r="E52" s="125">
        <v>44851</v>
      </c>
      <c r="F52" s="121" t="s">
        <v>1149</v>
      </c>
      <c r="G52" s="121" t="s">
        <v>1150</v>
      </c>
      <c r="H52" s="121">
        <v>0.15770000000000001</v>
      </c>
      <c r="I52" s="121" t="s">
        <v>1120</v>
      </c>
      <c r="J52" s="121" t="s">
        <v>96</v>
      </c>
      <c r="K52" s="121">
        <v>21311</v>
      </c>
      <c r="L52" s="122">
        <v>46</v>
      </c>
      <c r="M52" s="126">
        <v>0.15770000000000001</v>
      </c>
      <c r="N52" s="127">
        <f t="shared" si="0"/>
        <v>7.2542</v>
      </c>
    </row>
    <row r="53" spans="1:14">
      <c r="A53" s="121" t="s">
        <v>1256</v>
      </c>
      <c r="B53" s="121" t="s">
        <v>1254</v>
      </c>
      <c r="C53" s="121">
        <v>1</v>
      </c>
      <c r="D53" s="121" t="s">
        <v>1160</v>
      </c>
      <c r="E53" s="125">
        <v>44795</v>
      </c>
      <c r="F53" s="121" t="s">
        <v>1149</v>
      </c>
      <c r="G53" s="121" t="s">
        <v>1150</v>
      </c>
      <c r="H53" s="121">
        <v>0.2205</v>
      </c>
      <c r="I53" s="121" t="s">
        <v>1120</v>
      </c>
      <c r="J53" s="121" t="s">
        <v>96</v>
      </c>
      <c r="K53" s="121">
        <v>21311</v>
      </c>
      <c r="L53" s="122">
        <v>46</v>
      </c>
      <c r="M53" s="126">
        <v>0.2205</v>
      </c>
      <c r="N53" s="127">
        <f t="shared" si="0"/>
        <v>10.143000000000001</v>
      </c>
    </row>
    <row r="54" spans="1:14">
      <c r="A54" s="121" t="s">
        <v>1257</v>
      </c>
      <c r="B54" s="121" t="s">
        <v>1258</v>
      </c>
      <c r="C54" s="121">
        <v>1</v>
      </c>
      <c r="D54" s="121" t="s">
        <v>1117</v>
      </c>
      <c r="E54" s="125">
        <v>44719</v>
      </c>
      <c r="F54" s="121" t="s">
        <v>1118</v>
      </c>
      <c r="G54" s="121" t="s">
        <v>1131</v>
      </c>
      <c r="H54" s="121">
        <v>3.78E-2</v>
      </c>
      <c r="I54" s="121" t="s">
        <v>1120</v>
      </c>
      <c r="J54" s="121" t="s">
        <v>96</v>
      </c>
      <c r="K54" s="121">
        <v>26623</v>
      </c>
      <c r="L54" s="122">
        <v>40</v>
      </c>
      <c r="M54" s="126">
        <v>2.4299999999999999E-2</v>
      </c>
      <c r="N54" s="127">
        <f t="shared" si="0"/>
        <v>0.97199999999999998</v>
      </c>
    </row>
    <row r="55" spans="1:14">
      <c r="A55" s="121" t="s">
        <v>1257</v>
      </c>
      <c r="B55" s="121" t="s">
        <v>1258</v>
      </c>
      <c r="C55" s="121">
        <v>1</v>
      </c>
      <c r="D55" s="121" t="s">
        <v>1117</v>
      </c>
      <c r="E55" s="125">
        <v>44719</v>
      </c>
      <c r="F55" s="121" t="s">
        <v>1118</v>
      </c>
      <c r="G55" s="121" t="s">
        <v>1131</v>
      </c>
      <c r="H55" s="121">
        <v>3.78E-2</v>
      </c>
      <c r="I55" s="121" t="s">
        <v>1120</v>
      </c>
      <c r="J55" s="121" t="s">
        <v>96</v>
      </c>
      <c r="K55" s="121">
        <v>26624</v>
      </c>
      <c r="L55" s="122">
        <v>41</v>
      </c>
      <c r="M55" s="126">
        <v>1.34E-2</v>
      </c>
      <c r="N55" s="127">
        <f t="shared" si="0"/>
        <v>0.5494</v>
      </c>
    </row>
    <row r="56" spans="1:14">
      <c r="A56" s="121" t="s">
        <v>1259</v>
      </c>
      <c r="B56" s="121" t="s">
        <v>1260</v>
      </c>
      <c r="C56" s="121">
        <v>1</v>
      </c>
      <c r="D56" s="121" t="s">
        <v>1261</v>
      </c>
      <c r="E56" s="125">
        <v>44771</v>
      </c>
      <c r="F56" s="121" t="s">
        <v>1118</v>
      </c>
      <c r="G56" s="121" t="s">
        <v>1143</v>
      </c>
      <c r="H56" s="121">
        <v>2.41E-2</v>
      </c>
      <c r="I56" s="121" t="s">
        <v>1120</v>
      </c>
      <c r="J56" s="121" t="s">
        <v>96</v>
      </c>
      <c r="K56" s="121">
        <v>17585</v>
      </c>
      <c r="L56" s="122">
        <v>48</v>
      </c>
      <c r="M56" s="126">
        <v>2.41E-2</v>
      </c>
      <c r="N56" s="127">
        <f t="shared" si="0"/>
        <v>1.1568000000000001</v>
      </c>
    </row>
    <row r="57" spans="1:14">
      <c r="A57" s="121" t="s">
        <v>1262</v>
      </c>
      <c r="B57" s="121" t="s">
        <v>1263</v>
      </c>
      <c r="C57" s="121">
        <v>1</v>
      </c>
      <c r="D57" s="121" t="s">
        <v>1264</v>
      </c>
      <c r="E57" s="125">
        <v>44809</v>
      </c>
      <c r="F57" s="121" t="s">
        <v>1118</v>
      </c>
      <c r="G57" s="121" t="s">
        <v>1265</v>
      </c>
      <c r="H57" s="121">
        <v>0.40579999999999999</v>
      </c>
      <c r="I57" s="121" t="s">
        <v>1120</v>
      </c>
      <c r="J57" s="121" t="s">
        <v>96</v>
      </c>
      <c r="K57" s="121">
        <v>18630</v>
      </c>
      <c r="L57" s="122">
        <v>46</v>
      </c>
      <c r="M57" s="126">
        <v>0.40579999999999999</v>
      </c>
      <c r="N57" s="127">
        <f t="shared" si="0"/>
        <v>18.666799999999999</v>
      </c>
    </row>
    <row r="58" spans="1:14">
      <c r="A58" s="121" t="s">
        <v>1266</v>
      </c>
      <c r="B58" s="121" t="s">
        <v>1267</v>
      </c>
      <c r="C58" s="121">
        <v>1</v>
      </c>
      <c r="D58" s="121" t="s">
        <v>1264</v>
      </c>
      <c r="E58" s="125">
        <v>44734</v>
      </c>
      <c r="F58" s="121" t="s">
        <v>1118</v>
      </c>
      <c r="G58" s="121" t="s">
        <v>1265</v>
      </c>
      <c r="H58" s="121">
        <v>0.53159999999999996</v>
      </c>
      <c r="I58" s="121" t="s">
        <v>1120</v>
      </c>
      <c r="J58" s="121" t="s">
        <v>96</v>
      </c>
      <c r="K58" s="121">
        <v>18440</v>
      </c>
      <c r="L58" s="122">
        <v>36</v>
      </c>
      <c r="M58" s="126">
        <v>0.53159999999999996</v>
      </c>
      <c r="N58" s="127">
        <f t="shared" si="0"/>
        <v>19.137599999999999</v>
      </c>
    </row>
    <row r="59" spans="1:14">
      <c r="A59" s="121" t="s">
        <v>1268</v>
      </c>
      <c r="B59" s="121" t="s">
        <v>1269</v>
      </c>
      <c r="C59" s="121">
        <v>1</v>
      </c>
      <c r="D59" s="121" t="s">
        <v>1255</v>
      </c>
      <c r="E59" s="125">
        <v>44418</v>
      </c>
      <c r="F59" s="121" t="s">
        <v>1118</v>
      </c>
      <c r="G59" s="121" t="s">
        <v>1131</v>
      </c>
      <c r="H59" s="121">
        <v>0.13350000000000001</v>
      </c>
      <c r="I59" s="121" t="s">
        <v>1120</v>
      </c>
      <c r="J59" s="121" t="s">
        <v>96</v>
      </c>
      <c r="K59" s="121">
        <v>18953</v>
      </c>
      <c r="L59" s="122">
        <v>40</v>
      </c>
      <c r="M59" s="126">
        <v>0.13350000000000001</v>
      </c>
      <c r="N59" s="127">
        <f t="shared" si="0"/>
        <v>5.34</v>
      </c>
    </row>
    <row r="60" spans="1:14">
      <c r="A60" s="121" t="s">
        <v>1270</v>
      </c>
      <c r="B60" s="121" t="s">
        <v>1271</v>
      </c>
      <c r="C60" s="121">
        <v>1</v>
      </c>
      <c r="D60" s="121" t="s">
        <v>1123</v>
      </c>
      <c r="E60" s="125">
        <v>44795</v>
      </c>
      <c r="F60" s="121" t="s">
        <v>1124</v>
      </c>
      <c r="G60" s="121" t="s">
        <v>1124</v>
      </c>
      <c r="H60" s="121">
        <v>3.8100000000000002E-2</v>
      </c>
      <c r="I60" s="121" t="s">
        <v>1120</v>
      </c>
      <c r="J60" s="121" t="s">
        <v>96</v>
      </c>
      <c r="K60" s="121">
        <v>20348</v>
      </c>
      <c r="L60" s="122">
        <v>41</v>
      </c>
      <c r="M60" s="126">
        <v>3.8100000000000002E-2</v>
      </c>
      <c r="N60" s="127">
        <f t="shared" si="0"/>
        <v>1.5621</v>
      </c>
    </row>
    <row r="61" spans="1:14">
      <c r="A61" s="121" t="s">
        <v>1272</v>
      </c>
      <c r="B61" s="121" t="s">
        <v>1273</v>
      </c>
      <c r="C61" s="121">
        <v>1</v>
      </c>
      <c r="D61" s="121" t="s">
        <v>1274</v>
      </c>
      <c r="E61" s="125">
        <v>44795</v>
      </c>
      <c r="F61" s="121" t="s">
        <v>1124</v>
      </c>
      <c r="G61" s="121" t="s">
        <v>1124</v>
      </c>
      <c r="H61" s="121">
        <v>0.19819999999999999</v>
      </c>
      <c r="I61" s="121" t="s">
        <v>1120</v>
      </c>
      <c r="J61" s="121" t="s">
        <v>96</v>
      </c>
      <c r="K61" s="121">
        <v>20348</v>
      </c>
      <c r="L61" s="122">
        <v>41</v>
      </c>
      <c r="M61" s="126">
        <v>2.1700000000000001E-2</v>
      </c>
      <c r="N61" s="127">
        <f t="shared" si="0"/>
        <v>0.88970000000000005</v>
      </c>
    </row>
    <row r="62" spans="1:14">
      <c r="A62" s="121" t="s">
        <v>1272</v>
      </c>
      <c r="B62" s="121" t="s">
        <v>1273</v>
      </c>
      <c r="C62" s="121">
        <v>1</v>
      </c>
      <c r="D62" s="121" t="s">
        <v>1274</v>
      </c>
      <c r="E62" s="125">
        <v>44795</v>
      </c>
      <c r="F62" s="121" t="s">
        <v>1124</v>
      </c>
      <c r="G62" s="121" t="s">
        <v>1124</v>
      </c>
      <c r="H62" s="121">
        <v>0.19819999999999999</v>
      </c>
      <c r="I62" s="121" t="s">
        <v>1120</v>
      </c>
      <c r="J62" s="121" t="s">
        <v>96</v>
      </c>
      <c r="K62" s="121">
        <v>20547</v>
      </c>
      <c r="L62" s="122">
        <v>40</v>
      </c>
      <c r="M62" s="126">
        <v>0.17649999999999999</v>
      </c>
      <c r="N62" s="127">
        <f t="shared" si="0"/>
        <v>7.06</v>
      </c>
    </row>
    <row r="63" spans="1:14">
      <c r="A63" s="121" t="s">
        <v>1275</v>
      </c>
      <c r="B63" s="121" t="s">
        <v>1276</v>
      </c>
      <c r="C63" s="121">
        <v>1</v>
      </c>
      <c r="D63" s="121" t="s">
        <v>1210</v>
      </c>
      <c r="E63" s="125">
        <v>44795</v>
      </c>
      <c r="F63" s="121" t="s">
        <v>1118</v>
      </c>
      <c r="G63" s="121" t="s">
        <v>1177</v>
      </c>
      <c r="H63" s="121">
        <v>6.2100000000000002E-2</v>
      </c>
      <c r="I63" s="121" t="s">
        <v>1120</v>
      </c>
      <c r="J63" s="121" t="s">
        <v>96</v>
      </c>
      <c r="K63" s="121">
        <v>21545</v>
      </c>
      <c r="L63" s="122">
        <v>39</v>
      </c>
      <c r="M63" s="126">
        <v>6.2100000000000002E-2</v>
      </c>
      <c r="N63" s="127">
        <f t="shared" si="0"/>
        <v>2.4218999999999999</v>
      </c>
    </row>
    <row r="64" spans="1:14">
      <c r="A64" s="121" t="s">
        <v>1277</v>
      </c>
      <c r="B64" s="121" t="s">
        <v>1278</v>
      </c>
      <c r="C64" s="121">
        <v>1</v>
      </c>
      <c r="D64" s="121" t="s">
        <v>1123</v>
      </c>
      <c r="E64" s="125">
        <v>44795</v>
      </c>
      <c r="F64" s="121" t="s">
        <v>1124</v>
      </c>
      <c r="G64" s="121" t="s">
        <v>1124</v>
      </c>
      <c r="H64" s="121">
        <v>2.3699999999999999E-2</v>
      </c>
      <c r="I64" s="121" t="s">
        <v>1120</v>
      </c>
      <c r="J64" s="121" t="s">
        <v>96</v>
      </c>
      <c r="K64" s="121">
        <v>17308</v>
      </c>
      <c r="L64" s="122">
        <v>43</v>
      </c>
      <c r="M64" s="126">
        <v>2.3699999999999999E-2</v>
      </c>
      <c r="N64" s="127">
        <f t="shared" si="0"/>
        <v>1.0190999999999999</v>
      </c>
    </row>
    <row r="65" spans="1:14">
      <c r="A65" s="121" t="s">
        <v>1279</v>
      </c>
      <c r="B65" s="121" t="s">
        <v>1280</v>
      </c>
      <c r="C65" s="121">
        <v>1</v>
      </c>
      <c r="D65" s="121" t="s">
        <v>1117</v>
      </c>
      <c r="E65" s="125">
        <v>44795</v>
      </c>
      <c r="F65" s="121" t="s">
        <v>1124</v>
      </c>
      <c r="G65" s="121" t="s">
        <v>1124</v>
      </c>
      <c r="H65" s="121">
        <v>1.4800000000000001E-2</v>
      </c>
      <c r="I65" s="121" t="s">
        <v>1120</v>
      </c>
      <c r="J65" s="121" t="s">
        <v>96</v>
      </c>
      <c r="K65" s="121">
        <v>17308</v>
      </c>
      <c r="L65" s="122">
        <v>43</v>
      </c>
      <c r="M65" s="126">
        <v>1.4800000000000001E-2</v>
      </c>
      <c r="N65" s="127">
        <f t="shared" si="0"/>
        <v>0.63640000000000008</v>
      </c>
    </row>
    <row r="66" spans="1:14">
      <c r="A66" s="121" t="s">
        <v>1281</v>
      </c>
      <c r="B66" s="121" t="s">
        <v>1282</v>
      </c>
      <c r="C66" s="121">
        <v>1</v>
      </c>
      <c r="D66" s="121" t="s">
        <v>1117</v>
      </c>
      <c r="E66" s="125">
        <v>44795</v>
      </c>
      <c r="F66" s="121" t="s">
        <v>1124</v>
      </c>
      <c r="G66" s="121" t="s">
        <v>1124</v>
      </c>
      <c r="H66" s="121">
        <v>1.06E-2</v>
      </c>
      <c r="I66" s="121" t="s">
        <v>1120</v>
      </c>
      <c r="J66" s="121" t="s">
        <v>96</v>
      </c>
      <c r="K66" s="121">
        <v>17308</v>
      </c>
      <c r="L66" s="122">
        <v>43</v>
      </c>
      <c r="M66" s="126">
        <v>1.06E-2</v>
      </c>
      <c r="N66" s="127">
        <f t="shared" ref="N66:N129" si="1">+M66*L66</f>
        <v>0.45579999999999998</v>
      </c>
    </row>
    <row r="67" spans="1:14">
      <c r="A67" s="121" t="s">
        <v>1283</v>
      </c>
      <c r="B67" s="121" t="s">
        <v>1284</v>
      </c>
      <c r="C67" s="121">
        <v>1</v>
      </c>
      <c r="D67" s="121" t="s">
        <v>1187</v>
      </c>
      <c r="E67" s="125">
        <v>44795</v>
      </c>
      <c r="F67" s="121" t="s">
        <v>1118</v>
      </c>
      <c r="G67" s="121" t="s">
        <v>1177</v>
      </c>
      <c r="H67" s="121">
        <v>0.21820000000000001</v>
      </c>
      <c r="I67" s="121" t="s">
        <v>1120</v>
      </c>
      <c r="J67" s="121" t="s">
        <v>96</v>
      </c>
      <c r="K67" s="121">
        <v>21548</v>
      </c>
      <c r="L67" s="122">
        <v>41</v>
      </c>
      <c r="M67" s="126">
        <v>0.21820000000000001</v>
      </c>
      <c r="N67" s="127">
        <f t="shared" si="1"/>
        <v>8.946200000000001</v>
      </c>
    </row>
    <row r="68" spans="1:14">
      <c r="A68" s="121" t="s">
        <v>1285</v>
      </c>
      <c r="B68" s="121" t="s">
        <v>1286</v>
      </c>
      <c r="C68" s="121">
        <v>1</v>
      </c>
      <c r="D68" s="121" t="s">
        <v>1252</v>
      </c>
      <c r="E68" s="125">
        <v>44793</v>
      </c>
      <c r="F68" s="121" t="s">
        <v>1118</v>
      </c>
      <c r="G68" s="121" t="s">
        <v>1131</v>
      </c>
      <c r="H68" s="121">
        <v>3.4000000000000002E-2</v>
      </c>
      <c r="I68" s="121" t="s">
        <v>1120</v>
      </c>
      <c r="J68" s="121" t="s">
        <v>96</v>
      </c>
      <c r="K68" s="121">
        <v>26842</v>
      </c>
      <c r="L68" s="122">
        <v>36</v>
      </c>
      <c r="M68" s="126">
        <v>3.4000000000000002E-2</v>
      </c>
      <c r="N68" s="127">
        <f t="shared" si="1"/>
        <v>1.2240000000000002</v>
      </c>
    </row>
    <row r="69" spans="1:14">
      <c r="A69" s="121" t="s">
        <v>1287</v>
      </c>
      <c r="B69" s="121" t="s">
        <v>1288</v>
      </c>
      <c r="C69" s="121">
        <v>1</v>
      </c>
      <c r="D69" s="121" t="s">
        <v>1123</v>
      </c>
      <c r="E69" s="125">
        <v>44747</v>
      </c>
      <c r="F69" s="121" t="s">
        <v>1118</v>
      </c>
      <c r="G69" s="121" t="s">
        <v>1131</v>
      </c>
      <c r="H69" s="121">
        <v>3.5900000000000001E-2</v>
      </c>
      <c r="I69" s="121" t="s">
        <v>1120</v>
      </c>
      <c r="J69" s="121" t="s">
        <v>96</v>
      </c>
      <c r="K69" s="121">
        <v>18953</v>
      </c>
      <c r="L69" s="122">
        <v>40</v>
      </c>
      <c r="M69" s="126">
        <v>3.5900000000000001E-2</v>
      </c>
      <c r="N69" s="127">
        <f t="shared" si="1"/>
        <v>1.4359999999999999</v>
      </c>
    </row>
    <row r="70" spans="1:14">
      <c r="A70" s="121" t="s">
        <v>1289</v>
      </c>
      <c r="B70" s="121" t="s">
        <v>1290</v>
      </c>
      <c r="C70" s="121">
        <v>1</v>
      </c>
      <c r="D70" s="121" t="s">
        <v>1117</v>
      </c>
      <c r="E70" s="125">
        <v>44795</v>
      </c>
      <c r="F70" s="121" t="s">
        <v>1124</v>
      </c>
      <c r="G70" s="121" t="s">
        <v>1124</v>
      </c>
      <c r="H70" s="121">
        <v>1.1599999999999999E-2</v>
      </c>
      <c r="I70" s="121" t="s">
        <v>1120</v>
      </c>
      <c r="J70" s="121" t="s">
        <v>96</v>
      </c>
      <c r="K70" s="121">
        <v>17308</v>
      </c>
      <c r="L70" s="122">
        <v>43</v>
      </c>
      <c r="M70" s="126">
        <v>1.1599999999999999E-2</v>
      </c>
      <c r="N70" s="127">
        <f t="shared" si="1"/>
        <v>0.49879999999999997</v>
      </c>
    </row>
    <row r="71" spans="1:14">
      <c r="A71" s="121" t="s">
        <v>1291</v>
      </c>
      <c r="B71" s="121" t="s">
        <v>1292</v>
      </c>
      <c r="C71" s="121">
        <v>1</v>
      </c>
      <c r="D71" s="121" t="s">
        <v>1160</v>
      </c>
      <c r="E71" s="125">
        <v>44694</v>
      </c>
      <c r="F71" s="121" t="s">
        <v>1149</v>
      </c>
      <c r="G71" s="121" t="s">
        <v>1150</v>
      </c>
      <c r="H71" s="121">
        <v>0.10390000000000001</v>
      </c>
      <c r="I71" s="121" t="s">
        <v>1120</v>
      </c>
      <c r="J71" s="121" t="s">
        <v>96</v>
      </c>
      <c r="K71" s="121">
        <v>24621</v>
      </c>
      <c r="L71" s="122">
        <v>43</v>
      </c>
      <c r="M71" s="126">
        <v>0.10390000000000001</v>
      </c>
      <c r="N71" s="127">
        <f t="shared" si="1"/>
        <v>4.4677000000000007</v>
      </c>
    </row>
    <row r="72" spans="1:14">
      <c r="A72" s="121" t="s">
        <v>1293</v>
      </c>
      <c r="B72" s="121" t="s">
        <v>1294</v>
      </c>
      <c r="C72" s="121">
        <v>1</v>
      </c>
      <c r="D72" s="121" t="s">
        <v>1123</v>
      </c>
      <c r="E72" s="125">
        <v>44734</v>
      </c>
      <c r="F72" s="121" t="s">
        <v>1149</v>
      </c>
      <c r="G72" s="121" t="s">
        <v>1150</v>
      </c>
      <c r="H72" s="121">
        <v>6.7000000000000004E-2</v>
      </c>
      <c r="I72" s="121" t="s">
        <v>1120</v>
      </c>
      <c r="J72" s="121" t="s">
        <v>96</v>
      </c>
      <c r="K72" s="121">
        <v>24621</v>
      </c>
      <c r="L72" s="122">
        <v>43</v>
      </c>
      <c r="M72" s="126">
        <v>6.7000000000000004E-2</v>
      </c>
      <c r="N72" s="127">
        <f t="shared" si="1"/>
        <v>2.8810000000000002</v>
      </c>
    </row>
    <row r="73" spans="1:14">
      <c r="A73" s="121" t="s">
        <v>1295</v>
      </c>
      <c r="B73" s="121" t="s">
        <v>1296</v>
      </c>
      <c r="C73" s="121">
        <v>1</v>
      </c>
      <c r="D73" s="121" t="s">
        <v>1297</v>
      </c>
      <c r="E73" s="125">
        <v>44849</v>
      </c>
      <c r="F73" s="121" t="s">
        <v>1118</v>
      </c>
      <c r="G73" s="121" t="s">
        <v>1124</v>
      </c>
      <c r="H73" s="121">
        <v>0.1065</v>
      </c>
      <c r="I73" s="121" t="s">
        <v>1120</v>
      </c>
      <c r="J73" s="121" t="s">
        <v>96</v>
      </c>
      <c r="K73" s="121">
        <v>26030</v>
      </c>
      <c r="L73" s="122">
        <v>34</v>
      </c>
      <c r="M73" s="126">
        <v>0.1065</v>
      </c>
      <c r="N73" s="127">
        <f t="shared" si="1"/>
        <v>3.621</v>
      </c>
    </row>
    <row r="74" spans="1:14">
      <c r="A74" s="121" t="s">
        <v>1298</v>
      </c>
      <c r="B74" s="121" t="s">
        <v>1299</v>
      </c>
      <c r="C74" s="121">
        <v>1</v>
      </c>
      <c r="D74" s="121" t="s">
        <v>1274</v>
      </c>
      <c r="E74" s="125">
        <v>44736</v>
      </c>
      <c r="F74" s="121" t="s">
        <v>1118</v>
      </c>
      <c r="G74" s="121" t="s">
        <v>1131</v>
      </c>
      <c r="H74" s="121">
        <v>7.6E-3</v>
      </c>
      <c r="I74" s="121" t="s">
        <v>1120</v>
      </c>
      <c r="J74" s="121" t="s">
        <v>96</v>
      </c>
      <c r="K74" s="121">
        <v>25833</v>
      </c>
      <c r="L74" s="122">
        <v>23</v>
      </c>
      <c r="M74" s="126">
        <v>7.7000000000000002E-3</v>
      </c>
      <c r="N74" s="127">
        <f t="shared" si="1"/>
        <v>0.17710000000000001</v>
      </c>
    </row>
    <row r="75" spans="1:14">
      <c r="A75" s="121" t="s">
        <v>1300</v>
      </c>
      <c r="B75" s="121" t="s">
        <v>1301</v>
      </c>
      <c r="C75" s="121">
        <v>1</v>
      </c>
      <c r="D75" s="121" t="s">
        <v>1220</v>
      </c>
      <c r="E75" s="125">
        <v>44795</v>
      </c>
      <c r="F75" s="121" t="s">
        <v>1124</v>
      </c>
      <c r="G75" s="121" t="s">
        <v>1124</v>
      </c>
      <c r="H75" s="121">
        <v>0.16880000000000001</v>
      </c>
      <c r="I75" s="121" t="s">
        <v>1120</v>
      </c>
      <c r="J75" s="121" t="s">
        <v>96</v>
      </c>
      <c r="K75" s="121">
        <v>20348</v>
      </c>
      <c r="L75" s="122">
        <v>41</v>
      </c>
      <c r="M75" s="126">
        <v>0.16880000000000001</v>
      </c>
      <c r="N75" s="127">
        <f t="shared" si="1"/>
        <v>6.9207999999999998</v>
      </c>
    </row>
    <row r="76" spans="1:14">
      <c r="A76" s="121" t="s">
        <v>1302</v>
      </c>
      <c r="B76" s="121" t="s">
        <v>1303</v>
      </c>
      <c r="C76" s="121">
        <v>1</v>
      </c>
      <c r="D76" s="121" t="s">
        <v>1163</v>
      </c>
      <c r="E76" s="125">
        <v>44795</v>
      </c>
      <c r="F76" s="121" t="s">
        <v>1124</v>
      </c>
      <c r="G76" s="121" t="s">
        <v>1124</v>
      </c>
      <c r="H76" s="121">
        <v>0.13220000000000001</v>
      </c>
      <c r="I76" s="121" t="s">
        <v>1120</v>
      </c>
      <c r="J76" s="121" t="s">
        <v>96</v>
      </c>
      <c r="K76" s="121">
        <v>20348</v>
      </c>
      <c r="L76" s="122">
        <v>41</v>
      </c>
      <c r="M76" s="126">
        <v>0.13220000000000001</v>
      </c>
      <c r="N76" s="127">
        <f t="shared" si="1"/>
        <v>5.4202000000000004</v>
      </c>
    </row>
    <row r="77" spans="1:14">
      <c r="A77" s="121" t="s">
        <v>1304</v>
      </c>
      <c r="B77" s="121" t="s">
        <v>1305</v>
      </c>
      <c r="C77" s="121">
        <v>1</v>
      </c>
      <c r="D77" s="121" t="s">
        <v>1123</v>
      </c>
      <c r="E77" s="125">
        <v>44795</v>
      </c>
      <c r="F77" s="121" t="s">
        <v>1124</v>
      </c>
      <c r="G77" s="121" t="s">
        <v>1124</v>
      </c>
      <c r="H77" s="121">
        <v>3.9300000000000002E-2</v>
      </c>
      <c r="I77" s="121" t="s">
        <v>1120</v>
      </c>
      <c r="J77" s="121" t="s">
        <v>96</v>
      </c>
      <c r="K77" s="121">
        <v>24259</v>
      </c>
      <c r="L77" s="122">
        <v>41</v>
      </c>
      <c r="M77" s="126">
        <v>3.9300000000000002E-2</v>
      </c>
      <c r="N77" s="127">
        <f t="shared" si="1"/>
        <v>1.6113</v>
      </c>
    </row>
    <row r="78" spans="1:14">
      <c r="A78" s="121" t="s">
        <v>1306</v>
      </c>
      <c r="B78" s="121" t="s">
        <v>1307</v>
      </c>
      <c r="C78" s="121">
        <v>1</v>
      </c>
      <c r="D78" s="121" t="s">
        <v>1203</v>
      </c>
      <c r="E78" s="125">
        <v>44796</v>
      </c>
      <c r="F78" s="121" t="s">
        <v>1118</v>
      </c>
      <c r="G78" s="121" t="s">
        <v>1265</v>
      </c>
      <c r="H78" s="121">
        <v>0.25779999999999997</v>
      </c>
      <c r="I78" s="121" t="s">
        <v>1120</v>
      </c>
      <c r="J78" s="121" t="s">
        <v>96</v>
      </c>
      <c r="K78" s="121">
        <v>19440</v>
      </c>
      <c r="L78" s="122">
        <v>43</v>
      </c>
      <c r="M78" s="126">
        <v>0.25779999999999997</v>
      </c>
      <c r="N78" s="127">
        <f t="shared" si="1"/>
        <v>11.085399999999998</v>
      </c>
    </row>
    <row r="79" spans="1:14">
      <c r="A79" s="121" t="s">
        <v>1308</v>
      </c>
      <c r="B79" s="121" t="s">
        <v>1309</v>
      </c>
      <c r="C79" s="121">
        <v>1</v>
      </c>
      <c r="D79" s="121" t="s">
        <v>1220</v>
      </c>
      <c r="E79" s="125">
        <v>44793</v>
      </c>
      <c r="F79" s="121" t="s">
        <v>1118</v>
      </c>
      <c r="G79" s="121" t="s">
        <v>1131</v>
      </c>
      <c r="H79" s="121">
        <v>5.6399999999999999E-2</v>
      </c>
      <c r="I79" s="121" t="s">
        <v>1120</v>
      </c>
      <c r="J79" s="121" t="s">
        <v>96</v>
      </c>
      <c r="K79" s="121">
        <v>17384</v>
      </c>
      <c r="L79" s="122">
        <v>42</v>
      </c>
      <c r="M79" s="126">
        <v>5.6399999999999999E-2</v>
      </c>
      <c r="N79" s="127">
        <f t="shared" si="1"/>
        <v>2.3687999999999998</v>
      </c>
    </row>
    <row r="80" spans="1:14">
      <c r="A80" s="121" t="s">
        <v>1310</v>
      </c>
      <c r="B80" s="121" t="s">
        <v>1311</v>
      </c>
      <c r="C80" s="121">
        <v>1</v>
      </c>
      <c r="D80" s="121" t="s">
        <v>1117</v>
      </c>
      <c r="E80" s="125">
        <v>44795</v>
      </c>
      <c r="F80" s="121" t="s">
        <v>1118</v>
      </c>
      <c r="G80" s="121" t="s">
        <v>1119</v>
      </c>
      <c r="H80" s="121">
        <v>0.15029999999999999</v>
      </c>
      <c r="I80" s="121" t="s">
        <v>1120</v>
      </c>
      <c r="J80" s="121" t="s">
        <v>96</v>
      </c>
      <c r="K80" s="121">
        <v>17308</v>
      </c>
      <c r="L80" s="122">
        <v>43</v>
      </c>
      <c r="M80" s="126">
        <v>0.1507</v>
      </c>
      <c r="N80" s="127">
        <f t="shared" si="1"/>
        <v>6.4801000000000002</v>
      </c>
    </row>
    <row r="81" spans="1:14">
      <c r="A81" s="121" t="s">
        <v>1312</v>
      </c>
      <c r="B81" s="121" t="s">
        <v>1313</v>
      </c>
      <c r="C81" s="121">
        <v>1</v>
      </c>
      <c r="D81" s="121" t="s">
        <v>1314</v>
      </c>
      <c r="E81" s="125">
        <v>44795</v>
      </c>
      <c r="F81" s="121" t="s">
        <v>1118</v>
      </c>
      <c r="G81" s="121" t="s">
        <v>1177</v>
      </c>
      <c r="H81" s="121">
        <v>0.1203</v>
      </c>
      <c r="I81" s="121" t="s">
        <v>1120</v>
      </c>
      <c r="J81" s="121" t="s">
        <v>96</v>
      </c>
      <c r="K81" s="121">
        <v>21362</v>
      </c>
      <c r="L81" s="122">
        <v>38</v>
      </c>
      <c r="M81" s="126">
        <v>0.1203</v>
      </c>
      <c r="N81" s="127">
        <f t="shared" si="1"/>
        <v>4.5714000000000006</v>
      </c>
    </row>
    <row r="82" spans="1:14">
      <c r="A82" s="121" t="s">
        <v>1315</v>
      </c>
      <c r="B82" s="121" t="s">
        <v>1316</v>
      </c>
      <c r="C82" s="121">
        <v>1</v>
      </c>
      <c r="D82" s="121" t="s">
        <v>1160</v>
      </c>
      <c r="E82" s="125">
        <v>44795</v>
      </c>
      <c r="F82" s="121" t="s">
        <v>1149</v>
      </c>
      <c r="G82" s="121" t="s">
        <v>1150</v>
      </c>
      <c r="H82" s="121">
        <v>7.9100000000000004E-2</v>
      </c>
      <c r="I82" s="121" t="s">
        <v>1120</v>
      </c>
      <c r="J82" s="121" t="s">
        <v>96</v>
      </c>
      <c r="K82" s="121">
        <v>24621</v>
      </c>
      <c r="L82" s="122">
        <v>43</v>
      </c>
      <c r="M82" s="126">
        <v>7.9100000000000004E-2</v>
      </c>
      <c r="N82" s="127">
        <f t="shared" si="1"/>
        <v>3.4013</v>
      </c>
    </row>
    <row r="83" spans="1:14">
      <c r="A83" s="121" t="s">
        <v>1317</v>
      </c>
      <c r="B83" s="121" t="s">
        <v>1318</v>
      </c>
      <c r="C83" s="121">
        <v>1</v>
      </c>
      <c r="D83" s="121" t="s">
        <v>1123</v>
      </c>
      <c r="E83" s="125">
        <v>44726</v>
      </c>
      <c r="F83" s="121" t="s">
        <v>1149</v>
      </c>
      <c r="G83" s="121" t="s">
        <v>1150</v>
      </c>
      <c r="H83" s="121">
        <v>2.7099999999999999E-2</v>
      </c>
      <c r="I83" s="121" t="s">
        <v>1120</v>
      </c>
      <c r="J83" s="121" t="s">
        <v>96</v>
      </c>
      <c r="K83" s="121">
        <v>24252</v>
      </c>
      <c r="L83" s="122">
        <v>45</v>
      </c>
      <c r="M83" s="126">
        <v>2.7099999999999999E-2</v>
      </c>
      <c r="N83" s="127">
        <f t="shared" si="1"/>
        <v>1.2195</v>
      </c>
    </row>
    <row r="84" spans="1:14">
      <c r="A84" s="121" t="s">
        <v>1319</v>
      </c>
      <c r="B84" s="121" t="s">
        <v>1320</v>
      </c>
      <c r="C84" s="121">
        <v>1</v>
      </c>
      <c r="D84" s="121" t="s">
        <v>1166</v>
      </c>
      <c r="E84" s="125">
        <v>44779</v>
      </c>
      <c r="F84" s="121" t="s">
        <v>1118</v>
      </c>
      <c r="G84" s="121" t="s">
        <v>1143</v>
      </c>
      <c r="H84" s="121">
        <v>0.1968</v>
      </c>
      <c r="I84" s="121" t="s">
        <v>1120</v>
      </c>
      <c r="J84" s="121" t="s">
        <v>96</v>
      </c>
      <c r="K84" s="121">
        <v>18183</v>
      </c>
      <c r="L84" s="122">
        <v>39</v>
      </c>
      <c r="M84" s="126">
        <v>0.1968</v>
      </c>
      <c r="N84" s="127">
        <f t="shared" si="1"/>
        <v>7.6752000000000002</v>
      </c>
    </row>
    <row r="85" spans="1:14">
      <c r="A85" s="121" t="s">
        <v>1321</v>
      </c>
      <c r="B85" s="121" t="s">
        <v>1322</v>
      </c>
      <c r="C85" s="121">
        <v>1</v>
      </c>
      <c r="D85" s="121" t="s">
        <v>1123</v>
      </c>
      <c r="E85" s="125">
        <v>44855</v>
      </c>
      <c r="F85" s="121" t="s">
        <v>1149</v>
      </c>
      <c r="G85" s="121" t="s">
        <v>1150</v>
      </c>
      <c r="H85" s="121">
        <v>6.9900000000000004E-2</v>
      </c>
      <c r="I85" s="121" t="s">
        <v>1120</v>
      </c>
      <c r="J85" s="121" t="s">
        <v>96</v>
      </c>
      <c r="K85" s="121">
        <v>24251</v>
      </c>
      <c r="L85" s="122">
        <v>46</v>
      </c>
      <c r="M85" s="126">
        <v>4.4999999999999997E-3</v>
      </c>
      <c r="N85" s="127">
        <f t="shared" si="1"/>
        <v>0.20699999999999999</v>
      </c>
    </row>
    <row r="86" spans="1:14">
      <c r="A86" s="121" t="s">
        <v>1321</v>
      </c>
      <c r="B86" s="121" t="s">
        <v>1322</v>
      </c>
      <c r="C86" s="121">
        <v>1</v>
      </c>
      <c r="D86" s="121" t="s">
        <v>1123</v>
      </c>
      <c r="E86" s="125">
        <v>44855</v>
      </c>
      <c r="F86" s="121" t="s">
        <v>1149</v>
      </c>
      <c r="G86" s="121" t="s">
        <v>1150</v>
      </c>
      <c r="H86" s="121">
        <v>6.9900000000000004E-2</v>
      </c>
      <c r="I86" s="121" t="s">
        <v>1120</v>
      </c>
      <c r="J86" s="121" t="s">
        <v>96</v>
      </c>
      <c r="K86" s="121">
        <v>24621</v>
      </c>
      <c r="L86" s="122">
        <v>43</v>
      </c>
      <c r="M86" s="126">
        <v>6.54E-2</v>
      </c>
      <c r="N86" s="127">
        <f t="shared" si="1"/>
        <v>2.8121999999999998</v>
      </c>
    </row>
    <row r="87" spans="1:14">
      <c r="A87" s="121" t="s">
        <v>1323</v>
      </c>
      <c r="B87" s="121" t="s">
        <v>1324</v>
      </c>
      <c r="C87" s="121">
        <v>1</v>
      </c>
      <c r="D87" s="121" t="s">
        <v>1117</v>
      </c>
      <c r="E87" s="125">
        <v>44795</v>
      </c>
      <c r="F87" s="121" t="s">
        <v>1118</v>
      </c>
      <c r="G87" s="121" t="s">
        <v>1325</v>
      </c>
      <c r="H87" s="121">
        <v>5.7000000000000002E-2</v>
      </c>
      <c r="I87" s="121" t="s">
        <v>1120</v>
      </c>
      <c r="J87" s="121" t="s">
        <v>96</v>
      </c>
      <c r="K87" s="121">
        <v>23495</v>
      </c>
      <c r="L87" s="122">
        <v>45</v>
      </c>
      <c r="M87" s="126">
        <v>5.7000000000000002E-2</v>
      </c>
      <c r="N87" s="127">
        <f t="shared" si="1"/>
        <v>2.5649999999999999</v>
      </c>
    </row>
    <row r="88" spans="1:14">
      <c r="A88" s="121" t="s">
        <v>1326</v>
      </c>
      <c r="B88" s="121" t="s">
        <v>1327</v>
      </c>
      <c r="C88" s="121">
        <v>1</v>
      </c>
      <c r="D88" s="121" t="s">
        <v>1123</v>
      </c>
      <c r="E88" s="125">
        <v>44795</v>
      </c>
      <c r="F88" s="121" t="s">
        <v>1118</v>
      </c>
      <c r="G88" s="121" t="s">
        <v>1143</v>
      </c>
      <c r="H88" s="121">
        <v>1.44E-2</v>
      </c>
      <c r="I88" s="121" t="s">
        <v>1120</v>
      </c>
      <c r="J88" s="121" t="s">
        <v>96</v>
      </c>
      <c r="K88" s="121">
        <v>14491</v>
      </c>
      <c r="L88" s="122">
        <v>41</v>
      </c>
      <c r="M88" s="126">
        <v>1.44E-2</v>
      </c>
      <c r="N88" s="127">
        <f t="shared" si="1"/>
        <v>0.59040000000000004</v>
      </c>
    </row>
    <row r="89" spans="1:14">
      <c r="A89" s="121" t="s">
        <v>1328</v>
      </c>
      <c r="B89" s="121" t="s">
        <v>1329</v>
      </c>
      <c r="C89" s="121">
        <v>1</v>
      </c>
      <c r="D89" s="121" t="s">
        <v>1220</v>
      </c>
      <c r="E89" s="125">
        <v>44793</v>
      </c>
      <c r="F89" s="121" t="s">
        <v>1118</v>
      </c>
      <c r="G89" s="121" t="s">
        <v>1131</v>
      </c>
      <c r="H89" s="121">
        <v>7.3999999999999996E-2</v>
      </c>
      <c r="I89" s="121" t="s">
        <v>1120</v>
      </c>
      <c r="J89" s="121" t="s">
        <v>96</v>
      </c>
      <c r="K89" s="121">
        <v>25608</v>
      </c>
      <c r="L89" s="122">
        <v>39</v>
      </c>
      <c r="M89" s="126">
        <v>7.3999999999999996E-2</v>
      </c>
      <c r="N89" s="127">
        <f t="shared" si="1"/>
        <v>2.8859999999999997</v>
      </c>
    </row>
    <row r="90" spans="1:14">
      <c r="A90" s="121" t="s">
        <v>1330</v>
      </c>
      <c r="B90" s="121" t="s">
        <v>1331</v>
      </c>
      <c r="C90" s="121">
        <v>1</v>
      </c>
      <c r="D90" s="121" t="s">
        <v>1332</v>
      </c>
      <c r="E90" s="125">
        <v>44795</v>
      </c>
      <c r="F90" s="121" t="s">
        <v>1149</v>
      </c>
      <c r="G90" s="121" t="s">
        <v>1150</v>
      </c>
      <c r="H90" s="121">
        <v>0.38550000000000001</v>
      </c>
      <c r="I90" s="121" t="s">
        <v>1120</v>
      </c>
      <c r="J90" s="121" t="s">
        <v>96</v>
      </c>
      <c r="K90" s="121">
        <v>24251</v>
      </c>
      <c r="L90" s="122">
        <v>46</v>
      </c>
      <c r="M90" s="126">
        <v>0.38550000000000001</v>
      </c>
      <c r="N90" s="127">
        <f t="shared" si="1"/>
        <v>17.733000000000001</v>
      </c>
    </row>
    <row r="91" spans="1:14">
      <c r="A91" s="121" t="s">
        <v>1333</v>
      </c>
      <c r="B91" s="121" t="s">
        <v>1334</v>
      </c>
      <c r="C91" s="121">
        <v>1</v>
      </c>
      <c r="D91" s="121" t="s">
        <v>1163</v>
      </c>
      <c r="E91" s="125">
        <v>44795</v>
      </c>
      <c r="F91" s="121" t="s">
        <v>1149</v>
      </c>
      <c r="G91" s="121" t="s">
        <v>1150</v>
      </c>
      <c r="H91" s="121">
        <v>0.2092</v>
      </c>
      <c r="I91" s="121" t="s">
        <v>1120</v>
      </c>
      <c r="J91" s="121" t="s">
        <v>96</v>
      </c>
      <c r="K91" s="121">
        <v>23850</v>
      </c>
      <c r="L91" s="122">
        <v>45</v>
      </c>
      <c r="M91" s="126">
        <v>0.2092</v>
      </c>
      <c r="N91" s="127">
        <f t="shared" si="1"/>
        <v>9.4139999999999997</v>
      </c>
    </row>
    <row r="92" spans="1:14">
      <c r="A92" s="121" t="s">
        <v>1335</v>
      </c>
      <c r="B92" s="121" t="s">
        <v>1336</v>
      </c>
      <c r="C92" s="121">
        <v>1</v>
      </c>
      <c r="D92" s="121" t="s">
        <v>1117</v>
      </c>
      <c r="E92" s="125">
        <v>16462</v>
      </c>
      <c r="F92" s="121" t="s">
        <v>1118</v>
      </c>
      <c r="G92" s="121" t="s">
        <v>1143</v>
      </c>
      <c r="H92" s="121">
        <v>0.1062</v>
      </c>
      <c r="I92" s="121" t="s">
        <v>1120</v>
      </c>
      <c r="J92" s="121" t="s">
        <v>96</v>
      </c>
      <c r="K92" s="121">
        <v>14487</v>
      </c>
      <c r="L92" s="122">
        <v>36</v>
      </c>
      <c r="M92" s="126">
        <v>0.10630000000000001</v>
      </c>
      <c r="N92" s="127">
        <f t="shared" si="1"/>
        <v>3.8268000000000004</v>
      </c>
    </row>
    <row r="93" spans="1:14">
      <c r="A93" s="121" t="s">
        <v>1337</v>
      </c>
      <c r="B93" s="121" t="s">
        <v>1338</v>
      </c>
      <c r="C93" s="121">
        <v>1</v>
      </c>
      <c r="D93" s="121" t="s">
        <v>1339</v>
      </c>
      <c r="E93" s="125">
        <v>44726</v>
      </c>
      <c r="F93" s="121" t="s">
        <v>1149</v>
      </c>
      <c r="G93" s="121" t="s">
        <v>1150</v>
      </c>
      <c r="H93" s="121">
        <v>5.04E-2</v>
      </c>
      <c r="I93" s="121" t="s">
        <v>1120</v>
      </c>
      <c r="J93" s="121" t="s">
        <v>96</v>
      </c>
      <c r="K93" s="121">
        <v>24251</v>
      </c>
      <c r="L93" s="122">
        <v>46</v>
      </c>
      <c r="M93" s="126">
        <v>5.04E-2</v>
      </c>
      <c r="N93" s="127">
        <f t="shared" si="1"/>
        <v>2.3184</v>
      </c>
    </row>
    <row r="94" spans="1:14">
      <c r="A94" s="121" t="s">
        <v>1340</v>
      </c>
      <c r="B94" s="121" t="s">
        <v>1341</v>
      </c>
      <c r="C94" s="121">
        <v>1</v>
      </c>
      <c r="D94" s="121" t="s">
        <v>1117</v>
      </c>
      <c r="E94" s="125">
        <v>44808</v>
      </c>
      <c r="F94" s="121" t="s">
        <v>1118</v>
      </c>
      <c r="G94" s="121" t="s">
        <v>1131</v>
      </c>
      <c r="H94" s="121">
        <v>1.4E-2</v>
      </c>
      <c r="I94" s="121" t="s">
        <v>1120</v>
      </c>
      <c r="J94" s="121" t="s">
        <v>96</v>
      </c>
      <c r="K94" s="121">
        <v>26435</v>
      </c>
      <c r="L94" s="122">
        <v>21</v>
      </c>
      <c r="M94" s="126">
        <v>2.0799999999999999E-2</v>
      </c>
      <c r="N94" s="127">
        <f t="shared" si="1"/>
        <v>0.43679999999999997</v>
      </c>
    </row>
    <row r="95" spans="1:14">
      <c r="A95" s="121" t="s">
        <v>1342</v>
      </c>
      <c r="B95" s="121" t="s">
        <v>1343</v>
      </c>
      <c r="C95" s="121">
        <v>1</v>
      </c>
      <c r="D95" s="121" t="s">
        <v>1117</v>
      </c>
      <c r="E95" s="125">
        <v>44795</v>
      </c>
      <c r="F95" s="121" t="s">
        <v>1118</v>
      </c>
      <c r="G95" s="121" t="s">
        <v>1325</v>
      </c>
      <c r="H95" s="121">
        <v>4.1300000000000003E-2</v>
      </c>
      <c r="I95" s="121" t="s">
        <v>1120</v>
      </c>
      <c r="J95" s="121" t="s">
        <v>96</v>
      </c>
      <c r="K95" s="121">
        <v>23496</v>
      </c>
      <c r="L95" s="122">
        <v>47</v>
      </c>
      <c r="M95" s="126">
        <v>4.1300000000000003E-2</v>
      </c>
      <c r="N95" s="127">
        <f t="shared" si="1"/>
        <v>1.9411</v>
      </c>
    </row>
    <row r="96" spans="1:14">
      <c r="A96" s="121" t="s">
        <v>1344</v>
      </c>
      <c r="B96" s="121" t="s">
        <v>1345</v>
      </c>
      <c r="C96" s="121">
        <v>1</v>
      </c>
      <c r="D96" s="121" t="s">
        <v>1160</v>
      </c>
      <c r="E96" s="125">
        <v>44756</v>
      </c>
      <c r="F96" s="121" t="s">
        <v>1149</v>
      </c>
      <c r="G96" s="121" t="s">
        <v>1150</v>
      </c>
      <c r="H96" s="121">
        <v>5.1900000000000002E-2</v>
      </c>
      <c r="I96" s="121" t="s">
        <v>1120</v>
      </c>
      <c r="J96" s="121" t="s">
        <v>96</v>
      </c>
      <c r="K96" s="121">
        <v>24251</v>
      </c>
      <c r="L96" s="122">
        <v>46</v>
      </c>
      <c r="M96" s="126">
        <v>5.1900000000000002E-2</v>
      </c>
      <c r="N96" s="127">
        <f t="shared" si="1"/>
        <v>2.3874</v>
      </c>
    </row>
    <row r="97" spans="1:14">
      <c r="A97" s="121" t="s">
        <v>1346</v>
      </c>
      <c r="B97" s="121" t="s">
        <v>1347</v>
      </c>
      <c r="C97" s="121">
        <v>1</v>
      </c>
      <c r="D97" s="121" t="s">
        <v>1166</v>
      </c>
      <c r="E97" s="125">
        <v>44707</v>
      </c>
      <c r="F97" s="121" t="s">
        <v>1118</v>
      </c>
      <c r="G97" s="121" t="s">
        <v>1143</v>
      </c>
      <c r="H97" s="121">
        <v>5.2499999999999998E-2</v>
      </c>
      <c r="I97" s="121" t="s">
        <v>1120</v>
      </c>
      <c r="J97" s="121" t="s">
        <v>96</v>
      </c>
      <c r="K97" s="121">
        <v>25638</v>
      </c>
      <c r="L97" s="122">
        <v>34</v>
      </c>
      <c r="M97" s="126">
        <v>5.2499999999999998E-2</v>
      </c>
      <c r="N97" s="127">
        <f t="shared" si="1"/>
        <v>1.7849999999999999</v>
      </c>
    </row>
    <row r="98" spans="1:14">
      <c r="A98" s="121" t="s">
        <v>1348</v>
      </c>
      <c r="B98" s="121" t="s">
        <v>1349</v>
      </c>
      <c r="C98" s="121">
        <v>1</v>
      </c>
      <c r="D98" s="121" t="s">
        <v>1235</v>
      </c>
      <c r="E98" s="125">
        <v>44795</v>
      </c>
      <c r="F98" s="121" t="s">
        <v>1118</v>
      </c>
      <c r="G98" s="121" t="s">
        <v>1177</v>
      </c>
      <c r="H98" s="121">
        <v>0.17580000000000001</v>
      </c>
      <c r="I98" s="121" t="s">
        <v>1120</v>
      </c>
      <c r="J98" s="121" t="s">
        <v>96</v>
      </c>
      <c r="K98" s="121">
        <v>21546</v>
      </c>
      <c r="L98" s="122">
        <v>37</v>
      </c>
      <c r="M98" s="126">
        <v>0.17580000000000001</v>
      </c>
      <c r="N98" s="127">
        <f t="shared" si="1"/>
        <v>6.5046000000000008</v>
      </c>
    </row>
    <row r="99" spans="1:14">
      <c r="A99" s="121" t="s">
        <v>1350</v>
      </c>
      <c r="B99" s="121" t="s">
        <v>1351</v>
      </c>
      <c r="C99" s="121">
        <v>1</v>
      </c>
      <c r="D99" s="121" t="s">
        <v>1352</v>
      </c>
      <c r="E99" s="125">
        <v>44840</v>
      </c>
      <c r="F99" s="121" t="s">
        <v>1118</v>
      </c>
      <c r="G99" s="121" t="s">
        <v>1119</v>
      </c>
      <c r="H99" s="121">
        <v>2.5999999999999999E-2</v>
      </c>
      <c r="I99" s="121" t="s">
        <v>1120</v>
      </c>
      <c r="J99" s="121" t="s">
        <v>96</v>
      </c>
      <c r="K99" s="121">
        <v>16711</v>
      </c>
      <c r="L99" s="122">
        <v>46</v>
      </c>
      <c r="M99" s="126">
        <v>2.5999999999999999E-2</v>
      </c>
      <c r="N99" s="127">
        <f t="shared" si="1"/>
        <v>1.196</v>
      </c>
    </row>
    <row r="100" spans="1:14">
      <c r="A100" s="121" t="s">
        <v>1353</v>
      </c>
      <c r="B100" s="121" t="s">
        <v>1354</v>
      </c>
      <c r="C100" s="121">
        <v>1</v>
      </c>
      <c r="D100" s="121" t="s">
        <v>1160</v>
      </c>
      <c r="E100" s="125">
        <v>44795</v>
      </c>
      <c r="F100" s="121" t="s">
        <v>1118</v>
      </c>
      <c r="G100" s="121" t="s">
        <v>1177</v>
      </c>
      <c r="H100" s="121">
        <v>0.1414</v>
      </c>
      <c r="I100" s="121" t="s">
        <v>1120</v>
      </c>
      <c r="J100" s="121" t="s">
        <v>96</v>
      </c>
      <c r="K100" s="121">
        <v>20392</v>
      </c>
      <c r="L100" s="122">
        <v>40</v>
      </c>
      <c r="M100" s="126">
        <v>0.1414</v>
      </c>
      <c r="N100" s="127">
        <f t="shared" si="1"/>
        <v>5.6559999999999997</v>
      </c>
    </row>
    <row r="101" spans="1:14">
      <c r="A101" s="121" t="s">
        <v>1355</v>
      </c>
      <c r="B101" s="121" t="s">
        <v>1356</v>
      </c>
      <c r="C101" s="121">
        <v>1</v>
      </c>
      <c r="D101" s="121" t="s">
        <v>1264</v>
      </c>
      <c r="E101" s="125">
        <v>44795</v>
      </c>
      <c r="F101" s="121" t="s">
        <v>1118</v>
      </c>
      <c r="G101" s="121" t="s">
        <v>1177</v>
      </c>
      <c r="H101" s="121">
        <v>0.1454</v>
      </c>
      <c r="I101" s="121" t="s">
        <v>1120</v>
      </c>
      <c r="J101" s="121" t="s">
        <v>96</v>
      </c>
      <c r="K101" s="121">
        <v>21547</v>
      </c>
      <c r="L101" s="122">
        <v>40</v>
      </c>
      <c r="M101" s="126">
        <v>0.1454</v>
      </c>
      <c r="N101" s="127">
        <f t="shared" si="1"/>
        <v>5.8159999999999998</v>
      </c>
    </row>
    <row r="102" spans="1:14">
      <c r="A102" s="121" t="s">
        <v>1357</v>
      </c>
      <c r="B102" s="121" t="s">
        <v>1358</v>
      </c>
      <c r="C102" s="121">
        <v>1</v>
      </c>
      <c r="D102" s="121" t="s">
        <v>1252</v>
      </c>
      <c r="E102" s="125">
        <v>44824</v>
      </c>
      <c r="F102" s="121" t="s">
        <v>1118</v>
      </c>
      <c r="G102" s="121" t="s">
        <v>1131</v>
      </c>
      <c r="H102" s="121">
        <v>8.2000000000000007E-3</v>
      </c>
      <c r="I102" s="121" t="s">
        <v>1120</v>
      </c>
      <c r="J102" s="121" t="s">
        <v>96</v>
      </c>
      <c r="K102" s="121">
        <v>14271</v>
      </c>
      <c r="L102" s="122">
        <v>45</v>
      </c>
      <c r="M102" s="126">
        <v>8.3999999999999995E-3</v>
      </c>
      <c r="N102" s="127">
        <f t="shared" si="1"/>
        <v>0.378</v>
      </c>
    </row>
    <row r="103" spans="1:14">
      <c r="A103" s="121" t="s">
        <v>1359</v>
      </c>
      <c r="B103" s="121" t="s">
        <v>1360</v>
      </c>
      <c r="C103" s="121">
        <v>1</v>
      </c>
      <c r="D103" s="121" t="s">
        <v>1235</v>
      </c>
      <c r="E103" s="125">
        <v>44795</v>
      </c>
      <c r="F103" s="121" t="s">
        <v>1124</v>
      </c>
      <c r="G103" s="121" t="s">
        <v>1124</v>
      </c>
      <c r="H103" s="121">
        <v>2.0299999999999999E-2</v>
      </c>
      <c r="I103" s="121" t="s">
        <v>1120</v>
      </c>
      <c r="J103" s="121" t="s">
        <v>96</v>
      </c>
      <c r="K103" s="121">
        <v>17308</v>
      </c>
      <c r="L103" s="122">
        <v>43</v>
      </c>
      <c r="M103" s="126">
        <v>2.0299999999999999E-2</v>
      </c>
      <c r="N103" s="127">
        <f t="shared" si="1"/>
        <v>0.8728999999999999</v>
      </c>
    </row>
    <row r="104" spans="1:14">
      <c r="A104" s="121" t="s">
        <v>1361</v>
      </c>
      <c r="B104" s="121" t="s">
        <v>1362</v>
      </c>
      <c r="C104" s="121">
        <v>1</v>
      </c>
      <c r="D104" s="121" t="s">
        <v>1117</v>
      </c>
      <c r="E104" s="125">
        <v>44828</v>
      </c>
      <c r="F104" s="121" t="s">
        <v>1118</v>
      </c>
      <c r="G104" s="121" t="s">
        <v>1119</v>
      </c>
      <c r="H104" s="121">
        <v>2.0199999999999999E-2</v>
      </c>
      <c r="I104" s="121" t="s">
        <v>1120</v>
      </c>
      <c r="J104" s="121" t="s">
        <v>96</v>
      </c>
      <c r="K104" s="121">
        <v>26438</v>
      </c>
      <c r="L104" s="122">
        <v>35</v>
      </c>
      <c r="M104" s="126">
        <v>2.0199999999999999E-2</v>
      </c>
      <c r="N104" s="127">
        <f t="shared" si="1"/>
        <v>0.70699999999999996</v>
      </c>
    </row>
    <row r="105" spans="1:14">
      <c r="A105" s="121" t="s">
        <v>1363</v>
      </c>
      <c r="B105" s="121" t="s">
        <v>1364</v>
      </c>
      <c r="C105" s="121">
        <v>1</v>
      </c>
      <c r="D105" s="121" t="s">
        <v>1117</v>
      </c>
      <c r="E105" s="125">
        <v>44795</v>
      </c>
      <c r="F105" s="121" t="s">
        <v>1124</v>
      </c>
      <c r="G105" s="121" t="s">
        <v>1124</v>
      </c>
      <c r="H105" s="121">
        <v>2.4299999999999999E-2</v>
      </c>
      <c r="I105" s="121" t="s">
        <v>1120</v>
      </c>
      <c r="J105" s="121" t="s">
        <v>96</v>
      </c>
      <c r="K105" s="121">
        <v>17308</v>
      </c>
      <c r="L105" s="122">
        <v>43</v>
      </c>
      <c r="M105" s="126">
        <v>2.4299999999999999E-2</v>
      </c>
      <c r="N105" s="127">
        <f t="shared" si="1"/>
        <v>1.0448999999999999</v>
      </c>
    </row>
    <row r="106" spans="1:14">
      <c r="A106" s="121" t="s">
        <v>1365</v>
      </c>
      <c r="B106" s="121" t="s">
        <v>1366</v>
      </c>
      <c r="C106" s="121">
        <v>1</v>
      </c>
      <c r="D106" s="121" t="s">
        <v>1123</v>
      </c>
      <c r="E106" s="125">
        <v>44809</v>
      </c>
      <c r="F106" s="121" t="s">
        <v>1118</v>
      </c>
      <c r="G106" s="121" t="s">
        <v>1131</v>
      </c>
      <c r="H106" s="121">
        <v>3.2000000000000002E-3</v>
      </c>
      <c r="I106" s="121" t="s">
        <v>1120</v>
      </c>
      <c r="J106" s="121" t="s">
        <v>96</v>
      </c>
      <c r="K106" s="121">
        <v>25833</v>
      </c>
      <c r="L106" s="122">
        <v>23</v>
      </c>
      <c r="M106" s="126">
        <v>3.2000000000000002E-3</v>
      </c>
      <c r="N106" s="127">
        <f t="shared" si="1"/>
        <v>7.3599999999999999E-2</v>
      </c>
    </row>
    <row r="107" spans="1:14">
      <c r="A107" s="121" t="s">
        <v>1367</v>
      </c>
      <c r="B107" s="121" t="s">
        <v>1368</v>
      </c>
      <c r="C107" s="121">
        <v>1</v>
      </c>
      <c r="D107" s="121" t="s">
        <v>1264</v>
      </c>
      <c r="E107" s="125">
        <v>44795</v>
      </c>
      <c r="F107" s="121" t="s">
        <v>1118</v>
      </c>
      <c r="G107" s="121" t="s">
        <v>1177</v>
      </c>
      <c r="H107" s="121">
        <v>0.10879999999999999</v>
      </c>
      <c r="I107" s="121" t="s">
        <v>1120</v>
      </c>
      <c r="J107" s="121" t="s">
        <v>96</v>
      </c>
      <c r="K107" s="121">
        <v>21547</v>
      </c>
      <c r="L107" s="122">
        <v>40</v>
      </c>
      <c r="M107" s="126">
        <v>0.10879999999999999</v>
      </c>
      <c r="N107" s="127">
        <f t="shared" si="1"/>
        <v>4.3519999999999994</v>
      </c>
    </row>
    <row r="108" spans="1:14">
      <c r="A108" s="121" t="s">
        <v>1369</v>
      </c>
      <c r="B108" s="121" t="s">
        <v>1370</v>
      </c>
      <c r="C108" s="121">
        <v>1</v>
      </c>
      <c r="D108" s="121" t="s">
        <v>1123</v>
      </c>
      <c r="E108" s="125">
        <v>44762</v>
      </c>
      <c r="F108" s="121" t="s">
        <v>1118</v>
      </c>
      <c r="G108" s="121" t="s">
        <v>1131</v>
      </c>
      <c r="H108" s="121">
        <v>0.73409999999999997</v>
      </c>
      <c r="I108" s="121" t="s">
        <v>1120</v>
      </c>
      <c r="J108" s="121" t="s">
        <v>96</v>
      </c>
      <c r="K108" s="121">
        <v>14643</v>
      </c>
      <c r="L108" s="122">
        <v>43</v>
      </c>
      <c r="M108" s="126">
        <v>0.73409999999999997</v>
      </c>
      <c r="N108" s="127">
        <f t="shared" si="1"/>
        <v>31.566299999999998</v>
      </c>
    </row>
    <row r="109" spans="1:14">
      <c r="A109" s="121" t="s">
        <v>1371</v>
      </c>
      <c r="B109" s="121" t="s">
        <v>1372</v>
      </c>
      <c r="C109" s="121">
        <v>1</v>
      </c>
      <c r="D109" s="121" t="s">
        <v>1123</v>
      </c>
      <c r="E109" s="125">
        <v>44795</v>
      </c>
      <c r="F109" s="121" t="s">
        <v>1149</v>
      </c>
      <c r="G109" s="121" t="s">
        <v>1150</v>
      </c>
      <c r="H109" s="121">
        <v>0.59599999999999997</v>
      </c>
      <c r="I109" s="121" t="s">
        <v>1120</v>
      </c>
      <c r="J109" s="121" t="s">
        <v>96</v>
      </c>
      <c r="K109" s="121">
        <v>24256</v>
      </c>
      <c r="L109" s="122">
        <v>45</v>
      </c>
      <c r="M109" s="126">
        <v>0.55310000000000004</v>
      </c>
      <c r="N109" s="127">
        <f t="shared" si="1"/>
        <v>24.889500000000002</v>
      </c>
    </row>
    <row r="110" spans="1:14">
      <c r="A110" s="121" t="s">
        <v>1371</v>
      </c>
      <c r="B110" s="121" t="s">
        <v>1372</v>
      </c>
      <c r="C110" s="121">
        <v>1</v>
      </c>
      <c r="D110" s="121" t="s">
        <v>1123</v>
      </c>
      <c r="E110" s="125">
        <v>44795</v>
      </c>
      <c r="F110" s="121" t="s">
        <v>1149</v>
      </c>
      <c r="G110" s="121" t="s">
        <v>1150</v>
      </c>
      <c r="H110" s="121">
        <v>0.59599999999999997</v>
      </c>
      <c r="I110" s="121" t="s">
        <v>1120</v>
      </c>
      <c r="J110" s="121" t="s">
        <v>96</v>
      </c>
      <c r="K110" s="121">
        <v>24439</v>
      </c>
      <c r="L110" s="122">
        <v>42</v>
      </c>
      <c r="M110" s="126">
        <v>4.2900000000000001E-2</v>
      </c>
      <c r="N110" s="127">
        <f t="shared" si="1"/>
        <v>1.8018000000000001</v>
      </c>
    </row>
    <row r="111" spans="1:14">
      <c r="A111" s="121" t="s">
        <v>1373</v>
      </c>
      <c r="B111" s="121" t="s">
        <v>1374</v>
      </c>
      <c r="C111" s="121">
        <v>1</v>
      </c>
      <c r="D111" s="121" t="s">
        <v>1117</v>
      </c>
      <c r="E111" s="125">
        <v>44818</v>
      </c>
      <c r="F111" s="121" t="s">
        <v>1118</v>
      </c>
      <c r="G111" s="121" t="s">
        <v>1177</v>
      </c>
      <c r="H111" s="121">
        <v>0.1389</v>
      </c>
      <c r="I111" s="121" t="s">
        <v>1120</v>
      </c>
      <c r="J111" s="121" t="s">
        <v>96</v>
      </c>
      <c r="K111" s="121">
        <v>14271</v>
      </c>
      <c r="L111" s="122">
        <v>45</v>
      </c>
      <c r="M111" s="126">
        <v>0.13919999999999999</v>
      </c>
      <c r="N111" s="127">
        <f t="shared" si="1"/>
        <v>6.2639999999999993</v>
      </c>
    </row>
    <row r="112" spans="1:14">
      <c r="A112" s="121" t="s">
        <v>1375</v>
      </c>
      <c r="B112" s="121" t="s">
        <v>1376</v>
      </c>
      <c r="C112" s="121">
        <v>1</v>
      </c>
      <c r="D112" s="121" t="s">
        <v>1130</v>
      </c>
      <c r="E112" s="125">
        <v>44795</v>
      </c>
      <c r="F112" s="121" t="s">
        <v>1118</v>
      </c>
      <c r="G112" s="121" t="s">
        <v>1177</v>
      </c>
      <c r="H112" s="121">
        <v>0.26</v>
      </c>
      <c r="I112" s="121" t="s">
        <v>1120</v>
      </c>
      <c r="J112" s="121" t="s">
        <v>96</v>
      </c>
      <c r="K112" s="121">
        <v>21546</v>
      </c>
      <c r="L112" s="122">
        <v>37</v>
      </c>
      <c r="M112" s="126">
        <v>0.26</v>
      </c>
      <c r="N112" s="127">
        <f t="shared" si="1"/>
        <v>9.620000000000001</v>
      </c>
    </row>
    <row r="113" spans="1:14">
      <c r="A113" s="121" t="s">
        <v>1377</v>
      </c>
      <c r="B113" s="121" t="s">
        <v>1378</v>
      </c>
      <c r="C113" s="121">
        <v>1</v>
      </c>
      <c r="D113" s="121" t="s">
        <v>1220</v>
      </c>
      <c r="E113" s="125">
        <v>44798</v>
      </c>
      <c r="F113" s="121" t="s">
        <v>1118</v>
      </c>
      <c r="G113" s="121" t="s">
        <v>1131</v>
      </c>
      <c r="H113" s="121">
        <v>6.3E-3</v>
      </c>
      <c r="I113" s="121" t="s">
        <v>1120</v>
      </c>
      <c r="J113" s="121" t="s">
        <v>96</v>
      </c>
      <c r="K113" s="121">
        <v>26207</v>
      </c>
      <c r="L113" s="122">
        <v>42</v>
      </c>
      <c r="M113" s="126">
        <v>6.3E-3</v>
      </c>
      <c r="N113" s="127">
        <f t="shared" si="1"/>
        <v>0.2646</v>
      </c>
    </row>
    <row r="114" spans="1:14">
      <c r="A114" s="121" t="s">
        <v>1379</v>
      </c>
      <c r="B114" s="121" t="s">
        <v>1380</v>
      </c>
      <c r="C114" s="121">
        <v>1</v>
      </c>
      <c r="D114" s="121" t="s">
        <v>1123</v>
      </c>
      <c r="E114" s="125">
        <v>44795</v>
      </c>
      <c r="F114" s="121" t="s">
        <v>1149</v>
      </c>
      <c r="G114" s="121" t="s">
        <v>1150</v>
      </c>
      <c r="H114" s="121">
        <v>0.40870000000000001</v>
      </c>
      <c r="I114" s="121" t="s">
        <v>1120</v>
      </c>
      <c r="J114" s="121" t="s">
        <v>96</v>
      </c>
      <c r="K114" s="121">
        <v>23849</v>
      </c>
      <c r="L114" s="122">
        <v>46</v>
      </c>
      <c r="M114" s="126">
        <v>0.40870000000000001</v>
      </c>
      <c r="N114" s="127">
        <f t="shared" si="1"/>
        <v>18.8002</v>
      </c>
    </row>
    <row r="115" spans="1:14">
      <c r="A115" s="121" t="s">
        <v>1381</v>
      </c>
      <c r="B115" s="121" t="s">
        <v>1382</v>
      </c>
      <c r="C115" s="121">
        <v>1</v>
      </c>
      <c r="D115" s="121" t="s">
        <v>1117</v>
      </c>
      <c r="E115" s="125">
        <v>44795</v>
      </c>
      <c r="F115" s="121" t="s">
        <v>1118</v>
      </c>
      <c r="G115" s="121" t="s">
        <v>1325</v>
      </c>
      <c r="H115" s="121">
        <v>5.7000000000000002E-2</v>
      </c>
      <c r="I115" s="121" t="s">
        <v>1120</v>
      </c>
      <c r="J115" s="121" t="s">
        <v>96</v>
      </c>
      <c r="K115" s="121">
        <v>23496</v>
      </c>
      <c r="L115" s="122">
        <v>47</v>
      </c>
      <c r="M115" s="126">
        <v>5.7000000000000002E-2</v>
      </c>
      <c r="N115" s="127">
        <f t="shared" si="1"/>
        <v>2.6790000000000003</v>
      </c>
    </row>
    <row r="116" spans="1:14">
      <c r="A116" s="121" t="s">
        <v>1383</v>
      </c>
      <c r="B116" s="121" t="s">
        <v>1384</v>
      </c>
      <c r="C116" s="121">
        <v>1</v>
      </c>
      <c r="D116" s="121" t="s">
        <v>1220</v>
      </c>
      <c r="E116" s="125">
        <v>44795</v>
      </c>
      <c r="F116" s="121" t="s">
        <v>1124</v>
      </c>
      <c r="G116" s="121" t="s">
        <v>1124</v>
      </c>
      <c r="H116" s="121">
        <v>3.78E-2</v>
      </c>
      <c r="I116" s="121" t="s">
        <v>1120</v>
      </c>
      <c r="J116" s="121" t="s">
        <v>96</v>
      </c>
      <c r="K116" s="121">
        <v>17308</v>
      </c>
      <c r="L116" s="122">
        <v>43</v>
      </c>
      <c r="M116" s="126">
        <v>3.78E-2</v>
      </c>
      <c r="N116" s="127">
        <f t="shared" si="1"/>
        <v>1.6254</v>
      </c>
    </row>
    <row r="117" spans="1:14">
      <c r="A117" s="121" t="s">
        <v>1385</v>
      </c>
      <c r="B117" s="121" t="s">
        <v>1386</v>
      </c>
      <c r="C117" s="121">
        <v>1</v>
      </c>
      <c r="D117" s="121" t="s">
        <v>1160</v>
      </c>
      <c r="E117" s="125">
        <v>44793</v>
      </c>
      <c r="F117" s="121" t="s">
        <v>1118</v>
      </c>
      <c r="G117" s="121" t="s">
        <v>1143</v>
      </c>
      <c r="H117" s="121">
        <v>5.3600000000000002E-2</v>
      </c>
      <c r="I117" s="121" t="s">
        <v>1120</v>
      </c>
      <c r="J117" s="121" t="s">
        <v>96</v>
      </c>
      <c r="K117" s="121">
        <v>26737</v>
      </c>
      <c r="L117" s="122">
        <v>32</v>
      </c>
      <c r="M117" s="126">
        <v>5.3600000000000002E-2</v>
      </c>
      <c r="N117" s="127">
        <f t="shared" si="1"/>
        <v>1.7152000000000001</v>
      </c>
    </row>
    <row r="118" spans="1:14">
      <c r="A118" s="121" t="s">
        <v>1387</v>
      </c>
      <c r="B118" s="121" t="s">
        <v>1388</v>
      </c>
      <c r="C118" s="121">
        <v>1</v>
      </c>
      <c r="D118" s="121" t="s">
        <v>1163</v>
      </c>
      <c r="E118" s="125">
        <v>44795</v>
      </c>
      <c r="F118" s="121" t="s">
        <v>1149</v>
      </c>
      <c r="G118" s="121" t="s">
        <v>1150</v>
      </c>
      <c r="H118" s="121">
        <v>0.18559999999999999</v>
      </c>
      <c r="I118" s="121" t="s">
        <v>1120</v>
      </c>
      <c r="J118" s="121" t="s">
        <v>96</v>
      </c>
      <c r="K118" s="121">
        <v>23850</v>
      </c>
      <c r="L118" s="122">
        <v>45</v>
      </c>
      <c r="M118" s="126">
        <v>0.18559999999999999</v>
      </c>
      <c r="N118" s="127">
        <f t="shared" si="1"/>
        <v>8.3520000000000003</v>
      </c>
    </row>
    <row r="119" spans="1:14">
      <c r="A119" s="121" t="s">
        <v>1389</v>
      </c>
      <c r="B119" s="121" t="s">
        <v>1390</v>
      </c>
      <c r="C119" s="121">
        <v>1</v>
      </c>
      <c r="D119" s="121" t="s">
        <v>1203</v>
      </c>
      <c r="E119" s="125">
        <v>44791</v>
      </c>
      <c r="F119" s="121" t="s">
        <v>1118</v>
      </c>
      <c r="G119" s="121" t="s">
        <v>1265</v>
      </c>
      <c r="H119" s="121">
        <v>0.55159999999999998</v>
      </c>
      <c r="I119" s="121" t="s">
        <v>1120</v>
      </c>
      <c r="J119" s="121" t="s">
        <v>96</v>
      </c>
      <c r="K119" s="121">
        <v>19440</v>
      </c>
      <c r="L119" s="122">
        <v>43</v>
      </c>
      <c r="M119" s="126">
        <v>0.52049999999999996</v>
      </c>
      <c r="N119" s="127">
        <f t="shared" si="1"/>
        <v>22.381499999999999</v>
      </c>
    </row>
    <row r="120" spans="1:14">
      <c r="A120" s="121" t="s">
        <v>1389</v>
      </c>
      <c r="B120" s="121" t="s">
        <v>1390</v>
      </c>
      <c r="C120" s="121">
        <v>1</v>
      </c>
      <c r="D120" s="121" t="s">
        <v>1203</v>
      </c>
      <c r="E120" s="125">
        <v>44791</v>
      </c>
      <c r="F120" s="121" t="s">
        <v>1118</v>
      </c>
      <c r="G120" s="121" t="s">
        <v>1265</v>
      </c>
      <c r="H120" s="121">
        <v>0.55159999999999998</v>
      </c>
      <c r="I120" s="121" t="s">
        <v>1120</v>
      </c>
      <c r="J120" s="121" t="s">
        <v>96</v>
      </c>
      <c r="K120" s="121">
        <v>19627</v>
      </c>
      <c r="L120" s="122">
        <v>40</v>
      </c>
      <c r="M120" s="126">
        <v>3.1099999999999999E-2</v>
      </c>
      <c r="N120" s="127">
        <f t="shared" si="1"/>
        <v>1.244</v>
      </c>
    </row>
    <row r="121" spans="1:14">
      <c r="A121" s="121" t="s">
        <v>1391</v>
      </c>
      <c r="B121" s="121" t="s">
        <v>1392</v>
      </c>
      <c r="C121" s="121">
        <v>1</v>
      </c>
      <c r="D121" s="121" t="s">
        <v>1123</v>
      </c>
      <c r="E121" s="125">
        <v>44880</v>
      </c>
      <c r="F121" s="121" t="s">
        <v>1118</v>
      </c>
      <c r="G121" s="121" t="s">
        <v>1124</v>
      </c>
      <c r="H121" s="121">
        <v>4.8399999999999999E-2</v>
      </c>
      <c r="I121" s="121" t="s">
        <v>1120</v>
      </c>
      <c r="J121" s="121" t="s">
        <v>96</v>
      </c>
      <c r="K121" s="121">
        <v>14487</v>
      </c>
      <c r="L121" s="122">
        <v>36</v>
      </c>
      <c r="M121" s="126">
        <v>4.8399999999999999E-2</v>
      </c>
      <c r="N121" s="127">
        <f t="shared" si="1"/>
        <v>1.7423999999999999</v>
      </c>
    </row>
    <row r="122" spans="1:14">
      <c r="A122" s="121" t="s">
        <v>1393</v>
      </c>
      <c r="B122" s="121" t="s">
        <v>1394</v>
      </c>
      <c r="C122" s="121">
        <v>1</v>
      </c>
      <c r="D122" s="121" t="s">
        <v>1163</v>
      </c>
      <c r="E122" s="125">
        <v>44810</v>
      </c>
      <c r="F122" s="121" t="s">
        <v>1118</v>
      </c>
      <c r="G122" s="121" t="s">
        <v>1177</v>
      </c>
      <c r="H122" s="121">
        <v>3.2800000000000003E-2</v>
      </c>
      <c r="I122" s="121" t="s">
        <v>1120</v>
      </c>
      <c r="J122" s="121" t="s">
        <v>96</v>
      </c>
      <c r="K122" s="121">
        <v>21546</v>
      </c>
      <c r="L122" s="122">
        <v>37</v>
      </c>
      <c r="M122" s="126">
        <v>3.2800000000000003E-2</v>
      </c>
      <c r="N122" s="127">
        <f t="shared" si="1"/>
        <v>1.2136</v>
      </c>
    </row>
    <row r="123" spans="1:14">
      <c r="A123" s="121" t="s">
        <v>1395</v>
      </c>
      <c r="B123" s="121" t="s">
        <v>1396</v>
      </c>
      <c r="C123" s="121">
        <v>1</v>
      </c>
      <c r="D123" s="121" t="s">
        <v>1397</v>
      </c>
      <c r="E123" s="125">
        <v>44795</v>
      </c>
      <c r="F123" s="121" t="s">
        <v>1118</v>
      </c>
      <c r="G123" s="121" t="s">
        <v>1177</v>
      </c>
      <c r="H123" s="121">
        <v>0.19500000000000001</v>
      </c>
      <c r="I123" s="121" t="s">
        <v>1120</v>
      </c>
      <c r="J123" s="121" t="s">
        <v>96</v>
      </c>
      <c r="K123" s="121">
        <v>20392</v>
      </c>
      <c r="L123" s="122">
        <v>40</v>
      </c>
      <c r="M123" s="126">
        <v>0.19500000000000001</v>
      </c>
      <c r="N123" s="127">
        <f t="shared" si="1"/>
        <v>7.8000000000000007</v>
      </c>
    </row>
    <row r="124" spans="1:14">
      <c r="A124" s="121" t="s">
        <v>1398</v>
      </c>
      <c r="B124" s="121" t="s">
        <v>1399</v>
      </c>
      <c r="C124" s="121">
        <v>1</v>
      </c>
      <c r="D124" s="121"/>
      <c r="E124" s="125">
        <v>44795</v>
      </c>
      <c r="F124" s="121" t="s">
        <v>1124</v>
      </c>
      <c r="G124" s="121" t="s">
        <v>1124</v>
      </c>
      <c r="H124" s="121">
        <v>9.3600000000000003E-2</v>
      </c>
      <c r="I124" s="121" t="s">
        <v>1120</v>
      </c>
      <c r="J124" s="121" t="s">
        <v>96</v>
      </c>
      <c r="K124" s="121">
        <v>17308</v>
      </c>
      <c r="L124" s="122">
        <v>43</v>
      </c>
      <c r="M124" s="126">
        <v>9.3600000000000003E-2</v>
      </c>
      <c r="N124" s="127">
        <f t="shared" si="1"/>
        <v>4.0247999999999999</v>
      </c>
    </row>
    <row r="125" spans="1:14">
      <c r="A125" s="121" t="s">
        <v>1400</v>
      </c>
      <c r="B125" s="121" t="s">
        <v>1401</v>
      </c>
      <c r="C125" s="121">
        <v>1</v>
      </c>
      <c r="D125" s="121" t="s">
        <v>1402</v>
      </c>
      <c r="E125" s="125">
        <v>44762</v>
      </c>
      <c r="F125" s="121" t="s">
        <v>1118</v>
      </c>
      <c r="G125" s="121" t="s">
        <v>1131</v>
      </c>
      <c r="H125" s="121">
        <v>9.2899999999999996E-2</v>
      </c>
      <c r="I125" s="121" t="s">
        <v>1120</v>
      </c>
      <c r="J125" s="121" t="s">
        <v>96</v>
      </c>
      <c r="K125" s="121">
        <v>22268</v>
      </c>
      <c r="L125" s="122">
        <v>47</v>
      </c>
      <c r="M125" s="126">
        <v>9.2899999999999996E-2</v>
      </c>
      <c r="N125" s="127">
        <f t="shared" si="1"/>
        <v>4.3662999999999998</v>
      </c>
    </row>
    <row r="126" spans="1:14">
      <c r="A126" s="121" t="s">
        <v>1403</v>
      </c>
      <c r="B126" s="121" t="s">
        <v>1404</v>
      </c>
      <c r="C126" s="121">
        <v>1</v>
      </c>
      <c r="D126" s="121" t="s">
        <v>1405</v>
      </c>
      <c r="E126" s="125">
        <v>44746</v>
      </c>
      <c r="F126" s="121" t="s">
        <v>1149</v>
      </c>
      <c r="G126" s="121" t="s">
        <v>1150</v>
      </c>
      <c r="H126" s="121">
        <v>2.2499999999999999E-2</v>
      </c>
      <c r="I126" s="121" t="s">
        <v>1120</v>
      </c>
      <c r="J126" s="121" t="s">
        <v>96</v>
      </c>
      <c r="K126" s="121">
        <v>24253</v>
      </c>
      <c r="L126" s="122">
        <v>48</v>
      </c>
      <c r="M126" s="126">
        <v>2.2499999999999999E-2</v>
      </c>
      <c r="N126" s="127">
        <f t="shared" si="1"/>
        <v>1.08</v>
      </c>
    </row>
    <row r="127" spans="1:14">
      <c r="A127" s="121" t="s">
        <v>1406</v>
      </c>
      <c r="B127" s="121" t="s">
        <v>1407</v>
      </c>
      <c r="C127" s="121">
        <v>1</v>
      </c>
      <c r="D127" s="121" t="s">
        <v>1148</v>
      </c>
      <c r="E127" s="125">
        <v>44706</v>
      </c>
      <c r="F127" s="121" t="s">
        <v>1149</v>
      </c>
      <c r="G127" s="121" t="s">
        <v>1150</v>
      </c>
      <c r="H127" s="121">
        <v>0.1002</v>
      </c>
      <c r="I127" s="121" t="s">
        <v>1120</v>
      </c>
      <c r="J127" s="121" t="s">
        <v>96</v>
      </c>
      <c r="K127" s="121">
        <v>24251</v>
      </c>
      <c r="L127" s="122">
        <v>46</v>
      </c>
      <c r="M127" s="126">
        <v>0.1002</v>
      </c>
      <c r="N127" s="127">
        <f t="shared" si="1"/>
        <v>4.6091999999999995</v>
      </c>
    </row>
    <row r="128" spans="1:14">
      <c r="A128" s="121" t="s">
        <v>1408</v>
      </c>
      <c r="B128" s="121" t="s">
        <v>1409</v>
      </c>
      <c r="C128" s="121">
        <v>1</v>
      </c>
      <c r="D128" s="121" t="s">
        <v>1166</v>
      </c>
      <c r="E128" s="125">
        <v>45057</v>
      </c>
      <c r="F128" s="121" t="s">
        <v>1118</v>
      </c>
      <c r="G128" s="121" t="s">
        <v>1143</v>
      </c>
      <c r="H128" s="121">
        <v>0.1295</v>
      </c>
      <c r="I128" s="121" t="s">
        <v>1120</v>
      </c>
      <c r="J128" s="121" t="s">
        <v>96</v>
      </c>
      <c r="K128" s="121">
        <v>25838</v>
      </c>
      <c r="L128" s="122">
        <v>35</v>
      </c>
      <c r="M128" s="126">
        <v>0.12959999999999999</v>
      </c>
      <c r="N128" s="127">
        <f t="shared" si="1"/>
        <v>4.5359999999999996</v>
      </c>
    </row>
    <row r="129" spans="1:14">
      <c r="A129" s="121" t="s">
        <v>1410</v>
      </c>
      <c r="B129" s="121" t="s">
        <v>1411</v>
      </c>
      <c r="C129" s="121">
        <v>1</v>
      </c>
      <c r="D129" s="121" t="s">
        <v>1412</v>
      </c>
      <c r="E129" s="125">
        <v>44826</v>
      </c>
      <c r="F129" s="121" t="s">
        <v>1154</v>
      </c>
      <c r="G129" s="121" t="s">
        <v>1155</v>
      </c>
      <c r="H129" s="121">
        <v>0.1457</v>
      </c>
      <c r="I129" s="121" t="s">
        <v>1120</v>
      </c>
      <c r="J129" s="121" t="s">
        <v>96</v>
      </c>
      <c r="K129" s="121">
        <v>6036</v>
      </c>
      <c r="L129" s="122">
        <v>40</v>
      </c>
      <c r="M129" s="126">
        <v>0.1457</v>
      </c>
      <c r="N129" s="127">
        <f t="shared" si="1"/>
        <v>5.8279999999999994</v>
      </c>
    </row>
    <row r="130" spans="1:14">
      <c r="A130" s="121" t="s">
        <v>1413</v>
      </c>
      <c r="B130" s="121" t="s">
        <v>1414</v>
      </c>
      <c r="C130" s="121">
        <v>1</v>
      </c>
      <c r="D130" s="121" t="s">
        <v>1235</v>
      </c>
      <c r="E130" s="125">
        <v>44795</v>
      </c>
      <c r="F130" s="121" t="s">
        <v>1118</v>
      </c>
      <c r="G130" s="121" t="s">
        <v>1119</v>
      </c>
      <c r="H130" s="121">
        <v>0.37259999999999999</v>
      </c>
      <c r="I130" s="121" t="s">
        <v>1120</v>
      </c>
      <c r="J130" s="121" t="s">
        <v>96</v>
      </c>
      <c r="K130" s="121">
        <v>17308</v>
      </c>
      <c r="L130" s="122">
        <v>43</v>
      </c>
      <c r="M130" s="126">
        <v>0.37259999999999999</v>
      </c>
      <c r="N130" s="127">
        <f t="shared" ref="N130:N193" si="2">+M130*L130</f>
        <v>16.021799999999999</v>
      </c>
    </row>
    <row r="131" spans="1:14">
      <c r="A131" s="121" t="s">
        <v>1415</v>
      </c>
      <c r="B131" s="121" t="s">
        <v>1416</v>
      </c>
      <c r="C131" s="121">
        <v>1</v>
      </c>
      <c r="D131" s="121" t="s">
        <v>1220</v>
      </c>
      <c r="E131" s="125">
        <v>44765</v>
      </c>
      <c r="F131" s="121" t="s">
        <v>1118</v>
      </c>
      <c r="G131" s="121" t="s">
        <v>1131</v>
      </c>
      <c r="H131" s="121">
        <v>8.3799999999999999E-2</v>
      </c>
      <c r="I131" s="121" t="s">
        <v>1120</v>
      </c>
      <c r="J131" s="121" t="s">
        <v>96</v>
      </c>
      <c r="K131" s="121">
        <v>17308</v>
      </c>
      <c r="L131" s="122">
        <v>43</v>
      </c>
      <c r="M131" s="126">
        <v>8.3799999999999999E-2</v>
      </c>
      <c r="N131" s="127">
        <f t="shared" si="2"/>
        <v>3.6034000000000002</v>
      </c>
    </row>
    <row r="132" spans="1:14">
      <c r="A132" s="121" t="s">
        <v>1417</v>
      </c>
      <c r="B132" s="121" t="s">
        <v>1418</v>
      </c>
      <c r="C132" s="121">
        <v>1</v>
      </c>
      <c r="D132" s="121" t="s">
        <v>1217</v>
      </c>
      <c r="E132" s="125">
        <v>44765</v>
      </c>
      <c r="F132" s="121" t="s">
        <v>1154</v>
      </c>
      <c r="G132" s="121" t="s">
        <v>1155</v>
      </c>
      <c r="H132" s="121">
        <v>0.19040000000000001</v>
      </c>
      <c r="I132" s="121" t="s">
        <v>1120</v>
      </c>
      <c r="J132" s="121" t="s">
        <v>96</v>
      </c>
      <c r="K132" s="121">
        <v>5843</v>
      </c>
      <c r="L132" s="122">
        <v>44</v>
      </c>
      <c r="M132" s="126">
        <v>0.19040000000000001</v>
      </c>
      <c r="N132" s="127">
        <f t="shared" si="2"/>
        <v>8.377600000000001</v>
      </c>
    </row>
    <row r="133" spans="1:14">
      <c r="A133" s="121" t="s">
        <v>1419</v>
      </c>
      <c r="B133" s="121" t="s">
        <v>1420</v>
      </c>
      <c r="C133" s="121">
        <v>1</v>
      </c>
      <c r="D133" s="121" t="s">
        <v>1163</v>
      </c>
      <c r="E133" s="125">
        <v>44795</v>
      </c>
      <c r="F133" s="121" t="s">
        <v>1149</v>
      </c>
      <c r="G133" s="121" t="s">
        <v>1150</v>
      </c>
      <c r="H133" s="121">
        <v>0.3468</v>
      </c>
      <c r="I133" s="121" t="s">
        <v>1120</v>
      </c>
      <c r="J133" s="121" t="s">
        <v>96</v>
      </c>
      <c r="K133" s="121">
        <v>23645</v>
      </c>
      <c r="L133" s="122">
        <v>50</v>
      </c>
      <c r="M133" s="126">
        <v>2.7000000000000001E-3</v>
      </c>
      <c r="N133" s="127">
        <f t="shared" si="2"/>
        <v>0.13500000000000001</v>
      </c>
    </row>
    <row r="134" spans="1:14">
      <c r="A134" s="121" t="s">
        <v>1419</v>
      </c>
      <c r="B134" s="121" t="s">
        <v>1420</v>
      </c>
      <c r="C134" s="121">
        <v>1</v>
      </c>
      <c r="D134" s="121" t="s">
        <v>1163</v>
      </c>
      <c r="E134" s="125">
        <v>44795</v>
      </c>
      <c r="F134" s="121" t="s">
        <v>1149</v>
      </c>
      <c r="G134" s="121" t="s">
        <v>1150</v>
      </c>
      <c r="H134" s="121">
        <v>0.3468</v>
      </c>
      <c r="I134" s="121" t="s">
        <v>1120</v>
      </c>
      <c r="J134" s="121" t="s">
        <v>96</v>
      </c>
      <c r="K134" s="121">
        <v>23850</v>
      </c>
      <c r="L134" s="122">
        <v>45</v>
      </c>
      <c r="M134" s="126">
        <v>0.34410000000000002</v>
      </c>
      <c r="N134" s="127">
        <f t="shared" si="2"/>
        <v>15.484500000000001</v>
      </c>
    </row>
    <row r="135" spans="1:14">
      <c r="A135" s="121" t="s">
        <v>1421</v>
      </c>
      <c r="B135" s="121" t="s">
        <v>1422</v>
      </c>
      <c r="C135" s="121">
        <v>1</v>
      </c>
      <c r="D135" s="121" t="s">
        <v>1220</v>
      </c>
      <c r="E135" s="125">
        <v>44795</v>
      </c>
      <c r="F135" s="121" t="s">
        <v>1124</v>
      </c>
      <c r="G135" s="121" t="s">
        <v>1124</v>
      </c>
      <c r="H135" s="121">
        <v>0.11459999999999999</v>
      </c>
      <c r="I135" s="121" t="s">
        <v>1120</v>
      </c>
      <c r="J135" s="121" t="s">
        <v>96</v>
      </c>
      <c r="K135" s="121">
        <v>20348</v>
      </c>
      <c r="L135" s="122">
        <v>41</v>
      </c>
      <c r="M135" s="126">
        <v>0.11459999999999999</v>
      </c>
      <c r="N135" s="127">
        <f t="shared" si="2"/>
        <v>4.6985999999999999</v>
      </c>
    </row>
    <row r="136" spans="1:14">
      <c r="A136" s="121" t="s">
        <v>1423</v>
      </c>
      <c r="B136" s="121" t="s">
        <v>1424</v>
      </c>
      <c r="C136" s="121">
        <v>1</v>
      </c>
      <c r="D136" s="121" t="s">
        <v>1123</v>
      </c>
      <c r="E136" s="125">
        <v>44828</v>
      </c>
      <c r="F136" s="121" t="s">
        <v>1118</v>
      </c>
      <c r="G136" s="121" t="s">
        <v>1131</v>
      </c>
      <c r="H136" s="121">
        <v>3.4500000000000003E-2</v>
      </c>
      <c r="I136" s="121" t="s">
        <v>1120</v>
      </c>
      <c r="J136" s="121" t="s">
        <v>96</v>
      </c>
      <c r="K136" s="121">
        <v>17319</v>
      </c>
      <c r="L136" s="122">
        <v>41</v>
      </c>
      <c r="M136" s="126">
        <v>3.4500000000000003E-2</v>
      </c>
      <c r="N136" s="127">
        <f t="shared" si="2"/>
        <v>1.4145000000000001</v>
      </c>
    </row>
    <row r="137" spans="1:14">
      <c r="A137" s="121" t="s">
        <v>1425</v>
      </c>
      <c r="B137" s="121" t="s">
        <v>1426</v>
      </c>
      <c r="C137" s="121">
        <v>1</v>
      </c>
      <c r="D137" s="121" t="s">
        <v>1252</v>
      </c>
      <c r="E137" s="125">
        <v>44791</v>
      </c>
      <c r="F137" s="121" t="s">
        <v>1118</v>
      </c>
      <c r="G137" s="121" t="s">
        <v>1131</v>
      </c>
      <c r="H137" s="121">
        <v>7.4999999999999997E-3</v>
      </c>
      <c r="I137" s="121" t="s">
        <v>1120</v>
      </c>
      <c r="J137" s="121" t="s">
        <v>96</v>
      </c>
      <c r="K137" s="121">
        <v>25832</v>
      </c>
      <c r="L137" s="122">
        <v>32</v>
      </c>
      <c r="M137" s="126">
        <v>7.4999999999999997E-3</v>
      </c>
      <c r="N137" s="127">
        <f t="shared" si="2"/>
        <v>0.24</v>
      </c>
    </row>
    <row r="138" spans="1:14">
      <c r="A138" s="121" t="s">
        <v>1427</v>
      </c>
      <c r="B138" s="121" t="s">
        <v>1428</v>
      </c>
      <c r="C138" s="121">
        <v>1</v>
      </c>
      <c r="D138" s="121" t="s">
        <v>1429</v>
      </c>
      <c r="E138" s="125">
        <v>44780</v>
      </c>
      <c r="F138" s="121" t="s">
        <v>1154</v>
      </c>
      <c r="G138" s="121" t="s">
        <v>1155</v>
      </c>
      <c r="H138" s="121">
        <v>4.82E-2</v>
      </c>
      <c r="I138" s="121" t="s">
        <v>1120</v>
      </c>
      <c r="J138" s="121" t="s">
        <v>96</v>
      </c>
      <c r="K138" s="121">
        <v>5652</v>
      </c>
      <c r="L138" s="122">
        <v>41</v>
      </c>
      <c r="M138" s="126">
        <v>4.82E-2</v>
      </c>
      <c r="N138" s="127">
        <f t="shared" si="2"/>
        <v>1.9762</v>
      </c>
    </row>
    <row r="139" spans="1:14">
      <c r="A139" s="121" t="s">
        <v>1430</v>
      </c>
      <c r="B139" s="121" t="s">
        <v>1431</v>
      </c>
      <c r="C139" s="121">
        <v>1</v>
      </c>
      <c r="D139" s="121" t="s">
        <v>1432</v>
      </c>
      <c r="E139" s="125">
        <v>44795</v>
      </c>
      <c r="F139" s="121" t="s">
        <v>1124</v>
      </c>
      <c r="G139" s="121" t="s">
        <v>1124</v>
      </c>
      <c r="H139" s="121">
        <v>1.8800000000000001E-2</v>
      </c>
      <c r="I139" s="121" t="s">
        <v>1120</v>
      </c>
      <c r="J139" s="121" t="s">
        <v>96</v>
      </c>
      <c r="K139" s="121">
        <v>16711</v>
      </c>
      <c r="L139" s="122">
        <v>46</v>
      </c>
      <c r="M139" s="126">
        <v>1.8800000000000001E-2</v>
      </c>
      <c r="N139" s="127">
        <f t="shared" si="2"/>
        <v>0.86480000000000001</v>
      </c>
    </row>
    <row r="140" spans="1:14">
      <c r="A140" s="121" t="s">
        <v>1433</v>
      </c>
      <c r="B140" s="121" t="s">
        <v>1434</v>
      </c>
      <c r="C140" s="121">
        <v>1</v>
      </c>
      <c r="D140" s="121" t="s">
        <v>1432</v>
      </c>
      <c r="E140" s="125">
        <v>44834</v>
      </c>
      <c r="F140" s="121" t="s">
        <v>1118</v>
      </c>
      <c r="G140" s="121" t="s">
        <v>1119</v>
      </c>
      <c r="H140" s="121">
        <v>5.8500000000000003E-2</v>
      </c>
      <c r="I140" s="121" t="s">
        <v>1120</v>
      </c>
      <c r="J140" s="121" t="s">
        <v>96</v>
      </c>
      <c r="K140" s="121">
        <v>16711</v>
      </c>
      <c r="L140" s="122">
        <v>46</v>
      </c>
      <c r="M140" s="126">
        <v>5.8500000000000003E-2</v>
      </c>
      <c r="N140" s="127">
        <f t="shared" si="2"/>
        <v>2.6910000000000003</v>
      </c>
    </row>
    <row r="141" spans="1:14">
      <c r="A141" s="121" t="s">
        <v>1435</v>
      </c>
      <c r="B141" s="121" t="s">
        <v>1436</v>
      </c>
      <c r="C141" s="121">
        <v>1</v>
      </c>
      <c r="D141" s="121" t="s">
        <v>1339</v>
      </c>
      <c r="E141" s="125">
        <v>44795</v>
      </c>
      <c r="F141" s="121" t="s">
        <v>1149</v>
      </c>
      <c r="G141" s="121" t="s">
        <v>1150</v>
      </c>
      <c r="H141" s="121">
        <v>0.1376</v>
      </c>
      <c r="I141" s="121" t="s">
        <v>1120</v>
      </c>
      <c r="J141" s="121" t="s">
        <v>96</v>
      </c>
      <c r="K141" s="121">
        <v>20928</v>
      </c>
      <c r="L141" s="122">
        <v>47</v>
      </c>
      <c r="M141" s="126">
        <v>0.1376</v>
      </c>
      <c r="N141" s="127">
        <f t="shared" si="2"/>
        <v>6.4672000000000001</v>
      </c>
    </row>
    <row r="142" spans="1:14">
      <c r="A142" s="121" t="s">
        <v>1437</v>
      </c>
      <c r="B142" s="121" t="s">
        <v>1438</v>
      </c>
      <c r="C142" s="121">
        <v>1</v>
      </c>
      <c r="D142" s="121" t="s">
        <v>1160</v>
      </c>
      <c r="E142" s="125">
        <v>44807</v>
      </c>
      <c r="F142" s="121" t="s">
        <v>1118</v>
      </c>
      <c r="G142" s="121" t="s">
        <v>1143</v>
      </c>
      <c r="H142" s="121">
        <v>2.7199999999999998E-2</v>
      </c>
      <c r="I142" s="121" t="s">
        <v>1120</v>
      </c>
      <c r="J142" s="121" t="s">
        <v>96</v>
      </c>
      <c r="K142" s="121">
        <v>26624</v>
      </c>
      <c r="L142" s="122">
        <v>41</v>
      </c>
      <c r="M142" s="126">
        <v>2.7199999999999998E-2</v>
      </c>
      <c r="N142" s="127">
        <f t="shared" si="2"/>
        <v>1.1152</v>
      </c>
    </row>
    <row r="143" spans="1:14">
      <c r="A143" s="121" t="s">
        <v>1439</v>
      </c>
      <c r="B143" s="121" t="s">
        <v>1440</v>
      </c>
      <c r="C143" s="121">
        <v>1</v>
      </c>
      <c r="D143" s="121" t="s">
        <v>1261</v>
      </c>
      <c r="E143" s="125">
        <v>44708</v>
      </c>
      <c r="F143" s="121" t="s">
        <v>1118</v>
      </c>
      <c r="G143" s="121" t="s">
        <v>1325</v>
      </c>
      <c r="H143" s="121">
        <v>0.33250000000000002</v>
      </c>
      <c r="I143" s="121" t="s">
        <v>1120</v>
      </c>
      <c r="J143" s="121" t="s">
        <v>96</v>
      </c>
      <c r="K143" s="121">
        <v>22555</v>
      </c>
      <c r="L143" s="122">
        <v>45</v>
      </c>
      <c r="M143" s="126">
        <v>0.33250000000000002</v>
      </c>
      <c r="N143" s="127">
        <f t="shared" si="2"/>
        <v>14.9625</v>
      </c>
    </row>
    <row r="144" spans="1:14">
      <c r="A144" s="121" t="s">
        <v>1441</v>
      </c>
      <c r="B144" s="121" t="s">
        <v>1442</v>
      </c>
      <c r="C144" s="121">
        <v>1</v>
      </c>
      <c r="D144" s="121" t="s">
        <v>1117</v>
      </c>
      <c r="E144" s="125">
        <v>44795</v>
      </c>
      <c r="F144" s="121" t="s">
        <v>1124</v>
      </c>
      <c r="G144" s="121" t="s">
        <v>1124</v>
      </c>
      <c r="H144" s="121">
        <v>2.3300000000000001E-2</v>
      </c>
      <c r="I144" s="121" t="s">
        <v>1120</v>
      </c>
      <c r="J144" s="121" t="s">
        <v>96</v>
      </c>
      <c r="K144" s="121">
        <v>17308</v>
      </c>
      <c r="L144" s="122">
        <v>43</v>
      </c>
      <c r="M144" s="126">
        <v>2.3300000000000001E-2</v>
      </c>
      <c r="N144" s="127">
        <f t="shared" si="2"/>
        <v>1.0019</v>
      </c>
    </row>
    <row r="145" spans="1:14">
      <c r="A145" s="121" t="s">
        <v>1443</v>
      </c>
      <c r="B145" s="121" t="s">
        <v>1444</v>
      </c>
      <c r="C145" s="121">
        <v>1</v>
      </c>
      <c r="D145" s="121" t="s">
        <v>1445</v>
      </c>
      <c r="E145" s="125">
        <v>44821</v>
      </c>
      <c r="F145" s="121" t="s">
        <v>1118</v>
      </c>
      <c r="G145" s="121" t="s">
        <v>1119</v>
      </c>
      <c r="H145" s="121">
        <v>5.3600000000000002E-2</v>
      </c>
      <c r="I145" s="121" t="s">
        <v>1120</v>
      </c>
      <c r="J145" s="121" t="s">
        <v>96</v>
      </c>
      <c r="K145" s="121">
        <v>16520</v>
      </c>
      <c r="L145" s="122">
        <v>50</v>
      </c>
      <c r="M145" s="126">
        <v>5.3600000000000002E-2</v>
      </c>
      <c r="N145" s="127">
        <f t="shared" si="2"/>
        <v>2.68</v>
      </c>
    </row>
    <row r="146" spans="1:14">
      <c r="A146" s="121" t="s">
        <v>1446</v>
      </c>
      <c r="B146" s="121" t="s">
        <v>1447</v>
      </c>
      <c r="C146" s="121">
        <v>1</v>
      </c>
      <c r="D146" s="121" t="s">
        <v>1123</v>
      </c>
      <c r="E146" s="125">
        <v>44795</v>
      </c>
      <c r="F146" s="121" t="s">
        <v>1124</v>
      </c>
      <c r="G146" s="121" t="s">
        <v>1124</v>
      </c>
      <c r="H146" s="121">
        <v>8.2000000000000007E-3</v>
      </c>
      <c r="I146" s="121" t="s">
        <v>1120</v>
      </c>
      <c r="J146" s="121" t="s">
        <v>96</v>
      </c>
      <c r="K146" s="121">
        <v>21682</v>
      </c>
      <c r="L146" s="122">
        <v>41</v>
      </c>
      <c r="M146" s="126">
        <v>8.2000000000000007E-3</v>
      </c>
      <c r="N146" s="127">
        <f t="shared" si="2"/>
        <v>0.33620000000000005</v>
      </c>
    </row>
    <row r="147" spans="1:14">
      <c r="A147" s="121" t="s">
        <v>1448</v>
      </c>
      <c r="B147" s="121" t="s">
        <v>1449</v>
      </c>
      <c r="C147" s="121">
        <v>1</v>
      </c>
      <c r="D147" s="121" t="s">
        <v>1123</v>
      </c>
      <c r="E147" s="125">
        <v>44795</v>
      </c>
      <c r="F147" s="121" t="s">
        <v>1124</v>
      </c>
      <c r="G147" s="121" t="s">
        <v>1124</v>
      </c>
      <c r="H147" s="121">
        <v>6.2700000000000006E-2</v>
      </c>
      <c r="I147" s="121" t="s">
        <v>1120</v>
      </c>
      <c r="J147" s="121" t="s">
        <v>96</v>
      </c>
      <c r="K147" s="121">
        <v>24621</v>
      </c>
      <c r="L147" s="122">
        <v>43</v>
      </c>
      <c r="M147" s="126">
        <v>6.2700000000000006E-2</v>
      </c>
      <c r="N147" s="127">
        <f t="shared" si="2"/>
        <v>2.6961000000000004</v>
      </c>
    </row>
    <row r="148" spans="1:14">
      <c r="A148" s="121" t="s">
        <v>1450</v>
      </c>
      <c r="B148" s="121" t="s">
        <v>1451</v>
      </c>
      <c r="C148" s="121">
        <v>1</v>
      </c>
      <c r="D148" s="121" t="s">
        <v>1235</v>
      </c>
      <c r="E148" s="125">
        <v>44795</v>
      </c>
      <c r="F148" s="121" t="s">
        <v>1124</v>
      </c>
      <c r="G148" s="121" t="s">
        <v>1124</v>
      </c>
      <c r="H148" s="121">
        <v>3.9800000000000002E-2</v>
      </c>
      <c r="I148" s="121" t="s">
        <v>1120</v>
      </c>
      <c r="J148" s="121" t="s">
        <v>96</v>
      </c>
      <c r="K148" s="121">
        <v>17308</v>
      </c>
      <c r="L148" s="122">
        <v>43</v>
      </c>
      <c r="M148" s="126">
        <v>3.9800000000000002E-2</v>
      </c>
      <c r="N148" s="127">
        <f t="shared" si="2"/>
        <v>1.7114</v>
      </c>
    </row>
    <row r="149" spans="1:14">
      <c r="A149" s="121" t="s">
        <v>1452</v>
      </c>
      <c r="B149" s="121" t="s">
        <v>1453</v>
      </c>
      <c r="C149" s="121">
        <v>1</v>
      </c>
      <c r="D149" s="121" t="s">
        <v>1123</v>
      </c>
      <c r="E149" s="125">
        <v>44836</v>
      </c>
      <c r="F149" s="121" t="s">
        <v>1118</v>
      </c>
      <c r="G149" s="121" t="s">
        <v>1131</v>
      </c>
      <c r="H149" s="121">
        <v>1.46E-2</v>
      </c>
      <c r="I149" s="121" t="s">
        <v>1120</v>
      </c>
      <c r="J149" s="121" t="s">
        <v>96</v>
      </c>
      <c r="K149" s="121">
        <v>17308</v>
      </c>
      <c r="L149" s="122">
        <v>43</v>
      </c>
      <c r="M149" s="126">
        <v>1.46E-2</v>
      </c>
      <c r="N149" s="127">
        <f t="shared" si="2"/>
        <v>0.62780000000000002</v>
      </c>
    </row>
    <row r="150" spans="1:14">
      <c r="A150" s="121" t="s">
        <v>1454</v>
      </c>
      <c r="B150" s="121" t="s">
        <v>1455</v>
      </c>
      <c r="C150" s="121">
        <v>1</v>
      </c>
      <c r="D150" s="121" t="s">
        <v>1456</v>
      </c>
      <c r="E150" s="125">
        <v>44795</v>
      </c>
      <c r="F150" s="121" t="s">
        <v>1118</v>
      </c>
      <c r="G150" s="121" t="s">
        <v>1177</v>
      </c>
      <c r="H150" s="121">
        <v>8.2500000000000004E-2</v>
      </c>
      <c r="I150" s="121" t="s">
        <v>1120</v>
      </c>
      <c r="J150" s="121" t="s">
        <v>96</v>
      </c>
      <c r="K150" s="121">
        <v>21548</v>
      </c>
      <c r="L150" s="122">
        <v>41</v>
      </c>
      <c r="M150" s="126">
        <v>8.2500000000000004E-2</v>
      </c>
      <c r="N150" s="127">
        <f t="shared" si="2"/>
        <v>3.3825000000000003</v>
      </c>
    </row>
    <row r="151" spans="1:14">
      <c r="A151" s="121" t="s">
        <v>1457</v>
      </c>
      <c r="B151" s="121" t="s">
        <v>1458</v>
      </c>
      <c r="C151" s="121">
        <v>1</v>
      </c>
      <c r="D151" s="121" t="s">
        <v>1160</v>
      </c>
      <c r="E151" s="125">
        <v>44825</v>
      </c>
      <c r="F151" s="121" t="s">
        <v>1149</v>
      </c>
      <c r="G151" s="121" t="s">
        <v>1150</v>
      </c>
      <c r="H151" s="121">
        <v>3.5700000000000003E-2</v>
      </c>
      <c r="I151" s="121" t="s">
        <v>1120</v>
      </c>
      <c r="J151" s="121" t="s">
        <v>96</v>
      </c>
      <c r="K151" s="121">
        <v>24437</v>
      </c>
      <c r="L151" s="122">
        <v>51</v>
      </c>
      <c r="M151" s="126">
        <v>3.5700000000000003E-2</v>
      </c>
      <c r="N151" s="127">
        <f t="shared" si="2"/>
        <v>1.8207000000000002</v>
      </c>
    </row>
    <row r="152" spans="1:14">
      <c r="A152" s="121" t="s">
        <v>1459</v>
      </c>
      <c r="B152" s="121" t="s">
        <v>1460</v>
      </c>
      <c r="C152" s="121">
        <v>1</v>
      </c>
      <c r="D152" s="121" t="s">
        <v>1117</v>
      </c>
      <c r="E152" s="125">
        <v>44795</v>
      </c>
      <c r="F152" s="121" t="s">
        <v>1118</v>
      </c>
      <c r="G152" s="121" t="s">
        <v>1177</v>
      </c>
      <c r="H152" s="121">
        <v>3.3399999999999999E-2</v>
      </c>
      <c r="I152" s="121" t="s">
        <v>1120</v>
      </c>
      <c r="J152" s="121" t="s">
        <v>96</v>
      </c>
      <c r="K152" s="121">
        <v>21362</v>
      </c>
      <c r="L152" s="122">
        <v>38</v>
      </c>
      <c r="M152" s="126">
        <v>3.3399999999999999E-2</v>
      </c>
      <c r="N152" s="127">
        <f t="shared" si="2"/>
        <v>1.2691999999999999</v>
      </c>
    </row>
    <row r="153" spans="1:14">
      <c r="A153" s="121" t="s">
        <v>1461</v>
      </c>
      <c r="B153" s="121" t="s">
        <v>1462</v>
      </c>
      <c r="C153" s="121">
        <v>1</v>
      </c>
      <c r="D153" s="121" t="s">
        <v>1123</v>
      </c>
      <c r="E153" s="125">
        <v>44842</v>
      </c>
      <c r="F153" s="121" t="s">
        <v>1118</v>
      </c>
      <c r="G153" s="121" t="s">
        <v>1131</v>
      </c>
      <c r="H153" s="121">
        <v>2.0799999999999999E-2</v>
      </c>
      <c r="I153" s="121" t="s">
        <v>1120</v>
      </c>
      <c r="J153" s="121" t="s">
        <v>96</v>
      </c>
      <c r="K153" s="121">
        <v>17308</v>
      </c>
      <c r="L153" s="122">
        <v>43</v>
      </c>
      <c r="M153" s="126">
        <v>2.0799999999999999E-2</v>
      </c>
      <c r="N153" s="127">
        <f t="shared" si="2"/>
        <v>0.89439999999999997</v>
      </c>
    </row>
    <row r="154" spans="1:14">
      <c r="A154" s="121" t="s">
        <v>1463</v>
      </c>
      <c r="B154" s="121" t="s">
        <v>1464</v>
      </c>
      <c r="C154" s="121">
        <v>1</v>
      </c>
      <c r="D154" s="121" t="s">
        <v>1117</v>
      </c>
      <c r="E154" s="125">
        <v>44795</v>
      </c>
      <c r="F154" s="121" t="s">
        <v>1124</v>
      </c>
      <c r="G154" s="121" t="s">
        <v>1124</v>
      </c>
      <c r="H154" s="121">
        <v>4.7300000000000002E-2</v>
      </c>
      <c r="I154" s="121" t="s">
        <v>1120</v>
      </c>
      <c r="J154" s="121" t="s">
        <v>96</v>
      </c>
      <c r="K154" s="121">
        <v>17308</v>
      </c>
      <c r="L154" s="122">
        <v>43</v>
      </c>
      <c r="M154" s="126">
        <v>4.7300000000000002E-2</v>
      </c>
      <c r="N154" s="127">
        <f t="shared" si="2"/>
        <v>2.0339</v>
      </c>
    </row>
    <row r="155" spans="1:14">
      <c r="A155" s="121" t="s">
        <v>1465</v>
      </c>
      <c r="B155" s="121" t="s">
        <v>1466</v>
      </c>
      <c r="C155" s="121">
        <v>1</v>
      </c>
      <c r="D155" s="121" t="s">
        <v>1117</v>
      </c>
      <c r="E155" s="125">
        <v>44795</v>
      </c>
      <c r="F155" s="121" t="s">
        <v>1118</v>
      </c>
      <c r="G155" s="121" t="s">
        <v>1143</v>
      </c>
      <c r="H155" s="121">
        <v>1.4800000000000001E-2</v>
      </c>
      <c r="I155" s="121" t="s">
        <v>1120</v>
      </c>
      <c r="J155" s="121" t="s">
        <v>96</v>
      </c>
      <c r="K155" s="121">
        <v>14491</v>
      </c>
      <c r="L155" s="122">
        <v>41</v>
      </c>
      <c r="M155" s="126">
        <v>1.4800000000000001E-2</v>
      </c>
      <c r="N155" s="127">
        <f t="shared" si="2"/>
        <v>0.60680000000000001</v>
      </c>
    </row>
    <row r="156" spans="1:14">
      <c r="A156" s="121" t="s">
        <v>1467</v>
      </c>
      <c r="B156" s="121" t="s">
        <v>1468</v>
      </c>
      <c r="C156" s="121">
        <v>1</v>
      </c>
      <c r="D156" s="121" t="s">
        <v>1117</v>
      </c>
      <c r="E156" s="125">
        <v>44795</v>
      </c>
      <c r="F156" s="121" t="s">
        <v>1124</v>
      </c>
      <c r="G156" s="121" t="s">
        <v>1124</v>
      </c>
      <c r="H156" s="121">
        <v>1.11E-2</v>
      </c>
      <c r="I156" s="121" t="s">
        <v>1120</v>
      </c>
      <c r="J156" s="121" t="s">
        <v>96</v>
      </c>
      <c r="K156" s="121">
        <v>17308</v>
      </c>
      <c r="L156" s="122">
        <v>43</v>
      </c>
      <c r="M156" s="126">
        <v>1.11E-2</v>
      </c>
      <c r="N156" s="127">
        <f t="shared" si="2"/>
        <v>0.4773</v>
      </c>
    </row>
    <row r="157" spans="1:14">
      <c r="A157" s="121" t="s">
        <v>1469</v>
      </c>
      <c r="B157" s="121" t="s">
        <v>1470</v>
      </c>
      <c r="C157" s="121">
        <v>1</v>
      </c>
      <c r="D157" s="121" t="s">
        <v>1117</v>
      </c>
      <c r="E157" s="125">
        <v>44762</v>
      </c>
      <c r="F157" s="121" t="s">
        <v>1118</v>
      </c>
      <c r="G157" s="121" t="s">
        <v>1131</v>
      </c>
      <c r="H157" s="121">
        <v>9.2999999999999999E-2</v>
      </c>
      <c r="I157" s="121" t="s">
        <v>1120</v>
      </c>
      <c r="J157" s="121" t="s">
        <v>96</v>
      </c>
      <c r="K157" s="121">
        <v>26030</v>
      </c>
      <c r="L157" s="122">
        <v>34</v>
      </c>
      <c r="M157" s="126">
        <v>9.2999999999999999E-2</v>
      </c>
      <c r="N157" s="127">
        <f t="shared" si="2"/>
        <v>3.1619999999999999</v>
      </c>
    </row>
    <row r="158" spans="1:14">
      <c r="A158" s="121" t="s">
        <v>1471</v>
      </c>
      <c r="B158" s="121" t="s">
        <v>1472</v>
      </c>
      <c r="C158" s="121">
        <v>1</v>
      </c>
      <c r="D158" s="121" t="s">
        <v>1473</v>
      </c>
      <c r="E158" s="125">
        <v>44781</v>
      </c>
      <c r="F158" s="121" t="s">
        <v>1154</v>
      </c>
      <c r="G158" s="121" t="s">
        <v>1155</v>
      </c>
      <c r="H158" s="121">
        <v>0.13930000000000001</v>
      </c>
      <c r="I158" s="121" t="s">
        <v>1120</v>
      </c>
      <c r="J158" s="121" t="s">
        <v>96</v>
      </c>
      <c r="K158" s="121">
        <v>5843</v>
      </c>
      <c r="L158" s="122">
        <v>44</v>
      </c>
      <c r="M158" s="126">
        <v>0.13930000000000001</v>
      </c>
      <c r="N158" s="127">
        <f t="shared" si="2"/>
        <v>6.1292</v>
      </c>
    </row>
    <row r="159" spans="1:14">
      <c r="A159" s="121" t="s">
        <v>1474</v>
      </c>
      <c r="B159" s="121" t="s">
        <v>1475</v>
      </c>
      <c r="C159" s="121">
        <v>1</v>
      </c>
      <c r="D159" s="121" t="s">
        <v>1123</v>
      </c>
      <c r="E159" s="125">
        <v>44834</v>
      </c>
      <c r="F159" s="121" t="s">
        <v>1118</v>
      </c>
      <c r="G159" s="121" t="s">
        <v>1119</v>
      </c>
      <c r="H159" s="121">
        <v>0.1221</v>
      </c>
      <c r="I159" s="121" t="s">
        <v>1120</v>
      </c>
      <c r="J159" s="121" t="s">
        <v>96</v>
      </c>
      <c r="K159" s="121">
        <v>14271</v>
      </c>
      <c r="L159" s="122">
        <v>45</v>
      </c>
      <c r="M159" s="126">
        <v>0.1221</v>
      </c>
      <c r="N159" s="127">
        <f t="shared" si="2"/>
        <v>5.4945000000000004</v>
      </c>
    </row>
    <row r="160" spans="1:14">
      <c r="A160" s="121" t="s">
        <v>1476</v>
      </c>
      <c r="B160" s="121" t="s">
        <v>1477</v>
      </c>
      <c r="C160" s="121">
        <v>1</v>
      </c>
      <c r="D160" s="121" t="s">
        <v>1117</v>
      </c>
      <c r="E160" s="125">
        <v>44795</v>
      </c>
      <c r="F160" s="121" t="s">
        <v>1118</v>
      </c>
      <c r="G160" s="121" t="s">
        <v>1143</v>
      </c>
      <c r="H160" s="121">
        <v>1.09E-2</v>
      </c>
      <c r="I160" s="121" t="s">
        <v>1120</v>
      </c>
      <c r="J160" s="121" t="s">
        <v>96</v>
      </c>
      <c r="K160" s="121">
        <v>14491</v>
      </c>
      <c r="L160" s="122">
        <v>41</v>
      </c>
      <c r="M160" s="126">
        <v>1.09E-2</v>
      </c>
      <c r="N160" s="127">
        <f t="shared" si="2"/>
        <v>0.44690000000000002</v>
      </c>
    </row>
    <row r="161" spans="1:14">
      <c r="A161" s="121" t="s">
        <v>1478</v>
      </c>
      <c r="B161" s="121" t="s">
        <v>1479</v>
      </c>
      <c r="C161" s="121">
        <v>1</v>
      </c>
      <c r="D161" s="121" t="s">
        <v>1123</v>
      </c>
      <c r="E161" s="125">
        <v>44795</v>
      </c>
      <c r="F161" s="121" t="s">
        <v>1124</v>
      </c>
      <c r="G161" s="121" t="s">
        <v>1124</v>
      </c>
      <c r="H161" s="121">
        <v>8.6199999999999999E-2</v>
      </c>
      <c r="I161" s="121" t="s">
        <v>1120</v>
      </c>
      <c r="J161" s="121" t="s">
        <v>96</v>
      </c>
      <c r="K161" s="121">
        <v>24057</v>
      </c>
      <c r="L161" s="122">
        <v>46</v>
      </c>
      <c r="M161" s="126">
        <v>8.6199999999999999E-2</v>
      </c>
      <c r="N161" s="127">
        <f t="shared" si="2"/>
        <v>3.9651999999999998</v>
      </c>
    </row>
    <row r="162" spans="1:14">
      <c r="A162" s="121" t="s">
        <v>1480</v>
      </c>
      <c r="B162" s="121" t="s">
        <v>1481</v>
      </c>
      <c r="C162" s="121">
        <v>1</v>
      </c>
      <c r="D162" s="121" t="s">
        <v>1166</v>
      </c>
      <c r="E162" s="125">
        <v>44732</v>
      </c>
      <c r="F162" s="121" t="s">
        <v>1118</v>
      </c>
      <c r="G162" s="121" t="s">
        <v>1131</v>
      </c>
      <c r="H162" s="121">
        <v>0.38340000000000002</v>
      </c>
      <c r="I162" s="121" t="s">
        <v>1120</v>
      </c>
      <c r="J162" s="121" t="s">
        <v>96</v>
      </c>
      <c r="K162" s="121">
        <v>14643</v>
      </c>
      <c r="L162" s="122">
        <v>43</v>
      </c>
      <c r="M162" s="126">
        <v>0.38340000000000002</v>
      </c>
      <c r="N162" s="127">
        <f t="shared" si="2"/>
        <v>16.4862</v>
      </c>
    </row>
    <row r="163" spans="1:14">
      <c r="A163" s="121" t="s">
        <v>1482</v>
      </c>
      <c r="B163" s="121" t="s">
        <v>1483</v>
      </c>
      <c r="C163" s="121">
        <v>1</v>
      </c>
      <c r="D163" s="121" t="s">
        <v>1160</v>
      </c>
      <c r="E163" s="125">
        <v>44791</v>
      </c>
      <c r="F163" s="121" t="s">
        <v>1149</v>
      </c>
      <c r="G163" s="121" t="s">
        <v>1150</v>
      </c>
      <c r="H163" s="121">
        <v>1.8100000000000002E-2</v>
      </c>
      <c r="I163" s="121" t="s">
        <v>1120</v>
      </c>
      <c r="J163" s="121" t="s">
        <v>96</v>
      </c>
      <c r="K163" s="121">
        <v>24252</v>
      </c>
      <c r="L163" s="122">
        <v>45</v>
      </c>
      <c r="M163" s="126">
        <v>1.8100000000000002E-2</v>
      </c>
      <c r="N163" s="127">
        <f t="shared" si="2"/>
        <v>0.81450000000000011</v>
      </c>
    </row>
    <row r="164" spans="1:14">
      <c r="A164" s="121" t="s">
        <v>1484</v>
      </c>
      <c r="B164" s="121" t="s">
        <v>1485</v>
      </c>
      <c r="C164" s="121">
        <v>1</v>
      </c>
      <c r="D164" s="121" t="s">
        <v>1123</v>
      </c>
      <c r="E164" s="125">
        <v>44875</v>
      </c>
      <c r="F164" s="121" t="s">
        <v>1118</v>
      </c>
      <c r="G164" s="121" t="s">
        <v>1131</v>
      </c>
      <c r="H164" s="121">
        <v>3.5099999999999999E-2</v>
      </c>
      <c r="I164" s="121" t="s">
        <v>1120</v>
      </c>
      <c r="J164" s="121" t="s">
        <v>96</v>
      </c>
      <c r="K164" s="121">
        <v>26003</v>
      </c>
      <c r="L164" s="122">
        <v>39</v>
      </c>
      <c r="M164" s="126">
        <v>3.5099999999999999E-2</v>
      </c>
      <c r="N164" s="127">
        <f t="shared" si="2"/>
        <v>1.3689</v>
      </c>
    </row>
    <row r="165" spans="1:14">
      <c r="A165" s="121" t="s">
        <v>1486</v>
      </c>
      <c r="B165" s="121" t="s">
        <v>1487</v>
      </c>
      <c r="C165" s="121">
        <v>1</v>
      </c>
      <c r="D165" s="121" t="s">
        <v>1220</v>
      </c>
      <c r="E165" s="125">
        <v>44795</v>
      </c>
      <c r="F165" s="121" t="s">
        <v>1124</v>
      </c>
      <c r="G165" s="121" t="s">
        <v>1124</v>
      </c>
      <c r="H165" s="121">
        <v>6.7999999999999996E-3</v>
      </c>
      <c r="I165" s="121" t="s">
        <v>1120</v>
      </c>
      <c r="J165" s="121" t="s">
        <v>96</v>
      </c>
      <c r="K165" s="121">
        <v>17308</v>
      </c>
      <c r="L165" s="122">
        <v>43</v>
      </c>
      <c r="M165" s="126">
        <v>6.7999999999999996E-3</v>
      </c>
      <c r="N165" s="127">
        <f t="shared" si="2"/>
        <v>0.29239999999999999</v>
      </c>
    </row>
    <row r="166" spans="1:14">
      <c r="A166" s="121" t="s">
        <v>1488</v>
      </c>
      <c r="B166" s="121" t="s">
        <v>1489</v>
      </c>
      <c r="C166" s="121">
        <v>1</v>
      </c>
      <c r="D166" s="121" t="s">
        <v>1490</v>
      </c>
      <c r="E166" s="125">
        <v>44700</v>
      </c>
      <c r="F166" s="121" t="s">
        <v>1149</v>
      </c>
      <c r="G166" s="121" t="s">
        <v>1150</v>
      </c>
      <c r="H166" s="121">
        <v>2.5499999999999998E-2</v>
      </c>
      <c r="I166" s="121" t="s">
        <v>1120</v>
      </c>
      <c r="J166" s="121" t="s">
        <v>96</v>
      </c>
      <c r="K166" s="121">
        <v>24251</v>
      </c>
      <c r="L166" s="122">
        <v>46</v>
      </c>
      <c r="M166" s="126">
        <v>2.5499999999999998E-2</v>
      </c>
      <c r="N166" s="127">
        <f t="shared" si="2"/>
        <v>1.1729999999999998</v>
      </c>
    </row>
    <row r="167" spans="1:14">
      <c r="A167" s="121" t="s">
        <v>1491</v>
      </c>
      <c r="B167" s="121" t="s">
        <v>1492</v>
      </c>
      <c r="C167" s="121">
        <v>1</v>
      </c>
      <c r="D167" s="121" t="s">
        <v>1493</v>
      </c>
      <c r="E167" s="125">
        <v>44721</v>
      </c>
      <c r="F167" s="121" t="s">
        <v>1149</v>
      </c>
      <c r="G167" s="121" t="s">
        <v>1150</v>
      </c>
      <c r="H167" s="121">
        <v>0.1487</v>
      </c>
      <c r="I167" s="121" t="s">
        <v>1120</v>
      </c>
      <c r="J167" s="121" t="s">
        <v>96</v>
      </c>
      <c r="K167" s="121">
        <v>23853</v>
      </c>
      <c r="L167" s="122">
        <v>44</v>
      </c>
      <c r="M167" s="126">
        <v>0.1487</v>
      </c>
      <c r="N167" s="127">
        <f t="shared" si="2"/>
        <v>6.5427999999999997</v>
      </c>
    </row>
    <row r="168" spans="1:14">
      <c r="A168" s="121" t="s">
        <v>1494</v>
      </c>
      <c r="B168" s="121" t="s">
        <v>1495</v>
      </c>
      <c r="C168" s="121">
        <v>1</v>
      </c>
      <c r="D168" s="121" t="s">
        <v>1130</v>
      </c>
      <c r="E168" s="125">
        <v>44767</v>
      </c>
      <c r="F168" s="121" t="s">
        <v>1118</v>
      </c>
      <c r="G168" s="121" t="s">
        <v>1265</v>
      </c>
      <c r="H168" s="121">
        <v>0.46539999999999998</v>
      </c>
      <c r="I168" s="121" t="s">
        <v>1120</v>
      </c>
      <c r="J168" s="121" t="s">
        <v>96</v>
      </c>
      <c r="K168" s="121">
        <v>19442</v>
      </c>
      <c r="L168" s="122">
        <v>35</v>
      </c>
      <c r="M168" s="126">
        <v>0.46539999999999998</v>
      </c>
      <c r="N168" s="127">
        <f t="shared" si="2"/>
        <v>16.288999999999998</v>
      </c>
    </row>
    <row r="169" spans="1:14">
      <c r="A169" s="121" t="s">
        <v>1496</v>
      </c>
      <c r="B169" s="121" t="s">
        <v>1497</v>
      </c>
      <c r="C169" s="121">
        <v>1</v>
      </c>
      <c r="D169" s="121" t="s">
        <v>1220</v>
      </c>
      <c r="E169" s="125">
        <v>44757</v>
      </c>
      <c r="F169" s="121" t="s">
        <v>1118</v>
      </c>
      <c r="G169" s="121" t="s">
        <v>1131</v>
      </c>
      <c r="H169" s="121">
        <v>8.3000000000000001E-3</v>
      </c>
      <c r="I169" s="121" t="s">
        <v>1120</v>
      </c>
      <c r="J169" s="121" t="s">
        <v>96</v>
      </c>
      <c r="K169" s="121">
        <v>27044</v>
      </c>
      <c r="L169" s="122">
        <v>31</v>
      </c>
      <c r="M169" s="126">
        <v>8.3000000000000001E-3</v>
      </c>
      <c r="N169" s="127">
        <f t="shared" si="2"/>
        <v>0.25730000000000003</v>
      </c>
    </row>
    <row r="170" spans="1:14">
      <c r="A170" s="121" t="s">
        <v>1498</v>
      </c>
      <c r="B170" s="121" t="s">
        <v>1499</v>
      </c>
      <c r="C170" s="121">
        <v>1</v>
      </c>
      <c r="D170" s="121" t="s">
        <v>1123</v>
      </c>
      <c r="E170" s="125">
        <v>44734</v>
      </c>
      <c r="F170" s="121" t="s">
        <v>1149</v>
      </c>
      <c r="G170" s="121" t="s">
        <v>1150</v>
      </c>
      <c r="H170" s="121">
        <v>3.4200000000000001E-2</v>
      </c>
      <c r="I170" s="121" t="s">
        <v>1120</v>
      </c>
      <c r="J170" s="121" t="s">
        <v>96</v>
      </c>
      <c r="K170" s="121">
        <v>24621</v>
      </c>
      <c r="L170" s="122">
        <v>43</v>
      </c>
      <c r="M170" s="126">
        <v>3.4200000000000001E-2</v>
      </c>
      <c r="N170" s="127">
        <f t="shared" si="2"/>
        <v>1.4706000000000001</v>
      </c>
    </row>
    <row r="171" spans="1:14">
      <c r="A171" s="121" t="s">
        <v>1500</v>
      </c>
      <c r="B171" s="121" t="s">
        <v>1501</v>
      </c>
      <c r="C171" s="121">
        <v>1</v>
      </c>
      <c r="D171" s="121" t="s">
        <v>1153</v>
      </c>
      <c r="E171" s="125">
        <v>44780</v>
      </c>
      <c r="F171" s="121" t="s">
        <v>1154</v>
      </c>
      <c r="G171" s="121" t="s">
        <v>1155</v>
      </c>
      <c r="H171" s="121">
        <v>0.64400000000000002</v>
      </c>
      <c r="I171" s="121" t="s">
        <v>1120</v>
      </c>
      <c r="J171" s="121" t="s">
        <v>96</v>
      </c>
      <c r="K171" s="121">
        <v>5842</v>
      </c>
      <c r="L171" s="122">
        <v>42</v>
      </c>
      <c r="M171" s="126">
        <v>0.31440000000000001</v>
      </c>
      <c r="N171" s="127">
        <f t="shared" si="2"/>
        <v>13.204800000000001</v>
      </c>
    </row>
    <row r="172" spans="1:14">
      <c r="A172" s="121" t="s">
        <v>1500</v>
      </c>
      <c r="B172" s="121" t="s">
        <v>1501</v>
      </c>
      <c r="C172" s="121">
        <v>1</v>
      </c>
      <c r="D172" s="121" t="s">
        <v>1153</v>
      </c>
      <c r="E172" s="125">
        <v>44780</v>
      </c>
      <c r="F172" s="121" t="s">
        <v>1154</v>
      </c>
      <c r="G172" s="121" t="s">
        <v>1155</v>
      </c>
      <c r="H172" s="121">
        <v>0.64400000000000002</v>
      </c>
      <c r="I172" s="121" t="s">
        <v>1120</v>
      </c>
      <c r="J172" s="121" t="s">
        <v>96</v>
      </c>
      <c r="K172" s="121">
        <v>5843</v>
      </c>
      <c r="L172" s="122">
        <v>44</v>
      </c>
      <c r="M172" s="126">
        <v>0.3296</v>
      </c>
      <c r="N172" s="127">
        <f t="shared" si="2"/>
        <v>14.5024</v>
      </c>
    </row>
    <row r="173" spans="1:14">
      <c r="A173" s="121" t="s">
        <v>1502</v>
      </c>
      <c r="B173" s="121" t="s">
        <v>1503</v>
      </c>
      <c r="C173" s="121">
        <v>1</v>
      </c>
      <c r="D173" s="121" t="s">
        <v>1504</v>
      </c>
      <c r="E173" s="125">
        <v>44783</v>
      </c>
      <c r="F173" s="121" t="s">
        <v>1154</v>
      </c>
      <c r="G173" s="121" t="s">
        <v>1155</v>
      </c>
      <c r="H173" s="121">
        <v>0.1231</v>
      </c>
      <c r="I173" s="121" t="s">
        <v>1120</v>
      </c>
      <c r="J173" s="121" t="s">
        <v>96</v>
      </c>
      <c r="K173" s="121">
        <v>5843</v>
      </c>
      <c r="L173" s="122">
        <v>44</v>
      </c>
      <c r="M173" s="126">
        <v>0.1231</v>
      </c>
      <c r="N173" s="127">
        <f t="shared" si="2"/>
        <v>5.4164000000000003</v>
      </c>
    </row>
    <row r="174" spans="1:14">
      <c r="A174" s="121" t="s">
        <v>1505</v>
      </c>
      <c r="B174" s="121" t="s">
        <v>1506</v>
      </c>
      <c r="C174" s="121">
        <v>1</v>
      </c>
      <c r="D174" s="121" t="s">
        <v>1130</v>
      </c>
      <c r="E174" s="125">
        <v>44795</v>
      </c>
      <c r="F174" s="121" t="s">
        <v>1118</v>
      </c>
      <c r="G174" s="121" t="s">
        <v>1325</v>
      </c>
      <c r="H174" s="121">
        <v>4.4900000000000002E-2</v>
      </c>
      <c r="I174" s="121" t="s">
        <v>1120</v>
      </c>
      <c r="J174" s="121" t="s">
        <v>96</v>
      </c>
      <c r="K174" s="121">
        <v>23496</v>
      </c>
      <c r="L174" s="122">
        <v>47</v>
      </c>
      <c r="M174" s="126">
        <v>4.4900000000000002E-2</v>
      </c>
      <c r="N174" s="127">
        <f t="shared" si="2"/>
        <v>2.1103000000000001</v>
      </c>
    </row>
    <row r="175" spans="1:14">
      <c r="A175" s="121" t="s">
        <v>1507</v>
      </c>
      <c r="B175" s="121" t="s">
        <v>1508</v>
      </c>
      <c r="C175" s="121">
        <v>1</v>
      </c>
      <c r="D175" s="121" t="s">
        <v>1123</v>
      </c>
      <c r="E175" s="125">
        <v>44795</v>
      </c>
      <c r="F175" s="121" t="s">
        <v>1149</v>
      </c>
      <c r="G175" s="121" t="s">
        <v>1150</v>
      </c>
      <c r="H175" s="121">
        <v>0.37269999999999998</v>
      </c>
      <c r="I175" s="121" t="s">
        <v>1120</v>
      </c>
      <c r="J175" s="121" t="s">
        <v>96</v>
      </c>
      <c r="K175" s="121">
        <v>23049</v>
      </c>
      <c r="L175" s="122">
        <v>47</v>
      </c>
      <c r="M175" s="126">
        <v>0.37269999999999998</v>
      </c>
      <c r="N175" s="127">
        <f t="shared" si="2"/>
        <v>17.5169</v>
      </c>
    </row>
    <row r="176" spans="1:14">
      <c r="A176" s="121" t="s">
        <v>1509</v>
      </c>
      <c r="B176" s="121" t="s">
        <v>1510</v>
      </c>
      <c r="C176" s="121">
        <v>1</v>
      </c>
      <c r="D176" s="121" t="s">
        <v>1130</v>
      </c>
      <c r="E176" s="125">
        <v>44706</v>
      </c>
      <c r="F176" s="121" t="s">
        <v>1118</v>
      </c>
      <c r="G176" s="121" t="s">
        <v>1143</v>
      </c>
      <c r="H176" s="121">
        <v>8.0100000000000005E-2</v>
      </c>
      <c r="I176" s="121" t="s">
        <v>1120</v>
      </c>
      <c r="J176" s="121" t="s">
        <v>96</v>
      </c>
      <c r="K176" s="121">
        <v>14487</v>
      </c>
      <c r="L176" s="122">
        <v>36</v>
      </c>
      <c r="M176" s="126">
        <v>8.0100000000000005E-2</v>
      </c>
      <c r="N176" s="127">
        <f t="shared" si="2"/>
        <v>2.8836000000000004</v>
      </c>
    </row>
    <row r="177" spans="1:14">
      <c r="A177" s="121" t="s">
        <v>1511</v>
      </c>
      <c r="B177" s="121" t="s">
        <v>1512</v>
      </c>
      <c r="C177" s="121">
        <v>1</v>
      </c>
      <c r="D177" s="121" t="s">
        <v>1203</v>
      </c>
      <c r="E177" s="125">
        <v>44795</v>
      </c>
      <c r="F177" s="121" t="s">
        <v>1118</v>
      </c>
      <c r="G177" s="121" t="s">
        <v>1119</v>
      </c>
      <c r="H177" s="121">
        <v>8.8999999999999996E-2</v>
      </c>
      <c r="I177" s="121" t="s">
        <v>1120</v>
      </c>
      <c r="J177" s="121" t="s">
        <v>96</v>
      </c>
      <c r="K177" s="121">
        <v>17308</v>
      </c>
      <c r="L177" s="122">
        <v>43</v>
      </c>
      <c r="M177" s="126">
        <v>8.8999999999999996E-2</v>
      </c>
      <c r="N177" s="127">
        <f t="shared" si="2"/>
        <v>3.827</v>
      </c>
    </row>
    <row r="178" spans="1:14">
      <c r="A178" s="121" t="s">
        <v>1513</v>
      </c>
      <c r="B178" s="121" t="s">
        <v>1514</v>
      </c>
      <c r="C178" s="121">
        <v>1</v>
      </c>
      <c r="D178" s="121" t="s">
        <v>1123</v>
      </c>
      <c r="E178" s="125">
        <v>44727</v>
      </c>
      <c r="F178" s="121" t="s">
        <v>1149</v>
      </c>
      <c r="G178" s="121" t="s">
        <v>1150</v>
      </c>
      <c r="H178" s="121">
        <v>6.3799999999999996E-2</v>
      </c>
      <c r="I178" s="121" t="s">
        <v>1120</v>
      </c>
      <c r="J178" s="121" t="s">
        <v>96</v>
      </c>
      <c r="K178" s="121">
        <v>24621</v>
      </c>
      <c r="L178" s="122">
        <v>43</v>
      </c>
      <c r="M178" s="126">
        <v>6.3799999999999996E-2</v>
      </c>
      <c r="N178" s="127">
        <f t="shared" si="2"/>
        <v>2.7433999999999998</v>
      </c>
    </row>
    <row r="179" spans="1:14">
      <c r="A179" s="121" t="s">
        <v>1515</v>
      </c>
      <c r="B179" s="121" t="s">
        <v>1516</v>
      </c>
      <c r="C179" s="121">
        <v>1</v>
      </c>
      <c r="D179" s="121" t="s">
        <v>1123</v>
      </c>
      <c r="E179" s="125">
        <v>44824</v>
      </c>
      <c r="F179" s="121" t="s">
        <v>1118</v>
      </c>
      <c r="G179" s="121" t="s">
        <v>1131</v>
      </c>
      <c r="H179" s="121">
        <v>5.8900000000000001E-2</v>
      </c>
      <c r="I179" s="121" t="s">
        <v>1120</v>
      </c>
      <c r="J179" s="121" t="s">
        <v>96</v>
      </c>
      <c r="K179" s="121">
        <v>26622</v>
      </c>
      <c r="L179" s="122">
        <v>33</v>
      </c>
      <c r="M179" s="126">
        <v>5.8900000000000001E-2</v>
      </c>
      <c r="N179" s="127">
        <f t="shared" si="2"/>
        <v>1.9437</v>
      </c>
    </row>
    <row r="180" spans="1:14">
      <c r="A180" s="121" t="s">
        <v>1517</v>
      </c>
      <c r="B180" s="121" t="s">
        <v>1518</v>
      </c>
      <c r="C180" s="121">
        <v>1</v>
      </c>
      <c r="D180" s="121" t="s">
        <v>1123</v>
      </c>
      <c r="E180" s="125">
        <v>44845</v>
      </c>
      <c r="F180" s="121" t="s">
        <v>1149</v>
      </c>
      <c r="G180" s="121" t="s">
        <v>1150</v>
      </c>
      <c r="H180" s="121">
        <v>0.29089999999999999</v>
      </c>
      <c r="I180" s="121" t="s">
        <v>1120</v>
      </c>
      <c r="J180" s="121" t="s">
        <v>96</v>
      </c>
      <c r="K180" s="121">
        <v>23848</v>
      </c>
      <c r="L180" s="122">
        <v>45</v>
      </c>
      <c r="M180" s="126">
        <v>0.29089999999999999</v>
      </c>
      <c r="N180" s="127">
        <f t="shared" si="2"/>
        <v>13.0905</v>
      </c>
    </row>
    <row r="181" spans="1:14">
      <c r="A181" s="121" t="s">
        <v>1519</v>
      </c>
      <c r="B181" s="121" t="s">
        <v>1520</v>
      </c>
      <c r="C181" s="121">
        <v>1</v>
      </c>
      <c r="D181" s="121" t="s">
        <v>1117</v>
      </c>
      <c r="E181" s="125">
        <v>44795</v>
      </c>
      <c r="F181" s="121" t="s">
        <v>1118</v>
      </c>
      <c r="G181" s="121" t="s">
        <v>1119</v>
      </c>
      <c r="H181" s="121">
        <v>0.31330000000000002</v>
      </c>
      <c r="I181" s="121" t="s">
        <v>1120</v>
      </c>
      <c r="J181" s="121" t="s">
        <v>96</v>
      </c>
      <c r="K181" s="121">
        <v>17308</v>
      </c>
      <c r="L181" s="122">
        <v>43</v>
      </c>
      <c r="M181" s="126">
        <v>0.31330000000000002</v>
      </c>
      <c r="N181" s="127">
        <f t="shared" si="2"/>
        <v>13.471900000000002</v>
      </c>
    </row>
    <row r="182" spans="1:14">
      <c r="A182" s="121" t="s">
        <v>1521</v>
      </c>
      <c r="B182" s="121" t="s">
        <v>1522</v>
      </c>
      <c r="C182" s="121">
        <v>1</v>
      </c>
      <c r="D182" s="121" t="s">
        <v>1117</v>
      </c>
      <c r="E182" s="125">
        <v>44795</v>
      </c>
      <c r="F182" s="121" t="s">
        <v>1124</v>
      </c>
      <c r="G182" s="121" t="s">
        <v>1124</v>
      </c>
      <c r="H182" s="121">
        <v>1.41E-2</v>
      </c>
      <c r="I182" s="121" t="s">
        <v>1120</v>
      </c>
      <c r="J182" s="121" t="s">
        <v>96</v>
      </c>
      <c r="K182" s="121">
        <v>17308</v>
      </c>
      <c r="L182" s="122">
        <v>43</v>
      </c>
      <c r="M182" s="126">
        <v>1.41E-2</v>
      </c>
      <c r="N182" s="127">
        <f t="shared" si="2"/>
        <v>0.60629999999999995</v>
      </c>
    </row>
    <row r="183" spans="1:14">
      <c r="A183" s="121" t="s">
        <v>1523</v>
      </c>
      <c r="B183" s="121" t="s">
        <v>1524</v>
      </c>
      <c r="C183" s="121">
        <v>1</v>
      </c>
      <c r="D183" s="121" t="s">
        <v>1525</v>
      </c>
      <c r="E183" s="125">
        <v>44790</v>
      </c>
      <c r="F183" s="121" t="s">
        <v>1118</v>
      </c>
      <c r="G183" s="121" t="s">
        <v>1131</v>
      </c>
      <c r="H183" s="121">
        <v>7.2599999999999998E-2</v>
      </c>
      <c r="I183" s="121" t="s">
        <v>1120</v>
      </c>
      <c r="J183" s="121" t="s">
        <v>96</v>
      </c>
      <c r="K183" s="121">
        <v>26419</v>
      </c>
      <c r="L183" s="122">
        <v>41</v>
      </c>
      <c r="M183" s="126">
        <v>7.2599999999999998E-2</v>
      </c>
      <c r="N183" s="127">
        <f t="shared" si="2"/>
        <v>2.9765999999999999</v>
      </c>
    </row>
    <row r="184" spans="1:14">
      <c r="A184" s="121" t="s">
        <v>1526</v>
      </c>
      <c r="B184" s="121" t="s">
        <v>1527</v>
      </c>
      <c r="C184" s="121">
        <v>1</v>
      </c>
      <c r="D184" s="121" t="s">
        <v>1123</v>
      </c>
      <c r="E184" s="125">
        <v>44795</v>
      </c>
      <c r="F184" s="121" t="s">
        <v>1118</v>
      </c>
      <c r="G184" s="121" t="s">
        <v>1124</v>
      </c>
      <c r="H184" s="121">
        <v>4.9099999999999998E-2</v>
      </c>
      <c r="I184" s="121" t="s">
        <v>1120</v>
      </c>
      <c r="J184" s="121" t="s">
        <v>96</v>
      </c>
      <c r="K184" s="121">
        <v>19818</v>
      </c>
      <c r="L184" s="122">
        <v>46</v>
      </c>
      <c r="M184" s="126">
        <v>5.3E-3</v>
      </c>
      <c r="N184" s="127">
        <f t="shared" si="2"/>
        <v>0.24379999999999999</v>
      </c>
    </row>
    <row r="185" spans="1:14">
      <c r="A185" s="121" t="s">
        <v>1526</v>
      </c>
      <c r="B185" s="121" t="s">
        <v>1527</v>
      </c>
      <c r="C185" s="121">
        <v>1</v>
      </c>
      <c r="D185" s="121" t="s">
        <v>1123</v>
      </c>
      <c r="E185" s="125">
        <v>44795</v>
      </c>
      <c r="F185" s="121" t="s">
        <v>1118</v>
      </c>
      <c r="G185" s="121" t="s">
        <v>1124</v>
      </c>
      <c r="H185" s="121">
        <v>4.9099999999999998E-2</v>
      </c>
      <c r="I185" s="121" t="s">
        <v>1120</v>
      </c>
      <c r="J185" s="121" t="s">
        <v>96</v>
      </c>
      <c r="K185" s="121">
        <v>20016</v>
      </c>
      <c r="L185" s="122">
        <v>44</v>
      </c>
      <c r="M185" s="126">
        <v>4.3799999999999999E-2</v>
      </c>
      <c r="N185" s="127">
        <f t="shared" si="2"/>
        <v>1.9272</v>
      </c>
    </row>
    <row r="186" spans="1:14">
      <c r="A186" s="121" t="s">
        <v>1528</v>
      </c>
      <c r="B186" s="121" t="s">
        <v>1529</v>
      </c>
      <c r="C186" s="121">
        <v>1</v>
      </c>
      <c r="D186" s="121" t="s">
        <v>1123</v>
      </c>
      <c r="E186" s="125">
        <v>44795</v>
      </c>
      <c r="F186" s="121" t="s">
        <v>1118</v>
      </c>
      <c r="G186" s="121" t="s">
        <v>1124</v>
      </c>
      <c r="H186" s="121">
        <v>8.9300000000000004E-2</v>
      </c>
      <c r="I186" s="121" t="s">
        <v>1120</v>
      </c>
      <c r="J186" s="121" t="s">
        <v>96</v>
      </c>
      <c r="K186" s="121">
        <v>20391</v>
      </c>
      <c r="L186" s="122">
        <v>38</v>
      </c>
      <c r="M186" s="126">
        <v>8.9300000000000004E-2</v>
      </c>
      <c r="N186" s="127">
        <f t="shared" si="2"/>
        <v>3.3934000000000002</v>
      </c>
    </row>
    <row r="187" spans="1:14">
      <c r="A187" s="121" t="s">
        <v>1530</v>
      </c>
      <c r="B187" s="121" t="s">
        <v>1531</v>
      </c>
      <c r="C187" s="121">
        <v>1</v>
      </c>
      <c r="D187" s="121" t="s">
        <v>1252</v>
      </c>
      <c r="E187" s="125">
        <v>44783</v>
      </c>
      <c r="F187" s="121" t="s">
        <v>1118</v>
      </c>
      <c r="G187" s="121" t="s">
        <v>1131</v>
      </c>
      <c r="H187" s="121">
        <v>2.46E-2</v>
      </c>
      <c r="I187" s="121" t="s">
        <v>1120</v>
      </c>
      <c r="J187" s="121" t="s">
        <v>96</v>
      </c>
      <c r="K187" s="121">
        <v>26002</v>
      </c>
      <c r="L187" s="122">
        <v>37</v>
      </c>
      <c r="M187" s="126">
        <v>2.46E-2</v>
      </c>
      <c r="N187" s="127">
        <f t="shared" si="2"/>
        <v>0.91020000000000001</v>
      </c>
    </row>
    <row r="188" spans="1:14">
      <c r="A188" s="121" t="s">
        <v>1532</v>
      </c>
      <c r="B188" s="121" t="s">
        <v>1533</v>
      </c>
      <c r="C188" s="121">
        <v>1</v>
      </c>
      <c r="D188" s="121" t="s">
        <v>1130</v>
      </c>
      <c r="E188" s="125">
        <v>44704</v>
      </c>
      <c r="F188" s="121" t="s">
        <v>1118</v>
      </c>
      <c r="G188" s="121" t="s">
        <v>1131</v>
      </c>
      <c r="H188" s="121">
        <v>5.3499999999999999E-2</v>
      </c>
      <c r="I188" s="121" t="s">
        <v>1120</v>
      </c>
      <c r="J188" s="121" t="s">
        <v>96</v>
      </c>
      <c r="K188" s="121">
        <v>26623</v>
      </c>
      <c r="L188" s="122">
        <v>40</v>
      </c>
      <c r="M188" s="126">
        <v>5.3499999999999999E-2</v>
      </c>
      <c r="N188" s="127">
        <f t="shared" si="2"/>
        <v>2.14</v>
      </c>
    </row>
    <row r="189" spans="1:14">
      <c r="A189" s="121" t="s">
        <v>1534</v>
      </c>
      <c r="B189" s="121" t="s">
        <v>1535</v>
      </c>
      <c r="C189" s="121">
        <v>1</v>
      </c>
      <c r="D189" s="121" t="s">
        <v>1160</v>
      </c>
      <c r="E189" s="125">
        <v>44795</v>
      </c>
      <c r="F189" s="121" t="s">
        <v>1118</v>
      </c>
      <c r="G189" s="121" t="s">
        <v>1177</v>
      </c>
      <c r="H189" s="121">
        <v>8.8599999999999998E-2</v>
      </c>
      <c r="I189" s="121" t="s">
        <v>1120</v>
      </c>
      <c r="J189" s="121" t="s">
        <v>96</v>
      </c>
      <c r="K189" s="121">
        <v>20392</v>
      </c>
      <c r="L189" s="122">
        <v>40</v>
      </c>
      <c r="M189" s="126">
        <v>8.8599999999999998E-2</v>
      </c>
      <c r="N189" s="127">
        <f t="shared" si="2"/>
        <v>3.544</v>
      </c>
    </row>
    <row r="190" spans="1:14">
      <c r="A190" s="121" t="s">
        <v>1536</v>
      </c>
      <c r="B190" s="121" t="s">
        <v>1537</v>
      </c>
      <c r="C190" s="121">
        <v>1</v>
      </c>
      <c r="D190" s="121" t="s">
        <v>1117</v>
      </c>
      <c r="E190" s="125">
        <v>44757</v>
      </c>
      <c r="F190" s="121" t="s">
        <v>1118</v>
      </c>
      <c r="G190" s="121" t="s">
        <v>1143</v>
      </c>
      <c r="H190" s="121">
        <v>1.7500000000000002E-2</v>
      </c>
      <c r="I190" s="121" t="s">
        <v>1120</v>
      </c>
      <c r="J190" s="121" t="s">
        <v>96</v>
      </c>
      <c r="K190" s="121">
        <v>14491</v>
      </c>
      <c r="L190" s="122">
        <v>41</v>
      </c>
      <c r="M190" s="126">
        <v>1.7500000000000002E-2</v>
      </c>
      <c r="N190" s="127">
        <f t="shared" si="2"/>
        <v>0.71750000000000003</v>
      </c>
    </row>
    <row r="191" spans="1:14">
      <c r="A191" s="121" t="s">
        <v>1538</v>
      </c>
      <c r="B191" s="121" t="s">
        <v>1539</v>
      </c>
      <c r="C191" s="121">
        <v>1</v>
      </c>
      <c r="D191" s="121" t="s">
        <v>1117</v>
      </c>
      <c r="E191" s="125">
        <v>44795</v>
      </c>
      <c r="F191" s="121" t="s">
        <v>1118</v>
      </c>
      <c r="G191" s="121" t="s">
        <v>1119</v>
      </c>
      <c r="H191" s="121">
        <v>0.1114</v>
      </c>
      <c r="I191" s="121" t="s">
        <v>1120</v>
      </c>
      <c r="J191" s="121" t="s">
        <v>96</v>
      </c>
      <c r="K191" s="121">
        <v>17308</v>
      </c>
      <c r="L191" s="122">
        <v>43</v>
      </c>
      <c r="M191" s="126">
        <v>0.1114</v>
      </c>
      <c r="N191" s="127">
        <f t="shared" si="2"/>
        <v>4.7901999999999996</v>
      </c>
    </row>
    <row r="192" spans="1:14">
      <c r="A192" s="121" t="s">
        <v>1540</v>
      </c>
      <c r="B192" s="121" t="s">
        <v>1541</v>
      </c>
      <c r="C192" s="121">
        <v>1</v>
      </c>
      <c r="D192" s="121" t="s">
        <v>1203</v>
      </c>
      <c r="E192" s="125">
        <v>44760</v>
      </c>
      <c r="F192" s="121" t="s">
        <v>1118</v>
      </c>
      <c r="G192" s="121" t="s">
        <v>1265</v>
      </c>
      <c r="H192" s="121">
        <v>0.1333</v>
      </c>
      <c r="I192" s="121" t="s">
        <v>1120</v>
      </c>
      <c r="J192" s="121" t="s">
        <v>96</v>
      </c>
      <c r="K192" s="121">
        <v>19235</v>
      </c>
      <c r="L192" s="122">
        <v>45</v>
      </c>
      <c r="M192" s="126">
        <v>0.1333</v>
      </c>
      <c r="N192" s="127">
        <f t="shared" si="2"/>
        <v>5.9984999999999999</v>
      </c>
    </row>
    <row r="193" spans="1:14">
      <c r="A193" s="121" t="s">
        <v>1542</v>
      </c>
      <c r="B193" s="121" t="s">
        <v>1543</v>
      </c>
      <c r="C193" s="121">
        <v>1</v>
      </c>
      <c r="D193" s="121" t="s">
        <v>1203</v>
      </c>
      <c r="E193" s="125">
        <v>33361</v>
      </c>
      <c r="F193" s="121" t="s">
        <v>1118</v>
      </c>
      <c r="G193" s="121" t="s">
        <v>1143</v>
      </c>
      <c r="H193" s="121">
        <v>0.1474</v>
      </c>
      <c r="I193" s="121" t="s">
        <v>1120</v>
      </c>
      <c r="J193" s="121" t="s">
        <v>96</v>
      </c>
      <c r="K193" s="121">
        <v>14492</v>
      </c>
      <c r="L193" s="122">
        <v>42</v>
      </c>
      <c r="M193" s="126">
        <v>0.1474</v>
      </c>
      <c r="N193" s="127">
        <f t="shared" si="2"/>
        <v>6.1908000000000003</v>
      </c>
    </row>
    <row r="194" spans="1:14">
      <c r="A194" s="121" t="s">
        <v>1544</v>
      </c>
      <c r="B194" s="121" t="s">
        <v>1545</v>
      </c>
      <c r="C194" s="121">
        <v>1</v>
      </c>
      <c r="D194" s="121" t="s">
        <v>1123</v>
      </c>
      <c r="E194" s="125">
        <v>44832</v>
      </c>
      <c r="F194" s="121" t="s">
        <v>1118</v>
      </c>
      <c r="G194" s="121" t="s">
        <v>1124</v>
      </c>
      <c r="H194" s="121">
        <v>0.10730000000000001</v>
      </c>
      <c r="I194" s="121" t="s">
        <v>1120</v>
      </c>
      <c r="J194" s="121" t="s">
        <v>96</v>
      </c>
      <c r="K194" s="121">
        <v>26221</v>
      </c>
      <c r="L194" s="122">
        <v>44</v>
      </c>
      <c r="M194" s="126">
        <v>0.10730000000000001</v>
      </c>
      <c r="N194" s="127">
        <f t="shared" ref="N194:N257" si="3">+M194*L194</f>
        <v>4.7212000000000005</v>
      </c>
    </row>
    <row r="195" spans="1:14">
      <c r="A195" s="121" t="s">
        <v>1546</v>
      </c>
      <c r="B195" s="121" t="s">
        <v>1547</v>
      </c>
      <c r="C195" s="121">
        <v>1</v>
      </c>
      <c r="D195" s="121" t="s">
        <v>1203</v>
      </c>
      <c r="E195" s="125">
        <v>44795</v>
      </c>
      <c r="F195" s="121" t="s">
        <v>1118</v>
      </c>
      <c r="G195" s="121" t="s">
        <v>1177</v>
      </c>
      <c r="H195" s="121">
        <v>0.20050000000000001</v>
      </c>
      <c r="I195" s="121" t="s">
        <v>1120</v>
      </c>
      <c r="J195" s="121" t="s">
        <v>96</v>
      </c>
      <c r="K195" s="121">
        <v>21165</v>
      </c>
      <c r="L195" s="122">
        <v>45</v>
      </c>
      <c r="M195" s="126">
        <v>0.20050000000000001</v>
      </c>
      <c r="N195" s="127">
        <f t="shared" si="3"/>
        <v>9.0225000000000009</v>
      </c>
    </row>
    <row r="196" spans="1:14">
      <c r="A196" s="121" t="s">
        <v>1548</v>
      </c>
      <c r="B196" s="121" t="s">
        <v>1549</v>
      </c>
      <c r="C196" s="121">
        <v>1</v>
      </c>
      <c r="D196" s="121" t="s">
        <v>1123</v>
      </c>
      <c r="E196" s="125">
        <v>44857</v>
      </c>
      <c r="F196" s="121" t="s">
        <v>1149</v>
      </c>
      <c r="G196" s="121" t="s">
        <v>1150</v>
      </c>
      <c r="H196" s="121">
        <v>0.1608</v>
      </c>
      <c r="I196" s="121" t="s">
        <v>1120</v>
      </c>
      <c r="J196" s="121" t="s">
        <v>96</v>
      </c>
      <c r="K196" s="121">
        <v>24437</v>
      </c>
      <c r="L196" s="122">
        <v>51</v>
      </c>
      <c r="M196" s="126">
        <v>0.1608</v>
      </c>
      <c r="N196" s="127">
        <f t="shared" si="3"/>
        <v>8.2007999999999992</v>
      </c>
    </row>
    <row r="197" spans="1:14">
      <c r="A197" s="121" t="s">
        <v>1550</v>
      </c>
      <c r="B197" s="121" t="s">
        <v>1551</v>
      </c>
      <c r="C197" s="121">
        <v>1</v>
      </c>
      <c r="D197" s="121" t="s">
        <v>1552</v>
      </c>
      <c r="E197" s="125">
        <v>44791</v>
      </c>
      <c r="F197" s="121" t="s">
        <v>1118</v>
      </c>
      <c r="G197" s="121" t="s">
        <v>1265</v>
      </c>
      <c r="H197" s="121">
        <v>0.23499999999999999</v>
      </c>
      <c r="I197" s="121" t="s">
        <v>1120</v>
      </c>
      <c r="J197" s="121" t="s">
        <v>96</v>
      </c>
      <c r="K197" s="121">
        <v>19440</v>
      </c>
      <c r="L197" s="122">
        <v>43</v>
      </c>
      <c r="M197" s="126">
        <v>0.23499999999999999</v>
      </c>
      <c r="N197" s="127">
        <f t="shared" si="3"/>
        <v>10.104999999999999</v>
      </c>
    </row>
    <row r="198" spans="1:14">
      <c r="A198" s="121" t="s">
        <v>1553</v>
      </c>
      <c r="B198" s="121" t="s">
        <v>1554</v>
      </c>
      <c r="C198" s="121">
        <v>1</v>
      </c>
      <c r="D198" s="121" t="s">
        <v>1163</v>
      </c>
      <c r="E198" s="125">
        <v>44734</v>
      </c>
      <c r="F198" s="121" t="s">
        <v>1149</v>
      </c>
      <c r="G198" s="121" t="s">
        <v>1150</v>
      </c>
      <c r="H198" s="121">
        <v>7.1599999999999997E-2</v>
      </c>
      <c r="I198" s="121" t="s">
        <v>1120</v>
      </c>
      <c r="J198" s="121" t="s">
        <v>96</v>
      </c>
      <c r="K198" s="121">
        <v>24621</v>
      </c>
      <c r="L198" s="122">
        <v>43</v>
      </c>
      <c r="M198" s="126">
        <v>7.1599999999999997E-2</v>
      </c>
      <c r="N198" s="127">
        <f t="shared" si="3"/>
        <v>3.0787999999999998</v>
      </c>
    </row>
    <row r="199" spans="1:14">
      <c r="A199" s="121" t="s">
        <v>1555</v>
      </c>
      <c r="B199" s="121" t="s">
        <v>1556</v>
      </c>
      <c r="C199" s="121">
        <v>1</v>
      </c>
      <c r="D199" s="121" t="s">
        <v>1123</v>
      </c>
      <c r="E199" s="125">
        <v>44842</v>
      </c>
      <c r="F199" s="121" t="s">
        <v>1118</v>
      </c>
      <c r="G199" s="121" t="s">
        <v>1124</v>
      </c>
      <c r="H199" s="121">
        <v>7.5999999999999998E-2</v>
      </c>
      <c r="I199" s="121" t="s">
        <v>1120</v>
      </c>
      <c r="J199" s="121" t="s">
        <v>96</v>
      </c>
      <c r="K199" s="121">
        <v>18183</v>
      </c>
      <c r="L199" s="122">
        <v>39</v>
      </c>
      <c r="M199" s="126">
        <v>7.5999999999999998E-2</v>
      </c>
      <c r="N199" s="127">
        <f t="shared" si="3"/>
        <v>2.964</v>
      </c>
    </row>
    <row r="200" spans="1:14">
      <c r="A200" s="121" t="s">
        <v>1557</v>
      </c>
      <c r="B200" s="121" t="s">
        <v>1558</v>
      </c>
      <c r="C200" s="121">
        <v>1</v>
      </c>
      <c r="D200" s="121" t="s">
        <v>1123</v>
      </c>
      <c r="E200" s="125">
        <v>44845</v>
      </c>
      <c r="F200" s="121" t="s">
        <v>1118</v>
      </c>
      <c r="G200" s="121" t="s">
        <v>1124</v>
      </c>
      <c r="H200" s="121">
        <v>0.1394</v>
      </c>
      <c r="I200" s="121" t="s">
        <v>1120</v>
      </c>
      <c r="J200" s="121" t="s">
        <v>96</v>
      </c>
      <c r="K200" s="121">
        <v>24800</v>
      </c>
      <c r="L200" s="122">
        <v>41</v>
      </c>
      <c r="M200" s="126">
        <v>0.1394</v>
      </c>
      <c r="N200" s="127">
        <f t="shared" si="3"/>
        <v>5.7153999999999998</v>
      </c>
    </row>
    <row r="201" spans="1:14">
      <c r="A201" s="121" t="s">
        <v>1559</v>
      </c>
      <c r="B201" s="121" t="s">
        <v>1560</v>
      </c>
      <c r="C201" s="121">
        <v>1</v>
      </c>
      <c r="D201" s="121" t="s">
        <v>1561</v>
      </c>
      <c r="E201" s="125">
        <v>44814</v>
      </c>
      <c r="F201" s="121" t="s">
        <v>1149</v>
      </c>
      <c r="G201" s="121" t="s">
        <v>1150</v>
      </c>
      <c r="H201" s="121">
        <v>0.1762</v>
      </c>
      <c r="I201" s="121" t="s">
        <v>1120</v>
      </c>
      <c r="J201" s="121" t="s">
        <v>96</v>
      </c>
      <c r="K201" s="121">
        <v>24267</v>
      </c>
      <c r="L201" s="122">
        <v>42</v>
      </c>
      <c r="M201" s="126">
        <v>0.1762</v>
      </c>
      <c r="N201" s="127">
        <f t="shared" si="3"/>
        <v>7.4003999999999994</v>
      </c>
    </row>
    <row r="202" spans="1:14">
      <c r="A202" s="121" t="s">
        <v>1562</v>
      </c>
      <c r="B202" s="121" t="s">
        <v>1563</v>
      </c>
      <c r="C202" s="121">
        <v>1</v>
      </c>
      <c r="D202" s="121" t="s">
        <v>1123</v>
      </c>
      <c r="E202" s="125">
        <v>44795</v>
      </c>
      <c r="F202" s="121" t="s">
        <v>1149</v>
      </c>
      <c r="G202" s="121" t="s">
        <v>1150</v>
      </c>
      <c r="H202" s="121">
        <v>0.59119999999999995</v>
      </c>
      <c r="I202" s="121" t="s">
        <v>1120</v>
      </c>
      <c r="J202" s="121" t="s">
        <v>96</v>
      </c>
      <c r="K202" s="121">
        <v>24255</v>
      </c>
      <c r="L202" s="122">
        <v>51</v>
      </c>
      <c r="M202" s="126">
        <v>0.59119999999999995</v>
      </c>
      <c r="N202" s="127">
        <f t="shared" si="3"/>
        <v>30.151199999999996</v>
      </c>
    </row>
    <row r="203" spans="1:14">
      <c r="A203" s="121" t="s">
        <v>1564</v>
      </c>
      <c r="B203" s="121" t="s">
        <v>1565</v>
      </c>
      <c r="C203" s="121">
        <v>1</v>
      </c>
      <c r="D203" s="121" t="s">
        <v>1274</v>
      </c>
      <c r="E203" s="125">
        <v>44795</v>
      </c>
      <c r="F203" s="121" t="s">
        <v>1124</v>
      </c>
      <c r="G203" s="121" t="s">
        <v>1124</v>
      </c>
      <c r="H203" s="121">
        <v>0.14299999999999999</v>
      </c>
      <c r="I203" s="121" t="s">
        <v>1120</v>
      </c>
      <c r="J203" s="121" t="s">
        <v>96</v>
      </c>
      <c r="K203" s="121">
        <v>20348</v>
      </c>
      <c r="L203" s="122">
        <v>41</v>
      </c>
      <c r="M203" s="126">
        <v>0.14299999999999999</v>
      </c>
      <c r="N203" s="127">
        <f t="shared" si="3"/>
        <v>5.8629999999999995</v>
      </c>
    </row>
    <row r="204" spans="1:14">
      <c r="A204" s="121" t="s">
        <v>1566</v>
      </c>
      <c r="B204" s="121" t="s">
        <v>1567</v>
      </c>
      <c r="C204" s="121">
        <v>1</v>
      </c>
      <c r="D204" s="121" t="s">
        <v>1160</v>
      </c>
      <c r="E204" s="125">
        <v>44739</v>
      </c>
      <c r="F204" s="121" t="s">
        <v>1149</v>
      </c>
      <c r="G204" s="121" t="s">
        <v>1150</v>
      </c>
      <c r="H204" s="121">
        <v>0.34039999999999998</v>
      </c>
      <c r="I204" s="121" t="s">
        <v>1120</v>
      </c>
      <c r="J204" s="121" t="s">
        <v>96</v>
      </c>
      <c r="K204" s="121">
        <v>24255</v>
      </c>
      <c r="L204" s="122">
        <v>51</v>
      </c>
      <c r="M204" s="126">
        <v>0.34039999999999998</v>
      </c>
      <c r="N204" s="127">
        <f t="shared" si="3"/>
        <v>17.360399999999998</v>
      </c>
    </row>
    <row r="205" spans="1:14">
      <c r="A205" s="121" t="s">
        <v>1568</v>
      </c>
      <c r="B205" s="121" t="s">
        <v>1569</v>
      </c>
      <c r="C205" s="121">
        <v>1</v>
      </c>
      <c r="D205" s="121" t="s">
        <v>1160</v>
      </c>
      <c r="E205" s="125">
        <v>44810</v>
      </c>
      <c r="F205" s="121" t="s">
        <v>1149</v>
      </c>
      <c r="G205" s="121" t="s">
        <v>1150</v>
      </c>
      <c r="H205" s="121">
        <v>0.28239999999999998</v>
      </c>
      <c r="I205" s="121" t="s">
        <v>1120</v>
      </c>
      <c r="J205" s="121" t="s">
        <v>96</v>
      </c>
      <c r="K205" s="121">
        <v>24254</v>
      </c>
      <c r="L205" s="122">
        <v>50</v>
      </c>
      <c r="M205" s="126">
        <v>8.6300000000000002E-2</v>
      </c>
      <c r="N205" s="127">
        <f t="shared" si="3"/>
        <v>4.3150000000000004</v>
      </c>
    </row>
    <row r="206" spans="1:14">
      <c r="A206" s="121" t="s">
        <v>1568</v>
      </c>
      <c r="B206" s="121" t="s">
        <v>1569</v>
      </c>
      <c r="C206" s="121">
        <v>1</v>
      </c>
      <c r="D206" s="121" t="s">
        <v>1160</v>
      </c>
      <c r="E206" s="125">
        <v>44810</v>
      </c>
      <c r="F206" s="121" t="s">
        <v>1149</v>
      </c>
      <c r="G206" s="121" t="s">
        <v>1150</v>
      </c>
      <c r="H206" s="121">
        <v>0.28239999999999998</v>
      </c>
      <c r="I206" s="121" t="s">
        <v>1120</v>
      </c>
      <c r="J206" s="121" t="s">
        <v>96</v>
      </c>
      <c r="K206" s="121">
        <v>24255</v>
      </c>
      <c r="L206" s="122">
        <v>51</v>
      </c>
      <c r="M206" s="126">
        <v>0.1961</v>
      </c>
      <c r="N206" s="127">
        <f t="shared" si="3"/>
        <v>10.001099999999999</v>
      </c>
    </row>
    <row r="207" spans="1:14">
      <c r="A207" s="121" t="s">
        <v>1570</v>
      </c>
      <c r="B207" s="121" t="s">
        <v>1571</v>
      </c>
      <c r="C207" s="121">
        <v>1</v>
      </c>
      <c r="D207" s="121" t="s">
        <v>1123</v>
      </c>
      <c r="E207" s="125">
        <v>44795</v>
      </c>
      <c r="F207" s="121" t="s">
        <v>1118</v>
      </c>
      <c r="G207" s="121" t="s">
        <v>1325</v>
      </c>
      <c r="H207" s="121">
        <v>3.95E-2</v>
      </c>
      <c r="I207" s="121" t="s">
        <v>1120</v>
      </c>
      <c r="J207" s="121" t="s">
        <v>96</v>
      </c>
      <c r="K207" s="121">
        <v>23717</v>
      </c>
      <c r="L207" s="122">
        <v>45</v>
      </c>
      <c r="M207" s="126">
        <v>3.95E-2</v>
      </c>
      <c r="N207" s="127">
        <f t="shared" si="3"/>
        <v>1.7775000000000001</v>
      </c>
    </row>
    <row r="208" spans="1:14">
      <c r="A208" s="121" t="s">
        <v>1572</v>
      </c>
      <c r="B208" s="121" t="s">
        <v>1573</v>
      </c>
      <c r="C208" s="121">
        <v>1</v>
      </c>
      <c r="D208" s="121" t="s">
        <v>1264</v>
      </c>
      <c r="E208" s="125">
        <v>44864</v>
      </c>
      <c r="F208" s="121" t="s">
        <v>1149</v>
      </c>
      <c r="G208" s="121" t="s">
        <v>1150</v>
      </c>
      <c r="H208" s="121">
        <v>3.39E-2</v>
      </c>
      <c r="I208" s="121" t="s">
        <v>1120</v>
      </c>
      <c r="J208" s="121" t="s">
        <v>96</v>
      </c>
      <c r="K208" s="121">
        <v>24439</v>
      </c>
      <c r="L208" s="122">
        <v>42</v>
      </c>
      <c r="M208" s="126">
        <v>3.39E-2</v>
      </c>
      <c r="N208" s="127">
        <f t="shared" si="3"/>
        <v>1.4238</v>
      </c>
    </row>
    <row r="209" spans="1:14">
      <c r="A209" s="121" t="s">
        <v>1574</v>
      </c>
      <c r="B209" s="121" t="s">
        <v>1575</v>
      </c>
      <c r="C209" s="121">
        <v>1</v>
      </c>
      <c r="D209" s="121" t="s">
        <v>1160</v>
      </c>
      <c r="E209" s="125">
        <v>44735</v>
      </c>
      <c r="F209" s="121" t="s">
        <v>1149</v>
      </c>
      <c r="G209" s="121" t="s">
        <v>1150</v>
      </c>
      <c r="H209" s="121">
        <v>7.0000000000000007E-2</v>
      </c>
      <c r="I209" s="121" t="s">
        <v>1120</v>
      </c>
      <c r="J209" s="121" t="s">
        <v>96</v>
      </c>
      <c r="K209" s="121">
        <v>24621</v>
      </c>
      <c r="L209" s="122">
        <v>43</v>
      </c>
      <c r="M209" s="126">
        <v>7.0000000000000007E-2</v>
      </c>
      <c r="N209" s="127">
        <f t="shared" si="3"/>
        <v>3.0100000000000002</v>
      </c>
    </row>
    <row r="210" spans="1:14">
      <c r="A210" s="121" t="s">
        <v>1576</v>
      </c>
      <c r="B210" s="121" t="s">
        <v>1577</v>
      </c>
      <c r="C210" s="121">
        <v>1</v>
      </c>
      <c r="D210" s="121" t="s">
        <v>1160</v>
      </c>
      <c r="E210" s="125">
        <v>44717</v>
      </c>
      <c r="F210" s="121" t="s">
        <v>1149</v>
      </c>
      <c r="G210" s="121" t="s">
        <v>1150</v>
      </c>
      <c r="H210" s="121">
        <v>5.6399999999999999E-2</v>
      </c>
      <c r="I210" s="121" t="s">
        <v>1120</v>
      </c>
      <c r="J210" s="121" t="s">
        <v>96</v>
      </c>
      <c r="K210" s="121">
        <v>24621</v>
      </c>
      <c r="L210" s="122">
        <v>43</v>
      </c>
      <c r="M210" s="126">
        <v>5.6399999999999999E-2</v>
      </c>
      <c r="N210" s="127">
        <f t="shared" si="3"/>
        <v>2.4251999999999998</v>
      </c>
    </row>
    <row r="211" spans="1:14">
      <c r="A211" s="121" t="s">
        <v>1578</v>
      </c>
      <c r="B211" s="121" t="s">
        <v>1579</v>
      </c>
      <c r="C211" s="121">
        <v>1</v>
      </c>
      <c r="D211" s="121" t="s">
        <v>1117</v>
      </c>
      <c r="E211" s="125">
        <v>44758</v>
      </c>
      <c r="F211" s="121" t="s">
        <v>1118</v>
      </c>
      <c r="G211" s="121" t="s">
        <v>1131</v>
      </c>
      <c r="H211" s="121">
        <v>0.16250000000000001</v>
      </c>
      <c r="I211" s="121" t="s">
        <v>1120</v>
      </c>
      <c r="J211" s="121" t="s">
        <v>96</v>
      </c>
      <c r="K211" s="121">
        <v>17576</v>
      </c>
      <c r="L211" s="122">
        <v>39</v>
      </c>
      <c r="M211" s="126">
        <v>0.1628</v>
      </c>
      <c r="N211" s="127">
        <f t="shared" si="3"/>
        <v>6.3491999999999997</v>
      </c>
    </row>
    <row r="212" spans="1:14">
      <c r="A212" s="121" t="s">
        <v>1580</v>
      </c>
      <c r="B212" s="121" t="s">
        <v>1581</v>
      </c>
      <c r="C212" s="121">
        <v>1</v>
      </c>
      <c r="D212" s="121" t="s">
        <v>1166</v>
      </c>
      <c r="E212" s="125">
        <v>44726</v>
      </c>
      <c r="F212" s="121" t="s">
        <v>1167</v>
      </c>
      <c r="G212" s="121" t="s">
        <v>1168</v>
      </c>
      <c r="H212" s="121">
        <v>0.20760000000000001</v>
      </c>
      <c r="I212" s="121" t="s">
        <v>1120</v>
      </c>
      <c r="J212" s="121" t="s">
        <v>96</v>
      </c>
      <c r="K212" s="121">
        <v>15852</v>
      </c>
      <c r="L212" s="122">
        <v>35</v>
      </c>
      <c r="M212" s="126">
        <v>0.20760000000000001</v>
      </c>
      <c r="N212" s="127">
        <f t="shared" si="3"/>
        <v>7.266</v>
      </c>
    </row>
    <row r="213" spans="1:14">
      <c r="A213" s="121" t="s">
        <v>1582</v>
      </c>
      <c r="B213" s="121" t="s">
        <v>1583</v>
      </c>
      <c r="C213" s="121">
        <v>1</v>
      </c>
      <c r="D213" s="121" t="s">
        <v>1584</v>
      </c>
      <c r="E213" s="125">
        <v>44769</v>
      </c>
      <c r="F213" s="121" t="s">
        <v>1154</v>
      </c>
      <c r="G213" s="121" t="s">
        <v>1155</v>
      </c>
      <c r="H213" s="121">
        <v>0.217</v>
      </c>
      <c r="I213" s="121" t="s">
        <v>1120</v>
      </c>
      <c r="J213" s="121" t="s">
        <v>96</v>
      </c>
      <c r="K213" s="121">
        <v>5652</v>
      </c>
      <c r="L213" s="122">
        <v>41</v>
      </c>
      <c r="M213" s="126">
        <v>0.217</v>
      </c>
      <c r="N213" s="127">
        <f t="shared" si="3"/>
        <v>8.8970000000000002</v>
      </c>
    </row>
    <row r="214" spans="1:14">
      <c r="A214" s="121" t="s">
        <v>1585</v>
      </c>
      <c r="B214" s="121" t="s">
        <v>1586</v>
      </c>
      <c r="C214" s="121">
        <v>1</v>
      </c>
      <c r="D214" s="121" t="s">
        <v>1587</v>
      </c>
      <c r="E214" s="125">
        <v>44795</v>
      </c>
      <c r="F214" s="121" t="s">
        <v>1118</v>
      </c>
      <c r="G214" s="121" t="s">
        <v>1177</v>
      </c>
      <c r="H214" s="121">
        <v>0.24340000000000001</v>
      </c>
      <c r="I214" s="121" t="s">
        <v>1120</v>
      </c>
      <c r="J214" s="121" t="s">
        <v>96</v>
      </c>
      <c r="K214" s="121">
        <v>20392</v>
      </c>
      <c r="L214" s="122">
        <v>40</v>
      </c>
      <c r="M214" s="126">
        <v>0.24340000000000001</v>
      </c>
      <c r="N214" s="127">
        <f t="shared" si="3"/>
        <v>9.7360000000000007</v>
      </c>
    </row>
    <row r="215" spans="1:14">
      <c r="A215" s="121" t="s">
        <v>1588</v>
      </c>
      <c r="B215" s="121" t="s">
        <v>1589</v>
      </c>
      <c r="C215" s="121">
        <v>1</v>
      </c>
      <c r="D215" s="121" t="s">
        <v>1123</v>
      </c>
      <c r="E215" s="125">
        <v>44797</v>
      </c>
      <c r="F215" s="121" t="s">
        <v>1149</v>
      </c>
      <c r="G215" s="121" t="s">
        <v>1150</v>
      </c>
      <c r="H215" s="121">
        <v>7.6399999999999996E-2</v>
      </c>
      <c r="I215" s="121" t="s">
        <v>1120</v>
      </c>
      <c r="J215" s="121" t="s">
        <v>96</v>
      </c>
      <c r="K215" s="121">
        <v>24253</v>
      </c>
      <c r="L215" s="122">
        <v>48</v>
      </c>
      <c r="M215" s="126">
        <v>7.6399999999999996E-2</v>
      </c>
      <c r="N215" s="127">
        <f t="shared" si="3"/>
        <v>3.6671999999999998</v>
      </c>
    </row>
    <row r="216" spans="1:14">
      <c r="A216" s="121" t="s">
        <v>1590</v>
      </c>
      <c r="B216" s="121" t="s">
        <v>1591</v>
      </c>
      <c r="C216" s="121">
        <v>1</v>
      </c>
      <c r="D216" s="121" t="s">
        <v>1117</v>
      </c>
      <c r="E216" s="125">
        <v>44814</v>
      </c>
      <c r="F216" s="121" t="s">
        <v>1118</v>
      </c>
      <c r="G216" s="121" t="s">
        <v>1131</v>
      </c>
      <c r="H216" s="121">
        <v>3.61E-2</v>
      </c>
      <c r="I216" s="121" t="s">
        <v>1120</v>
      </c>
      <c r="J216" s="121" t="s">
        <v>96</v>
      </c>
      <c r="K216" s="121">
        <v>26738</v>
      </c>
      <c r="L216" s="122">
        <v>39</v>
      </c>
      <c r="M216" s="126">
        <v>3.61E-2</v>
      </c>
      <c r="N216" s="127">
        <f t="shared" si="3"/>
        <v>1.4078999999999999</v>
      </c>
    </row>
    <row r="217" spans="1:14">
      <c r="A217" s="121" t="s">
        <v>1592</v>
      </c>
      <c r="B217" s="121" t="s">
        <v>1593</v>
      </c>
      <c r="C217" s="121">
        <v>1</v>
      </c>
      <c r="D217" s="121" t="s">
        <v>1594</v>
      </c>
      <c r="E217" s="125">
        <v>44795</v>
      </c>
      <c r="F217" s="121" t="s">
        <v>1118</v>
      </c>
      <c r="G217" s="121" t="s">
        <v>1177</v>
      </c>
      <c r="H217" s="121">
        <v>5.7299999999999997E-2</v>
      </c>
      <c r="I217" s="121" t="s">
        <v>1120</v>
      </c>
      <c r="J217" s="121" t="s">
        <v>96</v>
      </c>
      <c r="K217" s="121">
        <v>21546</v>
      </c>
      <c r="L217" s="122">
        <v>37</v>
      </c>
      <c r="M217" s="126">
        <v>5.7299999999999997E-2</v>
      </c>
      <c r="N217" s="127">
        <f t="shared" si="3"/>
        <v>2.1200999999999999</v>
      </c>
    </row>
    <row r="218" spans="1:14">
      <c r="A218" s="121" t="s">
        <v>1595</v>
      </c>
      <c r="B218" s="121" t="s">
        <v>1596</v>
      </c>
      <c r="C218" s="121">
        <v>1</v>
      </c>
      <c r="D218" s="121" t="s">
        <v>1203</v>
      </c>
      <c r="E218" s="125">
        <v>44834</v>
      </c>
      <c r="F218" s="121" t="s">
        <v>1118</v>
      </c>
      <c r="G218" s="121" t="s">
        <v>1119</v>
      </c>
      <c r="H218" s="121">
        <v>6.4500000000000002E-2</v>
      </c>
      <c r="I218" s="121" t="s">
        <v>1120</v>
      </c>
      <c r="J218" s="121" t="s">
        <v>96</v>
      </c>
      <c r="K218" s="121">
        <v>26419</v>
      </c>
      <c r="L218" s="122">
        <v>41</v>
      </c>
      <c r="M218" s="126">
        <v>6.4500000000000002E-2</v>
      </c>
      <c r="N218" s="127">
        <f t="shared" si="3"/>
        <v>2.6444999999999999</v>
      </c>
    </row>
    <row r="219" spans="1:14">
      <c r="A219" s="121" t="s">
        <v>1597</v>
      </c>
      <c r="B219" s="121" t="s">
        <v>1598</v>
      </c>
      <c r="C219" s="121">
        <v>1</v>
      </c>
      <c r="D219" s="121" t="s">
        <v>1225</v>
      </c>
      <c r="E219" s="125">
        <v>44780</v>
      </c>
      <c r="F219" s="121" t="s">
        <v>1154</v>
      </c>
      <c r="G219" s="121" t="s">
        <v>1155</v>
      </c>
      <c r="H219" s="121">
        <v>0.28089999999999998</v>
      </c>
      <c r="I219" s="121" t="s">
        <v>1120</v>
      </c>
      <c r="J219" s="121" t="s">
        <v>96</v>
      </c>
      <c r="K219" s="121">
        <v>5652</v>
      </c>
      <c r="L219" s="122">
        <v>41</v>
      </c>
      <c r="M219" s="126">
        <v>0.28089999999999998</v>
      </c>
      <c r="N219" s="127">
        <f t="shared" si="3"/>
        <v>11.5169</v>
      </c>
    </row>
    <row r="220" spans="1:14">
      <c r="A220" s="121" t="s">
        <v>1599</v>
      </c>
      <c r="B220" s="121" t="s">
        <v>1600</v>
      </c>
      <c r="C220" s="121">
        <v>1</v>
      </c>
      <c r="D220" s="121" t="s">
        <v>1252</v>
      </c>
      <c r="E220" s="125">
        <v>44854</v>
      </c>
      <c r="F220" s="121" t="s">
        <v>1118</v>
      </c>
      <c r="G220" s="121" t="s">
        <v>1131</v>
      </c>
      <c r="H220" s="121">
        <v>0.18160000000000001</v>
      </c>
      <c r="I220" s="121" t="s">
        <v>1120</v>
      </c>
      <c r="J220" s="121" t="s">
        <v>96</v>
      </c>
      <c r="K220" s="121">
        <v>19154</v>
      </c>
      <c r="L220" s="122">
        <v>49</v>
      </c>
      <c r="M220" s="126">
        <v>0.18160000000000001</v>
      </c>
      <c r="N220" s="127">
        <f t="shared" si="3"/>
        <v>8.8984000000000005</v>
      </c>
    </row>
    <row r="221" spans="1:14">
      <c r="A221" s="121" t="s">
        <v>1601</v>
      </c>
      <c r="B221" s="121" t="s">
        <v>1602</v>
      </c>
      <c r="C221" s="121">
        <v>1</v>
      </c>
      <c r="D221" s="121" t="s">
        <v>1123</v>
      </c>
      <c r="E221" s="125">
        <v>44684</v>
      </c>
      <c r="F221" s="121" t="s">
        <v>1118</v>
      </c>
      <c r="G221" s="121" t="s">
        <v>1325</v>
      </c>
      <c r="H221" s="121">
        <v>0.4355</v>
      </c>
      <c r="I221" s="121" t="s">
        <v>1120</v>
      </c>
      <c r="J221" s="121" t="s">
        <v>96</v>
      </c>
      <c r="K221" s="121">
        <v>24128</v>
      </c>
      <c r="L221" s="122">
        <v>36</v>
      </c>
      <c r="M221" s="126">
        <v>0.4355</v>
      </c>
      <c r="N221" s="127">
        <f t="shared" si="3"/>
        <v>15.678000000000001</v>
      </c>
    </row>
    <row r="222" spans="1:14">
      <c r="A222" s="121" t="s">
        <v>1603</v>
      </c>
      <c r="B222" s="121" t="s">
        <v>1604</v>
      </c>
      <c r="C222" s="121">
        <v>1</v>
      </c>
      <c r="D222" s="121" t="s">
        <v>1203</v>
      </c>
      <c r="E222" s="125">
        <v>44852</v>
      </c>
      <c r="F222" s="121" t="s">
        <v>1118</v>
      </c>
      <c r="G222" s="121" t="s">
        <v>1131</v>
      </c>
      <c r="H222" s="121">
        <v>8.1199999999999994E-2</v>
      </c>
      <c r="I222" s="121" t="s">
        <v>1120</v>
      </c>
      <c r="J222" s="121" t="s">
        <v>96</v>
      </c>
      <c r="K222" s="121">
        <v>16238</v>
      </c>
      <c r="L222" s="122">
        <v>38</v>
      </c>
      <c r="M222" s="126">
        <v>8.1699999999999995E-2</v>
      </c>
      <c r="N222" s="127">
        <f t="shared" si="3"/>
        <v>3.1045999999999996</v>
      </c>
    </row>
    <row r="223" spans="1:14">
      <c r="A223" s="121" t="s">
        <v>1605</v>
      </c>
      <c r="B223" s="121" t="s">
        <v>1606</v>
      </c>
      <c r="C223" s="121">
        <v>1</v>
      </c>
      <c r="D223" s="121" t="s">
        <v>1607</v>
      </c>
      <c r="E223" s="125">
        <v>44795</v>
      </c>
      <c r="F223" s="121" t="s">
        <v>1118</v>
      </c>
      <c r="G223" s="121" t="s">
        <v>1177</v>
      </c>
      <c r="H223" s="121">
        <v>0.49280000000000002</v>
      </c>
      <c r="I223" s="121" t="s">
        <v>1120</v>
      </c>
      <c r="J223" s="121" t="s">
        <v>96</v>
      </c>
      <c r="K223" s="121">
        <v>20392</v>
      </c>
      <c r="L223" s="122">
        <v>40</v>
      </c>
      <c r="M223" s="126">
        <v>0.49280000000000002</v>
      </c>
      <c r="N223" s="127">
        <f t="shared" si="3"/>
        <v>19.712</v>
      </c>
    </row>
    <row r="224" spans="1:14">
      <c r="A224" s="121" t="s">
        <v>1608</v>
      </c>
      <c r="B224" s="121" t="s">
        <v>1609</v>
      </c>
      <c r="C224" s="121">
        <v>1</v>
      </c>
      <c r="D224" s="121" t="s">
        <v>1504</v>
      </c>
      <c r="E224" s="125">
        <v>44785</v>
      </c>
      <c r="F224" s="121" t="s">
        <v>1154</v>
      </c>
      <c r="G224" s="121" t="s">
        <v>1155</v>
      </c>
      <c r="H224" s="121">
        <v>4.36E-2</v>
      </c>
      <c r="I224" s="121" t="s">
        <v>1120</v>
      </c>
      <c r="J224" s="121" t="s">
        <v>96</v>
      </c>
      <c r="K224" s="121">
        <v>5843</v>
      </c>
      <c r="L224" s="122">
        <v>44</v>
      </c>
      <c r="M224" s="126">
        <v>4.36E-2</v>
      </c>
      <c r="N224" s="127">
        <f t="shared" si="3"/>
        <v>1.9184000000000001</v>
      </c>
    </row>
    <row r="225" spans="1:14">
      <c r="A225" s="121" t="s">
        <v>1610</v>
      </c>
      <c r="B225" s="121" t="s">
        <v>1611</v>
      </c>
      <c r="C225" s="121">
        <v>1</v>
      </c>
      <c r="D225" s="121" t="s">
        <v>1117</v>
      </c>
      <c r="E225" s="125">
        <v>44795</v>
      </c>
      <c r="F225" s="121" t="s">
        <v>1124</v>
      </c>
      <c r="G225" s="121" t="s">
        <v>1124</v>
      </c>
      <c r="H225" s="121">
        <v>1.6500000000000001E-2</v>
      </c>
      <c r="I225" s="121" t="s">
        <v>1120</v>
      </c>
      <c r="J225" s="121" t="s">
        <v>96</v>
      </c>
      <c r="K225" s="121">
        <v>17308</v>
      </c>
      <c r="L225" s="122">
        <v>43</v>
      </c>
      <c r="M225" s="126">
        <v>1.6500000000000001E-2</v>
      </c>
      <c r="N225" s="127">
        <f t="shared" si="3"/>
        <v>0.70950000000000002</v>
      </c>
    </row>
    <row r="226" spans="1:14">
      <c r="A226" s="121" t="s">
        <v>1612</v>
      </c>
      <c r="B226" s="121" t="s">
        <v>1613</v>
      </c>
      <c r="C226" s="121">
        <v>1</v>
      </c>
      <c r="D226" s="121" t="s">
        <v>1405</v>
      </c>
      <c r="E226" s="125">
        <v>44746</v>
      </c>
      <c r="F226" s="121" t="s">
        <v>1149</v>
      </c>
      <c r="G226" s="121" t="s">
        <v>1150</v>
      </c>
      <c r="H226" s="121">
        <v>4.1799999999999997E-2</v>
      </c>
      <c r="I226" s="121" t="s">
        <v>1120</v>
      </c>
      <c r="J226" s="121" t="s">
        <v>96</v>
      </c>
      <c r="K226" s="121">
        <v>21310</v>
      </c>
      <c r="L226" s="122">
        <v>41</v>
      </c>
      <c r="M226" s="126">
        <v>4.1799999999999997E-2</v>
      </c>
      <c r="N226" s="127">
        <f t="shared" si="3"/>
        <v>1.7137999999999998</v>
      </c>
    </row>
    <row r="227" spans="1:14">
      <c r="A227" s="121" t="s">
        <v>1614</v>
      </c>
      <c r="B227" s="121" t="s">
        <v>1615</v>
      </c>
      <c r="C227" s="121">
        <v>1</v>
      </c>
      <c r="D227" s="121" t="s">
        <v>1123</v>
      </c>
      <c r="E227" s="125">
        <v>44795</v>
      </c>
      <c r="F227" s="121" t="s">
        <v>1124</v>
      </c>
      <c r="G227" s="121" t="s">
        <v>1124</v>
      </c>
      <c r="H227" s="121">
        <v>1.17E-2</v>
      </c>
      <c r="I227" s="121" t="s">
        <v>1120</v>
      </c>
      <c r="J227" s="121" t="s">
        <v>96</v>
      </c>
      <c r="K227" s="121">
        <v>24251</v>
      </c>
      <c r="L227" s="122">
        <v>46</v>
      </c>
      <c r="M227" s="126">
        <v>1.17E-2</v>
      </c>
      <c r="N227" s="127">
        <f t="shared" si="3"/>
        <v>0.53820000000000001</v>
      </c>
    </row>
    <row r="228" spans="1:14">
      <c r="A228" s="121" t="s">
        <v>1614</v>
      </c>
      <c r="B228" s="121" t="s">
        <v>1615</v>
      </c>
      <c r="C228" s="121">
        <v>1</v>
      </c>
      <c r="D228" s="121" t="s">
        <v>1123</v>
      </c>
      <c r="E228" s="125">
        <v>44795</v>
      </c>
      <c r="F228" s="121" t="s">
        <v>1124</v>
      </c>
      <c r="G228" s="121" t="s">
        <v>1124</v>
      </c>
      <c r="H228" s="121">
        <v>1.17E-2</v>
      </c>
      <c r="I228" s="121" t="s">
        <v>1120</v>
      </c>
      <c r="J228" s="121" t="s">
        <v>96</v>
      </c>
      <c r="K228" s="121">
        <v>24252</v>
      </c>
      <c r="L228" s="122">
        <v>45</v>
      </c>
      <c r="M228" s="126">
        <v>0</v>
      </c>
      <c r="N228" s="127">
        <f t="shared" si="3"/>
        <v>0</v>
      </c>
    </row>
    <row r="229" spans="1:14">
      <c r="A229" s="121" t="s">
        <v>1616</v>
      </c>
      <c r="B229" s="121" t="s">
        <v>1617</v>
      </c>
      <c r="C229" s="121">
        <v>1</v>
      </c>
      <c r="D229" s="121" t="s">
        <v>1618</v>
      </c>
      <c r="E229" s="125">
        <v>44780</v>
      </c>
      <c r="F229" s="121" t="s">
        <v>1154</v>
      </c>
      <c r="G229" s="121" t="s">
        <v>1155</v>
      </c>
      <c r="H229" s="121">
        <v>5.9799999999999999E-2</v>
      </c>
      <c r="I229" s="121" t="s">
        <v>1120</v>
      </c>
      <c r="J229" s="121" t="s">
        <v>96</v>
      </c>
      <c r="K229" s="121">
        <v>5843</v>
      </c>
      <c r="L229" s="122">
        <v>44</v>
      </c>
      <c r="M229" s="126">
        <v>5.9799999999999999E-2</v>
      </c>
      <c r="N229" s="127">
        <f t="shared" si="3"/>
        <v>2.6311999999999998</v>
      </c>
    </row>
    <row r="230" spans="1:14">
      <c r="A230" s="121" t="s">
        <v>1619</v>
      </c>
      <c r="B230" s="121" t="s">
        <v>1620</v>
      </c>
      <c r="C230" s="121">
        <v>1</v>
      </c>
      <c r="D230" s="121" t="s">
        <v>1123</v>
      </c>
      <c r="E230" s="125">
        <v>44853</v>
      </c>
      <c r="F230" s="121" t="s">
        <v>1118</v>
      </c>
      <c r="G230" s="121" t="s">
        <v>1124</v>
      </c>
      <c r="H230" s="121">
        <v>6.1699999999999998E-2</v>
      </c>
      <c r="I230" s="121" t="s">
        <v>1120</v>
      </c>
      <c r="J230" s="121" t="s">
        <v>96</v>
      </c>
      <c r="K230" s="121">
        <v>25802</v>
      </c>
      <c r="L230" s="122">
        <v>45</v>
      </c>
      <c r="M230" s="126">
        <v>6.1699999999999998E-2</v>
      </c>
      <c r="N230" s="127">
        <f t="shared" si="3"/>
        <v>2.7765</v>
      </c>
    </row>
    <row r="231" spans="1:14">
      <c r="A231" s="121" t="s">
        <v>1621</v>
      </c>
      <c r="B231" s="121" t="s">
        <v>1622</v>
      </c>
      <c r="C231" s="121">
        <v>1</v>
      </c>
      <c r="D231" s="121" t="s">
        <v>1235</v>
      </c>
      <c r="E231" s="125">
        <v>44789</v>
      </c>
      <c r="F231" s="121" t="s">
        <v>1118</v>
      </c>
      <c r="G231" s="121" t="s">
        <v>1131</v>
      </c>
      <c r="H231" s="121">
        <v>0.27750000000000002</v>
      </c>
      <c r="I231" s="121" t="s">
        <v>1120</v>
      </c>
      <c r="J231" s="121" t="s">
        <v>96</v>
      </c>
      <c r="K231" s="121">
        <v>16034</v>
      </c>
      <c r="L231" s="122">
        <v>38</v>
      </c>
      <c r="M231" s="126">
        <v>0.25800000000000001</v>
      </c>
      <c r="N231" s="127">
        <f t="shared" si="3"/>
        <v>9.8040000000000003</v>
      </c>
    </row>
    <row r="232" spans="1:14">
      <c r="A232" s="121" t="s">
        <v>1621</v>
      </c>
      <c r="B232" s="121" t="s">
        <v>1622</v>
      </c>
      <c r="C232" s="121">
        <v>1</v>
      </c>
      <c r="D232" s="121" t="s">
        <v>1235</v>
      </c>
      <c r="E232" s="125">
        <v>44789</v>
      </c>
      <c r="F232" s="121" t="s">
        <v>1118</v>
      </c>
      <c r="G232" s="121" t="s">
        <v>1131</v>
      </c>
      <c r="H232" s="121">
        <v>0.27750000000000002</v>
      </c>
      <c r="I232" s="121" t="s">
        <v>1120</v>
      </c>
      <c r="J232" s="121" t="s">
        <v>96</v>
      </c>
      <c r="K232" s="121">
        <v>16228</v>
      </c>
      <c r="L232" s="122">
        <v>39</v>
      </c>
      <c r="M232" s="126">
        <v>1.95E-2</v>
      </c>
      <c r="N232" s="127">
        <f t="shared" si="3"/>
        <v>0.76049999999999995</v>
      </c>
    </row>
    <row r="233" spans="1:14">
      <c r="A233" s="121" t="s">
        <v>1623</v>
      </c>
      <c r="B233" s="121" t="s">
        <v>1624</v>
      </c>
      <c r="C233" s="121">
        <v>1</v>
      </c>
      <c r="D233" s="121" t="s">
        <v>1314</v>
      </c>
      <c r="E233" s="125">
        <v>44795</v>
      </c>
      <c r="F233" s="121" t="s">
        <v>1118</v>
      </c>
      <c r="G233" s="121" t="s">
        <v>1177</v>
      </c>
      <c r="H233" s="121">
        <v>0.15459999999999999</v>
      </c>
      <c r="I233" s="121" t="s">
        <v>1120</v>
      </c>
      <c r="J233" s="121" t="s">
        <v>96</v>
      </c>
      <c r="K233" s="121">
        <v>21545</v>
      </c>
      <c r="L233" s="122">
        <v>39</v>
      </c>
      <c r="M233" s="126">
        <v>0.15459999999999999</v>
      </c>
      <c r="N233" s="127">
        <f t="shared" si="3"/>
        <v>6.0293999999999999</v>
      </c>
    </row>
    <row r="234" spans="1:14">
      <c r="A234" s="121" t="s">
        <v>1625</v>
      </c>
      <c r="B234" s="121" t="s">
        <v>1626</v>
      </c>
      <c r="C234" s="121">
        <v>1</v>
      </c>
      <c r="D234" s="121" t="s">
        <v>1552</v>
      </c>
      <c r="E234" s="125">
        <v>44821</v>
      </c>
      <c r="F234" s="121" t="s">
        <v>1118</v>
      </c>
      <c r="G234" s="121" t="s">
        <v>1265</v>
      </c>
      <c r="H234" s="121">
        <v>0.84370000000000001</v>
      </c>
      <c r="I234" s="121" t="s">
        <v>1120</v>
      </c>
      <c r="J234" s="121" t="s">
        <v>96</v>
      </c>
      <c r="K234" s="121">
        <v>19628</v>
      </c>
      <c r="L234" s="122">
        <v>39</v>
      </c>
      <c r="M234" s="126">
        <v>0.84370000000000001</v>
      </c>
      <c r="N234" s="127">
        <f t="shared" si="3"/>
        <v>32.904299999999999</v>
      </c>
    </row>
    <row r="235" spans="1:14">
      <c r="A235" s="121" t="s">
        <v>1627</v>
      </c>
      <c r="B235" s="121" t="s">
        <v>1628</v>
      </c>
      <c r="C235" s="121">
        <v>1</v>
      </c>
      <c r="D235" s="121" t="s">
        <v>1235</v>
      </c>
      <c r="E235" s="125">
        <v>44795</v>
      </c>
      <c r="F235" s="121" t="s">
        <v>1118</v>
      </c>
      <c r="G235" s="121" t="s">
        <v>1119</v>
      </c>
      <c r="H235" s="121">
        <v>0.19819999999999999</v>
      </c>
      <c r="I235" s="121" t="s">
        <v>1120</v>
      </c>
      <c r="J235" s="121" t="s">
        <v>96</v>
      </c>
      <c r="K235" s="121">
        <v>17308</v>
      </c>
      <c r="L235" s="122">
        <v>43</v>
      </c>
      <c r="M235" s="126">
        <v>0.19819999999999999</v>
      </c>
      <c r="N235" s="127">
        <f t="shared" si="3"/>
        <v>8.5225999999999988</v>
      </c>
    </row>
    <row r="236" spans="1:14">
      <c r="A236" s="121" t="s">
        <v>1629</v>
      </c>
      <c r="B236" s="121" t="s">
        <v>1630</v>
      </c>
      <c r="C236" s="121">
        <v>1</v>
      </c>
      <c r="D236" s="121" t="s">
        <v>1220</v>
      </c>
      <c r="E236" s="125">
        <v>44795</v>
      </c>
      <c r="F236" s="121" t="s">
        <v>1118</v>
      </c>
      <c r="G236" s="121" t="s">
        <v>1177</v>
      </c>
      <c r="H236" s="121">
        <v>0.21190000000000001</v>
      </c>
      <c r="I236" s="121" t="s">
        <v>1120</v>
      </c>
      <c r="J236" s="121" t="s">
        <v>96</v>
      </c>
      <c r="K236" s="121">
        <v>21362</v>
      </c>
      <c r="L236" s="122">
        <v>38</v>
      </c>
      <c r="M236" s="126">
        <v>0.21190000000000001</v>
      </c>
      <c r="N236" s="127">
        <f t="shared" si="3"/>
        <v>8.0522000000000009</v>
      </c>
    </row>
    <row r="237" spans="1:14">
      <c r="A237" s="121" t="s">
        <v>1631</v>
      </c>
      <c r="B237" s="121" t="s">
        <v>1632</v>
      </c>
      <c r="C237" s="121">
        <v>1</v>
      </c>
      <c r="D237" s="121" t="s">
        <v>1123</v>
      </c>
      <c r="E237" s="125">
        <v>44858</v>
      </c>
      <c r="F237" s="121" t="s">
        <v>1149</v>
      </c>
      <c r="G237" s="121" t="s">
        <v>1150</v>
      </c>
      <c r="H237" s="121">
        <v>2.93E-2</v>
      </c>
      <c r="I237" s="121" t="s">
        <v>1120</v>
      </c>
      <c r="J237" s="121" t="s">
        <v>96</v>
      </c>
      <c r="K237" s="121">
        <v>24626</v>
      </c>
      <c r="L237" s="122">
        <v>44</v>
      </c>
      <c r="M237" s="126">
        <v>2.93E-2</v>
      </c>
      <c r="N237" s="127">
        <f t="shared" si="3"/>
        <v>1.2891999999999999</v>
      </c>
    </row>
    <row r="238" spans="1:14">
      <c r="A238" s="121" t="s">
        <v>1633</v>
      </c>
      <c r="B238" s="121" t="s">
        <v>1634</v>
      </c>
      <c r="C238" s="121">
        <v>1</v>
      </c>
      <c r="D238" s="121" t="s">
        <v>1228</v>
      </c>
      <c r="E238" s="125">
        <v>44811</v>
      </c>
      <c r="F238" s="121" t="s">
        <v>1154</v>
      </c>
      <c r="G238" s="121" t="s">
        <v>1155</v>
      </c>
      <c r="H238" s="121">
        <v>5.8500000000000003E-2</v>
      </c>
      <c r="I238" s="121" t="s">
        <v>1120</v>
      </c>
      <c r="J238" s="121" t="s">
        <v>96</v>
      </c>
      <c r="K238" s="121">
        <v>5843</v>
      </c>
      <c r="L238" s="122">
        <v>44</v>
      </c>
      <c r="M238" s="126">
        <v>5.8500000000000003E-2</v>
      </c>
      <c r="N238" s="127">
        <f t="shared" si="3"/>
        <v>2.5740000000000003</v>
      </c>
    </row>
    <row r="239" spans="1:14">
      <c r="A239" s="121" t="s">
        <v>1635</v>
      </c>
      <c r="B239" s="121" t="s">
        <v>1636</v>
      </c>
      <c r="C239" s="121">
        <v>1</v>
      </c>
      <c r="D239" s="121" t="s">
        <v>1637</v>
      </c>
      <c r="E239" s="125">
        <v>44765</v>
      </c>
      <c r="F239" s="121" t="s">
        <v>1118</v>
      </c>
      <c r="G239" s="121" t="s">
        <v>1177</v>
      </c>
      <c r="H239" s="121">
        <v>0.3362</v>
      </c>
      <c r="I239" s="121" t="s">
        <v>1120</v>
      </c>
      <c r="J239" s="121" t="s">
        <v>96</v>
      </c>
      <c r="K239" s="121">
        <v>20392</v>
      </c>
      <c r="L239" s="122">
        <v>40</v>
      </c>
      <c r="M239" s="126">
        <v>0.3362</v>
      </c>
      <c r="N239" s="127">
        <f t="shared" si="3"/>
        <v>13.448</v>
      </c>
    </row>
    <row r="240" spans="1:14">
      <c r="A240" s="121" t="s">
        <v>1638</v>
      </c>
      <c r="B240" s="121" t="s">
        <v>1639</v>
      </c>
      <c r="C240" s="121">
        <v>1</v>
      </c>
      <c r="D240" s="121" t="s">
        <v>1228</v>
      </c>
      <c r="E240" s="125">
        <v>44786</v>
      </c>
      <c r="F240" s="121" t="s">
        <v>1118</v>
      </c>
      <c r="G240" s="121" t="s">
        <v>1177</v>
      </c>
      <c r="H240" s="121">
        <v>0.4264</v>
      </c>
      <c r="I240" s="121" t="s">
        <v>1120</v>
      </c>
      <c r="J240" s="121" t="s">
        <v>96</v>
      </c>
      <c r="K240" s="121">
        <v>20392</v>
      </c>
      <c r="L240" s="122">
        <v>40</v>
      </c>
      <c r="M240" s="126">
        <v>0.4264</v>
      </c>
      <c r="N240" s="127">
        <f t="shared" si="3"/>
        <v>17.056000000000001</v>
      </c>
    </row>
    <row r="241" spans="1:14">
      <c r="A241" s="121" t="s">
        <v>1640</v>
      </c>
      <c r="B241" s="121" t="s">
        <v>1641</v>
      </c>
      <c r="C241" s="121">
        <v>1</v>
      </c>
      <c r="D241" s="121" t="s">
        <v>1117</v>
      </c>
      <c r="E241" s="125">
        <v>44362</v>
      </c>
      <c r="F241" s="121" t="s">
        <v>1118</v>
      </c>
      <c r="G241" s="121" t="s">
        <v>1265</v>
      </c>
      <c r="H241" s="121">
        <v>0.30380000000000001</v>
      </c>
      <c r="I241" s="121" t="s">
        <v>1120</v>
      </c>
      <c r="J241" s="121" t="s">
        <v>96</v>
      </c>
      <c r="K241" s="121">
        <v>19439</v>
      </c>
      <c r="L241" s="122">
        <v>40</v>
      </c>
      <c r="M241" s="126">
        <v>0.30380000000000001</v>
      </c>
      <c r="N241" s="127">
        <f t="shared" si="3"/>
        <v>12.152000000000001</v>
      </c>
    </row>
    <row r="242" spans="1:14">
      <c r="A242" s="121" t="s">
        <v>1642</v>
      </c>
      <c r="B242" s="121" t="s">
        <v>1643</v>
      </c>
      <c r="C242" s="121">
        <v>1</v>
      </c>
      <c r="D242" s="121" t="s">
        <v>1297</v>
      </c>
      <c r="E242" s="125">
        <v>44795</v>
      </c>
      <c r="F242" s="121" t="s">
        <v>1124</v>
      </c>
      <c r="G242" s="121" t="s">
        <v>1124</v>
      </c>
      <c r="H242" s="121">
        <v>2.47E-2</v>
      </c>
      <c r="I242" s="121" t="s">
        <v>1120</v>
      </c>
      <c r="J242" s="121" t="s">
        <v>96</v>
      </c>
      <c r="K242" s="121">
        <v>17308</v>
      </c>
      <c r="L242" s="122">
        <v>43</v>
      </c>
      <c r="M242" s="126">
        <v>2.47E-2</v>
      </c>
      <c r="N242" s="127">
        <f t="shared" si="3"/>
        <v>1.0621</v>
      </c>
    </row>
    <row r="243" spans="1:14">
      <c r="A243" s="121" t="s">
        <v>1644</v>
      </c>
      <c r="B243" s="121" t="s">
        <v>1645</v>
      </c>
      <c r="C243" s="121">
        <v>1</v>
      </c>
      <c r="D243" s="121" t="s">
        <v>1646</v>
      </c>
      <c r="E243" s="125">
        <v>44768</v>
      </c>
      <c r="F243" s="121" t="s">
        <v>1118</v>
      </c>
      <c r="G243" s="121" t="s">
        <v>1265</v>
      </c>
      <c r="H243" s="121">
        <v>0.31659999999999999</v>
      </c>
      <c r="I243" s="121" t="s">
        <v>1120</v>
      </c>
      <c r="J243" s="121" t="s">
        <v>96</v>
      </c>
      <c r="K243" s="121">
        <v>18630</v>
      </c>
      <c r="L243" s="122">
        <v>46</v>
      </c>
      <c r="M243" s="126">
        <v>0.31659999999999999</v>
      </c>
      <c r="N243" s="127">
        <f t="shared" si="3"/>
        <v>14.563599999999999</v>
      </c>
    </row>
    <row r="244" spans="1:14">
      <c r="A244" s="121" t="s">
        <v>1647</v>
      </c>
      <c r="B244" s="121" t="s">
        <v>1648</v>
      </c>
      <c r="C244" s="121">
        <v>1</v>
      </c>
      <c r="D244" s="121" t="s">
        <v>1123</v>
      </c>
      <c r="E244" s="125">
        <v>44795</v>
      </c>
      <c r="F244" s="121" t="s">
        <v>1149</v>
      </c>
      <c r="G244" s="121" t="s">
        <v>1150</v>
      </c>
      <c r="H244" s="121">
        <v>2.2200000000000001E-2</v>
      </c>
      <c r="I244" s="121" t="s">
        <v>1120</v>
      </c>
      <c r="J244" s="121" t="s">
        <v>96</v>
      </c>
      <c r="K244" s="121">
        <v>24251</v>
      </c>
      <c r="L244" s="122">
        <v>46</v>
      </c>
      <c r="M244" s="126">
        <v>2.2200000000000001E-2</v>
      </c>
      <c r="N244" s="127">
        <f t="shared" si="3"/>
        <v>1.0212000000000001</v>
      </c>
    </row>
    <row r="245" spans="1:14">
      <c r="A245" s="121" t="s">
        <v>1649</v>
      </c>
      <c r="B245" s="121" t="s">
        <v>1650</v>
      </c>
      <c r="C245" s="121">
        <v>1</v>
      </c>
      <c r="D245" s="121" t="s">
        <v>1235</v>
      </c>
      <c r="E245" s="125">
        <v>44795</v>
      </c>
      <c r="F245" s="121" t="s">
        <v>1118</v>
      </c>
      <c r="G245" s="121" t="s">
        <v>1119</v>
      </c>
      <c r="H245" s="121">
        <v>0.56479999999999997</v>
      </c>
      <c r="I245" s="121" t="s">
        <v>1120</v>
      </c>
      <c r="J245" s="121" t="s">
        <v>96</v>
      </c>
      <c r="K245" s="121">
        <v>17308</v>
      </c>
      <c r="L245" s="122">
        <v>43</v>
      </c>
      <c r="M245" s="126">
        <v>0.56479999999999997</v>
      </c>
      <c r="N245" s="127">
        <f t="shared" si="3"/>
        <v>24.2864</v>
      </c>
    </row>
    <row r="246" spans="1:14">
      <c r="A246" s="121" t="s">
        <v>1651</v>
      </c>
      <c r="B246" s="121" t="s">
        <v>1652</v>
      </c>
      <c r="C246" s="121">
        <v>1</v>
      </c>
      <c r="D246" s="121" t="s">
        <v>1203</v>
      </c>
      <c r="E246" s="125">
        <v>44800</v>
      </c>
      <c r="F246" s="121" t="s">
        <v>1118</v>
      </c>
      <c r="G246" s="121" t="s">
        <v>1131</v>
      </c>
      <c r="H246" s="121">
        <v>0.1055</v>
      </c>
      <c r="I246" s="121" t="s">
        <v>1120</v>
      </c>
      <c r="J246" s="121" t="s">
        <v>96</v>
      </c>
      <c r="K246" s="121">
        <v>17319</v>
      </c>
      <c r="L246" s="122">
        <v>41</v>
      </c>
      <c r="M246" s="126">
        <v>0.1055</v>
      </c>
      <c r="N246" s="127">
        <f t="shared" si="3"/>
        <v>4.3254999999999999</v>
      </c>
    </row>
    <row r="247" spans="1:14">
      <c r="A247" s="121" t="s">
        <v>1653</v>
      </c>
      <c r="B247" s="121" t="s">
        <v>1654</v>
      </c>
      <c r="C247" s="121">
        <v>1</v>
      </c>
      <c r="D247" s="121" t="s">
        <v>1123</v>
      </c>
      <c r="E247" s="125">
        <v>44810</v>
      </c>
      <c r="F247" s="121" t="s">
        <v>1149</v>
      </c>
      <c r="G247" s="121" t="s">
        <v>1150</v>
      </c>
      <c r="H247" s="121">
        <v>0.50639999999999996</v>
      </c>
      <c r="I247" s="121" t="s">
        <v>1120</v>
      </c>
      <c r="J247" s="121" t="s">
        <v>96</v>
      </c>
      <c r="K247" s="121">
        <v>24254</v>
      </c>
      <c r="L247" s="122">
        <v>50</v>
      </c>
      <c r="M247" s="126">
        <v>0.50639999999999996</v>
      </c>
      <c r="N247" s="127">
        <f t="shared" si="3"/>
        <v>25.319999999999997</v>
      </c>
    </row>
    <row r="248" spans="1:14">
      <c r="A248" s="121" t="s">
        <v>1655</v>
      </c>
      <c r="B248" s="121" t="s">
        <v>1656</v>
      </c>
      <c r="C248" s="121">
        <v>1</v>
      </c>
      <c r="D248" s="121" t="s">
        <v>1225</v>
      </c>
      <c r="E248" s="125">
        <v>44795</v>
      </c>
      <c r="F248" s="121" t="s">
        <v>1118</v>
      </c>
      <c r="G248" s="121" t="s">
        <v>1177</v>
      </c>
      <c r="H248" s="121">
        <v>0.2767</v>
      </c>
      <c r="I248" s="121" t="s">
        <v>1120</v>
      </c>
      <c r="J248" s="121" t="s">
        <v>96</v>
      </c>
      <c r="K248" s="121">
        <v>21546</v>
      </c>
      <c r="L248" s="122">
        <v>37</v>
      </c>
      <c r="M248" s="126">
        <v>0.2767</v>
      </c>
      <c r="N248" s="127">
        <f t="shared" si="3"/>
        <v>10.2379</v>
      </c>
    </row>
    <row r="249" spans="1:14">
      <c r="A249" s="121" t="s">
        <v>1657</v>
      </c>
      <c r="B249" s="121" t="s">
        <v>1658</v>
      </c>
      <c r="C249" s="121">
        <v>1</v>
      </c>
      <c r="D249" s="121" t="s">
        <v>1123</v>
      </c>
      <c r="E249" s="125">
        <v>44795</v>
      </c>
      <c r="F249" s="121" t="s">
        <v>1149</v>
      </c>
      <c r="G249" s="121" t="s">
        <v>1150</v>
      </c>
      <c r="H249" s="121">
        <v>8.48E-2</v>
      </c>
      <c r="I249" s="121" t="s">
        <v>1120</v>
      </c>
      <c r="J249" s="121" t="s">
        <v>96</v>
      </c>
      <c r="K249" s="121">
        <v>21112</v>
      </c>
      <c r="L249" s="122">
        <v>44</v>
      </c>
      <c r="M249" s="126">
        <v>8.48E-2</v>
      </c>
      <c r="N249" s="127">
        <f t="shared" si="3"/>
        <v>3.7311999999999999</v>
      </c>
    </row>
    <row r="250" spans="1:14">
      <c r="A250" s="121" t="s">
        <v>1659</v>
      </c>
      <c r="B250" s="121" t="s">
        <v>1660</v>
      </c>
      <c r="C250" s="121">
        <v>1</v>
      </c>
      <c r="D250" s="121" t="s">
        <v>1123</v>
      </c>
      <c r="E250" s="125">
        <v>44692</v>
      </c>
      <c r="F250" s="121" t="s">
        <v>1149</v>
      </c>
      <c r="G250" s="121" t="s">
        <v>1150</v>
      </c>
      <c r="H250" s="121">
        <v>9.5600000000000004E-2</v>
      </c>
      <c r="I250" s="121" t="s">
        <v>1120</v>
      </c>
      <c r="J250" s="121" t="s">
        <v>96</v>
      </c>
      <c r="K250" s="121">
        <v>24251</v>
      </c>
      <c r="L250" s="122">
        <v>46</v>
      </c>
      <c r="M250" s="126">
        <v>9.5600000000000004E-2</v>
      </c>
      <c r="N250" s="127">
        <f t="shared" si="3"/>
        <v>4.3976000000000006</v>
      </c>
    </row>
    <row r="251" spans="1:14">
      <c r="A251" s="121" t="s">
        <v>1661</v>
      </c>
      <c r="B251" s="121" t="s">
        <v>1662</v>
      </c>
      <c r="C251" s="121">
        <v>1</v>
      </c>
      <c r="D251" s="121" t="s">
        <v>1160</v>
      </c>
      <c r="E251" s="125">
        <v>44797</v>
      </c>
      <c r="F251" s="121" t="s">
        <v>1118</v>
      </c>
      <c r="G251" s="121" t="s">
        <v>1143</v>
      </c>
      <c r="H251" s="121">
        <v>0.13039999999999999</v>
      </c>
      <c r="I251" s="121" t="s">
        <v>1120</v>
      </c>
      <c r="J251" s="121" t="s">
        <v>96</v>
      </c>
      <c r="K251" s="121">
        <v>42088</v>
      </c>
      <c r="L251" s="122">
        <v>52</v>
      </c>
      <c r="M251" s="126">
        <v>0.13039999999999999</v>
      </c>
      <c r="N251" s="127">
        <f t="shared" si="3"/>
        <v>6.7807999999999993</v>
      </c>
    </row>
    <row r="252" spans="1:14">
      <c r="A252" s="121" t="s">
        <v>1663</v>
      </c>
      <c r="B252" s="121" t="s">
        <v>1664</v>
      </c>
      <c r="C252" s="121">
        <v>1</v>
      </c>
      <c r="D252" s="121" t="s">
        <v>1123</v>
      </c>
      <c r="E252" s="125">
        <v>44795</v>
      </c>
      <c r="F252" s="121" t="s">
        <v>1149</v>
      </c>
      <c r="G252" s="121" t="s">
        <v>1150</v>
      </c>
      <c r="H252" s="121">
        <v>0.1263</v>
      </c>
      <c r="I252" s="121" t="s">
        <v>1120</v>
      </c>
      <c r="J252" s="121" t="s">
        <v>96</v>
      </c>
      <c r="K252" s="121">
        <v>24253</v>
      </c>
      <c r="L252" s="122">
        <v>48</v>
      </c>
      <c r="M252" s="126">
        <v>0.1263</v>
      </c>
      <c r="N252" s="127">
        <f t="shared" si="3"/>
        <v>6.0624000000000002</v>
      </c>
    </row>
    <row r="253" spans="1:14">
      <c r="A253" s="121" t="s">
        <v>1665</v>
      </c>
      <c r="B253" s="121" t="s">
        <v>1666</v>
      </c>
      <c r="C253" s="121">
        <v>1</v>
      </c>
      <c r="D253" s="121" t="s">
        <v>1123</v>
      </c>
      <c r="E253" s="125">
        <v>44828</v>
      </c>
      <c r="F253" s="121" t="s">
        <v>1118</v>
      </c>
      <c r="G253" s="121" t="s">
        <v>1143</v>
      </c>
      <c r="H253" s="121">
        <v>0.1144</v>
      </c>
      <c r="I253" s="121" t="s">
        <v>1120</v>
      </c>
      <c r="J253" s="121" t="s">
        <v>96</v>
      </c>
      <c r="K253" s="121">
        <v>16239</v>
      </c>
      <c r="L253" s="122">
        <v>33</v>
      </c>
      <c r="M253" s="126">
        <v>0.1144</v>
      </c>
      <c r="N253" s="127">
        <f t="shared" si="3"/>
        <v>3.7751999999999999</v>
      </c>
    </row>
    <row r="254" spans="1:14">
      <c r="A254" s="121" t="s">
        <v>1667</v>
      </c>
      <c r="B254" s="121" t="s">
        <v>1668</v>
      </c>
      <c r="C254" s="121">
        <v>1</v>
      </c>
      <c r="D254" s="121" t="s">
        <v>1669</v>
      </c>
      <c r="E254" s="125">
        <v>44724</v>
      </c>
      <c r="F254" s="121" t="s">
        <v>1118</v>
      </c>
      <c r="G254" s="121" t="s">
        <v>1265</v>
      </c>
      <c r="H254" s="121">
        <v>0.33260000000000001</v>
      </c>
      <c r="I254" s="121" t="s">
        <v>1120</v>
      </c>
      <c r="J254" s="121" t="s">
        <v>96</v>
      </c>
      <c r="K254" s="121">
        <v>18809</v>
      </c>
      <c r="L254" s="122">
        <v>49</v>
      </c>
      <c r="M254" s="126">
        <v>0.33260000000000001</v>
      </c>
      <c r="N254" s="127">
        <f t="shared" si="3"/>
        <v>16.2974</v>
      </c>
    </row>
    <row r="255" spans="1:14">
      <c r="A255" s="121" t="s">
        <v>1670</v>
      </c>
      <c r="B255" s="121" t="s">
        <v>1671</v>
      </c>
      <c r="C255" s="121">
        <v>1</v>
      </c>
      <c r="D255" s="121" t="s">
        <v>1117</v>
      </c>
      <c r="E255" s="125">
        <v>44701</v>
      </c>
      <c r="F255" s="121" t="s">
        <v>1118</v>
      </c>
      <c r="G255" s="121" t="s">
        <v>1265</v>
      </c>
      <c r="H255" s="121">
        <v>5.6099999999999997E-2</v>
      </c>
      <c r="I255" s="121" t="s">
        <v>1120</v>
      </c>
      <c r="J255" s="121" t="s">
        <v>96</v>
      </c>
      <c r="K255" s="121">
        <v>18870</v>
      </c>
      <c r="L255" s="122">
        <v>42</v>
      </c>
      <c r="M255" s="126">
        <v>5.6099999999999997E-2</v>
      </c>
      <c r="N255" s="127">
        <f t="shared" si="3"/>
        <v>2.3561999999999999</v>
      </c>
    </row>
    <row r="256" spans="1:14">
      <c r="A256" s="121" t="s">
        <v>1672</v>
      </c>
      <c r="B256" s="121" t="s">
        <v>1673</v>
      </c>
      <c r="C256" s="121">
        <v>1</v>
      </c>
      <c r="D256" s="121" t="s">
        <v>1123</v>
      </c>
      <c r="E256" s="125">
        <v>44697</v>
      </c>
      <c r="F256" s="121" t="s">
        <v>1149</v>
      </c>
      <c r="G256" s="121" t="s">
        <v>1150</v>
      </c>
      <c r="H256" s="121">
        <v>0.1804</v>
      </c>
      <c r="I256" s="121" t="s">
        <v>1120</v>
      </c>
      <c r="J256" s="121" t="s">
        <v>96</v>
      </c>
      <c r="K256" s="121">
        <v>21682</v>
      </c>
      <c r="L256" s="122">
        <v>41</v>
      </c>
      <c r="M256" s="126">
        <v>0.1804</v>
      </c>
      <c r="N256" s="127">
        <f t="shared" si="3"/>
        <v>7.3963999999999999</v>
      </c>
    </row>
    <row r="257" spans="1:14">
      <c r="A257" s="121" t="s">
        <v>1674</v>
      </c>
      <c r="B257" s="121" t="s">
        <v>1675</v>
      </c>
      <c r="C257" s="121">
        <v>1</v>
      </c>
      <c r="D257" s="121" t="s">
        <v>1117</v>
      </c>
      <c r="E257" s="125">
        <v>44795</v>
      </c>
      <c r="F257" s="121" t="s">
        <v>1118</v>
      </c>
      <c r="G257" s="121" t="s">
        <v>1143</v>
      </c>
      <c r="H257" s="121">
        <v>3.39E-2</v>
      </c>
      <c r="I257" s="121" t="s">
        <v>1120</v>
      </c>
      <c r="J257" s="121" t="s">
        <v>96</v>
      </c>
      <c r="K257" s="121">
        <v>14839</v>
      </c>
      <c r="L257" s="122">
        <v>41</v>
      </c>
      <c r="M257" s="126">
        <v>3.39E-2</v>
      </c>
      <c r="N257" s="127">
        <f t="shared" si="3"/>
        <v>1.3898999999999999</v>
      </c>
    </row>
    <row r="258" spans="1:14">
      <c r="A258" s="121" t="s">
        <v>1676</v>
      </c>
      <c r="B258" s="121" t="s">
        <v>1677</v>
      </c>
      <c r="C258" s="121">
        <v>1</v>
      </c>
      <c r="D258" s="121" t="s">
        <v>1123</v>
      </c>
      <c r="E258" s="125">
        <v>16578</v>
      </c>
      <c r="F258" s="121" t="s">
        <v>1118</v>
      </c>
      <c r="G258" s="121" t="s">
        <v>1143</v>
      </c>
      <c r="H258" s="121">
        <v>8.2600000000000007E-2</v>
      </c>
      <c r="I258" s="121" t="s">
        <v>1120</v>
      </c>
      <c r="J258" s="121" t="s">
        <v>96</v>
      </c>
      <c r="K258" s="121">
        <v>19358</v>
      </c>
      <c r="L258" s="122">
        <v>46</v>
      </c>
      <c r="M258" s="126">
        <v>8.2600000000000007E-2</v>
      </c>
      <c r="N258" s="127">
        <f t="shared" ref="N258:N321" si="4">+M258*L258</f>
        <v>3.7996000000000003</v>
      </c>
    </row>
    <row r="259" spans="1:14">
      <c r="A259" s="121" t="s">
        <v>1678</v>
      </c>
      <c r="B259" s="121" t="s">
        <v>1679</v>
      </c>
      <c r="C259" s="121">
        <v>1</v>
      </c>
      <c r="D259" s="121" t="s">
        <v>1117</v>
      </c>
      <c r="E259" s="125">
        <v>44737</v>
      </c>
      <c r="F259" s="121" t="s">
        <v>1118</v>
      </c>
      <c r="G259" s="121" t="s">
        <v>1143</v>
      </c>
      <c r="H259" s="121">
        <v>3.1899999999999998E-2</v>
      </c>
      <c r="I259" s="121" t="s">
        <v>1120</v>
      </c>
      <c r="J259" s="121" t="s">
        <v>96</v>
      </c>
      <c r="K259" s="121">
        <v>14491</v>
      </c>
      <c r="L259" s="122">
        <v>41</v>
      </c>
      <c r="M259" s="126">
        <v>3.1899999999999998E-2</v>
      </c>
      <c r="N259" s="127">
        <f t="shared" si="4"/>
        <v>1.3078999999999998</v>
      </c>
    </row>
    <row r="260" spans="1:14">
      <c r="A260" s="121" t="s">
        <v>1680</v>
      </c>
      <c r="B260" s="121" t="s">
        <v>1681</v>
      </c>
      <c r="C260" s="121">
        <v>1</v>
      </c>
      <c r="D260" s="121" t="s">
        <v>1490</v>
      </c>
      <c r="E260" s="125">
        <v>44800</v>
      </c>
      <c r="F260" s="121" t="s">
        <v>1118</v>
      </c>
      <c r="G260" s="121" t="s">
        <v>1265</v>
      </c>
      <c r="H260" s="121">
        <v>0.25440000000000002</v>
      </c>
      <c r="I260" s="121" t="s">
        <v>1120</v>
      </c>
      <c r="J260" s="121" t="s">
        <v>96</v>
      </c>
      <c r="K260" s="121">
        <v>18630</v>
      </c>
      <c r="L260" s="122">
        <v>46</v>
      </c>
      <c r="M260" s="126">
        <v>0.25440000000000002</v>
      </c>
      <c r="N260" s="127">
        <f t="shared" si="4"/>
        <v>11.702400000000001</v>
      </c>
    </row>
    <row r="261" spans="1:14">
      <c r="A261" s="121" t="s">
        <v>1682</v>
      </c>
      <c r="B261" s="121" t="s">
        <v>1683</v>
      </c>
      <c r="C261" s="121">
        <v>1</v>
      </c>
      <c r="D261" s="121" t="s">
        <v>1123</v>
      </c>
      <c r="E261" s="125">
        <v>44836</v>
      </c>
      <c r="F261" s="121" t="s">
        <v>1118</v>
      </c>
      <c r="G261" s="121" t="s">
        <v>1131</v>
      </c>
      <c r="H261" s="121">
        <v>2.5100000000000001E-2</v>
      </c>
      <c r="I261" s="121" t="s">
        <v>1120</v>
      </c>
      <c r="J261" s="121" t="s">
        <v>96</v>
      </c>
      <c r="K261" s="121">
        <v>27443</v>
      </c>
      <c r="L261" s="122">
        <v>42</v>
      </c>
      <c r="M261" s="126">
        <v>2.5100000000000001E-2</v>
      </c>
      <c r="N261" s="127">
        <f t="shared" si="4"/>
        <v>1.0542</v>
      </c>
    </row>
    <row r="262" spans="1:14">
      <c r="A262" s="121" t="s">
        <v>1684</v>
      </c>
      <c r="B262" s="121" t="s">
        <v>1685</v>
      </c>
      <c r="C262" s="121">
        <v>1</v>
      </c>
      <c r="D262" s="121" t="s">
        <v>1686</v>
      </c>
      <c r="E262" s="125">
        <v>44795</v>
      </c>
      <c r="F262" s="121" t="s">
        <v>1118</v>
      </c>
      <c r="G262" s="121" t="s">
        <v>1177</v>
      </c>
      <c r="H262" s="121">
        <v>5.8099999999999999E-2</v>
      </c>
      <c r="I262" s="121" t="s">
        <v>1120</v>
      </c>
      <c r="J262" s="121" t="s">
        <v>96</v>
      </c>
      <c r="K262" s="121">
        <v>20392</v>
      </c>
      <c r="L262" s="122">
        <v>40</v>
      </c>
      <c r="M262" s="126">
        <v>5.8099999999999999E-2</v>
      </c>
      <c r="N262" s="127">
        <f t="shared" si="4"/>
        <v>2.3239999999999998</v>
      </c>
    </row>
    <row r="263" spans="1:14">
      <c r="A263" s="121" t="s">
        <v>1687</v>
      </c>
      <c r="B263" s="121" t="s">
        <v>1688</v>
      </c>
      <c r="C263" s="121">
        <v>1</v>
      </c>
      <c r="D263" s="121" t="s">
        <v>1123</v>
      </c>
      <c r="E263" s="125">
        <v>44853</v>
      </c>
      <c r="F263" s="121" t="s">
        <v>1118</v>
      </c>
      <c r="G263" s="121" t="s">
        <v>1124</v>
      </c>
      <c r="H263" s="121">
        <v>0.82240000000000002</v>
      </c>
      <c r="I263" s="121" t="s">
        <v>1120</v>
      </c>
      <c r="J263" s="121" t="s">
        <v>96</v>
      </c>
      <c r="K263" s="121">
        <v>16823</v>
      </c>
      <c r="L263" s="122">
        <v>43</v>
      </c>
      <c r="M263" s="126">
        <v>0.82240000000000002</v>
      </c>
      <c r="N263" s="127">
        <f t="shared" si="4"/>
        <v>35.363199999999999</v>
      </c>
    </row>
    <row r="264" spans="1:14">
      <c r="A264" s="121" t="s">
        <v>1689</v>
      </c>
      <c r="B264" s="121" t="s">
        <v>1690</v>
      </c>
      <c r="C264" s="121">
        <v>1</v>
      </c>
      <c r="D264" s="121" t="s">
        <v>1123</v>
      </c>
      <c r="E264" s="125">
        <v>44836</v>
      </c>
      <c r="F264" s="121" t="s">
        <v>1118</v>
      </c>
      <c r="G264" s="121" t="s">
        <v>1131</v>
      </c>
      <c r="H264" s="121">
        <v>9.6199999999999994E-2</v>
      </c>
      <c r="I264" s="121" t="s">
        <v>1120</v>
      </c>
      <c r="J264" s="121" t="s">
        <v>96</v>
      </c>
      <c r="K264" s="121">
        <v>26435</v>
      </c>
      <c r="L264" s="122">
        <v>21</v>
      </c>
      <c r="M264" s="126">
        <v>9.6199999999999994E-2</v>
      </c>
      <c r="N264" s="127">
        <f t="shared" si="4"/>
        <v>2.0202</v>
      </c>
    </row>
    <row r="265" spans="1:14">
      <c r="A265" s="121" t="s">
        <v>1691</v>
      </c>
      <c r="B265" s="121" t="s">
        <v>1692</v>
      </c>
      <c r="C265" s="121">
        <v>1</v>
      </c>
      <c r="D265" s="121" t="s">
        <v>1493</v>
      </c>
      <c r="E265" s="125">
        <v>44727</v>
      </c>
      <c r="F265" s="121" t="s">
        <v>1149</v>
      </c>
      <c r="G265" s="121" t="s">
        <v>1150</v>
      </c>
      <c r="H265" s="121">
        <v>4.6800000000000001E-2</v>
      </c>
      <c r="I265" s="121" t="s">
        <v>1120</v>
      </c>
      <c r="J265" s="121" t="s">
        <v>96</v>
      </c>
      <c r="K265" s="121">
        <v>24251</v>
      </c>
      <c r="L265" s="122">
        <v>46</v>
      </c>
      <c r="M265" s="126">
        <v>4.6800000000000001E-2</v>
      </c>
      <c r="N265" s="127">
        <f t="shared" si="4"/>
        <v>2.1528</v>
      </c>
    </row>
    <row r="266" spans="1:14">
      <c r="A266" s="121" t="s">
        <v>1693</v>
      </c>
      <c r="B266" s="121" t="s">
        <v>1694</v>
      </c>
      <c r="C266" s="121">
        <v>1</v>
      </c>
      <c r="D266" s="121" t="s">
        <v>1203</v>
      </c>
      <c r="E266" s="125">
        <v>44795</v>
      </c>
      <c r="F266" s="121" t="s">
        <v>1118</v>
      </c>
      <c r="G266" s="121" t="s">
        <v>1119</v>
      </c>
      <c r="H266" s="121">
        <v>6.2799999999999995E-2</v>
      </c>
      <c r="I266" s="121" t="s">
        <v>1120</v>
      </c>
      <c r="J266" s="121" t="s">
        <v>96</v>
      </c>
      <c r="K266" s="121">
        <v>17308</v>
      </c>
      <c r="L266" s="122">
        <v>43</v>
      </c>
      <c r="M266" s="126">
        <v>6.2799999999999995E-2</v>
      </c>
      <c r="N266" s="127">
        <f t="shared" si="4"/>
        <v>2.7003999999999997</v>
      </c>
    </row>
    <row r="267" spans="1:14">
      <c r="A267" s="121" t="s">
        <v>1695</v>
      </c>
      <c r="B267" s="121" t="s">
        <v>1694</v>
      </c>
      <c r="C267" s="121">
        <v>1</v>
      </c>
      <c r="D267" s="121" t="s">
        <v>1166</v>
      </c>
      <c r="E267" s="125">
        <v>44795</v>
      </c>
      <c r="F267" s="121" t="s">
        <v>1124</v>
      </c>
      <c r="G267" s="121" t="s">
        <v>1124</v>
      </c>
      <c r="H267" s="121">
        <v>7.4000000000000003E-3</v>
      </c>
      <c r="I267" s="121" t="s">
        <v>1120</v>
      </c>
      <c r="J267" s="121" t="s">
        <v>96</v>
      </c>
      <c r="K267" s="121">
        <v>17308</v>
      </c>
      <c r="L267" s="122">
        <v>43</v>
      </c>
      <c r="M267" s="126">
        <v>7.4000000000000003E-3</v>
      </c>
      <c r="N267" s="127">
        <f t="shared" si="4"/>
        <v>0.31820000000000004</v>
      </c>
    </row>
    <row r="268" spans="1:14">
      <c r="A268" s="121" t="s">
        <v>1696</v>
      </c>
      <c r="B268" s="121" t="s">
        <v>1697</v>
      </c>
      <c r="C268" s="121">
        <v>1</v>
      </c>
      <c r="D268" s="121" t="s">
        <v>1117</v>
      </c>
      <c r="E268" s="125">
        <v>44716</v>
      </c>
      <c r="F268" s="121" t="s">
        <v>1118</v>
      </c>
      <c r="G268" s="121" t="s">
        <v>1131</v>
      </c>
      <c r="H268" s="121">
        <v>0.1051</v>
      </c>
      <c r="I268" s="121" t="s">
        <v>1120</v>
      </c>
      <c r="J268" s="121" t="s">
        <v>96</v>
      </c>
      <c r="K268" s="121">
        <v>25807</v>
      </c>
      <c r="L268" s="122">
        <v>31</v>
      </c>
      <c r="M268" s="126">
        <v>0.1051</v>
      </c>
      <c r="N268" s="127">
        <f t="shared" si="4"/>
        <v>3.2580999999999998</v>
      </c>
    </row>
    <row r="269" spans="1:14">
      <c r="A269" s="121" t="s">
        <v>1698</v>
      </c>
      <c r="B269" s="121" t="s">
        <v>1699</v>
      </c>
      <c r="C269" s="121">
        <v>1</v>
      </c>
      <c r="D269" s="121" t="s">
        <v>1123</v>
      </c>
      <c r="E269" s="125">
        <v>44795</v>
      </c>
      <c r="F269" s="121" t="s">
        <v>1149</v>
      </c>
      <c r="G269" s="121" t="s">
        <v>1150</v>
      </c>
      <c r="H269" s="121">
        <v>0.378</v>
      </c>
      <c r="I269" s="121" t="s">
        <v>1120</v>
      </c>
      <c r="J269" s="121" t="s">
        <v>96</v>
      </c>
      <c r="K269" s="121">
        <v>24055</v>
      </c>
      <c r="L269" s="122">
        <v>46</v>
      </c>
      <c r="M269" s="126">
        <v>0.2407</v>
      </c>
      <c r="N269" s="127">
        <f t="shared" si="4"/>
        <v>11.0722</v>
      </c>
    </row>
    <row r="270" spans="1:14">
      <c r="A270" s="121" t="s">
        <v>1698</v>
      </c>
      <c r="B270" s="121" t="s">
        <v>1699</v>
      </c>
      <c r="C270" s="121">
        <v>1</v>
      </c>
      <c r="D270" s="121" t="s">
        <v>1123</v>
      </c>
      <c r="E270" s="125">
        <v>44795</v>
      </c>
      <c r="F270" s="121" t="s">
        <v>1149</v>
      </c>
      <c r="G270" s="121" t="s">
        <v>1150</v>
      </c>
      <c r="H270" s="121">
        <v>0.378</v>
      </c>
      <c r="I270" s="121" t="s">
        <v>1120</v>
      </c>
      <c r="J270" s="121" t="s">
        <v>96</v>
      </c>
      <c r="K270" s="121">
        <v>24056</v>
      </c>
      <c r="L270" s="122">
        <v>48</v>
      </c>
      <c r="M270" s="126">
        <v>0.13730000000000001</v>
      </c>
      <c r="N270" s="127">
        <f t="shared" si="4"/>
        <v>6.5904000000000007</v>
      </c>
    </row>
    <row r="271" spans="1:14">
      <c r="A271" s="121" t="s">
        <v>1700</v>
      </c>
      <c r="B271" s="121" t="s">
        <v>1701</v>
      </c>
      <c r="C271" s="121">
        <v>1</v>
      </c>
      <c r="D271" s="121" t="s">
        <v>1117</v>
      </c>
      <c r="E271" s="125">
        <v>44700</v>
      </c>
      <c r="F271" s="121" t="s">
        <v>1118</v>
      </c>
      <c r="G271" s="121" t="s">
        <v>1265</v>
      </c>
      <c r="H271" s="121">
        <v>0.375</v>
      </c>
      <c r="I271" s="121" t="s">
        <v>1120</v>
      </c>
      <c r="J271" s="121" t="s">
        <v>96</v>
      </c>
      <c r="K271" s="121">
        <v>18808</v>
      </c>
      <c r="L271" s="122">
        <v>47</v>
      </c>
      <c r="M271" s="126">
        <v>0.375</v>
      </c>
      <c r="N271" s="127">
        <f t="shared" si="4"/>
        <v>17.625</v>
      </c>
    </row>
    <row r="272" spans="1:14">
      <c r="A272" s="121" t="s">
        <v>1702</v>
      </c>
      <c r="B272" s="121" t="s">
        <v>1703</v>
      </c>
      <c r="C272" s="121">
        <v>1</v>
      </c>
      <c r="D272" s="121" t="s">
        <v>1704</v>
      </c>
      <c r="E272" s="125">
        <v>44700</v>
      </c>
      <c r="F272" s="121" t="s">
        <v>1118</v>
      </c>
      <c r="G272" s="121" t="s">
        <v>1265</v>
      </c>
      <c r="H272" s="121">
        <v>0.3982</v>
      </c>
      <c r="I272" s="121" t="s">
        <v>1120</v>
      </c>
      <c r="J272" s="121" t="s">
        <v>96</v>
      </c>
      <c r="K272" s="121">
        <v>18808</v>
      </c>
      <c r="L272" s="122">
        <v>47</v>
      </c>
      <c r="M272" s="126">
        <v>0.3982</v>
      </c>
      <c r="N272" s="127">
        <f t="shared" si="4"/>
        <v>18.715399999999999</v>
      </c>
    </row>
    <row r="273" spans="1:14">
      <c r="A273" s="121" t="s">
        <v>1705</v>
      </c>
      <c r="B273" s="121" t="s">
        <v>1706</v>
      </c>
      <c r="C273" s="121">
        <v>1</v>
      </c>
      <c r="D273" s="121" t="s">
        <v>1123</v>
      </c>
      <c r="E273" s="125">
        <v>44810</v>
      </c>
      <c r="F273" s="121" t="s">
        <v>1149</v>
      </c>
      <c r="G273" s="121" t="s">
        <v>1150</v>
      </c>
      <c r="H273" s="121">
        <v>0.16650000000000001</v>
      </c>
      <c r="I273" s="121" t="s">
        <v>1120</v>
      </c>
      <c r="J273" s="121" t="s">
        <v>96</v>
      </c>
      <c r="K273" s="121">
        <v>23644</v>
      </c>
      <c r="L273" s="122">
        <v>57</v>
      </c>
      <c r="M273" s="126">
        <v>0.1186</v>
      </c>
      <c r="N273" s="127">
        <f t="shared" si="4"/>
        <v>6.7602000000000002</v>
      </c>
    </row>
    <row r="274" spans="1:14">
      <c r="A274" s="121" t="s">
        <v>1705</v>
      </c>
      <c r="B274" s="121" t="s">
        <v>1706</v>
      </c>
      <c r="C274" s="121">
        <v>1</v>
      </c>
      <c r="D274" s="121" t="s">
        <v>1123</v>
      </c>
      <c r="E274" s="125">
        <v>44810</v>
      </c>
      <c r="F274" s="121" t="s">
        <v>1149</v>
      </c>
      <c r="G274" s="121" t="s">
        <v>1150</v>
      </c>
      <c r="H274" s="121">
        <v>0.16650000000000001</v>
      </c>
      <c r="I274" s="121" t="s">
        <v>1120</v>
      </c>
      <c r="J274" s="121" t="s">
        <v>96</v>
      </c>
      <c r="K274" s="121">
        <v>23849</v>
      </c>
      <c r="L274" s="122">
        <v>46</v>
      </c>
      <c r="M274" s="126">
        <v>4.8000000000000001E-2</v>
      </c>
      <c r="N274" s="127">
        <f t="shared" si="4"/>
        <v>2.2080000000000002</v>
      </c>
    </row>
    <row r="275" spans="1:14">
      <c r="A275" s="121" t="s">
        <v>1707</v>
      </c>
      <c r="B275" s="121" t="s">
        <v>1708</v>
      </c>
      <c r="C275" s="121">
        <v>1</v>
      </c>
      <c r="D275" s="121" t="s">
        <v>1203</v>
      </c>
      <c r="E275" s="125">
        <v>44677</v>
      </c>
      <c r="F275" s="121" t="s">
        <v>1118</v>
      </c>
      <c r="G275" s="121" t="s">
        <v>1265</v>
      </c>
      <c r="H275" s="121">
        <v>0.1263</v>
      </c>
      <c r="I275" s="121" t="s">
        <v>1120</v>
      </c>
      <c r="J275" s="121" t="s">
        <v>96</v>
      </c>
      <c r="K275" s="121">
        <v>19033</v>
      </c>
      <c r="L275" s="122">
        <v>46</v>
      </c>
      <c r="M275" s="126">
        <v>0.1263</v>
      </c>
      <c r="N275" s="127">
        <f t="shared" si="4"/>
        <v>5.8098000000000001</v>
      </c>
    </row>
    <row r="276" spans="1:14">
      <c r="A276" s="121" t="s">
        <v>1709</v>
      </c>
      <c r="B276" s="121" t="s">
        <v>1710</v>
      </c>
      <c r="C276" s="121">
        <v>1</v>
      </c>
      <c r="D276" s="121" t="s">
        <v>1160</v>
      </c>
      <c r="E276" s="125">
        <v>44729</v>
      </c>
      <c r="F276" s="121" t="s">
        <v>1149</v>
      </c>
      <c r="G276" s="121" t="s">
        <v>1150</v>
      </c>
      <c r="H276" s="121">
        <v>9.9400000000000002E-2</v>
      </c>
      <c r="I276" s="121" t="s">
        <v>1120</v>
      </c>
      <c r="J276" s="121" t="s">
        <v>96</v>
      </c>
      <c r="K276" s="121">
        <v>24621</v>
      </c>
      <c r="L276" s="122">
        <v>43</v>
      </c>
      <c r="M276" s="126">
        <v>9.9400000000000002E-2</v>
      </c>
      <c r="N276" s="127">
        <f t="shared" si="4"/>
        <v>4.2742000000000004</v>
      </c>
    </row>
    <row r="277" spans="1:14">
      <c r="A277" s="121" t="s">
        <v>1711</v>
      </c>
      <c r="B277" s="121" t="s">
        <v>1712</v>
      </c>
      <c r="C277" s="121">
        <v>1</v>
      </c>
      <c r="D277" s="121" t="s">
        <v>1160</v>
      </c>
      <c r="E277" s="125">
        <v>44795</v>
      </c>
      <c r="F277" s="121" t="s">
        <v>1149</v>
      </c>
      <c r="G277" s="121" t="s">
        <v>1150</v>
      </c>
      <c r="H277" s="121">
        <v>0.56189999999999996</v>
      </c>
      <c r="I277" s="121" t="s">
        <v>1120</v>
      </c>
      <c r="J277" s="121" t="s">
        <v>96</v>
      </c>
      <c r="K277" s="121">
        <v>24253</v>
      </c>
      <c r="L277" s="122">
        <v>48</v>
      </c>
      <c r="M277" s="126">
        <v>0.56189999999999996</v>
      </c>
      <c r="N277" s="127">
        <f t="shared" si="4"/>
        <v>26.971199999999996</v>
      </c>
    </row>
    <row r="278" spans="1:14">
      <c r="A278" s="121" t="s">
        <v>1713</v>
      </c>
      <c r="B278" s="121" t="s">
        <v>1714</v>
      </c>
      <c r="C278" s="121">
        <v>1</v>
      </c>
      <c r="D278" s="121" t="s">
        <v>1261</v>
      </c>
      <c r="E278" s="125">
        <v>44701</v>
      </c>
      <c r="F278" s="121" t="s">
        <v>1118</v>
      </c>
      <c r="G278" s="121" t="s">
        <v>1265</v>
      </c>
      <c r="H278" s="121">
        <v>0.21729999999999999</v>
      </c>
      <c r="I278" s="121" t="s">
        <v>1120</v>
      </c>
      <c r="J278" s="121" t="s">
        <v>96</v>
      </c>
      <c r="K278" s="121">
        <v>19033</v>
      </c>
      <c r="L278" s="122">
        <v>46</v>
      </c>
      <c r="M278" s="126">
        <v>0.21729999999999999</v>
      </c>
      <c r="N278" s="127">
        <f t="shared" si="4"/>
        <v>9.9957999999999991</v>
      </c>
    </row>
    <row r="279" spans="1:14">
      <c r="A279" s="121" t="s">
        <v>1715</v>
      </c>
      <c r="B279" s="121" t="s">
        <v>1716</v>
      </c>
      <c r="C279" s="121">
        <v>1</v>
      </c>
      <c r="D279" s="121" t="s">
        <v>1117</v>
      </c>
      <c r="E279" s="125">
        <v>44795</v>
      </c>
      <c r="F279" s="121" t="s">
        <v>1124</v>
      </c>
      <c r="G279" s="121" t="s">
        <v>1124</v>
      </c>
      <c r="H279" s="121">
        <v>4.4299999999999999E-2</v>
      </c>
      <c r="I279" s="121" t="s">
        <v>1120</v>
      </c>
      <c r="J279" s="121" t="s">
        <v>96</v>
      </c>
      <c r="K279" s="121">
        <v>17308</v>
      </c>
      <c r="L279" s="122">
        <v>43</v>
      </c>
      <c r="M279" s="126">
        <v>4.4299999999999999E-2</v>
      </c>
      <c r="N279" s="127">
        <f t="shared" si="4"/>
        <v>1.9049</v>
      </c>
    </row>
    <row r="280" spans="1:14">
      <c r="A280" s="121" t="s">
        <v>1717</v>
      </c>
      <c r="B280" s="121" t="s">
        <v>1718</v>
      </c>
      <c r="C280" s="121">
        <v>1</v>
      </c>
      <c r="D280" s="121" t="s">
        <v>1123</v>
      </c>
      <c r="E280" s="125">
        <v>44719</v>
      </c>
      <c r="F280" s="121" t="s">
        <v>1149</v>
      </c>
      <c r="G280" s="121" t="s">
        <v>1150</v>
      </c>
      <c r="H280" s="121">
        <v>1.9E-2</v>
      </c>
      <c r="I280" s="121" t="s">
        <v>1120</v>
      </c>
      <c r="J280" s="121" t="s">
        <v>96</v>
      </c>
      <c r="K280" s="121">
        <v>24621</v>
      </c>
      <c r="L280" s="122">
        <v>43</v>
      </c>
      <c r="M280" s="126">
        <v>1.9E-2</v>
      </c>
      <c r="N280" s="127">
        <f t="shared" si="4"/>
        <v>0.81699999999999995</v>
      </c>
    </row>
    <row r="281" spans="1:14">
      <c r="A281" s="121" t="s">
        <v>1719</v>
      </c>
      <c r="B281" s="121" t="s">
        <v>1720</v>
      </c>
      <c r="C281" s="121">
        <v>1</v>
      </c>
      <c r="D281" s="121" t="s">
        <v>1163</v>
      </c>
      <c r="E281" s="125">
        <v>44795</v>
      </c>
      <c r="F281" s="121" t="s">
        <v>1124</v>
      </c>
      <c r="G281" s="121" t="s">
        <v>1124</v>
      </c>
      <c r="H281" s="121">
        <v>0.35549999999999998</v>
      </c>
      <c r="I281" s="121" t="s">
        <v>1120</v>
      </c>
      <c r="J281" s="121" t="s">
        <v>96</v>
      </c>
      <c r="K281" s="121">
        <v>20547</v>
      </c>
      <c r="L281" s="122">
        <v>40</v>
      </c>
      <c r="M281" s="126">
        <v>0.35549999999999998</v>
      </c>
      <c r="N281" s="127">
        <f t="shared" si="4"/>
        <v>14.219999999999999</v>
      </c>
    </row>
    <row r="282" spans="1:14">
      <c r="A282" s="121" t="s">
        <v>1721</v>
      </c>
      <c r="B282" s="121" t="s">
        <v>1720</v>
      </c>
      <c r="C282" s="121">
        <v>1</v>
      </c>
      <c r="D282" s="121" t="s">
        <v>1220</v>
      </c>
      <c r="E282" s="125">
        <v>44795</v>
      </c>
      <c r="F282" s="121" t="s">
        <v>1124</v>
      </c>
      <c r="G282" s="121" t="s">
        <v>1124</v>
      </c>
      <c r="H282" s="121">
        <v>7.9100000000000004E-2</v>
      </c>
      <c r="I282" s="121" t="s">
        <v>1120</v>
      </c>
      <c r="J282" s="121" t="s">
        <v>96</v>
      </c>
      <c r="K282" s="121">
        <v>20348</v>
      </c>
      <c r="L282" s="122">
        <v>41</v>
      </c>
      <c r="M282" s="126">
        <v>7.9100000000000004E-2</v>
      </c>
      <c r="N282" s="127">
        <f t="shared" si="4"/>
        <v>3.2431000000000001</v>
      </c>
    </row>
    <row r="283" spans="1:14">
      <c r="A283" s="121" t="s">
        <v>1722</v>
      </c>
      <c r="B283" s="121" t="s">
        <v>1723</v>
      </c>
      <c r="C283" s="121">
        <v>1</v>
      </c>
      <c r="D283" s="121" t="s">
        <v>1123</v>
      </c>
      <c r="E283" s="125">
        <v>44795</v>
      </c>
      <c r="F283" s="121" t="s">
        <v>1149</v>
      </c>
      <c r="G283" s="121" t="s">
        <v>1150</v>
      </c>
      <c r="H283" s="121">
        <v>1.3100000000000001E-2</v>
      </c>
      <c r="I283" s="121" t="s">
        <v>1120</v>
      </c>
      <c r="J283" s="121" t="s">
        <v>96</v>
      </c>
      <c r="K283" s="121">
        <v>24439</v>
      </c>
      <c r="L283" s="122">
        <v>42</v>
      </c>
      <c r="M283" s="126">
        <v>1.3100000000000001E-2</v>
      </c>
      <c r="N283" s="127">
        <f t="shared" si="4"/>
        <v>0.55020000000000002</v>
      </c>
    </row>
    <row r="284" spans="1:14">
      <c r="A284" s="121" t="s">
        <v>1724</v>
      </c>
      <c r="B284" s="121" t="s">
        <v>1725</v>
      </c>
      <c r="C284" s="121">
        <v>1</v>
      </c>
      <c r="D284" s="121" t="s">
        <v>1587</v>
      </c>
      <c r="E284" s="125">
        <v>44783</v>
      </c>
      <c r="F284" s="121" t="s">
        <v>1118</v>
      </c>
      <c r="G284" s="121" t="s">
        <v>1119</v>
      </c>
      <c r="H284" s="121">
        <v>8.4199999999999997E-2</v>
      </c>
      <c r="I284" s="121" t="s">
        <v>1120</v>
      </c>
      <c r="J284" s="121" t="s">
        <v>96</v>
      </c>
      <c r="K284" s="121">
        <v>14841</v>
      </c>
      <c r="L284" s="122">
        <v>42</v>
      </c>
      <c r="M284" s="126">
        <v>8.4199999999999997E-2</v>
      </c>
      <c r="N284" s="127">
        <f t="shared" si="4"/>
        <v>3.5364</v>
      </c>
    </row>
    <row r="285" spans="1:14">
      <c r="A285" s="121" t="s">
        <v>1726</v>
      </c>
      <c r="B285" s="121" t="s">
        <v>1727</v>
      </c>
      <c r="C285" s="121">
        <v>1</v>
      </c>
      <c r="D285" s="121" t="s">
        <v>1264</v>
      </c>
      <c r="E285" s="125">
        <v>44795</v>
      </c>
      <c r="F285" s="121" t="s">
        <v>1149</v>
      </c>
      <c r="G285" s="121" t="s">
        <v>1150</v>
      </c>
      <c r="H285" s="121">
        <v>0.94530000000000003</v>
      </c>
      <c r="I285" s="121" t="s">
        <v>1120</v>
      </c>
      <c r="J285" s="121" t="s">
        <v>96</v>
      </c>
      <c r="K285" s="121">
        <v>24622</v>
      </c>
      <c r="L285" s="122">
        <v>42</v>
      </c>
      <c r="M285" s="126">
        <v>0.94530000000000003</v>
      </c>
      <c r="N285" s="127">
        <f t="shared" si="4"/>
        <v>39.702600000000004</v>
      </c>
    </row>
    <row r="286" spans="1:14">
      <c r="A286" s="121" t="s">
        <v>1728</v>
      </c>
      <c r="B286" s="121" t="s">
        <v>1729</v>
      </c>
      <c r="C286" s="121">
        <v>1</v>
      </c>
      <c r="D286" s="121" t="s">
        <v>1220</v>
      </c>
      <c r="E286" s="125">
        <v>44795</v>
      </c>
      <c r="F286" s="121" t="s">
        <v>1118</v>
      </c>
      <c r="G286" s="121" t="s">
        <v>1177</v>
      </c>
      <c r="H286" s="121">
        <v>0.20619999999999999</v>
      </c>
      <c r="I286" s="121" t="s">
        <v>1120</v>
      </c>
      <c r="J286" s="121" t="s">
        <v>96</v>
      </c>
      <c r="K286" s="121">
        <v>21362</v>
      </c>
      <c r="L286" s="122">
        <v>38</v>
      </c>
      <c r="M286" s="126">
        <v>0.20619999999999999</v>
      </c>
      <c r="N286" s="127">
        <f t="shared" si="4"/>
        <v>7.8355999999999995</v>
      </c>
    </row>
    <row r="287" spans="1:14">
      <c r="A287" s="121" t="s">
        <v>1730</v>
      </c>
      <c r="B287" s="121" t="s">
        <v>1731</v>
      </c>
      <c r="C287" s="121">
        <v>1</v>
      </c>
      <c r="D287" s="121" t="s">
        <v>1732</v>
      </c>
      <c r="E287" s="125">
        <v>44757</v>
      </c>
      <c r="F287" s="121" t="s">
        <v>1118</v>
      </c>
      <c r="G287" s="121" t="s">
        <v>1265</v>
      </c>
      <c r="H287" s="121">
        <v>0.43619999999999998</v>
      </c>
      <c r="I287" s="121" t="s">
        <v>1120</v>
      </c>
      <c r="J287" s="121" t="s">
        <v>96</v>
      </c>
      <c r="K287" s="121">
        <v>18440</v>
      </c>
      <c r="L287" s="122">
        <v>36</v>
      </c>
      <c r="M287" s="126">
        <v>0.43619999999999998</v>
      </c>
      <c r="N287" s="127">
        <f t="shared" si="4"/>
        <v>15.703199999999999</v>
      </c>
    </row>
    <row r="288" spans="1:14">
      <c r="A288" s="121" t="s">
        <v>1733</v>
      </c>
      <c r="B288" s="121" t="s">
        <v>1734</v>
      </c>
      <c r="C288" s="121">
        <v>1</v>
      </c>
      <c r="D288" s="121" t="s">
        <v>1561</v>
      </c>
      <c r="E288" s="125">
        <v>44797</v>
      </c>
      <c r="F288" s="121" t="s">
        <v>1149</v>
      </c>
      <c r="G288" s="121" t="s">
        <v>1150</v>
      </c>
      <c r="H288" s="121">
        <v>0.13639999999999999</v>
      </c>
      <c r="I288" s="121" t="s">
        <v>1120</v>
      </c>
      <c r="J288" s="121" t="s">
        <v>96</v>
      </c>
      <c r="K288" s="121">
        <v>21311</v>
      </c>
      <c r="L288" s="122">
        <v>46</v>
      </c>
      <c r="M288" s="126">
        <v>0.13639999999999999</v>
      </c>
      <c r="N288" s="127">
        <f t="shared" si="4"/>
        <v>6.2744</v>
      </c>
    </row>
    <row r="289" spans="1:14">
      <c r="A289" s="121" t="s">
        <v>1735</v>
      </c>
      <c r="B289" s="121" t="s">
        <v>1736</v>
      </c>
      <c r="C289" s="121">
        <v>1</v>
      </c>
      <c r="D289" s="121"/>
      <c r="E289" s="125">
        <v>44795</v>
      </c>
      <c r="F289" s="121" t="s">
        <v>1124</v>
      </c>
      <c r="G289" s="121" t="s">
        <v>1124</v>
      </c>
      <c r="H289" s="121">
        <v>8.3999999999999995E-3</v>
      </c>
      <c r="I289" s="121" t="s">
        <v>1120</v>
      </c>
      <c r="J289" s="121" t="s">
        <v>96</v>
      </c>
      <c r="K289" s="121">
        <v>17308</v>
      </c>
      <c r="L289" s="122">
        <v>43</v>
      </c>
      <c r="M289" s="126">
        <v>8.3999999999999995E-3</v>
      </c>
      <c r="N289" s="127">
        <f t="shared" si="4"/>
        <v>0.36119999999999997</v>
      </c>
    </row>
    <row r="290" spans="1:14">
      <c r="A290" s="121" t="s">
        <v>1737</v>
      </c>
      <c r="B290" s="121" t="s">
        <v>1738</v>
      </c>
      <c r="C290" s="121">
        <v>1</v>
      </c>
      <c r="D290" s="121" t="s">
        <v>1252</v>
      </c>
      <c r="E290" s="125">
        <v>44789</v>
      </c>
      <c r="F290" s="121" t="s">
        <v>1118</v>
      </c>
      <c r="G290" s="121" t="s">
        <v>1131</v>
      </c>
      <c r="H290" s="121">
        <v>2.93E-2</v>
      </c>
      <c r="I290" s="121" t="s">
        <v>1120</v>
      </c>
      <c r="J290" s="121" t="s">
        <v>96</v>
      </c>
      <c r="K290" s="121">
        <v>26436</v>
      </c>
      <c r="L290" s="122">
        <v>31</v>
      </c>
      <c r="M290" s="126">
        <v>2.93E-2</v>
      </c>
      <c r="N290" s="127">
        <f t="shared" si="4"/>
        <v>0.9083</v>
      </c>
    </row>
    <row r="291" spans="1:14">
      <c r="A291" s="121" t="s">
        <v>1739</v>
      </c>
      <c r="B291" s="121" t="s">
        <v>1740</v>
      </c>
      <c r="C291" s="121">
        <v>1</v>
      </c>
      <c r="D291" s="121" t="s">
        <v>1217</v>
      </c>
      <c r="E291" s="125">
        <v>44863</v>
      </c>
      <c r="F291" s="121" t="s">
        <v>1154</v>
      </c>
      <c r="G291" s="121" t="s">
        <v>1155</v>
      </c>
      <c r="H291" s="121">
        <v>0.41830000000000001</v>
      </c>
      <c r="I291" s="121" t="s">
        <v>1120</v>
      </c>
      <c r="J291" s="121" t="s">
        <v>96</v>
      </c>
      <c r="K291" s="121">
        <v>5652</v>
      </c>
      <c r="L291" s="122">
        <v>41</v>
      </c>
      <c r="M291" s="126">
        <v>0.41830000000000001</v>
      </c>
      <c r="N291" s="127">
        <f t="shared" si="4"/>
        <v>17.150300000000001</v>
      </c>
    </row>
    <row r="292" spans="1:14">
      <c r="A292" s="121" t="s">
        <v>1741</v>
      </c>
      <c r="B292" s="121" t="s">
        <v>1742</v>
      </c>
      <c r="C292" s="121">
        <v>1</v>
      </c>
      <c r="D292" s="121" t="s">
        <v>1203</v>
      </c>
      <c r="E292" s="125">
        <v>44757</v>
      </c>
      <c r="F292" s="121" t="s">
        <v>1118</v>
      </c>
      <c r="G292" s="121" t="s">
        <v>1265</v>
      </c>
      <c r="H292" s="121">
        <v>0.2014</v>
      </c>
      <c r="I292" s="121" t="s">
        <v>1120</v>
      </c>
      <c r="J292" s="121" t="s">
        <v>96</v>
      </c>
      <c r="K292" s="121">
        <v>19628</v>
      </c>
      <c r="L292" s="122">
        <v>39</v>
      </c>
      <c r="M292" s="126">
        <v>0.2014</v>
      </c>
      <c r="N292" s="127">
        <f t="shared" si="4"/>
        <v>7.8545999999999996</v>
      </c>
    </row>
    <row r="293" spans="1:14">
      <c r="A293" s="121" t="s">
        <v>1743</v>
      </c>
      <c r="B293" s="121" t="s">
        <v>1744</v>
      </c>
      <c r="C293" s="121">
        <v>1</v>
      </c>
      <c r="D293" s="121" t="s">
        <v>1117</v>
      </c>
      <c r="E293" s="125">
        <v>44714</v>
      </c>
      <c r="F293" s="121" t="s">
        <v>1118</v>
      </c>
      <c r="G293" s="121" t="s">
        <v>1131</v>
      </c>
      <c r="H293" s="121">
        <v>1.14E-2</v>
      </c>
      <c r="I293" s="121" t="s">
        <v>1120</v>
      </c>
      <c r="J293" s="121" t="s">
        <v>96</v>
      </c>
      <c r="K293" s="121">
        <v>26208</v>
      </c>
      <c r="L293" s="122">
        <v>39</v>
      </c>
      <c r="M293" s="126">
        <v>1.14E-2</v>
      </c>
      <c r="N293" s="127">
        <f t="shared" si="4"/>
        <v>0.4446</v>
      </c>
    </row>
    <row r="294" spans="1:14">
      <c r="A294" s="121" t="s">
        <v>1745</v>
      </c>
      <c r="B294" s="121" t="s">
        <v>1746</v>
      </c>
      <c r="C294" s="121">
        <v>1</v>
      </c>
      <c r="D294" s="121" t="s">
        <v>1123</v>
      </c>
      <c r="E294" s="125">
        <v>44795</v>
      </c>
      <c r="F294" s="121" t="s">
        <v>1124</v>
      </c>
      <c r="G294" s="121" t="s">
        <v>1124</v>
      </c>
      <c r="H294" s="121">
        <v>1.4E-2</v>
      </c>
      <c r="I294" s="121" t="s">
        <v>1120</v>
      </c>
      <c r="J294" s="121" t="s">
        <v>96</v>
      </c>
      <c r="K294" s="121">
        <v>17308</v>
      </c>
      <c r="L294" s="122">
        <v>43</v>
      </c>
      <c r="M294" s="126">
        <v>1.35E-2</v>
      </c>
      <c r="N294" s="127">
        <f t="shared" si="4"/>
        <v>0.58050000000000002</v>
      </c>
    </row>
    <row r="295" spans="1:14">
      <c r="A295" s="121" t="s">
        <v>1747</v>
      </c>
      <c r="B295" s="121" t="s">
        <v>1748</v>
      </c>
      <c r="C295" s="121">
        <v>1</v>
      </c>
      <c r="D295" s="121" t="s">
        <v>1749</v>
      </c>
      <c r="E295" s="125">
        <v>44810</v>
      </c>
      <c r="F295" s="121" t="s">
        <v>1149</v>
      </c>
      <c r="G295" s="121" t="s">
        <v>1150</v>
      </c>
      <c r="H295" s="121">
        <v>0.32619999999999999</v>
      </c>
      <c r="I295" s="121" t="s">
        <v>1120</v>
      </c>
      <c r="J295" s="121" t="s">
        <v>96</v>
      </c>
      <c r="K295" s="121">
        <v>23848</v>
      </c>
      <c r="L295" s="122">
        <v>45</v>
      </c>
      <c r="M295" s="126">
        <v>0.32619999999999999</v>
      </c>
      <c r="N295" s="127">
        <f t="shared" si="4"/>
        <v>14.679</v>
      </c>
    </row>
    <row r="296" spans="1:14">
      <c r="A296" s="121" t="s">
        <v>1750</v>
      </c>
      <c r="B296" s="121" t="s">
        <v>1751</v>
      </c>
      <c r="C296" s="121">
        <v>1</v>
      </c>
      <c r="D296" s="121" t="s">
        <v>1123</v>
      </c>
      <c r="E296" s="125">
        <v>44751</v>
      </c>
      <c r="F296" s="121" t="s">
        <v>1118</v>
      </c>
      <c r="G296" s="121" t="s">
        <v>1131</v>
      </c>
      <c r="H296" s="121">
        <v>2.81E-2</v>
      </c>
      <c r="I296" s="121" t="s">
        <v>1120</v>
      </c>
      <c r="J296" s="121" t="s">
        <v>96</v>
      </c>
      <c r="K296" s="121">
        <v>26842</v>
      </c>
      <c r="L296" s="122">
        <v>36</v>
      </c>
      <c r="M296" s="126">
        <v>2.81E-2</v>
      </c>
      <c r="N296" s="127">
        <f t="shared" si="4"/>
        <v>1.0116000000000001</v>
      </c>
    </row>
    <row r="297" spans="1:14">
      <c r="A297" s="121" t="s">
        <v>1752</v>
      </c>
      <c r="B297" s="121" t="s">
        <v>1753</v>
      </c>
      <c r="C297" s="121">
        <v>1</v>
      </c>
      <c r="D297" s="121" t="s">
        <v>1261</v>
      </c>
      <c r="E297" s="125">
        <v>44686</v>
      </c>
      <c r="F297" s="121" t="s">
        <v>1118</v>
      </c>
      <c r="G297" s="121" t="s">
        <v>1265</v>
      </c>
      <c r="H297" s="121">
        <v>0.46510000000000001</v>
      </c>
      <c r="I297" s="121" t="s">
        <v>1120</v>
      </c>
      <c r="J297" s="121" t="s">
        <v>96</v>
      </c>
      <c r="K297" s="121">
        <v>18870</v>
      </c>
      <c r="L297" s="122">
        <v>42</v>
      </c>
      <c r="M297" s="126">
        <v>0.46510000000000001</v>
      </c>
      <c r="N297" s="127">
        <f t="shared" si="4"/>
        <v>19.534200000000002</v>
      </c>
    </row>
    <row r="298" spans="1:14">
      <c r="A298" s="121" t="s">
        <v>1754</v>
      </c>
      <c r="B298" s="121" t="s">
        <v>1755</v>
      </c>
      <c r="C298" s="121">
        <v>1</v>
      </c>
      <c r="D298" s="121" t="s">
        <v>1264</v>
      </c>
      <c r="E298" s="125">
        <v>44795</v>
      </c>
      <c r="F298" s="121" t="s">
        <v>1149</v>
      </c>
      <c r="G298" s="121" t="s">
        <v>1150</v>
      </c>
      <c r="H298" s="121">
        <v>0.64339999999999997</v>
      </c>
      <c r="I298" s="121" t="s">
        <v>1120</v>
      </c>
      <c r="J298" s="121" t="s">
        <v>96</v>
      </c>
      <c r="K298" s="121">
        <v>24622</v>
      </c>
      <c r="L298" s="122">
        <v>42</v>
      </c>
      <c r="M298" s="126">
        <v>0.64339999999999997</v>
      </c>
      <c r="N298" s="127">
        <f t="shared" si="4"/>
        <v>27.0228</v>
      </c>
    </row>
    <row r="299" spans="1:14">
      <c r="A299" s="121" t="s">
        <v>1756</v>
      </c>
      <c r="B299" s="121" t="s">
        <v>1757</v>
      </c>
      <c r="C299" s="121">
        <v>1</v>
      </c>
      <c r="D299" s="121" t="s">
        <v>1123</v>
      </c>
      <c r="E299" s="125">
        <v>44790</v>
      </c>
      <c r="F299" s="121" t="s">
        <v>1149</v>
      </c>
      <c r="G299" s="121" t="s">
        <v>1150</v>
      </c>
      <c r="H299" s="121">
        <v>0.2823</v>
      </c>
      <c r="I299" s="121" t="s">
        <v>1120</v>
      </c>
      <c r="J299" s="121" t="s">
        <v>96</v>
      </c>
      <c r="K299" s="121">
        <v>24251</v>
      </c>
      <c r="L299" s="122">
        <v>46</v>
      </c>
      <c r="M299" s="126">
        <v>0.28239999999999998</v>
      </c>
      <c r="N299" s="127">
        <f t="shared" si="4"/>
        <v>12.990399999999999</v>
      </c>
    </row>
    <row r="300" spans="1:14">
      <c r="A300" s="121" t="s">
        <v>1758</v>
      </c>
      <c r="B300" s="121" t="s">
        <v>1759</v>
      </c>
      <c r="C300" s="121">
        <v>1</v>
      </c>
      <c r="D300" s="121" t="s">
        <v>1525</v>
      </c>
      <c r="E300" s="125">
        <v>44795</v>
      </c>
      <c r="F300" s="121" t="s">
        <v>1118</v>
      </c>
      <c r="G300" s="121" t="s">
        <v>1177</v>
      </c>
      <c r="H300" s="121">
        <v>0.91169999999999995</v>
      </c>
      <c r="I300" s="121" t="s">
        <v>1120</v>
      </c>
      <c r="J300" s="121" t="s">
        <v>96</v>
      </c>
      <c r="K300" s="121">
        <v>20392</v>
      </c>
      <c r="L300" s="122">
        <v>40</v>
      </c>
      <c r="M300" s="126">
        <v>0.91169999999999995</v>
      </c>
      <c r="N300" s="127">
        <f t="shared" si="4"/>
        <v>36.467999999999996</v>
      </c>
    </row>
    <row r="301" spans="1:14">
      <c r="A301" s="121" t="s">
        <v>1760</v>
      </c>
      <c r="B301" s="121" t="s">
        <v>1761</v>
      </c>
      <c r="C301" s="121">
        <v>1</v>
      </c>
      <c r="D301" s="121" t="s">
        <v>1153</v>
      </c>
      <c r="E301" s="125">
        <v>44795</v>
      </c>
      <c r="F301" s="121" t="s">
        <v>1118</v>
      </c>
      <c r="G301" s="121" t="s">
        <v>1119</v>
      </c>
      <c r="H301" s="121">
        <v>0.22570000000000001</v>
      </c>
      <c r="I301" s="121" t="s">
        <v>1120</v>
      </c>
      <c r="J301" s="121" t="s">
        <v>96</v>
      </c>
      <c r="K301" s="121">
        <v>17308</v>
      </c>
      <c r="L301" s="122">
        <v>43</v>
      </c>
      <c r="M301" s="126">
        <v>0.22570000000000001</v>
      </c>
      <c r="N301" s="127">
        <f t="shared" si="4"/>
        <v>9.7050999999999998</v>
      </c>
    </row>
    <row r="302" spans="1:14">
      <c r="A302" s="121" t="s">
        <v>1762</v>
      </c>
      <c r="B302" s="121" t="s">
        <v>1763</v>
      </c>
      <c r="C302" s="121">
        <v>1</v>
      </c>
      <c r="D302" s="121" t="s">
        <v>1163</v>
      </c>
      <c r="E302" s="125">
        <v>44810</v>
      </c>
      <c r="F302" s="121" t="s">
        <v>1149</v>
      </c>
      <c r="G302" s="121" t="s">
        <v>1150</v>
      </c>
      <c r="H302" s="121">
        <v>0.4103</v>
      </c>
      <c r="I302" s="121" t="s">
        <v>1120</v>
      </c>
      <c r="J302" s="121" t="s">
        <v>96</v>
      </c>
      <c r="K302" s="121">
        <v>24252</v>
      </c>
      <c r="L302" s="122">
        <v>45</v>
      </c>
      <c r="M302" s="126">
        <v>0.4103</v>
      </c>
      <c r="N302" s="127">
        <f t="shared" si="4"/>
        <v>18.4635</v>
      </c>
    </row>
    <row r="303" spans="1:14">
      <c r="A303" s="121" t="s">
        <v>1764</v>
      </c>
      <c r="B303" s="121" t="s">
        <v>1765</v>
      </c>
      <c r="C303" s="121">
        <v>1</v>
      </c>
      <c r="D303" s="121" t="s">
        <v>1766</v>
      </c>
      <c r="E303" s="125">
        <v>44795</v>
      </c>
      <c r="F303" s="121" t="s">
        <v>1118</v>
      </c>
      <c r="G303" s="121" t="s">
        <v>1177</v>
      </c>
      <c r="H303" s="121">
        <v>0.64700000000000002</v>
      </c>
      <c r="I303" s="121" t="s">
        <v>1120</v>
      </c>
      <c r="J303" s="121" t="s">
        <v>96</v>
      </c>
      <c r="K303" s="121">
        <v>21544</v>
      </c>
      <c r="L303" s="122">
        <v>45</v>
      </c>
      <c r="M303" s="126">
        <v>0.64700000000000002</v>
      </c>
      <c r="N303" s="127">
        <f t="shared" si="4"/>
        <v>29.115000000000002</v>
      </c>
    </row>
    <row r="304" spans="1:14">
      <c r="A304" s="121" t="s">
        <v>1767</v>
      </c>
      <c r="B304" s="121" t="s">
        <v>1768</v>
      </c>
      <c r="C304" s="121">
        <v>1</v>
      </c>
      <c r="D304" s="121" t="s">
        <v>1123</v>
      </c>
      <c r="E304" s="125">
        <v>44824</v>
      </c>
      <c r="F304" s="121" t="s">
        <v>1118</v>
      </c>
      <c r="G304" s="121" t="s">
        <v>1131</v>
      </c>
      <c r="H304" s="121">
        <v>6.9900000000000004E-2</v>
      </c>
      <c r="I304" s="121" t="s">
        <v>1120</v>
      </c>
      <c r="J304" s="121" t="s">
        <v>96</v>
      </c>
      <c r="K304" s="121">
        <v>11103</v>
      </c>
      <c r="L304" s="122">
        <v>40</v>
      </c>
      <c r="M304" s="126">
        <v>6.9900000000000004E-2</v>
      </c>
      <c r="N304" s="127">
        <f t="shared" si="4"/>
        <v>2.7960000000000003</v>
      </c>
    </row>
    <row r="305" spans="1:14">
      <c r="A305" s="121" t="s">
        <v>1769</v>
      </c>
      <c r="B305" s="121" t="s">
        <v>1770</v>
      </c>
      <c r="C305" s="121">
        <v>1</v>
      </c>
      <c r="D305" s="121" t="s">
        <v>1123</v>
      </c>
      <c r="E305" s="125">
        <v>44795</v>
      </c>
      <c r="F305" s="121" t="s">
        <v>1149</v>
      </c>
      <c r="G305" s="121" t="s">
        <v>1150</v>
      </c>
      <c r="H305" s="121">
        <v>0.27629999999999999</v>
      </c>
      <c r="I305" s="121" t="s">
        <v>1120</v>
      </c>
      <c r="J305" s="121" t="s">
        <v>96</v>
      </c>
      <c r="K305" s="121">
        <v>24061</v>
      </c>
      <c r="L305" s="122">
        <v>44</v>
      </c>
      <c r="M305" s="126">
        <v>5.1299999999999998E-2</v>
      </c>
      <c r="N305" s="127">
        <f t="shared" si="4"/>
        <v>2.2572000000000001</v>
      </c>
    </row>
    <row r="306" spans="1:14">
      <c r="A306" s="121" t="s">
        <v>1769</v>
      </c>
      <c r="B306" s="121" t="s">
        <v>1770</v>
      </c>
      <c r="C306" s="121">
        <v>1</v>
      </c>
      <c r="D306" s="121" t="s">
        <v>1123</v>
      </c>
      <c r="E306" s="125">
        <v>44795</v>
      </c>
      <c r="F306" s="121" t="s">
        <v>1149</v>
      </c>
      <c r="G306" s="121" t="s">
        <v>1150</v>
      </c>
      <c r="H306" s="121">
        <v>0.27629999999999999</v>
      </c>
      <c r="I306" s="121" t="s">
        <v>1120</v>
      </c>
      <c r="J306" s="121" t="s">
        <v>96</v>
      </c>
      <c r="K306" s="121">
        <v>24256</v>
      </c>
      <c r="L306" s="122">
        <v>45</v>
      </c>
      <c r="M306" s="126">
        <v>0.22509999999999999</v>
      </c>
      <c r="N306" s="127">
        <f t="shared" si="4"/>
        <v>10.1295</v>
      </c>
    </row>
    <row r="307" spans="1:14">
      <c r="A307" s="121" t="s">
        <v>1771</v>
      </c>
      <c r="B307" s="121" t="s">
        <v>1772</v>
      </c>
      <c r="C307" s="121">
        <v>1</v>
      </c>
      <c r="D307" s="121" t="s">
        <v>1203</v>
      </c>
      <c r="E307" s="125">
        <v>44704</v>
      </c>
      <c r="F307" s="121" t="s">
        <v>1118</v>
      </c>
      <c r="G307" s="121" t="s">
        <v>1265</v>
      </c>
      <c r="H307" s="121">
        <v>0.22939999999999999</v>
      </c>
      <c r="I307" s="121" t="s">
        <v>1120</v>
      </c>
      <c r="J307" s="121" t="s">
        <v>96</v>
      </c>
      <c r="K307" s="121">
        <v>18807</v>
      </c>
      <c r="L307" s="122">
        <v>45</v>
      </c>
      <c r="M307" s="126">
        <v>0.22939999999999999</v>
      </c>
      <c r="N307" s="127">
        <f t="shared" si="4"/>
        <v>10.323</v>
      </c>
    </row>
    <row r="308" spans="1:14">
      <c r="A308" s="121" t="s">
        <v>1773</v>
      </c>
      <c r="B308" s="121" t="s">
        <v>1774</v>
      </c>
      <c r="C308" s="121">
        <v>1</v>
      </c>
      <c r="D308" s="121" t="s">
        <v>1123</v>
      </c>
      <c r="E308" s="125">
        <v>44795</v>
      </c>
      <c r="F308" s="121" t="s">
        <v>1149</v>
      </c>
      <c r="G308" s="121" t="s">
        <v>1150</v>
      </c>
      <c r="H308" s="121">
        <v>0.15870000000000001</v>
      </c>
      <c r="I308" s="121" t="s">
        <v>1120</v>
      </c>
      <c r="J308" s="121" t="s">
        <v>96</v>
      </c>
      <c r="K308" s="121">
        <v>24437</v>
      </c>
      <c r="L308" s="122">
        <v>51</v>
      </c>
      <c r="M308" s="126">
        <v>0.15870000000000001</v>
      </c>
      <c r="N308" s="127">
        <f t="shared" si="4"/>
        <v>8.0937000000000001</v>
      </c>
    </row>
    <row r="309" spans="1:14">
      <c r="A309" s="121" t="s">
        <v>1775</v>
      </c>
      <c r="B309" s="121" t="s">
        <v>1776</v>
      </c>
      <c r="C309" s="121">
        <v>1</v>
      </c>
      <c r="D309" s="121" t="s">
        <v>1203</v>
      </c>
      <c r="E309" s="125">
        <v>44803</v>
      </c>
      <c r="F309" s="121" t="s">
        <v>1118</v>
      </c>
      <c r="G309" s="121" t="s">
        <v>1131</v>
      </c>
      <c r="H309" s="121">
        <v>0.16669999999999999</v>
      </c>
      <c r="I309" s="121" t="s">
        <v>1120</v>
      </c>
      <c r="J309" s="121" t="s">
        <v>96</v>
      </c>
      <c r="K309" s="121">
        <v>22269</v>
      </c>
      <c r="L309" s="122">
        <v>45</v>
      </c>
      <c r="M309" s="126">
        <v>0.16669999999999999</v>
      </c>
      <c r="N309" s="127">
        <f t="shared" si="4"/>
        <v>7.5014999999999992</v>
      </c>
    </row>
    <row r="310" spans="1:14">
      <c r="A310" s="121" t="s">
        <v>1777</v>
      </c>
      <c r="B310" s="121" t="s">
        <v>1778</v>
      </c>
      <c r="C310" s="121">
        <v>1</v>
      </c>
      <c r="D310" s="121" t="s">
        <v>1220</v>
      </c>
      <c r="E310" s="125">
        <v>44758</v>
      </c>
      <c r="F310" s="121" t="s">
        <v>1118</v>
      </c>
      <c r="G310" s="121" t="s">
        <v>1131</v>
      </c>
      <c r="H310" s="121">
        <v>2.4E-2</v>
      </c>
      <c r="I310" s="121" t="s">
        <v>1120</v>
      </c>
      <c r="J310" s="121" t="s">
        <v>96</v>
      </c>
      <c r="K310" s="121">
        <v>25236</v>
      </c>
      <c r="L310" s="122">
        <v>24</v>
      </c>
      <c r="M310" s="126">
        <v>2.4E-2</v>
      </c>
      <c r="N310" s="127">
        <f t="shared" si="4"/>
        <v>0.57600000000000007</v>
      </c>
    </row>
    <row r="311" spans="1:14">
      <c r="A311" s="121" t="s">
        <v>1779</v>
      </c>
      <c r="B311" s="121" t="s">
        <v>1780</v>
      </c>
      <c r="C311" s="121">
        <v>1</v>
      </c>
      <c r="D311" s="121" t="s">
        <v>1160</v>
      </c>
      <c r="E311" s="125">
        <v>44734</v>
      </c>
      <c r="F311" s="121" t="s">
        <v>1149</v>
      </c>
      <c r="G311" s="121" t="s">
        <v>1150</v>
      </c>
      <c r="H311" s="121">
        <v>4.4400000000000002E-2</v>
      </c>
      <c r="I311" s="121" t="s">
        <v>1120</v>
      </c>
      <c r="J311" s="121" t="s">
        <v>96</v>
      </c>
      <c r="K311" s="121">
        <v>24621</v>
      </c>
      <c r="L311" s="122">
        <v>43</v>
      </c>
      <c r="M311" s="126">
        <v>4.4400000000000002E-2</v>
      </c>
      <c r="N311" s="127">
        <f t="shared" si="4"/>
        <v>1.9092</v>
      </c>
    </row>
    <row r="312" spans="1:14">
      <c r="A312" s="121" t="s">
        <v>1781</v>
      </c>
      <c r="B312" s="121" t="s">
        <v>1782</v>
      </c>
      <c r="C312" s="121">
        <v>1</v>
      </c>
      <c r="D312" s="121" t="s">
        <v>1405</v>
      </c>
      <c r="E312" s="125">
        <v>44833</v>
      </c>
      <c r="F312" s="121" t="s">
        <v>1149</v>
      </c>
      <c r="G312" s="121" t="s">
        <v>1150</v>
      </c>
      <c r="H312" s="121">
        <v>6.5699999999999995E-2</v>
      </c>
      <c r="I312" s="121" t="s">
        <v>1120</v>
      </c>
      <c r="J312" s="121" t="s">
        <v>96</v>
      </c>
      <c r="K312" s="121">
        <v>21113</v>
      </c>
      <c r="L312" s="122">
        <v>45</v>
      </c>
      <c r="M312" s="126">
        <v>6.5699999999999995E-2</v>
      </c>
      <c r="N312" s="127">
        <f t="shared" si="4"/>
        <v>2.9564999999999997</v>
      </c>
    </row>
    <row r="313" spans="1:14">
      <c r="A313" s="121" t="s">
        <v>1783</v>
      </c>
      <c r="B313" s="121" t="s">
        <v>1784</v>
      </c>
      <c r="C313" s="121">
        <v>1</v>
      </c>
      <c r="D313" s="121" t="s">
        <v>1552</v>
      </c>
      <c r="E313" s="125">
        <v>44795</v>
      </c>
      <c r="F313" s="121" t="s">
        <v>1118</v>
      </c>
      <c r="G313" s="121" t="s">
        <v>1177</v>
      </c>
      <c r="H313" s="121">
        <v>0.11409999999999999</v>
      </c>
      <c r="I313" s="121" t="s">
        <v>1120</v>
      </c>
      <c r="J313" s="121" t="s">
        <v>96</v>
      </c>
      <c r="K313" s="121">
        <v>20392</v>
      </c>
      <c r="L313" s="122">
        <v>40</v>
      </c>
      <c r="M313" s="126">
        <v>0.11409999999999999</v>
      </c>
      <c r="N313" s="127">
        <f t="shared" si="4"/>
        <v>4.5640000000000001</v>
      </c>
    </row>
    <row r="314" spans="1:14">
      <c r="A314" s="121" t="s">
        <v>1785</v>
      </c>
      <c r="B314" s="121" t="s">
        <v>1786</v>
      </c>
      <c r="C314" s="121">
        <v>1</v>
      </c>
      <c r="D314" s="121" t="s">
        <v>1117</v>
      </c>
      <c r="E314" s="125">
        <v>45057</v>
      </c>
      <c r="F314" s="121" t="s">
        <v>1118</v>
      </c>
      <c r="G314" s="121" t="s">
        <v>1143</v>
      </c>
      <c r="H314" s="121">
        <v>1.1999999999999999E-3</v>
      </c>
      <c r="I314" s="121" t="s">
        <v>1120</v>
      </c>
      <c r="J314" s="121" t="s">
        <v>96</v>
      </c>
      <c r="K314" s="121">
        <v>24253</v>
      </c>
      <c r="L314" s="122">
        <v>48</v>
      </c>
      <c r="M314" s="126">
        <v>1.1999999999999999E-3</v>
      </c>
      <c r="N314" s="127">
        <f t="shared" si="4"/>
        <v>5.7599999999999998E-2</v>
      </c>
    </row>
    <row r="315" spans="1:14">
      <c r="A315" s="121" t="s">
        <v>1787</v>
      </c>
      <c r="B315" s="121" t="s">
        <v>1788</v>
      </c>
      <c r="C315" s="121">
        <v>1</v>
      </c>
      <c r="D315" s="121" t="s">
        <v>1123</v>
      </c>
      <c r="E315" s="125">
        <v>44795</v>
      </c>
      <c r="F315" s="121" t="s">
        <v>1149</v>
      </c>
      <c r="G315" s="121" t="s">
        <v>1150</v>
      </c>
      <c r="H315" s="121">
        <v>0.13070000000000001</v>
      </c>
      <c r="I315" s="121" t="s">
        <v>1120</v>
      </c>
      <c r="J315" s="121" t="s">
        <v>96</v>
      </c>
      <c r="K315" s="121">
        <v>24622</v>
      </c>
      <c r="L315" s="122">
        <v>42</v>
      </c>
      <c r="M315" s="126">
        <v>0.13070000000000001</v>
      </c>
      <c r="N315" s="127">
        <f t="shared" si="4"/>
        <v>5.4894000000000007</v>
      </c>
    </row>
    <row r="316" spans="1:14">
      <c r="A316" s="121" t="s">
        <v>1789</v>
      </c>
      <c r="B316" s="121" t="s">
        <v>1790</v>
      </c>
      <c r="C316" s="121">
        <v>1</v>
      </c>
      <c r="D316" s="121" t="s">
        <v>1203</v>
      </c>
      <c r="E316" s="125">
        <v>44795</v>
      </c>
      <c r="F316" s="121" t="s">
        <v>1118</v>
      </c>
      <c r="G316" s="121" t="s">
        <v>1119</v>
      </c>
      <c r="H316" s="121">
        <v>0.19620000000000001</v>
      </c>
      <c r="I316" s="121" t="s">
        <v>1120</v>
      </c>
      <c r="J316" s="121" t="s">
        <v>96</v>
      </c>
      <c r="K316" s="121">
        <v>16524</v>
      </c>
      <c r="L316" s="122">
        <v>41</v>
      </c>
      <c r="M316" s="126">
        <v>0.19620000000000001</v>
      </c>
      <c r="N316" s="127">
        <f t="shared" si="4"/>
        <v>8.0442</v>
      </c>
    </row>
    <row r="317" spans="1:14">
      <c r="A317" s="121" t="s">
        <v>1791</v>
      </c>
      <c r="B317" s="121" t="s">
        <v>1792</v>
      </c>
      <c r="C317" s="121">
        <v>1</v>
      </c>
      <c r="D317" s="121" t="s">
        <v>1123</v>
      </c>
      <c r="E317" s="125">
        <v>16574</v>
      </c>
      <c r="F317" s="121" t="s">
        <v>1118</v>
      </c>
      <c r="G317" s="121" t="s">
        <v>1143</v>
      </c>
      <c r="H317" s="121">
        <v>0.4138</v>
      </c>
      <c r="I317" s="121" t="s">
        <v>1120</v>
      </c>
      <c r="J317" s="121" t="s">
        <v>96</v>
      </c>
      <c r="K317" s="121">
        <v>14487</v>
      </c>
      <c r="L317" s="122">
        <v>36</v>
      </c>
      <c r="M317" s="126">
        <v>0.41399999999999998</v>
      </c>
      <c r="N317" s="127">
        <f t="shared" si="4"/>
        <v>14.904</v>
      </c>
    </row>
    <row r="318" spans="1:14">
      <c r="A318" s="121" t="s">
        <v>1793</v>
      </c>
      <c r="B318" s="121" t="s">
        <v>1794</v>
      </c>
      <c r="C318" s="121">
        <v>1</v>
      </c>
      <c r="D318" s="121" t="s">
        <v>1637</v>
      </c>
      <c r="E318" s="125">
        <v>44706</v>
      </c>
      <c r="F318" s="121" t="s">
        <v>1118</v>
      </c>
      <c r="G318" s="121" t="s">
        <v>1265</v>
      </c>
      <c r="H318" s="121">
        <v>0.3962</v>
      </c>
      <c r="I318" s="121" t="s">
        <v>1120</v>
      </c>
      <c r="J318" s="121" t="s">
        <v>96</v>
      </c>
      <c r="K318" s="121">
        <v>18809</v>
      </c>
      <c r="L318" s="122">
        <v>49</v>
      </c>
      <c r="M318" s="126">
        <v>0.3962</v>
      </c>
      <c r="N318" s="127">
        <f t="shared" si="4"/>
        <v>19.413799999999998</v>
      </c>
    </row>
    <row r="319" spans="1:14">
      <c r="A319" s="121" t="s">
        <v>1795</v>
      </c>
      <c r="B319" s="121" t="s">
        <v>1796</v>
      </c>
      <c r="C319" s="121">
        <v>1</v>
      </c>
      <c r="D319" s="121" t="s">
        <v>1493</v>
      </c>
      <c r="E319" s="125">
        <v>44795</v>
      </c>
      <c r="F319" s="121" t="s">
        <v>1118</v>
      </c>
      <c r="G319" s="121" t="s">
        <v>1177</v>
      </c>
      <c r="H319" s="121">
        <v>0.37140000000000001</v>
      </c>
      <c r="I319" s="121" t="s">
        <v>1120</v>
      </c>
      <c r="J319" s="121" t="s">
        <v>96</v>
      </c>
      <c r="K319" s="121">
        <v>20392</v>
      </c>
      <c r="L319" s="122">
        <v>40</v>
      </c>
      <c r="M319" s="126">
        <v>0.37140000000000001</v>
      </c>
      <c r="N319" s="127">
        <f t="shared" si="4"/>
        <v>14.856</v>
      </c>
    </row>
    <row r="320" spans="1:14">
      <c r="A320" s="121" t="s">
        <v>1797</v>
      </c>
      <c r="B320" s="121" t="s">
        <v>1798</v>
      </c>
      <c r="C320" s="121">
        <v>1</v>
      </c>
      <c r="D320" s="121" t="s">
        <v>1123</v>
      </c>
      <c r="E320" s="125">
        <v>44796</v>
      </c>
      <c r="F320" s="121" t="s">
        <v>1118</v>
      </c>
      <c r="G320" s="121" t="s">
        <v>1131</v>
      </c>
      <c r="H320" s="121">
        <v>0.13159999999999999</v>
      </c>
      <c r="I320" s="121" t="s">
        <v>1120</v>
      </c>
      <c r="J320" s="121" t="s">
        <v>96</v>
      </c>
      <c r="K320" s="121">
        <v>21990</v>
      </c>
      <c r="L320" s="122">
        <v>41</v>
      </c>
      <c r="M320" s="126">
        <v>0.13070000000000001</v>
      </c>
      <c r="N320" s="127">
        <f t="shared" si="4"/>
        <v>5.3587000000000007</v>
      </c>
    </row>
    <row r="321" spans="1:14">
      <c r="A321" s="121" t="s">
        <v>1797</v>
      </c>
      <c r="B321" s="121" t="s">
        <v>1798</v>
      </c>
      <c r="C321" s="121">
        <v>1</v>
      </c>
      <c r="D321" s="121" t="s">
        <v>1123</v>
      </c>
      <c r="E321" s="125">
        <v>44796</v>
      </c>
      <c r="F321" s="121" t="s">
        <v>1118</v>
      </c>
      <c r="G321" s="121" t="s">
        <v>1131</v>
      </c>
      <c r="H321" s="121">
        <v>0.13159999999999999</v>
      </c>
      <c r="I321" s="121" t="s">
        <v>1120</v>
      </c>
      <c r="J321" s="121" t="s">
        <v>96</v>
      </c>
      <c r="K321" s="121">
        <v>22063</v>
      </c>
      <c r="L321" s="122">
        <v>45</v>
      </c>
      <c r="M321" s="126">
        <v>1E-3</v>
      </c>
      <c r="N321" s="127">
        <f t="shared" si="4"/>
        <v>4.4999999999999998E-2</v>
      </c>
    </row>
    <row r="322" spans="1:14">
      <c r="A322" s="121" t="s">
        <v>1799</v>
      </c>
      <c r="B322" s="121" t="s">
        <v>1800</v>
      </c>
      <c r="C322" s="121">
        <v>1</v>
      </c>
      <c r="D322" s="121" t="s">
        <v>1160</v>
      </c>
      <c r="E322" s="125">
        <v>44791</v>
      </c>
      <c r="F322" s="121" t="s">
        <v>1149</v>
      </c>
      <c r="G322" s="121" t="s">
        <v>1150</v>
      </c>
      <c r="H322" s="121">
        <v>2.01E-2</v>
      </c>
      <c r="I322" s="121" t="s">
        <v>1120</v>
      </c>
      <c r="J322" s="121" t="s">
        <v>96</v>
      </c>
      <c r="K322" s="121">
        <v>24252</v>
      </c>
      <c r="L322" s="122">
        <v>45</v>
      </c>
      <c r="M322" s="126">
        <v>2.01E-2</v>
      </c>
      <c r="N322" s="127">
        <f t="shared" ref="N322:N385" si="5">+M322*L322</f>
        <v>0.90449999999999997</v>
      </c>
    </row>
    <row r="323" spans="1:14">
      <c r="A323" s="121" t="s">
        <v>1801</v>
      </c>
      <c r="B323" s="121" t="s">
        <v>1802</v>
      </c>
      <c r="C323" s="121">
        <v>1</v>
      </c>
      <c r="D323" s="121" t="s">
        <v>1203</v>
      </c>
      <c r="E323" s="125">
        <v>44692</v>
      </c>
      <c r="F323" s="121" t="s">
        <v>1118</v>
      </c>
      <c r="G323" s="121" t="s">
        <v>1325</v>
      </c>
      <c r="H323" s="121">
        <v>0.1618</v>
      </c>
      <c r="I323" s="121" t="s">
        <v>1120</v>
      </c>
      <c r="J323" s="121" t="s">
        <v>96</v>
      </c>
      <c r="K323" s="121">
        <v>22554</v>
      </c>
      <c r="L323" s="122">
        <v>43</v>
      </c>
      <c r="M323" s="126">
        <v>0.1618</v>
      </c>
      <c r="N323" s="127">
        <f t="shared" si="5"/>
        <v>6.9573999999999998</v>
      </c>
    </row>
    <row r="324" spans="1:14">
      <c r="A324" s="121" t="s">
        <v>1803</v>
      </c>
      <c r="B324" s="121" t="s">
        <v>1804</v>
      </c>
      <c r="C324" s="121">
        <v>1</v>
      </c>
      <c r="D324" s="121" t="s">
        <v>1749</v>
      </c>
      <c r="E324" s="125">
        <v>44795</v>
      </c>
      <c r="F324" s="121" t="s">
        <v>1118</v>
      </c>
      <c r="G324" s="121" t="s">
        <v>1177</v>
      </c>
      <c r="H324" s="121">
        <v>7.9299999999999995E-2</v>
      </c>
      <c r="I324" s="121" t="s">
        <v>1120</v>
      </c>
      <c r="J324" s="121" t="s">
        <v>96</v>
      </c>
      <c r="K324" s="121">
        <v>20392</v>
      </c>
      <c r="L324" s="122">
        <v>40</v>
      </c>
      <c r="M324" s="126">
        <v>7.9299999999999995E-2</v>
      </c>
      <c r="N324" s="127">
        <f t="shared" si="5"/>
        <v>3.1719999999999997</v>
      </c>
    </row>
    <row r="325" spans="1:14">
      <c r="A325" s="121" t="s">
        <v>1805</v>
      </c>
      <c r="B325" s="121" t="s">
        <v>1806</v>
      </c>
      <c r="C325" s="121">
        <v>1</v>
      </c>
      <c r="D325" s="121" t="s">
        <v>1123</v>
      </c>
      <c r="E325" s="125">
        <v>44810</v>
      </c>
      <c r="F325" s="121" t="s">
        <v>1149</v>
      </c>
      <c r="G325" s="121" t="s">
        <v>1150</v>
      </c>
      <c r="H325" s="121">
        <v>0.1913</v>
      </c>
      <c r="I325" s="121" t="s">
        <v>1120</v>
      </c>
      <c r="J325" s="121" t="s">
        <v>96</v>
      </c>
      <c r="K325" s="121">
        <v>24254</v>
      </c>
      <c r="L325" s="122">
        <v>50</v>
      </c>
      <c r="M325" s="126">
        <v>0.1913</v>
      </c>
      <c r="N325" s="127">
        <f t="shared" si="5"/>
        <v>9.5649999999999995</v>
      </c>
    </row>
    <row r="326" spans="1:14">
      <c r="A326" s="121" t="s">
        <v>1807</v>
      </c>
      <c r="B326" s="121" t="s">
        <v>1808</v>
      </c>
      <c r="C326" s="121">
        <v>1</v>
      </c>
      <c r="D326" s="121" t="s">
        <v>1123</v>
      </c>
      <c r="E326" s="125">
        <v>44728</v>
      </c>
      <c r="F326" s="121" t="s">
        <v>1149</v>
      </c>
      <c r="G326" s="121" t="s">
        <v>1150</v>
      </c>
      <c r="H326" s="121">
        <v>0.31209999999999999</v>
      </c>
      <c r="I326" s="121" t="s">
        <v>1120</v>
      </c>
      <c r="J326" s="121" t="s">
        <v>96</v>
      </c>
      <c r="K326" s="121">
        <v>21682</v>
      </c>
      <c r="L326" s="122">
        <v>41</v>
      </c>
      <c r="M326" s="126">
        <v>0.31209999999999999</v>
      </c>
      <c r="N326" s="127">
        <f t="shared" si="5"/>
        <v>12.796099999999999</v>
      </c>
    </row>
    <row r="327" spans="1:14">
      <c r="A327" s="121" t="s">
        <v>1809</v>
      </c>
      <c r="B327" s="121" t="s">
        <v>1810</v>
      </c>
      <c r="C327" s="121">
        <v>1</v>
      </c>
      <c r="D327" s="121" t="s">
        <v>1166</v>
      </c>
      <c r="E327" s="125">
        <v>44679</v>
      </c>
      <c r="F327" s="121" t="s">
        <v>1167</v>
      </c>
      <c r="G327" s="121" t="s">
        <v>1168</v>
      </c>
      <c r="H327" s="121">
        <v>0.2792</v>
      </c>
      <c r="I327" s="121" t="s">
        <v>1120</v>
      </c>
      <c r="J327" s="121" t="s">
        <v>96</v>
      </c>
      <c r="K327" s="121">
        <v>16821</v>
      </c>
      <c r="L327" s="122">
        <v>46</v>
      </c>
      <c r="M327" s="126">
        <v>0.2792</v>
      </c>
      <c r="N327" s="127">
        <f t="shared" si="5"/>
        <v>12.8432</v>
      </c>
    </row>
    <row r="328" spans="1:14">
      <c r="A328" s="121" t="s">
        <v>1811</v>
      </c>
      <c r="B328" s="121" t="s">
        <v>1812</v>
      </c>
      <c r="C328" s="121">
        <v>1</v>
      </c>
      <c r="D328" s="121" t="s">
        <v>1123</v>
      </c>
      <c r="E328" s="125">
        <v>44810</v>
      </c>
      <c r="F328" s="121" t="s">
        <v>1149</v>
      </c>
      <c r="G328" s="121" t="s">
        <v>1150</v>
      </c>
      <c r="H328" s="121">
        <v>7.8E-2</v>
      </c>
      <c r="I328" s="121" t="s">
        <v>1120</v>
      </c>
      <c r="J328" s="121" t="s">
        <v>96</v>
      </c>
      <c r="K328" s="121">
        <v>24621</v>
      </c>
      <c r="L328" s="122">
        <v>43</v>
      </c>
      <c r="M328" s="126">
        <v>7.8E-2</v>
      </c>
      <c r="N328" s="127">
        <f t="shared" si="5"/>
        <v>3.3540000000000001</v>
      </c>
    </row>
    <row r="329" spans="1:14">
      <c r="A329" s="121" t="s">
        <v>1813</v>
      </c>
      <c r="B329" s="121" t="s">
        <v>1814</v>
      </c>
      <c r="C329" s="121">
        <v>1</v>
      </c>
      <c r="D329" s="121" t="s">
        <v>1160</v>
      </c>
      <c r="E329" s="125">
        <v>44826</v>
      </c>
      <c r="F329" s="121" t="s">
        <v>1149</v>
      </c>
      <c r="G329" s="121" t="s">
        <v>1150</v>
      </c>
      <c r="H329" s="121">
        <v>3.2599999999999997E-2</v>
      </c>
      <c r="I329" s="121" t="s">
        <v>1120</v>
      </c>
      <c r="J329" s="121" t="s">
        <v>96</v>
      </c>
      <c r="K329" s="121">
        <v>24622</v>
      </c>
      <c r="L329" s="122">
        <v>42</v>
      </c>
      <c r="M329" s="126">
        <v>3.2599999999999997E-2</v>
      </c>
      <c r="N329" s="127">
        <f t="shared" si="5"/>
        <v>1.3692</v>
      </c>
    </row>
    <row r="330" spans="1:14">
      <c r="A330" s="121" t="s">
        <v>1815</v>
      </c>
      <c r="B330" s="121" t="s">
        <v>1816</v>
      </c>
      <c r="C330" s="121">
        <v>1</v>
      </c>
      <c r="D330" s="121" t="s">
        <v>1117</v>
      </c>
      <c r="E330" s="125">
        <v>44795</v>
      </c>
      <c r="F330" s="121" t="s">
        <v>1118</v>
      </c>
      <c r="G330" s="121" t="s">
        <v>1177</v>
      </c>
      <c r="H330" s="121">
        <v>7.0400000000000004E-2</v>
      </c>
      <c r="I330" s="121" t="s">
        <v>1120</v>
      </c>
      <c r="J330" s="121" t="s">
        <v>96</v>
      </c>
      <c r="K330" s="121">
        <v>21547</v>
      </c>
      <c r="L330" s="122">
        <v>40</v>
      </c>
      <c r="M330" s="126">
        <v>7.0400000000000004E-2</v>
      </c>
      <c r="N330" s="127">
        <f t="shared" si="5"/>
        <v>2.8160000000000003</v>
      </c>
    </row>
    <row r="331" spans="1:14">
      <c r="A331" s="121" t="s">
        <v>1817</v>
      </c>
      <c r="B331" s="121" t="s">
        <v>1818</v>
      </c>
      <c r="C331" s="121">
        <v>1</v>
      </c>
      <c r="D331" s="121" t="s">
        <v>1160</v>
      </c>
      <c r="E331" s="125">
        <v>44692</v>
      </c>
      <c r="F331" s="121" t="s">
        <v>1118</v>
      </c>
      <c r="G331" s="121" t="s">
        <v>1325</v>
      </c>
      <c r="H331" s="121">
        <v>0.53400000000000003</v>
      </c>
      <c r="I331" s="121" t="s">
        <v>1120</v>
      </c>
      <c r="J331" s="121" t="s">
        <v>96</v>
      </c>
      <c r="K331" s="121">
        <v>24325</v>
      </c>
      <c r="L331" s="122">
        <v>42</v>
      </c>
      <c r="M331" s="126">
        <v>0.53400000000000003</v>
      </c>
      <c r="N331" s="127">
        <f t="shared" si="5"/>
        <v>22.428000000000001</v>
      </c>
    </row>
    <row r="332" spans="1:14">
      <c r="A332" s="121" t="s">
        <v>1819</v>
      </c>
      <c r="B332" s="121" t="s">
        <v>1820</v>
      </c>
      <c r="C332" s="121">
        <v>1</v>
      </c>
      <c r="D332" s="121" t="s">
        <v>1130</v>
      </c>
      <c r="E332" s="125">
        <v>16651</v>
      </c>
      <c r="F332" s="121" t="s">
        <v>1118</v>
      </c>
      <c r="G332" s="121" t="s">
        <v>1124</v>
      </c>
      <c r="H332" s="121">
        <v>0.18140000000000001</v>
      </c>
      <c r="I332" s="121" t="s">
        <v>1120</v>
      </c>
      <c r="J332" s="121" t="s">
        <v>96</v>
      </c>
      <c r="K332" s="121">
        <v>19144</v>
      </c>
      <c r="L332" s="122">
        <v>43</v>
      </c>
      <c r="M332" s="126">
        <v>0.18140000000000001</v>
      </c>
      <c r="N332" s="127">
        <f t="shared" si="5"/>
        <v>7.8002000000000002</v>
      </c>
    </row>
    <row r="333" spans="1:14">
      <c r="A333" s="121" t="s">
        <v>1821</v>
      </c>
      <c r="B333" s="121" t="s">
        <v>1822</v>
      </c>
      <c r="C333" s="121">
        <v>1</v>
      </c>
      <c r="D333" s="121" t="s">
        <v>1220</v>
      </c>
      <c r="E333" s="125">
        <v>44795</v>
      </c>
      <c r="F333" s="121" t="s">
        <v>1124</v>
      </c>
      <c r="G333" s="121" t="s">
        <v>1124</v>
      </c>
      <c r="H333" s="121">
        <v>0.69730000000000003</v>
      </c>
      <c r="I333" s="121" t="s">
        <v>1120</v>
      </c>
      <c r="J333" s="121" t="s">
        <v>96</v>
      </c>
      <c r="K333" s="121">
        <v>6233</v>
      </c>
      <c r="L333" s="122">
        <v>43</v>
      </c>
      <c r="M333" s="126">
        <v>0.69730000000000003</v>
      </c>
      <c r="N333" s="127">
        <f t="shared" si="5"/>
        <v>29.983900000000002</v>
      </c>
    </row>
    <row r="334" spans="1:14">
      <c r="A334" s="121" t="s">
        <v>1823</v>
      </c>
      <c r="B334" s="121" t="s">
        <v>1824</v>
      </c>
      <c r="C334" s="121">
        <v>1</v>
      </c>
      <c r="D334" s="121" t="s">
        <v>1261</v>
      </c>
      <c r="E334" s="125">
        <v>44795</v>
      </c>
      <c r="F334" s="121" t="s">
        <v>1118</v>
      </c>
      <c r="G334" s="121" t="s">
        <v>1177</v>
      </c>
      <c r="H334" s="121">
        <v>0.23250000000000001</v>
      </c>
      <c r="I334" s="121" t="s">
        <v>1120</v>
      </c>
      <c r="J334" s="121" t="s">
        <v>96</v>
      </c>
      <c r="K334" s="121">
        <v>20392</v>
      </c>
      <c r="L334" s="122">
        <v>40</v>
      </c>
      <c r="M334" s="126">
        <v>0.23250000000000001</v>
      </c>
      <c r="N334" s="127">
        <f t="shared" si="5"/>
        <v>9.3000000000000007</v>
      </c>
    </row>
    <row r="335" spans="1:14">
      <c r="A335" s="121" t="s">
        <v>1825</v>
      </c>
      <c r="B335" s="121" t="s">
        <v>1826</v>
      </c>
      <c r="C335" s="121">
        <v>1</v>
      </c>
      <c r="D335" s="121" t="s">
        <v>1163</v>
      </c>
      <c r="E335" s="125">
        <v>44854</v>
      </c>
      <c r="F335" s="121" t="s">
        <v>1118</v>
      </c>
      <c r="G335" s="121" t="s">
        <v>1131</v>
      </c>
      <c r="H335" s="121">
        <v>2.3900000000000001E-2</v>
      </c>
      <c r="I335" s="121" t="s">
        <v>1120</v>
      </c>
      <c r="J335" s="121" t="s">
        <v>96</v>
      </c>
      <c r="K335" s="121">
        <v>25236</v>
      </c>
      <c r="L335" s="122">
        <v>24</v>
      </c>
      <c r="M335" s="126">
        <v>2.3900000000000001E-2</v>
      </c>
      <c r="N335" s="127">
        <f t="shared" si="5"/>
        <v>0.5736</v>
      </c>
    </row>
    <row r="336" spans="1:14">
      <c r="A336" s="121" t="s">
        <v>1827</v>
      </c>
      <c r="B336" s="121" t="s">
        <v>1828</v>
      </c>
      <c r="C336" s="121">
        <v>1</v>
      </c>
      <c r="D336" s="121" t="s">
        <v>1397</v>
      </c>
      <c r="E336" s="125">
        <v>44795</v>
      </c>
      <c r="F336" s="121" t="s">
        <v>1118</v>
      </c>
      <c r="G336" s="121" t="s">
        <v>1325</v>
      </c>
      <c r="H336" s="121">
        <v>6.7100000000000007E-2</v>
      </c>
      <c r="I336" s="121" t="s">
        <v>1120</v>
      </c>
      <c r="J336" s="121" t="s">
        <v>96</v>
      </c>
      <c r="K336" s="121">
        <v>23717</v>
      </c>
      <c r="L336" s="122">
        <v>45</v>
      </c>
      <c r="M336" s="126">
        <v>6.7100000000000007E-2</v>
      </c>
      <c r="N336" s="127">
        <f t="shared" si="5"/>
        <v>3.0195000000000003</v>
      </c>
    </row>
    <row r="337" spans="1:14">
      <c r="A337" s="121" t="s">
        <v>1829</v>
      </c>
      <c r="B337" s="121" t="s">
        <v>1830</v>
      </c>
      <c r="C337" s="121">
        <v>1</v>
      </c>
      <c r="D337" s="121" t="s">
        <v>1123</v>
      </c>
      <c r="E337" s="125">
        <v>44795</v>
      </c>
      <c r="F337" s="121" t="s">
        <v>1118</v>
      </c>
      <c r="G337" s="121" t="s">
        <v>1143</v>
      </c>
      <c r="H337" s="121">
        <v>2.58E-2</v>
      </c>
      <c r="I337" s="121" t="s">
        <v>1120</v>
      </c>
      <c r="J337" s="121" t="s">
        <v>96</v>
      </c>
      <c r="K337" s="121">
        <v>14491</v>
      </c>
      <c r="L337" s="122">
        <v>41</v>
      </c>
      <c r="M337" s="126">
        <v>2.58E-2</v>
      </c>
      <c r="N337" s="127">
        <f t="shared" si="5"/>
        <v>1.0578000000000001</v>
      </c>
    </row>
    <row r="338" spans="1:14">
      <c r="A338" s="121" t="s">
        <v>1831</v>
      </c>
      <c r="B338" s="121" t="s">
        <v>1832</v>
      </c>
      <c r="C338" s="121">
        <v>1</v>
      </c>
      <c r="D338" s="121" t="s">
        <v>1490</v>
      </c>
      <c r="E338" s="125">
        <v>44763</v>
      </c>
      <c r="F338" s="121" t="s">
        <v>1118</v>
      </c>
      <c r="G338" s="121" t="s">
        <v>1265</v>
      </c>
      <c r="H338" s="121">
        <v>0.4481</v>
      </c>
      <c r="I338" s="121" t="s">
        <v>1120</v>
      </c>
      <c r="J338" s="121" t="s">
        <v>96</v>
      </c>
      <c r="K338" s="121">
        <v>20033</v>
      </c>
      <c r="L338" s="122">
        <v>37</v>
      </c>
      <c r="M338" s="126">
        <v>0.4481</v>
      </c>
      <c r="N338" s="127">
        <f t="shared" si="5"/>
        <v>16.579699999999999</v>
      </c>
    </row>
    <row r="339" spans="1:14">
      <c r="A339" s="121" t="s">
        <v>1833</v>
      </c>
      <c r="B339" s="121" t="s">
        <v>1834</v>
      </c>
      <c r="C339" s="121">
        <v>1</v>
      </c>
      <c r="D339" s="121" t="s">
        <v>1184</v>
      </c>
      <c r="E339" s="125">
        <v>44822</v>
      </c>
      <c r="F339" s="121" t="s">
        <v>1118</v>
      </c>
      <c r="G339" s="121" t="s">
        <v>1265</v>
      </c>
      <c r="H339" s="121">
        <v>1.4878</v>
      </c>
      <c r="I339" s="121" t="s">
        <v>1120</v>
      </c>
      <c r="J339" s="121" t="s">
        <v>96</v>
      </c>
      <c r="K339" s="121">
        <v>20033</v>
      </c>
      <c r="L339" s="122">
        <v>37</v>
      </c>
      <c r="M339" s="126">
        <v>1.4878</v>
      </c>
      <c r="N339" s="127">
        <f t="shared" si="5"/>
        <v>55.0486</v>
      </c>
    </row>
    <row r="340" spans="1:14">
      <c r="A340" s="121" t="s">
        <v>1835</v>
      </c>
      <c r="B340" s="121" t="s">
        <v>1836</v>
      </c>
      <c r="C340" s="121">
        <v>1</v>
      </c>
      <c r="D340" s="121" t="s">
        <v>1264</v>
      </c>
      <c r="E340" s="125">
        <v>44795</v>
      </c>
      <c r="F340" s="121" t="s">
        <v>1149</v>
      </c>
      <c r="G340" s="121" t="s">
        <v>1150</v>
      </c>
      <c r="H340" s="121">
        <v>0.24859999999999999</v>
      </c>
      <c r="I340" s="121" t="s">
        <v>1120</v>
      </c>
      <c r="J340" s="121" t="s">
        <v>96</v>
      </c>
      <c r="K340" s="121">
        <v>24254</v>
      </c>
      <c r="L340" s="122">
        <v>50</v>
      </c>
      <c r="M340" s="126">
        <v>0.24859999999999999</v>
      </c>
      <c r="N340" s="127">
        <f t="shared" si="5"/>
        <v>12.43</v>
      </c>
    </row>
    <row r="341" spans="1:14">
      <c r="A341" s="121" t="s">
        <v>1837</v>
      </c>
      <c r="B341" s="121" t="s">
        <v>1838</v>
      </c>
      <c r="C341" s="121">
        <v>1</v>
      </c>
      <c r="D341" s="121" t="s">
        <v>1220</v>
      </c>
      <c r="E341" s="125">
        <v>44795</v>
      </c>
      <c r="F341" s="121" t="s">
        <v>1118</v>
      </c>
      <c r="G341" s="121" t="s">
        <v>1265</v>
      </c>
      <c r="H341" s="121">
        <v>0.34839999999999999</v>
      </c>
      <c r="I341" s="121" t="s">
        <v>1120</v>
      </c>
      <c r="J341" s="121" t="s">
        <v>96</v>
      </c>
      <c r="K341" s="121">
        <v>19235</v>
      </c>
      <c r="L341" s="122">
        <v>45</v>
      </c>
      <c r="M341" s="126">
        <v>0.34839999999999999</v>
      </c>
      <c r="N341" s="127">
        <f t="shared" si="5"/>
        <v>15.677999999999999</v>
      </c>
    </row>
    <row r="342" spans="1:14">
      <c r="A342" s="121" t="s">
        <v>1839</v>
      </c>
      <c r="B342" s="121" t="s">
        <v>1840</v>
      </c>
      <c r="C342" s="121">
        <v>1</v>
      </c>
      <c r="D342" s="121" t="s">
        <v>1587</v>
      </c>
      <c r="E342" s="125">
        <v>44744</v>
      </c>
      <c r="F342" s="121" t="s">
        <v>1118</v>
      </c>
      <c r="G342" s="121" t="s">
        <v>1177</v>
      </c>
      <c r="H342" s="121">
        <v>0.12089999999999999</v>
      </c>
      <c r="I342" s="121" t="s">
        <v>1120</v>
      </c>
      <c r="J342" s="121" t="s">
        <v>96</v>
      </c>
      <c r="K342" s="121">
        <v>20392</v>
      </c>
      <c r="L342" s="122">
        <v>40</v>
      </c>
      <c r="M342" s="126">
        <v>0.12089999999999999</v>
      </c>
      <c r="N342" s="127">
        <f t="shared" si="5"/>
        <v>4.8359999999999994</v>
      </c>
    </row>
    <row r="343" spans="1:14">
      <c r="A343" s="121" t="s">
        <v>1841</v>
      </c>
      <c r="B343" s="121" t="s">
        <v>1842</v>
      </c>
      <c r="C343" s="121">
        <v>1</v>
      </c>
      <c r="D343" s="121" t="s">
        <v>1587</v>
      </c>
      <c r="E343" s="125">
        <v>44810</v>
      </c>
      <c r="F343" s="121" t="s">
        <v>1149</v>
      </c>
      <c r="G343" s="121" t="s">
        <v>1150</v>
      </c>
      <c r="H343" s="121">
        <v>0.24229999999999999</v>
      </c>
      <c r="I343" s="121" t="s">
        <v>1120</v>
      </c>
      <c r="J343" s="121" t="s">
        <v>96</v>
      </c>
      <c r="K343" s="121">
        <v>23426</v>
      </c>
      <c r="L343" s="122">
        <v>51</v>
      </c>
      <c r="M343" s="126">
        <v>0.24229999999999999</v>
      </c>
      <c r="N343" s="127">
        <f t="shared" si="5"/>
        <v>12.357299999999999</v>
      </c>
    </row>
    <row r="344" spans="1:14">
      <c r="A344" s="121" t="s">
        <v>1843</v>
      </c>
      <c r="B344" s="121" t="s">
        <v>1844</v>
      </c>
      <c r="C344" s="121">
        <v>1</v>
      </c>
      <c r="D344" s="121" t="s">
        <v>1203</v>
      </c>
      <c r="E344" s="125">
        <v>16479</v>
      </c>
      <c r="F344" s="121" t="s">
        <v>1118</v>
      </c>
      <c r="G344" s="121" t="s">
        <v>1143</v>
      </c>
      <c r="H344" s="121">
        <v>0.33589999999999998</v>
      </c>
      <c r="I344" s="121" t="s">
        <v>1120</v>
      </c>
      <c r="J344" s="121" t="s">
        <v>96</v>
      </c>
      <c r="K344" s="121">
        <v>14841</v>
      </c>
      <c r="L344" s="122">
        <v>42</v>
      </c>
      <c r="M344" s="126">
        <v>5.8799999999999998E-2</v>
      </c>
      <c r="N344" s="127">
        <f t="shared" si="5"/>
        <v>2.4695999999999998</v>
      </c>
    </row>
    <row r="345" spans="1:14">
      <c r="A345" s="121" t="s">
        <v>1843</v>
      </c>
      <c r="B345" s="121" t="s">
        <v>1844</v>
      </c>
      <c r="C345" s="121">
        <v>1</v>
      </c>
      <c r="D345" s="121" t="s">
        <v>1203</v>
      </c>
      <c r="E345" s="125">
        <v>16479</v>
      </c>
      <c r="F345" s="121" t="s">
        <v>1118</v>
      </c>
      <c r="G345" s="121" t="s">
        <v>1143</v>
      </c>
      <c r="H345" s="121">
        <v>0.33589999999999998</v>
      </c>
      <c r="I345" s="121" t="s">
        <v>1120</v>
      </c>
      <c r="J345" s="121" t="s">
        <v>96</v>
      </c>
      <c r="K345" s="121">
        <v>14842</v>
      </c>
      <c r="L345" s="122">
        <v>35</v>
      </c>
      <c r="M345" s="126">
        <v>0.27700000000000002</v>
      </c>
      <c r="N345" s="127">
        <f t="shared" si="5"/>
        <v>9.6950000000000003</v>
      </c>
    </row>
    <row r="346" spans="1:14">
      <c r="A346" s="121" t="s">
        <v>1845</v>
      </c>
      <c r="B346" s="121" t="s">
        <v>1846</v>
      </c>
      <c r="C346" s="121">
        <v>1</v>
      </c>
      <c r="D346" s="121" t="s">
        <v>1123</v>
      </c>
      <c r="E346" s="125">
        <v>44734</v>
      </c>
      <c r="F346" s="121" t="s">
        <v>1149</v>
      </c>
      <c r="G346" s="121" t="s">
        <v>1150</v>
      </c>
      <c r="H346" s="121">
        <v>0.39229999999999998</v>
      </c>
      <c r="I346" s="121" t="s">
        <v>1120</v>
      </c>
      <c r="J346" s="121" t="s">
        <v>96</v>
      </c>
      <c r="K346" s="121">
        <v>24621</v>
      </c>
      <c r="L346" s="122">
        <v>43</v>
      </c>
      <c r="M346" s="126">
        <v>0.39229999999999998</v>
      </c>
      <c r="N346" s="127">
        <f t="shared" si="5"/>
        <v>16.8689</v>
      </c>
    </row>
    <row r="347" spans="1:14">
      <c r="A347" s="121" t="s">
        <v>1847</v>
      </c>
      <c r="B347" s="121" t="s">
        <v>1848</v>
      </c>
      <c r="C347" s="121">
        <v>1</v>
      </c>
      <c r="D347" s="121" t="s">
        <v>1153</v>
      </c>
      <c r="E347" s="125">
        <v>44800</v>
      </c>
      <c r="F347" s="121" t="s">
        <v>1154</v>
      </c>
      <c r="G347" s="121" t="s">
        <v>1155</v>
      </c>
      <c r="H347" s="121">
        <v>0.10150000000000001</v>
      </c>
      <c r="I347" s="121" t="s">
        <v>1120</v>
      </c>
      <c r="J347" s="121" t="s">
        <v>96</v>
      </c>
      <c r="K347" s="121">
        <v>5843</v>
      </c>
      <c r="L347" s="122">
        <v>44</v>
      </c>
      <c r="M347" s="126">
        <v>0.10150000000000001</v>
      </c>
      <c r="N347" s="127">
        <f t="shared" si="5"/>
        <v>4.4660000000000002</v>
      </c>
    </row>
    <row r="348" spans="1:14">
      <c r="A348" s="121" t="s">
        <v>1849</v>
      </c>
      <c r="B348" s="121" t="s">
        <v>1850</v>
      </c>
      <c r="C348" s="121">
        <v>1</v>
      </c>
      <c r="D348" s="121" t="s">
        <v>1123</v>
      </c>
      <c r="E348" s="125">
        <v>44784</v>
      </c>
      <c r="F348" s="121" t="s">
        <v>1118</v>
      </c>
      <c r="G348" s="121" t="s">
        <v>1143</v>
      </c>
      <c r="H348" s="121">
        <v>8.4400000000000003E-2</v>
      </c>
      <c r="I348" s="121" t="s">
        <v>1120</v>
      </c>
      <c r="J348" s="121" t="s">
        <v>96</v>
      </c>
      <c r="K348" s="121">
        <v>11104</v>
      </c>
      <c r="L348" s="122">
        <v>42</v>
      </c>
      <c r="M348" s="126">
        <v>8.4400000000000003E-2</v>
      </c>
      <c r="N348" s="127">
        <f t="shared" si="5"/>
        <v>3.5448</v>
      </c>
    </row>
    <row r="349" spans="1:14">
      <c r="A349" s="121" t="s">
        <v>1851</v>
      </c>
      <c r="B349" s="121" t="s">
        <v>1852</v>
      </c>
      <c r="C349" s="121">
        <v>1</v>
      </c>
      <c r="D349" s="121" t="s">
        <v>1123</v>
      </c>
      <c r="E349" s="125">
        <v>44847</v>
      </c>
      <c r="F349" s="121" t="s">
        <v>1118</v>
      </c>
      <c r="G349" s="121" t="s">
        <v>1124</v>
      </c>
      <c r="H349" s="121">
        <v>1.54E-2</v>
      </c>
      <c r="I349" s="121" t="s">
        <v>1120</v>
      </c>
      <c r="J349" s="121" t="s">
        <v>96</v>
      </c>
      <c r="K349" s="121">
        <v>20784</v>
      </c>
      <c r="L349" s="122">
        <v>40</v>
      </c>
      <c r="M349" s="126">
        <v>1.54E-2</v>
      </c>
      <c r="N349" s="127">
        <f t="shared" si="5"/>
        <v>0.61599999999999999</v>
      </c>
    </row>
    <row r="350" spans="1:14">
      <c r="A350" s="121" t="s">
        <v>1853</v>
      </c>
      <c r="B350" s="121" t="s">
        <v>1854</v>
      </c>
      <c r="C350" s="121">
        <v>1</v>
      </c>
      <c r="D350" s="121" t="s">
        <v>1123</v>
      </c>
      <c r="E350" s="125">
        <v>44726</v>
      </c>
      <c r="F350" s="121" t="s">
        <v>1149</v>
      </c>
      <c r="G350" s="121" t="s">
        <v>1150</v>
      </c>
      <c r="H350" s="121">
        <v>5.8900000000000001E-2</v>
      </c>
      <c r="I350" s="121" t="s">
        <v>1120</v>
      </c>
      <c r="J350" s="121" t="s">
        <v>96</v>
      </c>
      <c r="K350" s="121">
        <v>24621</v>
      </c>
      <c r="L350" s="122">
        <v>43</v>
      </c>
      <c r="M350" s="126">
        <v>5.8500000000000003E-2</v>
      </c>
      <c r="N350" s="127">
        <f t="shared" si="5"/>
        <v>2.5155000000000003</v>
      </c>
    </row>
    <row r="351" spans="1:14">
      <c r="A351" s="121" t="s">
        <v>1855</v>
      </c>
      <c r="B351" s="121" t="s">
        <v>1856</v>
      </c>
      <c r="C351" s="121">
        <v>1</v>
      </c>
      <c r="D351" s="121" t="s">
        <v>1490</v>
      </c>
      <c r="E351" s="125">
        <v>16393</v>
      </c>
      <c r="F351" s="121" t="s">
        <v>1149</v>
      </c>
      <c r="G351" s="121" t="s">
        <v>1150</v>
      </c>
      <c r="H351" s="121">
        <v>9.4700000000000006E-2</v>
      </c>
      <c r="I351" s="121" t="s">
        <v>1120</v>
      </c>
      <c r="J351" s="121" t="s">
        <v>96</v>
      </c>
      <c r="K351" s="121">
        <v>24826</v>
      </c>
      <c r="L351" s="122">
        <v>40</v>
      </c>
      <c r="M351" s="126">
        <v>9.4700000000000006E-2</v>
      </c>
      <c r="N351" s="127">
        <f t="shared" si="5"/>
        <v>3.7880000000000003</v>
      </c>
    </row>
    <row r="352" spans="1:14">
      <c r="A352" s="121" t="s">
        <v>1857</v>
      </c>
      <c r="B352" s="121" t="s">
        <v>1858</v>
      </c>
      <c r="C352" s="121">
        <v>1</v>
      </c>
      <c r="D352" s="121" t="s">
        <v>1117</v>
      </c>
      <c r="E352" s="125">
        <v>44812</v>
      </c>
      <c r="F352" s="121" t="s">
        <v>1118</v>
      </c>
      <c r="G352" s="121" t="s">
        <v>1143</v>
      </c>
      <c r="H352" s="121">
        <v>0.25719999999999998</v>
      </c>
      <c r="I352" s="121" t="s">
        <v>1120</v>
      </c>
      <c r="J352" s="121" t="s">
        <v>96</v>
      </c>
      <c r="K352" s="121">
        <v>14659</v>
      </c>
      <c r="L352" s="122">
        <v>39</v>
      </c>
      <c r="M352" s="126">
        <v>0.25740000000000002</v>
      </c>
      <c r="N352" s="127">
        <f t="shared" si="5"/>
        <v>10.038600000000001</v>
      </c>
    </row>
    <row r="353" spans="1:14">
      <c r="A353" s="121" t="s">
        <v>1859</v>
      </c>
      <c r="B353" s="121" t="s">
        <v>1860</v>
      </c>
      <c r="C353" s="121">
        <v>1</v>
      </c>
      <c r="D353" s="121" t="s">
        <v>1123</v>
      </c>
      <c r="E353" s="125">
        <v>44795</v>
      </c>
      <c r="F353" s="121" t="s">
        <v>1149</v>
      </c>
      <c r="G353" s="121" t="s">
        <v>1150</v>
      </c>
      <c r="H353" s="121">
        <v>0.34250000000000003</v>
      </c>
      <c r="I353" s="121" t="s">
        <v>1120</v>
      </c>
      <c r="J353" s="121" t="s">
        <v>96</v>
      </c>
      <c r="K353" s="121">
        <v>24255</v>
      </c>
      <c r="L353" s="122">
        <v>51</v>
      </c>
      <c r="M353" s="126">
        <v>0.34250000000000003</v>
      </c>
      <c r="N353" s="127">
        <f t="shared" si="5"/>
        <v>17.467500000000001</v>
      </c>
    </row>
    <row r="354" spans="1:14">
      <c r="A354" s="121" t="s">
        <v>1861</v>
      </c>
      <c r="B354" s="121" t="s">
        <v>1862</v>
      </c>
      <c r="C354" s="121">
        <v>1</v>
      </c>
      <c r="D354" s="121" t="s">
        <v>1863</v>
      </c>
      <c r="E354" s="125">
        <v>44779</v>
      </c>
      <c r="F354" s="121" t="s">
        <v>1149</v>
      </c>
      <c r="G354" s="121" t="s">
        <v>1150</v>
      </c>
      <c r="H354" s="121">
        <v>0.1983</v>
      </c>
      <c r="I354" s="121" t="s">
        <v>1120</v>
      </c>
      <c r="J354" s="121" t="s">
        <v>96</v>
      </c>
      <c r="K354" s="121">
        <v>24622</v>
      </c>
      <c r="L354" s="122">
        <v>42</v>
      </c>
      <c r="M354" s="126">
        <v>5.8200000000000002E-2</v>
      </c>
      <c r="N354" s="127">
        <f t="shared" si="5"/>
        <v>2.4443999999999999</v>
      </c>
    </row>
    <row r="355" spans="1:14">
      <c r="A355" s="121" t="s">
        <v>1861</v>
      </c>
      <c r="B355" s="121" t="s">
        <v>1862</v>
      </c>
      <c r="C355" s="121">
        <v>1</v>
      </c>
      <c r="D355" s="121" t="s">
        <v>1863</v>
      </c>
      <c r="E355" s="125">
        <v>44779</v>
      </c>
      <c r="F355" s="121" t="s">
        <v>1149</v>
      </c>
      <c r="G355" s="121" t="s">
        <v>1150</v>
      </c>
      <c r="H355" s="121">
        <v>0.1983</v>
      </c>
      <c r="I355" s="121" t="s">
        <v>1120</v>
      </c>
      <c r="J355" s="121" t="s">
        <v>96</v>
      </c>
      <c r="K355" s="121">
        <v>24817</v>
      </c>
      <c r="L355" s="122">
        <v>38</v>
      </c>
      <c r="M355" s="126">
        <v>0.1401</v>
      </c>
      <c r="N355" s="127">
        <f t="shared" si="5"/>
        <v>5.3238000000000003</v>
      </c>
    </row>
    <row r="356" spans="1:14">
      <c r="A356" s="121" t="s">
        <v>1864</v>
      </c>
      <c r="B356" s="121" t="s">
        <v>1865</v>
      </c>
      <c r="C356" s="121">
        <v>1</v>
      </c>
      <c r="D356" s="121" t="s">
        <v>1123</v>
      </c>
      <c r="E356" s="125">
        <v>44837</v>
      </c>
      <c r="F356" s="121" t="s">
        <v>1149</v>
      </c>
      <c r="G356" s="121" t="s">
        <v>1150</v>
      </c>
      <c r="H356" s="121">
        <v>6.3E-3</v>
      </c>
      <c r="I356" s="121" t="s">
        <v>1120</v>
      </c>
      <c r="J356" s="121" t="s">
        <v>96</v>
      </c>
      <c r="K356" s="121">
        <v>21498</v>
      </c>
      <c r="L356" s="122">
        <v>42</v>
      </c>
      <c r="M356" s="126">
        <v>6.3E-3</v>
      </c>
      <c r="N356" s="127">
        <f t="shared" si="5"/>
        <v>0.2646</v>
      </c>
    </row>
    <row r="357" spans="1:14">
      <c r="A357" s="121" t="s">
        <v>1866</v>
      </c>
      <c r="B357" s="121" t="s">
        <v>1867</v>
      </c>
      <c r="C357" s="121">
        <v>1</v>
      </c>
      <c r="D357" s="121" t="s">
        <v>1160</v>
      </c>
      <c r="E357" s="125">
        <v>44841</v>
      </c>
      <c r="F357" s="121" t="s">
        <v>1149</v>
      </c>
      <c r="G357" s="121" t="s">
        <v>1150</v>
      </c>
      <c r="H357" s="121">
        <v>5.3999999999999999E-2</v>
      </c>
      <c r="I357" s="121" t="s">
        <v>1120</v>
      </c>
      <c r="J357" s="121" t="s">
        <v>96</v>
      </c>
      <c r="K357" s="121">
        <v>24622</v>
      </c>
      <c r="L357" s="122">
        <v>42</v>
      </c>
      <c r="M357" s="126">
        <v>5.3999999999999999E-2</v>
      </c>
      <c r="N357" s="127">
        <f t="shared" si="5"/>
        <v>2.2679999999999998</v>
      </c>
    </row>
    <row r="358" spans="1:14">
      <c r="A358" s="121" t="s">
        <v>1868</v>
      </c>
      <c r="B358" s="121" t="s">
        <v>1869</v>
      </c>
      <c r="C358" s="121">
        <v>1</v>
      </c>
      <c r="D358" s="121" t="s">
        <v>1160</v>
      </c>
      <c r="E358" s="125">
        <v>44810</v>
      </c>
      <c r="F358" s="121" t="s">
        <v>1149</v>
      </c>
      <c r="G358" s="121" t="s">
        <v>1150</v>
      </c>
      <c r="H358" s="121">
        <v>8.8300000000000003E-2</v>
      </c>
      <c r="I358" s="121" t="s">
        <v>1120</v>
      </c>
      <c r="J358" s="121" t="s">
        <v>96</v>
      </c>
      <c r="K358" s="121">
        <v>23850</v>
      </c>
      <c r="L358" s="122">
        <v>45</v>
      </c>
      <c r="M358" s="126">
        <v>8.8300000000000003E-2</v>
      </c>
      <c r="N358" s="127">
        <f t="shared" si="5"/>
        <v>3.9735</v>
      </c>
    </row>
    <row r="359" spans="1:14">
      <c r="A359" s="121" t="s">
        <v>1870</v>
      </c>
      <c r="B359" s="121" t="s">
        <v>1871</v>
      </c>
      <c r="C359" s="121">
        <v>1</v>
      </c>
      <c r="D359" s="121" t="s">
        <v>1123</v>
      </c>
      <c r="E359" s="125">
        <v>44795</v>
      </c>
      <c r="F359" s="121" t="s">
        <v>1149</v>
      </c>
      <c r="G359" s="121" t="s">
        <v>1150</v>
      </c>
      <c r="H359" s="121">
        <v>0.27839999999999998</v>
      </c>
      <c r="I359" s="121" t="s">
        <v>1120</v>
      </c>
      <c r="J359" s="121" t="s">
        <v>96</v>
      </c>
      <c r="K359" s="121">
        <v>23849</v>
      </c>
      <c r="L359" s="122">
        <v>46</v>
      </c>
      <c r="M359" s="126">
        <v>0.27839999999999998</v>
      </c>
      <c r="N359" s="127">
        <f t="shared" si="5"/>
        <v>12.8064</v>
      </c>
    </row>
    <row r="360" spans="1:14">
      <c r="A360" s="121" t="s">
        <v>1872</v>
      </c>
      <c r="B360" s="121" t="s">
        <v>1873</v>
      </c>
      <c r="C360" s="121">
        <v>1</v>
      </c>
      <c r="D360" s="121" t="s">
        <v>1117</v>
      </c>
      <c r="E360" s="125">
        <v>44795</v>
      </c>
      <c r="F360" s="121" t="s">
        <v>1118</v>
      </c>
      <c r="G360" s="121" t="s">
        <v>1265</v>
      </c>
      <c r="H360" s="121">
        <v>0.29480000000000001</v>
      </c>
      <c r="I360" s="121" t="s">
        <v>1120</v>
      </c>
      <c r="J360" s="121" t="s">
        <v>96</v>
      </c>
      <c r="K360" s="121">
        <v>19235</v>
      </c>
      <c r="L360" s="122">
        <v>45</v>
      </c>
      <c r="M360" s="126">
        <v>0.29480000000000001</v>
      </c>
      <c r="N360" s="127">
        <f t="shared" si="5"/>
        <v>13.266</v>
      </c>
    </row>
    <row r="361" spans="1:14">
      <c r="A361" s="121" t="s">
        <v>1874</v>
      </c>
      <c r="B361" s="121" t="s">
        <v>1875</v>
      </c>
      <c r="C361" s="121">
        <v>1</v>
      </c>
      <c r="D361" s="121" t="s">
        <v>1166</v>
      </c>
      <c r="E361" s="125">
        <v>16424</v>
      </c>
      <c r="F361" s="121" t="s">
        <v>1118</v>
      </c>
      <c r="G361" s="121" t="s">
        <v>1143</v>
      </c>
      <c r="H361" s="121">
        <v>6.25E-2</v>
      </c>
      <c r="I361" s="121" t="s">
        <v>1120</v>
      </c>
      <c r="J361" s="121" t="s">
        <v>96</v>
      </c>
      <c r="K361" s="121">
        <v>14485</v>
      </c>
      <c r="L361" s="122">
        <v>44</v>
      </c>
      <c r="M361" s="126">
        <v>6.25E-2</v>
      </c>
      <c r="N361" s="127">
        <f t="shared" si="5"/>
        <v>2.75</v>
      </c>
    </row>
    <row r="362" spans="1:14">
      <c r="A362" s="121" t="s">
        <v>1876</v>
      </c>
      <c r="B362" s="121" t="s">
        <v>1877</v>
      </c>
      <c r="C362" s="121">
        <v>1</v>
      </c>
      <c r="D362" s="121" t="s">
        <v>1160</v>
      </c>
      <c r="E362" s="125">
        <v>44784</v>
      </c>
      <c r="F362" s="121" t="s">
        <v>1149</v>
      </c>
      <c r="G362" s="121" t="s">
        <v>1150</v>
      </c>
      <c r="H362" s="121">
        <v>5.1499999999999997E-2</v>
      </c>
      <c r="I362" s="121" t="s">
        <v>1120</v>
      </c>
      <c r="J362" s="121" t="s">
        <v>96</v>
      </c>
      <c r="K362" s="121">
        <v>24251</v>
      </c>
      <c r="L362" s="122">
        <v>46</v>
      </c>
      <c r="M362" s="126">
        <v>5.1499999999999997E-2</v>
      </c>
      <c r="N362" s="127">
        <f t="shared" si="5"/>
        <v>2.3689999999999998</v>
      </c>
    </row>
    <row r="363" spans="1:14">
      <c r="A363" s="121" t="s">
        <v>1878</v>
      </c>
      <c r="B363" s="121" t="s">
        <v>1879</v>
      </c>
      <c r="C363" s="121">
        <v>1</v>
      </c>
      <c r="D363" s="121" t="s">
        <v>1402</v>
      </c>
      <c r="E363" s="125">
        <v>44793</v>
      </c>
      <c r="F363" s="121" t="s">
        <v>1118</v>
      </c>
      <c r="G363" s="121" t="s">
        <v>1131</v>
      </c>
      <c r="H363" s="121">
        <v>0.37669999999999998</v>
      </c>
      <c r="I363" s="121" t="s">
        <v>1120</v>
      </c>
      <c r="J363" s="121" t="s">
        <v>96</v>
      </c>
      <c r="K363" s="121">
        <v>14271</v>
      </c>
      <c r="L363" s="122">
        <v>45</v>
      </c>
      <c r="M363" s="126">
        <v>0.25609999999999999</v>
      </c>
      <c r="N363" s="127">
        <f t="shared" si="5"/>
        <v>11.5245</v>
      </c>
    </row>
    <row r="364" spans="1:14">
      <c r="A364" s="121" t="s">
        <v>1878</v>
      </c>
      <c r="B364" s="121" t="s">
        <v>1879</v>
      </c>
      <c r="C364" s="121">
        <v>1</v>
      </c>
      <c r="D364" s="121" t="s">
        <v>1402</v>
      </c>
      <c r="E364" s="125">
        <v>44793</v>
      </c>
      <c r="F364" s="121" t="s">
        <v>1118</v>
      </c>
      <c r="G364" s="121" t="s">
        <v>1131</v>
      </c>
      <c r="H364" s="121">
        <v>0.37669999999999998</v>
      </c>
      <c r="I364" s="121" t="s">
        <v>1120</v>
      </c>
      <c r="J364" s="121" t="s">
        <v>96</v>
      </c>
      <c r="K364" s="121">
        <v>14272</v>
      </c>
      <c r="L364" s="122">
        <v>43</v>
      </c>
      <c r="M364" s="126">
        <v>0.1206</v>
      </c>
      <c r="N364" s="127">
        <f t="shared" si="5"/>
        <v>5.1857999999999995</v>
      </c>
    </row>
    <row r="365" spans="1:14">
      <c r="A365" s="121" t="s">
        <v>1880</v>
      </c>
      <c r="B365" s="121" t="s">
        <v>1881</v>
      </c>
      <c r="C365" s="121">
        <v>1</v>
      </c>
      <c r="D365" s="121" t="s">
        <v>1123</v>
      </c>
      <c r="E365" s="125">
        <v>44734</v>
      </c>
      <c r="F365" s="121" t="s">
        <v>1149</v>
      </c>
      <c r="G365" s="121" t="s">
        <v>1150</v>
      </c>
      <c r="H365" s="121">
        <v>0.1323</v>
      </c>
      <c r="I365" s="121" t="s">
        <v>1120</v>
      </c>
      <c r="J365" s="121" t="s">
        <v>96</v>
      </c>
      <c r="K365" s="121">
        <v>24621</v>
      </c>
      <c r="L365" s="122">
        <v>43</v>
      </c>
      <c r="M365" s="126">
        <v>0.1323</v>
      </c>
      <c r="N365" s="127">
        <f t="shared" si="5"/>
        <v>5.6889000000000003</v>
      </c>
    </row>
    <row r="366" spans="1:14">
      <c r="A366" s="121" t="s">
        <v>1882</v>
      </c>
      <c r="B366" s="121" t="s">
        <v>1883</v>
      </c>
      <c r="C366" s="121">
        <v>1</v>
      </c>
      <c r="D366" s="121" t="s">
        <v>1117</v>
      </c>
      <c r="E366" s="125">
        <v>44863</v>
      </c>
      <c r="F366" s="121" t="s">
        <v>1118</v>
      </c>
      <c r="G366" s="121" t="s">
        <v>1119</v>
      </c>
      <c r="H366" s="121">
        <v>1.2500000000000001E-2</v>
      </c>
      <c r="I366" s="121" t="s">
        <v>1120</v>
      </c>
      <c r="J366" s="121" t="s">
        <v>96</v>
      </c>
      <c r="K366" s="121">
        <v>17308</v>
      </c>
      <c r="L366" s="122">
        <v>43</v>
      </c>
      <c r="M366" s="126">
        <v>1.2500000000000001E-2</v>
      </c>
      <c r="N366" s="127">
        <f t="shared" si="5"/>
        <v>0.53749999999999998</v>
      </c>
    </row>
    <row r="367" spans="1:14">
      <c r="A367" s="121" t="s">
        <v>1884</v>
      </c>
      <c r="B367" s="121" t="s">
        <v>1885</v>
      </c>
      <c r="C367" s="121">
        <v>1</v>
      </c>
      <c r="D367" s="121" t="s">
        <v>1123</v>
      </c>
      <c r="E367" s="125">
        <v>44783</v>
      </c>
      <c r="F367" s="121" t="s">
        <v>1149</v>
      </c>
      <c r="G367" s="121" t="s">
        <v>1150</v>
      </c>
      <c r="H367" s="121">
        <v>0.14560000000000001</v>
      </c>
      <c r="I367" s="121" t="s">
        <v>1120</v>
      </c>
      <c r="J367" s="121" t="s">
        <v>96</v>
      </c>
      <c r="K367" s="121">
        <v>26201</v>
      </c>
      <c r="L367" s="122">
        <v>45</v>
      </c>
      <c r="M367" s="126">
        <v>0.14560000000000001</v>
      </c>
      <c r="N367" s="127">
        <f t="shared" si="5"/>
        <v>6.5520000000000005</v>
      </c>
    </row>
    <row r="368" spans="1:14">
      <c r="A368" s="121" t="s">
        <v>1886</v>
      </c>
      <c r="B368" s="121" t="s">
        <v>1887</v>
      </c>
      <c r="C368" s="121">
        <v>1</v>
      </c>
      <c r="D368" s="121" t="s">
        <v>1261</v>
      </c>
      <c r="E368" s="125">
        <v>44799</v>
      </c>
      <c r="F368" s="121" t="s">
        <v>1118</v>
      </c>
      <c r="G368" s="121" t="s">
        <v>1143</v>
      </c>
      <c r="H368" s="121">
        <v>0.254</v>
      </c>
      <c r="I368" s="121" t="s">
        <v>1120</v>
      </c>
      <c r="J368" s="121" t="s">
        <v>96</v>
      </c>
      <c r="K368" s="121">
        <v>14841</v>
      </c>
      <c r="L368" s="122">
        <v>42</v>
      </c>
      <c r="M368" s="126">
        <v>0.254</v>
      </c>
      <c r="N368" s="127">
        <f t="shared" si="5"/>
        <v>10.667999999999999</v>
      </c>
    </row>
    <row r="369" spans="1:14">
      <c r="A369" s="121" t="s">
        <v>1888</v>
      </c>
      <c r="B369" s="121" t="s">
        <v>1889</v>
      </c>
      <c r="C369" s="121">
        <v>1</v>
      </c>
      <c r="D369" s="121" t="s">
        <v>1587</v>
      </c>
      <c r="E369" s="125">
        <v>44797</v>
      </c>
      <c r="F369" s="121" t="s">
        <v>1149</v>
      </c>
      <c r="G369" s="121" t="s">
        <v>1150</v>
      </c>
      <c r="H369" s="121">
        <v>3.1800000000000002E-2</v>
      </c>
      <c r="I369" s="121" t="s">
        <v>1120</v>
      </c>
      <c r="J369" s="121" t="s">
        <v>96</v>
      </c>
      <c r="K369" s="121">
        <v>24622</v>
      </c>
      <c r="L369" s="122">
        <v>42</v>
      </c>
      <c r="M369" s="126">
        <v>3.1800000000000002E-2</v>
      </c>
      <c r="N369" s="127">
        <f t="shared" si="5"/>
        <v>1.3356000000000001</v>
      </c>
    </row>
    <row r="370" spans="1:14">
      <c r="A370" s="121" t="s">
        <v>1890</v>
      </c>
      <c r="B370" s="121" t="s">
        <v>1891</v>
      </c>
      <c r="C370" s="121">
        <v>1</v>
      </c>
      <c r="D370" s="121" t="s">
        <v>1203</v>
      </c>
      <c r="E370" s="125">
        <v>44795</v>
      </c>
      <c r="F370" s="121" t="s">
        <v>1118</v>
      </c>
      <c r="G370" s="121" t="s">
        <v>1119</v>
      </c>
      <c r="H370" s="121">
        <v>0.25369999999999998</v>
      </c>
      <c r="I370" s="121" t="s">
        <v>1120</v>
      </c>
      <c r="J370" s="121" t="s">
        <v>96</v>
      </c>
      <c r="K370" s="121">
        <v>16710</v>
      </c>
      <c r="L370" s="122">
        <v>42</v>
      </c>
      <c r="M370" s="126">
        <v>0.25369999999999998</v>
      </c>
      <c r="N370" s="127">
        <f t="shared" si="5"/>
        <v>10.655399999999998</v>
      </c>
    </row>
    <row r="371" spans="1:14">
      <c r="A371" s="121" t="s">
        <v>1892</v>
      </c>
      <c r="B371" s="121" t="s">
        <v>1893</v>
      </c>
      <c r="C371" s="121">
        <v>1</v>
      </c>
      <c r="D371" s="121" t="s">
        <v>1490</v>
      </c>
      <c r="E371" s="125">
        <v>44727</v>
      </c>
      <c r="F371" s="121" t="s">
        <v>1118</v>
      </c>
      <c r="G371" s="121" t="s">
        <v>1265</v>
      </c>
      <c r="H371" s="121">
        <v>0.57769999999999999</v>
      </c>
      <c r="I371" s="121" t="s">
        <v>1120</v>
      </c>
      <c r="J371" s="121" t="s">
        <v>96</v>
      </c>
      <c r="K371" s="121">
        <v>19236</v>
      </c>
      <c r="L371" s="122">
        <v>48</v>
      </c>
      <c r="M371" s="126">
        <v>0.57769999999999999</v>
      </c>
      <c r="N371" s="127">
        <f t="shared" si="5"/>
        <v>27.729599999999998</v>
      </c>
    </row>
    <row r="372" spans="1:14">
      <c r="A372" s="121" t="s">
        <v>1894</v>
      </c>
      <c r="B372" s="121" t="s">
        <v>1895</v>
      </c>
      <c r="C372" s="121">
        <v>1</v>
      </c>
      <c r="D372" s="121" t="s">
        <v>1896</v>
      </c>
      <c r="E372" s="125">
        <v>44795</v>
      </c>
      <c r="F372" s="121" t="s">
        <v>1149</v>
      </c>
      <c r="G372" s="121" t="s">
        <v>1150</v>
      </c>
      <c r="H372" s="121">
        <v>0.1018</v>
      </c>
      <c r="I372" s="121" t="s">
        <v>1120</v>
      </c>
      <c r="J372" s="121" t="s">
        <v>96</v>
      </c>
      <c r="K372" s="121">
        <v>21313</v>
      </c>
      <c r="L372" s="122">
        <v>46</v>
      </c>
      <c r="M372" s="126">
        <v>0.1018</v>
      </c>
      <c r="N372" s="127">
        <f t="shared" si="5"/>
        <v>4.6828000000000003</v>
      </c>
    </row>
    <row r="373" spans="1:14">
      <c r="A373" s="121" t="s">
        <v>1897</v>
      </c>
      <c r="B373" s="121" t="s">
        <v>1898</v>
      </c>
      <c r="C373" s="121">
        <v>1</v>
      </c>
      <c r="D373" s="121" t="s">
        <v>1405</v>
      </c>
      <c r="E373" s="125">
        <v>44810</v>
      </c>
      <c r="F373" s="121" t="s">
        <v>1149</v>
      </c>
      <c r="G373" s="121" t="s">
        <v>1150</v>
      </c>
      <c r="H373" s="121">
        <v>0.58560000000000001</v>
      </c>
      <c r="I373" s="121" t="s">
        <v>1120</v>
      </c>
      <c r="J373" s="121" t="s">
        <v>96</v>
      </c>
      <c r="K373" s="121">
        <v>23242</v>
      </c>
      <c r="L373" s="122">
        <v>50</v>
      </c>
      <c r="M373" s="126">
        <v>0.58560000000000001</v>
      </c>
      <c r="N373" s="127">
        <f t="shared" si="5"/>
        <v>29.28</v>
      </c>
    </row>
    <row r="374" spans="1:14">
      <c r="A374" s="121" t="s">
        <v>1899</v>
      </c>
      <c r="B374" s="121" t="s">
        <v>1900</v>
      </c>
      <c r="C374" s="121">
        <v>1</v>
      </c>
      <c r="D374" s="121" t="s">
        <v>1117</v>
      </c>
      <c r="E374" s="125">
        <v>44795</v>
      </c>
      <c r="F374" s="121" t="s">
        <v>1118</v>
      </c>
      <c r="G374" s="121" t="s">
        <v>1265</v>
      </c>
      <c r="H374" s="121">
        <v>0.2228</v>
      </c>
      <c r="I374" s="121" t="s">
        <v>1120</v>
      </c>
      <c r="J374" s="121" t="s">
        <v>96</v>
      </c>
      <c r="K374" s="121">
        <v>19235</v>
      </c>
      <c r="L374" s="122">
        <v>45</v>
      </c>
      <c r="M374" s="126">
        <v>0.2228</v>
      </c>
      <c r="N374" s="127">
        <f t="shared" si="5"/>
        <v>10.026</v>
      </c>
    </row>
    <row r="375" spans="1:14">
      <c r="A375" s="121" t="s">
        <v>1901</v>
      </c>
      <c r="B375" s="121" t="s">
        <v>1902</v>
      </c>
      <c r="C375" s="121">
        <v>1</v>
      </c>
      <c r="D375" s="121" t="s">
        <v>1160</v>
      </c>
      <c r="E375" s="125">
        <v>44795</v>
      </c>
      <c r="F375" s="121" t="s">
        <v>1149</v>
      </c>
      <c r="G375" s="121" t="s">
        <v>1150</v>
      </c>
      <c r="H375" s="121">
        <v>2.5499999999999998E-2</v>
      </c>
      <c r="I375" s="121" t="s">
        <v>1120</v>
      </c>
      <c r="J375" s="121" t="s">
        <v>96</v>
      </c>
      <c r="K375" s="121">
        <v>24621</v>
      </c>
      <c r="L375" s="122">
        <v>43</v>
      </c>
      <c r="M375" s="126">
        <v>2.5499999999999998E-2</v>
      </c>
      <c r="N375" s="127">
        <f t="shared" si="5"/>
        <v>1.0965</v>
      </c>
    </row>
    <row r="376" spans="1:14">
      <c r="A376" s="121" t="s">
        <v>1903</v>
      </c>
      <c r="B376" s="121" t="s">
        <v>1904</v>
      </c>
      <c r="C376" s="121">
        <v>1</v>
      </c>
      <c r="D376" s="121" t="s">
        <v>1123</v>
      </c>
      <c r="E376" s="125">
        <v>44860</v>
      </c>
      <c r="F376" s="121" t="s">
        <v>1149</v>
      </c>
      <c r="G376" s="121" t="s">
        <v>1150</v>
      </c>
      <c r="H376" s="121">
        <v>0.25940000000000002</v>
      </c>
      <c r="I376" s="121" t="s">
        <v>1120</v>
      </c>
      <c r="J376" s="121" t="s">
        <v>96</v>
      </c>
      <c r="K376" s="121">
        <v>24251</v>
      </c>
      <c r="L376" s="122">
        <v>46</v>
      </c>
      <c r="M376" s="126">
        <v>0.25940000000000002</v>
      </c>
      <c r="N376" s="127">
        <f t="shared" si="5"/>
        <v>11.932400000000001</v>
      </c>
    </row>
    <row r="377" spans="1:14">
      <c r="A377" s="121" t="s">
        <v>1905</v>
      </c>
      <c r="B377" s="121" t="s">
        <v>1906</v>
      </c>
      <c r="C377" s="121">
        <v>1</v>
      </c>
      <c r="D377" s="121" t="s">
        <v>1123</v>
      </c>
      <c r="E377" s="125">
        <v>44795</v>
      </c>
      <c r="F377" s="121" t="s">
        <v>1118</v>
      </c>
      <c r="G377" s="121" t="s">
        <v>1143</v>
      </c>
      <c r="H377" s="121">
        <v>5.6399999999999999E-2</v>
      </c>
      <c r="I377" s="121" t="s">
        <v>1120</v>
      </c>
      <c r="J377" s="121" t="s">
        <v>96</v>
      </c>
      <c r="K377" s="121">
        <v>14491</v>
      </c>
      <c r="L377" s="122">
        <v>41</v>
      </c>
      <c r="M377" s="126">
        <v>5.6399999999999999E-2</v>
      </c>
      <c r="N377" s="127">
        <f t="shared" si="5"/>
        <v>2.3123999999999998</v>
      </c>
    </row>
    <row r="378" spans="1:14">
      <c r="A378" s="121" t="s">
        <v>1907</v>
      </c>
      <c r="B378" s="121" t="s">
        <v>1908</v>
      </c>
      <c r="C378" s="121">
        <v>1</v>
      </c>
      <c r="D378" s="121" t="s">
        <v>1117</v>
      </c>
      <c r="E378" s="125">
        <v>44795</v>
      </c>
      <c r="F378" s="121" t="s">
        <v>1118</v>
      </c>
      <c r="G378" s="121" t="s">
        <v>1119</v>
      </c>
      <c r="H378" s="121">
        <v>0.1285</v>
      </c>
      <c r="I378" s="121" t="s">
        <v>1120</v>
      </c>
      <c r="J378" s="121" t="s">
        <v>96</v>
      </c>
      <c r="K378" s="121">
        <v>17308</v>
      </c>
      <c r="L378" s="122">
        <v>43</v>
      </c>
      <c r="M378" s="126">
        <v>0.1285</v>
      </c>
      <c r="N378" s="127">
        <f t="shared" si="5"/>
        <v>5.5255000000000001</v>
      </c>
    </row>
    <row r="379" spans="1:14">
      <c r="A379" s="121" t="s">
        <v>1909</v>
      </c>
      <c r="B379" s="121" t="s">
        <v>1910</v>
      </c>
      <c r="C379" s="121">
        <v>1</v>
      </c>
      <c r="D379" s="121" t="s">
        <v>1264</v>
      </c>
      <c r="E379" s="125">
        <v>44862</v>
      </c>
      <c r="F379" s="121" t="s">
        <v>1118</v>
      </c>
      <c r="G379" s="121" t="s">
        <v>1124</v>
      </c>
      <c r="H379" s="121">
        <v>5.6800000000000003E-2</v>
      </c>
      <c r="I379" s="121" t="s">
        <v>1120</v>
      </c>
      <c r="J379" s="121" t="s">
        <v>96</v>
      </c>
      <c r="K379" s="121">
        <v>16989</v>
      </c>
      <c r="L379" s="122">
        <v>48</v>
      </c>
      <c r="M379" s="126">
        <v>5.6800000000000003E-2</v>
      </c>
      <c r="N379" s="127">
        <f t="shared" si="5"/>
        <v>2.7263999999999999</v>
      </c>
    </row>
    <row r="380" spans="1:14">
      <c r="A380" s="121" t="s">
        <v>1911</v>
      </c>
      <c r="B380" s="121" t="s">
        <v>1912</v>
      </c>
      <c r="C380" s="121">
        <v>1</v>
      </c>
      <c r="D380" s="121" t="s">
        <v>1913</v>
      </c>
      <c r="E380" s="125">
        <v>44795</v>
      </c>
      <c r="F380" s="121" t="s">
        <v>1118</v>
      </c>
      <c r="G380" s="121" t="s">
        <v>1325</v>
      </c>
      <c r="H380" s="121">
        <v>4.4900000000000002E-2</v>
      </c>
      <c r="I380" s="121" t="s">
        <v>1120</v>
      </c>
      <c r="J380" s="121" t="s">
        <v>96</v>
      </c>
      <c r="K380" s="121">
        <v>23495</v>
      </c>
      <c r="L380" s="122">
        <v>45</v>
      </c>
      <c r="M380" s="126">
        <v>4.4900000000000002E-2</v>
      </c>
      <c r="N380" s="127">
        <f t="shared" si="5"/>
        <v>2.0205000000000002</v>
      </c>
    </row>
    <row r="381" spans="1:14">
      <c r="A381" s="121" t="s">
        <v>1914</v>
      </c>
      <c r="B381" s="121" t="s">
        <v>1915</v>
      </c>
      <c r="C381" s="121">
        <v>1</v>
      </c>
      <c r="D381" s="121" t="s">
        <v>1123</v>
      </c>
      <c r="E381" s="125">
        <v>44795</v>
      </c>
      <c r="F381" s="121" t="s">
        <v>1124</v>
      </c>
      <c r="G381" s="121" t="s">
        <v>1124</v>
      </c>
      <c r="H381" s="121">
        <v>3.5900000000000001E-2</v>
      </c>
      <c r="I381" s="121" t="s">
        <v>1120</v>
      </c>
      <c r="J381" s="121" t="s">
        <v>96</v>
      </c>
      <c r="K381" s="121">
        <v>21682</v>
      </c>
      <c r="L381" s="122">
        <v>41</v>
      </c>
      <c r="M381" s="126">
        <v>3.5900000000000001E-2</v>
      </c>
      <c r="N381" s="127">
        <f t="shared" si="5"/>
        <v>1.4719</v>
      </c>
    </row>
    <row r="382" spans="1:14">
      <c r="A382" s="121" t="s">
        <v>1916</v>
      </c>
      <c r="B382" s="121" t="s">
        <v>1917</v>
      </c>
      <c r="C382" s="121">
        <v>1</v>
      </c>
      <c r="D382" s="121" t="s">
        <v>1160</v>
      </c>
      <c r="E382" s="125">
        <v>44729</v>
      </c>
      <c r="F382" s="121" t="s">
        <v>1149</v>
      </c>
      <c r="G382" s="121" t="s">
        <v>1150</v>
      </c>
      <c r="H382" s="121">
        <v>0.1128</v>
      </c>
      <c r="I382" s="121" t="s">
        <v>1120</v>
      </c>
      <c r="J382" s="121" t="s">
        <v>96</v>
      </c>
      <c r="K382" s="121">
        <v>24251</v>
      </c>
      <c r="L382" s="122">
        <v>46</v>
      </c>
      <c r="M382" s="126">
        <v>0.1128</v>
      </c>
      <c r="N382" s="127">
        <f t="shared" si="5"/>
        <v>5.1887999999999996</v>
      </c>
    </row>
    <row r="383" spans="1:14">
      <c r="A383" s="121" t="s">
        <v>1918</v>
      </c>
      <c r="B383" s="121" t="s">
        <v>1919</v>
      </c>
      <c r="C383" s="121">
        <v>1</v>
      </c>
      <c r="D383" s="121" t="s">
        <v>1587</v>
      </c>
      <c r="E383" s="125">
        <v>45172</v>
      </c>
      <c r="F383" s="121" t="s">
        <v>1118</v>
      </c>
      <c r="G383" s="121" t="s">
        <v>1143</v>
      </c>
      <c r="H383" s="121">
        <v>0.7641</v>
      </c>
      <c r="I383" s="121" t="s">
        <v>1120</v>
      </c>
      <c r="J383" s="121" t="s">
        <v>96</v>
      </c>
      <c r="K383" s="121">
        <v>14487</v>
      </c>
      <c r="L383" s="122">
        <v>36</v>
      </c>
      <c r="M383" s="126">
        <v>0.7641</v>
      </c>
      <c r="N383" s="127">
        <f t="shared" si="5"/>
        <v>27.5076</v>
      </c>
    </row>
    <row r="384" spans="1:14">
      <c r="A384" s="121" t="s">
        <v>1920</v>
      </c>
      <c r="B384" s="121" t="s">
        <v>1921</v>
      </c>
      <c r="C384" s="121">
        <v>1</v>
      </c>
      <c r="D384" s="121" t="s">
        <v>1264</v>
      </c>
      <c r="E384" s="125">
        <v>44838</v>
      </c>
      <c r="F384" s="121" t="s">
        <v>1149</v>
      </c>
      <c r="G384" s="121" t="s">
        <v>1150</v>
      </c>
      <c r="H384" s="121">
        <v>5.9200000000000003E-2</v>
      </c>
      <c r="I384" s="121" t="s">
        <v>1120</v>
      </c>
      <c r="J384" s="121" t="s">
        <v>96</v>
      </c>
      <c r="K384" s="121">
        <v>24626</v>
      </c>
      <c r="L384" s="122">
        <v>44</v>
      </c>
      <c r="M384" s="126">
        <v>5.9200000000000003E-2</v>
      </c>
      <c r="N384" s="127">
        <f t="shared" si="5"/>
        <v>2.6048</v>
      </c>
    </row>
    <row r="385" spans="1:14">
      <c r="A385" s="121" t="s">
        <v>1922</v>
      </c>
      <c r="B385" s="121" t="s">
        <v>1923</v>
      </c>
      <c r="C385" s="121">
        <v>1</v>
      </c>
      <c r="D385" s="121" t="s">
        <v>1123</v>
      </c>
      <c r="E385" s="125">
        <v>44838</v>
      </c>
      <c r="F385" s="121" t="s">
        <v>1149</v>
      </c>
      <c r="G385" s="121" t="s">
        <v>1150</v>
      </c>
      <c r="H385" s="121">
        <v>4.4900000000000002E-2</v>
      </c>
      <c r="I385" s="121" t="s">
        <v>1120</v>
      </c>
      <c r="J385" s="121" t="s">
        <v>96</v>
      </c>
      <c r="K385" s="121">
        <v>24626</v>
      </c>
      <c r="L385" s="122">
        <v>44</v>
      </c>
      <c r="M385" s="126">
        <v>4.4900000000000002E-2</v>
      </c>
      <c r="N385" s="127">
        <f t="shared" si="5"/>
        <v>1.9756</v>
      </c>
    </row>
    <row r="386" spans="1:14">
      <c r="A386" s="121" t="s">
        <v>1924</v>
      </c>
      <c r="B386" s="121" t="s">
        <v>1925</v>
      </c>
      <c r="C386" s="121">
        <v>1</v>
      </c>
      <c r="D386" s="121" t="s">
        <v>1261</v>
      </c>
      <c r="E386" s="125">
        <v>44795</v>
      </c>
      <c r="F386" s="121" t="s">
        <v>1118</v>
      </c>
      <c r="G386" s="121" t="s">
        <v>1177</v>
      </c>
      <c r="H386" s="121">
        <v>0.54490000000000005</v>
      </c>
      <c r="I386" s="121" t="s">
        <v>1120</v>
      </c>
      <c r="J386" s="121" t="s">
        <v>96</v>
      </c>
      <c r="K386" s="121">
        <v>21548</v>
      </c>
      <c r="L386" s="122">
        <v>41</v>
      </c>
      <c r="M386" s="126">
        <v>0.54490000000000005</v>
      </c>
      <c r="N386" s="127">
        <f t="shared" ref="N386:N449" si="6">+M386*L386</f>
        <v>22.340900000000001</v>
      </c>
    </row>
    <row r="387" spans="1:14">
      <c r="A387" s="121" t="s">
        <v>1926</v>
      </c>
      <c r="B387" s="121" t="s">
        <v>1927</v>
      </c>
      <c r="C387" s="121">
        <v>1</v>
      </c>
      <c r="D387" s="121" t="s">
        <v>1928</v>
      </c>
      <c r="E387" s="125">
        <v>44795</v>
      </c>
      <c r="F387" s="121" t="s">
        <v>1118</v>
      </c>
      <c r="G387" s="121" t="s">
        <v>1177</v>
      </c>
      <c r="H387" s="121">
        <v>0.26750000000000002</v>
      </c>
      <c r="I387" s="121" t="s">
        <v>1120</v>
      </c>
      <c r="J387" s="121" t="s">
        <v>96</v>
      </c>
      <c r="K387" s="121">
        <v>20392</v>
      </c>
      <c r="L387" s="122">
        <v>40</v>
      </c>
      <c r="M387" s="126">
        <v>0.26750000000000002</v>
      </c>
      <c r="N387" s="127">
        <f t="shared" si="6"/>
        <v>10.700000000000001</v>
      </c>
    </row>
    <row r="388" spans="1:14">
      <c r="A388" s="121" t="s">
        <v>1929</v>
      </c>
      <c r="B388" s="121" t="s">
        <v>1930</v>
      </c>
      <c r="C388" s="121">
        <v>1</v>
      </c>
      <c r="D388" s="121" t="s">
        <v>1203</v>
      </c>
      <c r="E388" s="125">
        <v>44800</v>
      </c>
      <c r="F388" s="121" t="s">
        <v>1118</v>
      </c>
      <c r="G388" s="121" t="s">
        <v>1119</v>
      </c>
      <c r="H388" s="121">
        <v>1.9800000000000002E-2</v>
      </c>
      <c r="I388" s="121" t="s">
        <v>1120</v>
      </c>
      <c r="J388" s="121" t="s">
        <v>96</v>
      </c>
      <c r="K388" s="121">
        <v>17308</v>
      </c>
      <c r="L388" s="122">
        <v>43</v>
      </c>
      <c r="M388" s="126">
        <v>1.9800000000000002E-2</v>
      </c>
      <c r="N388" s="127">
        <f t="shared" si="6"/>
        <v>0.85140000000000005</v>
      </c>
    </row>
    <row r="389" spans="1:14">
      <c r="A389" s="121" t="s">
        <v>1931</v>
      </c>
      <c r="B389" s="121" t="s">
        <v>1932</v>
      </c>
      <c r="C389" s="121">
        <v>1</v>
      </c>
      <c r="D389" s="121" t="s">
        <v>1117</v>
      </c>
      <c r="E389" s="125">
        <v>44702</v>
      </c>
      <c r="F389" s="121" t="s">
        <v>1118</v>
      </c>
      <c r="G389" s="121" t="s">
        <v>1265</v>
      </c>
      <c r="H389" s="121">
        <v>8.1299999999999997E-2</v>
      </c>
      <c r="I389" s="121" t="s">
        <v>1120</v>
      </c>
      <c r="J389" s="121" t="s">
        <v>96</v>
      </c>
      <c r="K389" s="121">
        <v>19033</v>
      </c>
      <c r="L389" s="122">
        <v>46</v>
      </c>
      <c r="M389" s="126">
        <v>8.1299999999999997E-2</v>
      </c>
      <c r="N389" s="127">
        <f t="shared" si="6"/>
        <v>3.7397999999999998</v>
      </c>
    </row>
    <row r="390" spans="1:14">
      <c r="A390" s="121" t="s">
        <v>1933</v>
      </c>
      <c r="B390" s="121" t="s">
        <v>1934</v>
      </c>
      <c r="C390" s="121">
        <v>1</v>
      </c>
      <c r="D390" s="121" t="s">
        <v>1123</v>
      </c>
      <c r="E390" s="125">
        <v>44810</v>
      </c>
      <c r="F390" s="121" t="s">
        <v>1149</v>
      </c>
      <c r="G390" s="121" t="s">
        <v>1150</v>
      </c>
      <c r="H390" s="121">
        <v>7.7399999999999997E-2</v>
      </c>
      <c r="I390" s="121" t="s">
        <v>1120</v>
      </c>
      <c r="J390" s="121" t="s">
        <v>96</v>
      </c>
      <c r="K390" s="121">
        <v>24621</v>
      </c>
      <c r="L390" s="122">
        <v>43</v>
      </c>
      <c r="M390" s="126">
        <v>7.7399999999999997E-2</v>
      </c>
      <c r="N390" s="127">
        <f t="shared" si="6"/>
        <v>3.3281999999999998</v>
      </c>
    </row>
    <row r="391" spans="1:14">
      <c r="A391" s="121" t="s">
        <v>1935</v>
      </c>
      <c r="B391" s="121" t="s">
        <v>1936</v>
      </c>
      <c r="C391" s="121">
        <v>1</v>
      </c>
      <c r="D391" s="121" t="s">
        <v>1937</v>
      </c>
      <c r="E391" s="125">
        <v>44795</v>
      </c>
      <c r="F391" s="121" t="s">
        <v>1118</v>
      </c>
      <c r="G391" s="121" t="s">
        <v>1177</v>
      </c>
      <c r="H391" s="121">
        <v>0.27929999999999999</v>
      </c>
      <c r="I391" s="121" t="s">
        <v>1120</v>
      </c>
      <c r="J391" s="121" t="s">
        <v>96</v>
      </c>
      <c r="K391" s="121">
        <v>20392</v>
      </c>
      <c r="L391" s="122">
        <v>40</v>
      </c>
      <c r="M391" s="126">
        <v>0.14330000000000001</v>
      </c>
      <c r="N391" s="127">
        <f t="shared" si="6"/>
        <v>5.7320000000000002</v>
      </c>
    </row>
    <row r="392" spans="1:14">
      <c r="A392" s="121" t="s">
        <v>1935</v>
      </c>
      <c r="B392" s="121" t="s">
        <v>1936</v>
      </c>
      <c r="C392" s="121">
        <v>1</v>
      </c>
      <c r="D392" s="121" t="s">
        <v>1937</v>
      </c>
      <c r="E392" s="125">
        <v>44795</v>
      </c>
      <c r="F392" s="121" t="s">
        <v>1118</v>
      </c>
      <c r="G392" s="121" t="s">
        <v>1177</v>
      </c>
      <c r="H392" s="121">
        <v>0.27929999999999999</v>
      </c>
      <c r="I392" s="121" t="s">
        <v>1120</v>
      </c>
      <c r="J392" s="121" t="s">
        <v>96</v>
      </c>
      <c r="K392" s="121">
        <v>20605</v>
      </c>
      <c r="L392" s="122">
        <v>38</v>
      </c>
      <c r="M392" s="126">
        <v>0.13600000000000001</v>
      </c>
      <c r="N392" s="127">
        <f t="shared" si="6"/>
        <v>5.1680000000000001</v>
      </c>
    </row>
    <row r="393" spans="1:14">
      <c r="A393" s="121" t="s">
        <v>1938</v>
      </c>
      <c r="B393" s="121" t="s">
        <v>1939</v>
      </c>
      <c r="C393" s="121">
        <v>1</v>
      </c>
      <c r="D393" s="121" t="s">
        <v>1117</v>
      </c>
      <c r="E393" s="125">
        <v>44665</v>
      </c>
      <c r="F393" s="121" t="s">
        <v>1118</v>
      </c>
      <c r="G393" s="121" t="s">
        <v>1325</v>
      </c>
      <c r="H393" s="121">
        <v>0.14330000000000001</v>
      </c>
      <c r="I393" s="121" t="s">
        <v>1120</v>
      </c>
      <c r="J393" s="121" t="s">
        <v>96</v>
      </c>
      <c r="K393" s="121">
        <v>22555</v>
      </c>
      <c r="L393" s="122">
        <v>45</v>
      </c>
      <c r="M393" s="126">
        <v>0.14330000000000001</v>
      </c>
      <c r="N393" s="127">
        <f t="shared" si="6"/>
        <v>6.4485000000000001</v>
      </c>
    </row>
    <row r="394" spans="1:14">
      <c r="A394" s="121" t="s">
        <v>1940</v>
      </c>
      <c r="B394" s="121" t="s">
        <v>1941</v>
      </c>
      <c r="C394" s="121">
        <v>1</v>
      </c>
      <c r="D394" s="121" t="s">
        <v>1117</v>
      </c>
      <c r="E394" s="125">
        <v>44795</v>
      </c>
      <c r="F394" s="121" t="s">
        <v>1124</v>
      </c>
      <c r="G394" s="121" t="s">
        <v>1124</v>
      </c>
      <c r="H394" s="121">
        <v>3.1300000000000001E-2</v>
      </c>
      <c r="I394" s="121" t="s">
        <v>1120</v>
      </c>
      <c r="J394" s="121" t="s">
        <v>96</v>
      </c>
      <c r="K394" s="121">
        <v>17308</v>
      </c>
      <c r="L394" s="122">
        <v>43</v>
      </c>
      <c r="M394" s="126">
        <v>3.1300000000000001E-2</v>
      </c>
      <c r="N394" s="127">
        <f t="shared" si="6"/>
        <v>1.3459000000000001</v>
      </c>
    </row>
    <row r="395" spans="1:14">
      <c r="A395" s="121" t="s">
        <v>1942</v>
      </c>
      <c r="B395" s="121" t="s">
        <v>1943</v>
      </c>
      <c r="C395" s="121">
        <v>1</v>
      </c>
      <c r="D395" s="121" t="s">
        <v>1203</v>
      </c>
      <c r="E395" s="125">
        <v>44795</v>
      </c>
      <c r="F395" s="121" t="s">
        <v>1118</v>
      </c>
      <c r="G395" s="121" t="s">
        <v>1119</v>
      </c>
      <c r="H395" s="121">
        <v>0.17399999999999999</v>
      </c>
      <c r="I395" s="121" t="s">
        <v>1120</v>
      </c>
      <c r="J395" s="121" t="s">
        <v>96</v>
      </c>
      <c r="K395" s="121">
        <v>17308</v>
      </c>
      <c r="L395" s="122">
        <v>43</v>
      </c>
      <c r="M395" s="126">
        <v>0.17399999999999999</v>
      </c>
      <c r="N395" s="127">
        <f t="shared" si="6"/>
        <v>7.4819999999999993</v>
      </c>
    </row>
    <row r="396" spans="1:14">
      <c r="A396" s="121" t="s">
        <v>1944</v>
      </c>
      <c r="B396" s="121" t="s">
        <v>1945</v>
      </c>
      <c r="C396" s="121">
        <v>1</v>
      </c>
      <c r="D396" s="121" t="s">
        <v>1220</v>
      </c>
      <c r="E396" s="125">
        <v>44795</v>
      </c>
      <c r="F396" s="121" t="s">
        <v>1124</v>
      </c>
      <c r="G396" s="121" t="s">
        <v>1124</v>
      </c>
      <c r="H396" s="121">
        <v>0.29780000000000001</v>
      </c>
      <c r="I396" s="121" t="s">
        <v>1120</v>
      </c>
      <c r="J396" s="121" t="s">
        <v>96</v>
      </c>
      <c r="K396" s="121">
        <v>17308</v>
      </c>
      <c r="L396" s="122">
        <v>43</v>
      </c>
      <c r="M396" s="126">
        <v>0.29780000000000001</v>
      </c>
      <c r="N396" s="127">
        <f t="shared" si="6"/>
        <v>12.805400000000001</v>
      </c>
    </row>
    <row r="397" spans="1:14">
      <c r="A397" s="121" t="s">
        <v>1946</v>
      </c>
      <c r="B397" s="121" t="s">
        <v>1947</v>
      </c>
      <c r="C397" s="121">
        <v>1</v>
      </c>
      <c r="D397" s="121" t="s">
        <v>1166</v>
      </c>
      <c r="E397" s="125">
        <v>44795</v>
      </c>
      <c r="F397" s="121" t="s">
        <v>1124</v>
      </c>
      <c r="G397" s="121" t="s">
        <v>1124</v>
      </c>
      <c r="H397" s="121">
        <v>9.9000000000000008E-3</v>
      </c>
      <c r="I397" s="121" t="s">
        <v>1120</v>
      </c>
      <c r="J397" s="121" t="s">
        <v>96</v>
      </c>
      <c r="K397" s="121">
        <v>16891</v>
      </c>
      <c r="L397" s="122">
        <v>49</v>
      </c>
      <c r="M397" s="126">
        <v>9.9000000000000008E-3</v>
      </c>
      <c r="N397" s="127">
        <f t="shared" si="6"/>
        <v>0.48510000000000003</v>
      </c>
    </row>
    <row r="398" spans="1:14">
      <c r="A398" s="121" t="s">
        <v>1948</v>
      </c>
      <c r="B398" s="121" t="s">
        <v>1949</v>
      </c>
      <c r="C398" s="121">
        <v>1</v>
      </c>
      <c r="D398" s="121" t="s">
        <v>1123</v>
      </c>
      <c r="E398" s="125">
        <v>16515</v>
      </c>
      <c r="F398" s="121" t="s">
        <v>1118</v>
      </c>
      <c r="G398" s="121" t="s">
        <v>1143</v>
      </c>
      <c r="H398" s="121">
        <v>6.8000000000000005E-2</v>
      </c>
      <c r="I398" s="121" t="s">
        <v>1120</v>
      </c>
      <c r="J398" s="121" t="s">
        <v>96</v>
      </c>
      <c r="K398" s="121">
        <v>14492</v>
      </c>
      <c r="L398" s="122">
        <v>42</v>
      </c>
      <c r="M398" s="126">
        <v>6.8000000000000005E-2</v>
      </c>
      <c r="N398" s="127">
        <f t="shared" si="6"/>
        <v>2.8560000000000003</v>
      </c>
    </row>
    <row r="399" spans="1:14">
      <c r="A399" s="121" t="s">
        <v>1950</v>
      </c>
      <c r="B399" s="121" t="s">
        <v>1951</v>
      </c>
      <c r="C399" s="121">
        <v>1</v>
      </c>
      <c r="D399" s="121" t="s">
        <v>1160</v>
      </c>
      <c r="E399" s="125">
        <v>44725</v>
      </c>
      <c r="F399" s="121" t="s">
        <v>1149</v>
      </c>
      <c r="G399" s="121" t="s">
        <v>1150</v>
      </c>
      <c r="H399" s="121">
        <v>0.41189999999999999</v>
      </c>
      <c r="I399" s="121" t="s">
        <v>1120</v>
      </c>
      <c r="J399" s="121" t="s">
        <v>96</v>
      </c>
      <c r="K399" s="121">
        <v>24255</v>
      </c>
      <c r="L399" s="122">
        <v>51</v>
      </c>
      <c r="M399" s="126">
        <v>0.41189999999999999</v>
      </c>
      <c r="N399" s="127">
        <f t="shared" si="6"/>
        <v>21.006899999999998</v>
      </c>
    </row>
    <row r="400" spans="1:14">
      <c r="A400" s="121" t="s">
        <v>1952</v>
      </c>
      <c r="B400" s="121" t="s">
        <v>1953</v>
      </c>
      <c r="C400" s="121">
        <v>1</v>
      </c>
      <c r="D400" s="121" t="s">
        <v>1954</v>
      </c>
      <c r="E400" s="125">
        <v>44810</v>
      </c>
      <c r="F400" s="121" t="s">
        <v>1149</v>
      </c>
      <c r="G400" s="121" t="s">
        <v>1150</v>
      </c>
      <c r="H400" s="121">
        <v>0.1928</v>
      </c>
      <c r="I400" s="121" t="s">
        <v>1120</v>
      </c>
      <c r="J400" s="121" t="s">
        <v>96</v>
      </c>
      <c r="K400" s="121">
        <v>24437</v>
      </c>
      <c r="L400" s="122">
        <v>51</v>
      </c>
      <c r="M400" s="126">
        <v>0.1928</v>
      </c>
      <c r="N400" s="127">
        <f t="shared" si="6"/>
        <v>9.8328000000000007</v>
      </c>
    </row>
    <row r="401" spans="1:14">
      <c r="A401" s="121" t="s">
        <v>1955</v>
      </c>
      <c r="B401" s="121" t="s">
        <v>1956</v>
      </c>
      <c r="C401" s="121">
        <v>1</v>
      </c>
      <c r="D401" s="121" t="s">
        <v>1252</v>
      </c>
      <c r="E401" s="125">
        <v>44800</v>
      </c>
      <c r="F401" s="121" t="s">
        <v>1118</v>
      </c>
      <c r="G401" s="121" t="s">
        <v>1131</v>
      </c>
      <c r="H401" s="121">
        <v>5.7200000000000001E-2</v>
      </c>
      <c r="I401" s="121" t="s">
        <v>1120</v>
      </c>
      <c r="J401" s="121" t="s">
        <v>96</v>
      </c>
      <c r="K401" s="121">
        <v>16986</v>
      </c>
      <c r="L401" s="122">
        <v>42</v>
      </c>
      <c r="M401" s="126">
        <v>5.7200000000000001E-2</v>
      </c>
      <c r="N401" s="127">
        <f t="shared" si="6"/>
        <v>2.4024000000000001</v>
      </c>
    </row>
    <row r="402" spans="1:14">
      <c r="A402" s="121" t="s">
        <v>1957</v>
      </c>
      <c r="B402" s="121" t="s">
        <v>1958</v>
      </c>
      <c r="C402" s="121">
        <v>1</v>
      </c>
      <c r="D402" s="121" t="s">
        <v>1117</v>
      </c>
      <c r="E402" s="125">
        <v>44795</v>
      </c>
      <c r="F402" s="121" t="s">
        <v>1124</v>
      </c>
      <c r="G402" s="121" t="s">
        <v>1124</v>
      </c>
      <c r="H402" s="121">
        <v>7.3000000000000001E-3</v>
      </c>
      <c r="I402" s="121" t="s">
        <v>1120</v>
      </c>
      <c r="J402" s="121" t="s">
        <v>96</v>
      </c>
      <c r="K402" s="121">
        <v>17308</v>
      </c>
      <c r="L402" s="122">
        <v>43</v>
      </c>
      <c r="M402" s="126">
        <v>7.3000000000000001E-3</v>
      </c>
      <c r="N402" s="127">
        <f t="shared" si="6"/>
        <v>0.31390000000000001</v>
      </c>
    </row>
    <row r="403" spans="1:14">
      <c r="A403" s="121" t="s">
        <v>1959</v>
      </c>
      <c r="B403" s="121" t="s">
        <v>1960</v>
      </c>
      <c r="C403" s="121">
        <v>1</v>
      </c>
      <c r="D403" s="121" t="s">
        <v>1166</v>
      </c>
      <c r="E403" s="125">
        <v>44783</v>
      </c>
      <c r="F403" s="121" t="s">
        <v>1118</v>
      </c>
      <c r="G403" s="121" t="s">
        <v>1143</v>
      </c>
      <c r="H403" s="121">
        <v>0.2051</v>
      </c>
      <c r="I403" s="121" t="s">
        <v>1120</v>
      </c>
      <c r="J403" s="121" t="s">
        <v>96</v>
      </c>
      <c r="K403" s="121">
        <v>14659</v>
      </c>
      <c r="L403" s="122">
        <v>39</v>
      </c>
      <c r="M403" s="126">
        <v>0.2051</v>
      </c>
      <c r="N403" s="127">
        <f t="shared" si="6"/>
        <v>7.9988999999999999</v>
      </c>
    </row>
    <row r="404" spans="1:14">
      <c r="A404" s="121" t="s">
        <v>1961</v>
      </c>
      <c r="B404" s="121" t="s">
        <v>1962</v>
      </c>
      <c r="C404" s="121">
        <v>1</v>
      </c>
      <c r="D404" s="121" t="s">
        <v>1584</v>
      </c>
      <c r="E404" s="125">
        <v>44780</v>
      </c>
      <c r="F404" s="121" t="s">
        <v>1154</v>
      </c>
      <c r="G404" s="121" t="s">
        <v>1155</v>
      </c>
      <c r="H404" s="121">
        <v>0.10489999999999999</v>
      </c>
      <c r="I404" s="121" t="s">
        <v>1120</v>
      </c>
      <c r="J404" s="121" t="s">
        <v>96</v>
      </c>
      <c r="K404" s="121">
        <v>5652</v>
      </c>
      <c r="L404" s="122">
        <v>41</v>
      </c>
      <c r="M404" s="126">
        <v>0.10489999999999999</v>
      </c>
      <c r="N404" s="127">
        <f t="shared" si="6"/>
        <v>4.3008999999999995</v>
      </c>
    </row>
    <row r="405" spans="1:14">
      <c r="A405" s="121" t="s">
        <v>1963</v>
      </c>
      <c r="B405" s="121" t="s">
        <v>1964</v>
      </c>
      <c r="C405" s="121">
        <v>1</v>
      </c>
      <c r="D405" s="121" t="s">
        <v>1264</v>
      </c>
      <c r="E405" s="125">
        <v>44837</v>
      </c>
      <c r="F405" s="121" t="s">
        <v>1118</v>
      </c>
      <c r="G405" s="121" t="s">
        <v>1124</v>
      </c>
      <c r="H405" s="121">
        <v>0.29720000000000002</v>
      </c>
      <c r="I405" s="121" t="s">
        <v>1120</v>
      </c>
      <c r="J405" s="121" t="s">
        <v>96</v>
      </c>
      <c r="K405" s="121">
        <v>16989</v>
      </c>
      <c r="L405" s="122">
        <v>48</v>
      </c>
      <c r="M405" s="126">
        <v>0.29720000000000002</v>
      </c>
      <c r="N405" s="127">
        <f t="shared" si="6"/>
        <v>14.265600000000001</v>
      </c>
    </row>
    <row r="406" spans="1:14">
      <c r="A406" s="121" t="s">
        <v>1965</v>
      </c>
      <c r="B406" s="121" t="s">
        <v>1966</v>
      </c>
      <c r="C406" s="121">
        <v>1</v>
      </c>
      <c r="D406" s="121" t="s">
        <v>1123</v>
      </c>
      <c r="E406" s="125">
        <v>44810</v>
      </c>
      <c r="F406" s="121" t="s">
        <v>1149</v>
      </c>
      <c r="G406" s="121" t="s">
        <v>1150</v>
      </c>
      <c r="H406" s="121">
        <v>0.23980000000000001</v>
      </c>
      <c r="I406" s="121" t="s">
        <v>1120</v>
      </c>
      <c r="J406" s="121" t="s">
        <v>96</v>
      </c>
      <c r="K406" s="121">
        <v>24255</v>
      </c>
      <c r="L406" s="122">
        <v>51</v>
      </c>
      <c r="M406" s="126">
        <v>0.23980000000000001</v>
      </c>
      <c r="N406" s="127">
        <f t="shared" si="6"/>
        <v>12.229800000000001</v>
      </c>
    </row>
    <row r="407" spans="1:14">
      <c r="A407" s="121" t="s">
        <v>1967</v>
      </c>
      <c r="B407" s="121" t="s">
        <v>1968</v>
      </c>
      <c r="C407" s="121">
        <v>1</v>
      </c>
      <c r="D407" s="121" t="s">
        <v>1163</v>
      </c>
      <c r="E407" s="125">
        <v>44728</v>
      </c>
      <c r="F407" s="121" t="s">
        <v>1149</v>
      </c>
      <c r="G407" s="121" t="s">
        <v>1150</v>
      </c>
      <c r="H407" s="121">
        <v>0.4748</v>
      </c>
      <c r="I407" s="121" t="s">
        <v>1120</v>
      </c>
      <c r="J407" s="121" t="s">
        <v>96</v>
      </c>
      <c r="K407" s="121">
        <v>24256</v>
      </c>
      <c r="L407" s="122">
        <v>45</v>
      </c>
      <c r="M407" s="126">
        <v>0.4748</v>
      </c>
      <c r="N407" s="127">
        <f t="shared" si="6"/>
        <v>21.366</v>
      </c>
    </row>
    <row r="408" spans="1:14">
      <c r="A408" s="121" t="s">
        <v>1969</v>
      </c>
      <c r="B408" s="121" t="s">
        <v>1970</v>
      </c>
      <c r="C408" s="121">
        <v>1</v>
      </c>
      <c r="D408" s="121" t="s">
        <v>1220</v>
      </c>
      <c r="E408" s="125">
        <v>44822</v>
      </c>
      <c r="F408" s="121" t="s">
        <v>1118</v>
      </c>
      <c r="G408" s="121" t="s">
        <v>1143</v>
      </c>
      <c r="H408" s="121">
        <v>9.7000000000000003E-3</v>
      </c>
      <c r="I408" s="121" t="s">
        <v>1120</v>
      </c>
      <c r="J408" s="121" t="s">
        <v>96</v>
      </c>
      <c r="K408" s="121">
        <v>14115</v>
      </c>
      <c r="L408" s="122">
        <v>39</v>
      </c>
      <c r="M408" s="126">
        <v>9.7000000000000003E-3</v>
      </c>
      <c r="N408" s="127">
        <f t="shared" si="6"/>
        <v>0.37830000000000003</v>
      </c>
    </row>
    <row r="409" spans="1:14">
      <c r="A409" s="121" t="s">
        <v>1971</v>
      </c>
      <c r="B409" s="121" t="s">
        <v>1972</v>
      </c>
      <c r="C409" s="121">
        <v>1</v>
      </c>
      <c r="D409" s="121" t="s">
        <v>1123</v>
      </c>
      <c r="E409" s="125">
        <v>44870</v>
      </c>
      <c r="F409" s="121" t="s">
        <v>1118</v>
      </c>
      <c r="G409" s="121" t="s">
        <v>1119</v>
      </c>
      <c r="H409" s="121">
        <v>2.2700000000000001E-2</v>
      </c>
      <c r="I409" s="121" t="s">
        <v>1120</v>
      </c>
      <c r="J409" s="121" t="s">
        <v>96</v>
      </c>
      <c r="K409" s="121">
        <v>16519</v>
      </c>
      <c r="L409" s="122">
        <v>49</v>
      </c>
      <c r="M409" s="126">
        <v>2.2700000000000001E-2</v>
      </c>
      <c r="N409" s="127">
        <f t="shared" si="6"/>
        <v>1.1123000000000001</v>
      </c>
    </row>
    <row r="410" spans="1:14">
      <c r="A410" s="121" t="s">
        <v>1973</v>
      </c>
      <c r="B410" s="121" t="s">
        <v>1974</v>
      </c>
      <c r="C410" s="121">
        <v>1</v>
      </c>
      <c r="D410" s="121" t="s">
        <v>1445</v>
      </c>
      <c r="E410" s="125">
        <v>44805</v>
      </c>
      <c r="F410" s="121" t="s">
        <v>1118</v>
      </c>
      <c r="G410" s="121" t="s">
        <v>1119</v>
      </c>
      <c r="H410" s="121">
        <v>6.3500000000000001E-2</v>
      </c>
      <c r="I410" s="121" t="s">
        <v>1120</v>
      </c>
      <c r="J410" s="121" t="s">
        <v>96</v>
      </c>
      <c r="K410" s="121">
        <v>16520</v>
      </c>
      <c r="L410" s="122">
        <v>50</v>
      </c>
      <c r="M410" s="126">
        <v>6.3500000000000001E-2</v>
      </c>
      <c r="N410" s="127">
        <f t="shared" si="6"/>
        <v>3.1749999999999998</v>
      </c>
    </row>
    <row r="411" spans="1:14">
      <c r="A411" s="121" t="s">
        <v>1975</v>
      </c>
      <c r="B411" s="121" t="s">
        <v>1976</v>
      </c>
      <c r="C411" s="121">
        <v>1</v>
      </c>
      <c r="D411" s="121" t="s">
        <v>1412</v>
      </c>
      <c r="E411" s="125">
        <v>44827</v>
      </c>
      <c r="F411" s="121" t="s">
        <v>1154</v>
      </c>
      <c r="G411" s="121" t="s">
        <v>1155</v>
      </c>
      <c r="H411" s="121">
        <v>0.46179999999999999</v>
      </c>
      <c r="I411" s="121" t="s">
        <v>1174</v>
      </c>
      <c r="J411" s="121" t="s">
        <v>96</v>
      </c>
      <c r="K411" s="121">
        <v>6036</v>
      </c>
      <c r="L411" s="122">
        <v>40</v>
      </c>
      <c r="M411" s="126">
        <v>0.46179999999999999</v>
      </c>
      <c r="N411" s="127">
        <f t="shared" si="6"/>
        <v>18.472000000000001</v>
      </c>
    </row>
    <row r="412" spans="1:14">
      <c r="A412" s="121" t="s">
        <v>1977</v>
      </c>
      <c r="B412" s="121" t="s">
        <v>1978</v>
      </c>
      <c r="C412" s="121">
        <v>1</v>
      </c>
      <c r="D412" s="121" t="s">
        <v>1123</v>
      </c>
      <c r="E412" s="125">
        <v>44839</v>
      </c>
      <c r="F412" s="121" t="s">
        <v>1118</v>
      </c>
      <c r="G412" s="121" t="s">
        <v>1131</v>
      </c>
      <c r="H412" s="121">
        <v>3.3000000000000002E-2</v>
      </c>
      <c r="I412" s="121" t="s">
        <v>1174</v>
      </c>
      <c r="J412" s="121" t="s">
        <v>96</v>
      </c>
      <c r="K412" s="121">
        <v>36221</v>
      </c>
      <c r="L412" s="122">
        <v>63</v>
      </c>
      <c r="M412" s="126">
        <v>3.3000000000000002E-2</v>
      </c>
      <c r="N412" s="127">
        <f t="shared" si="6"/>
        <v>2.0790000000000002</v>
      </c>
    </row>
    <row r="413" spans="1:14">
      <c r="A413" s="121" t="s">
        <v>1979</v>
      </c>
      <c r="B413" s="121" t="s">
        <v>1980</v>
      </c>
      <c r="C413" s="121">
        <v>1</v>
      </c>
      <c r="D413" s="121" t="s">
        <v>1123</v>
      </c>
      <c r="E413" s="125">
        <v>44793</v>
      </c>
      <c r="F413" s="121" t="s">
        <v>1118</v>
      </c>
      <c r="G413" s="121" t="s">
        <v>1131</v>
      </c>
      <c r="H413" s="121">
        <v>1.15E-2</v>
      </c>
      <c r="I413" s="121" t="s">
        <v>1174</v>
      </c>
      <c r="J413" s="121" t="s">
        <v>96</v>
      </c>
      <c r="K413" s="121">
        <v>15192</v>
      </c>
      <c r="L413" s="122">
        <v>43</v>
      </c>
      <c r="M413" s="126">
        <v>1.15E-2</v>
      </c>
      <c r="N413" s="127">
        <f t="shared" si="6"/>
        <v>0.4945</v>
      </c>
    </row>
    <row r="414" spans="1:14">
      <c r="A414" s="121" t="s">
        <v>1981</v>
      </c>
      <c r="B414" s="121" t="s">
        <v>1982</v>
      </c>
      <c r="C414" s="121">
        <v>1</v>
      </c>
      <c r="D414" s="121" t="s">
        <v>1117</v>
      </c>
      <c r="E414" s="125">
        <v>44709</v>
      </c>
      <c r="F414" s="121" t="s">
        <v>1118</v>
      </c>
      <c r="G414" s="121" t="s">
        <v>1131</v>
      </c>
      <c r="H414" s="121">
        <v>1.2699999999999999E-2</v>
      </c>
      <c r="I414" s="121" t="s">
        <v>1174</v>
      </c>
      <c r="J414" s="121" t="s">
        <v>96</v>
      </c>
      <c r="K414" s="121">
        <v>33896</v>
      </c>
      <c r="L414" s="122">
        <v>46</v>
      </c>
      <c r="M414" s="126">
        <v>5.7000000000000002E-3</v>
      </c>
      <c r="N414" s="127">
        <f t="shared" si="6"/>
        <v>0.26219999999999999</v>
      </c>
    </row>
    <row r="415" spans="1:14">
      <c r="A415" s="121" t="s">
        <v>1981</v>
      </c>
      <c r="B415" s="121" t="s">
        <v>1982</v>
      </c>
      <c r="C415" s="121">
        <v>1</v>
      </c>
      <c r="D415" s="121" t="s">
        <v>1117</v>
      </c>
      <c r="E415" s="125">
        <v>44709</v>
      </c>
      <c r="F415" s="121" t="s">
        <v>1118</v>
      </c>
      <c r="G415" s="121" t="s">
        <v>1131</v>
      </c>
      <c r="H415" s="121">
        <v>1.2699999999999999E-2</v>
      </c>
      <c r="I415" s="121" t="s">
        <v>1174</v>
      </c>
      <c r="J415" s="121" t="s">
        <v>96</v>
      </c>
      <c r="K415" s="121">
        <v>33897</v>
      </c>
      <c r="L415" s="122">
        <v>44</v>
      </c>
      <c r="M415" s="126">
        <v>7.0000000000000001E-3</v>
      </c>
      <c r="N415" s="127">
        <f t="shared" si="6"/>
        <v>0.308</v>
      </c>
    </row>
    <row r="416" spans="1:14">
      <c r="A416" s="121" t="s">
        <v>1983</v>
      </c>
      <c r="B416" s="121" t="s">
        <v>1984</v>
      </c>
      <c r="C416" s="121">
        <v>1</v>
      </c>
      <c r="D416" s="121" t="s">
        <v>1117</v>
      </c>
      <c r="E416" s="125">
        <v>44755</v>
      </c>
      <c r="F416" s="121" t="s">
        <v>1118</v>
      </c>
      <c r="G416" s="121" t="s">
        <v>1131</v>
      </c>
      <c r="H416" s="121">
        <v>4.5699999999999998E-2</v>
      </c>
      <c r="I416" s="121" t="s">
        <v>1174</v>
      </c>
      <c r="J416" s="121" t="s">
        <v>96</v>
      </c>
      <c r="K416" s="121">
        <v>15192</v>
      </c>
      <c r="L416" s="122">
        <v>43</v>
      </c>
      <c r="M416" s="126">
        <v>4.5699999999999998E-2</v>
      </c>
      <c r="N416" s="127">
        <f t="shared" si="6"/>
        <v>1.9650999999999998</v>
      </c>
    </row>
    <row r="417" spans="1:14">
      <c r="A417" s="121" t="s">
        <v>1985</v>
      </c>
      <c r="B417" s="121" t="s">
        <v>1986</v>
      </c>
      <c r="C417" s="121">
        <v>1</v>
      </c>
      <c r="D417" s="121" t="s">
        <v>1123</v>
      </c>
      <c r="E417" s="125">
        <v>44795</v>
      </c>
      <c r="F417" s="121" t="s">
        <v>1124</v>
      </c>
      <c r="G417" s="121" t="s">
        <v>1124</v>
      </c>
      <c r="H417" s="121">
        <v>4.2599999999999999E-2</v>
      </c>
      <c r="I417" s="121" t="s">
        <v>1174</v>
      </c>
      <c r="J417" s="121" t="s">
        <v>96</v>
      </c>
      <c r="K417" s="121">
        <v>15726</v>
      </c>
      <c r="L417" s="122">
        <v>44</v>
      </c>
      <c r="M417" s="126">
        <v>4.3099999999999999E-2</v>
      </c>
      <c r="N417" s="127">
        <f t="shared" si="6"/>
        <v>1.8963999999999999</v>
      </c>
    </row>
    <row r="418" spans="1:14">
      <c r="A418" s="121" t="s">
        <v>1987</v>
      </c>
      <c r="B418" s="121" t="s">
        <v>1988</v>
      </c>
      <c r="C418" s="121">
        <v>1</v>
      </c>
      <c r="D418" s="121" t="s">
        <v>1210</v>
      </c>
      <c r="E418" s="125">
        <v>44787</v>
      </c>
      <c r="F418" s="121" t="s">
        <v>1154</v>
      </c>
      <c r="G418" s="121" t="s">
        <v>1155</v>
      </c>
      <c r="H418" s="121">
        <v>8.4599999999999995E-2</v>
      </c>
      <c r="I418" s="121" t="s">
        <v>1174</v>
      </c>
      <c r="J418" s="121" t="s">
        <v>96</v>
      </c>
      <c r="K418" s="121">
        <v>5449</v>
      </c>
      <c r="L418" s="122">
        <v>34</v>
      </c>
      <c r="M418" s="126">
        <v>8.4599999999999995E-2</v>
      </c>
      <c r="N418" s="127">
        <f t="shared" si="6"/>
        <v>2.8763999999999998</v>
      </c>
    </row>
    <row r="419" spans="1:14">
      <c r="A419" s="121" t="s">
        <v>1989</v>
      </c>
      <c r="B419" s="121" t="s">
        <v>1990</v>
      </c>
      <c r="C419" s="121">
        <v>1</v>
      </c>
      <c r="D419" s="121" t="s">
        <v>1117</v>
      </c>
      <c r="E419" s="125">
        <v>44756</v>
      </c>
      <c r="F419" s="121" t="s">
        <v>1118</v>
      </c>
      <c r="G419" s="121" t="s">
        <v>1265</v>
      </c>
      <c r="H419" s="121">
        <v>0.1875</v>
      </c>
      <c r="I419" s="121" t="s">
        <v>1174</v>
      </c>
      <c r="J419" s="121" t="s">
        <v>96</v>
      </c>
      <c r="K419" s="121">
        <v>18634</v>
      </c>
      <c r="L419" s="122">
        <v>47</v>
      </c>
      <c r="M419" s="126">
        <v>0.1875</v>
      </c>
      <c r="N419" s="127">
        <f t="shared" si="6"/>
        <v>8.8125</v>
      </c>
    </row>
    <row r="420" spans="1:14">
      <c r="A420" s="121" t="s">
        <v>1991</v>
      </c>
      <c r="B420" s="121" t="s">
        <v>1992</v>
      </c>
      <c r="C420" s="121">
        <v>1</v>
      </c>
      <c r="D420" s="121" t="s">
        <v>1235</v>
      </c>
      <c r="E420" s="125">
        <v>44795</v>
      </c>
      <c r="F420" s="121" t="s">
        <v>1124</v>
      </c>
      <c r="G420" s="121" t="s">
        <v>1124</v>
      </c>
      <c r="H420" s="121">
        <v>0.32640000000000002</v>
      </c>
      <c r="I420" s="121" t="s">
        <v>1174</v>
      </c>
      <c r="J420" s="121" t="s">
        <v>96</v>
      </c>
      <c r="K420" s="121">
        <v>5229</v>
      </c>
      <c r="L420" s="122">
        <v>44</v>
      </c>
      <c r="M420" s="126">
        <v>0.32640000000000002</v>
      </c>
      <c r="N420" s="127">
        <f t="shared" si="6"/>
        <v>14.361600000000001</v>
      </c>
    </row>
    <row r="421" spans="1:14">
      <c r="A421" s="121" t="s">
        <v>1993</v>
      </c>
      <c r="B421" s="121" t="s">
        <v>1994</v>
      </c>
      <c r="C421" s="121">
        <v>1</v>
      </c>
      <c r="D421" s="121" t="s">
        <v>1117</v>
      </c>
      <c r="E421" s="125">
        <v>44825</v>
      </c>
      <c r="F421" s="121" t="s">
        <v>1118</v>
      </c>
      <c r="G421" s="121" t="s">
        <v>1131</v>
      </c>
      <c r="H421" s="121">
        <v>0.31430000000000002</v>
      </c>
      <c r="I421" s="121" t="s">
        <v>1174</v>
      </c>
      <c r="J421" s="121" t="s">
        <v>96</v>
      </c>
      <c r="K421" s="121">
        <v>14648</v>
      </c>
      <c r="L421" s="122">
        <v>44</v>
      </c>
      <c r="M421" s="126">
        <v>0.30549999999999999</v>
      </c>
      <c r="N421" s="127">
        <f t="shared" si="6"/>
        <v>13.442</v>
      </c>
    </row>
    <row r="422" spans="1:14">
      <c r="A422" s="121" t="s">
        <v>1995</v>
      </c>
      <c r="B422" s="121" t="s">
        <v>1996</v>
      </c>
      <c r="C422" s="121">
        <v>1</v>
      </c>
      <c r="D422" s="121" t="s">
        <v>1160</v>
      </c>
      <c r="E422" s="125">
        <v>44826</v>
      </c>
      <c r="F422" s="121" t="s">
        <v>1118</v>
      </c>
      <c r="G422" s="121" t="s">
        <v>1325</v>
      </c>
      <c r="H422" s="121">
        <v>0.15340000000000001</v>
      </c>
      <c r="I422" s="121" t="s">
        <v>1174</v>
      </c>
      <c r="J422" s="121" t="s">
        <v>96</v>
      </c>
      <c r="K422" s="121">
        <v>23132</v>
      </c>
      <c r="L422" s="122">
        <v>39</v>
      </c>
      <c r="M422" s="126">
        <v>0.15340000000000001</v>
      </c>
      <c r="N422" s="127">
        <f t="shared" si="6"/>
        <v>5.9826000000000006</v>
      </c>
    </row>
    <row r="423" spans="1:14">
      <c r="A423" s="121" t="s">
        <v>1997</v>
      </c>
      <c r="B423" s="121" t="s">
        <v>1998</v>
      </c>
      <c r="C423" s="121">
        <v>1</v>
      </c>
      <c r="D423" s="121" t="s">
        <v>1166</v>
      </c>
      <c r="E423" s="125">
        <v>44795</v>
      </c>
      <c r="F423" s="121" t="s">
        <v>1124</v>
      </c>
      <c r="G423" s="121" t="s">
        <v>1124</v>
      </c>
      <c r="H423" s="121">
        <v>8.4000000000000005E-2</v>
      </c>
      <c r="I423" s="121" t="s">
        <v>1174</v>
      </c>
      <c r="J423" s="121" t="s">
        <v>96</v>
      </c>
      <c r="K423" s="121">
        <v>17265</v>
      </c>
      <c r="L423" s="122">
        <v>33</v>
      </c>
      <c r="M423" s="126">
        <v>8.4000000000000005E-2</v>
      </c>
      <c r="N423" s="127">
        <f t="shared" si="6"/>
        <v>2.7720000000000002</v>
      </c>
    </row>
    <row r="424" spans="1:14">
      <c r="A424" s="121" t="s">
        <v>1999</v>
      </c>
      <c r="B424" s="121" t="s">
        <v>2000</v>
      </c>
      <c r="C424" s="121">
        <v>1</v>
      </c>
      <c r="D424" s="121" t="s">
        <v>1117</v>
      </c>
      <c r="E424" s="125">
        <v>44795</v>
      </c>
      <c r="F424" s="121" t="s">
        <v>1118</v>
      </c>
      <c r="G424" s="121" t="s">
        <v>1325</v>
      </c>
      <c r="H424" s="121">
        <v>8.5400000000000004E-2</v>
      </c>
      <c r="I424" s="121" t="s">
        <v>1174</v>
      </c>
      <c r="J424" s="121" t="s">
        <v>96</v>
      </c>
      <c r="K424" s="121">
        <v>23496</v>
      </c>
      <c r="L424" s="122">
        <v>47</v>
      </c>
      <c r="M424" s="126">
        <v>8.5400000000000004E-2</v>
      </c>
      <c r="N424" s="127">
        <f t="shared" si="6"/>
        <v>4.0137999999999998</v>
      </c>
    </row>
    <row r="425" spans="1:14">
      <c r="A425" s="121" t="s">
        <v>2001</v>
      </c>
      <c r="B425" s="121" t="s">
        <v>2002</v>
      </c>
      <c r="C425" s="121">
        <v>1</v>
      </c>
      <c r="D425" s="121" t="s">
        <v>1117</v>
      </c>
      <c r="E425" s="125">
        <v>44713</v>
      </c>
      <c r="F425" s="121" t="s">
        <v>1118</v>
      </c>
      <c r="G425" s="121" t="s">
        <v>1131</v>
      </c>
      <c r="H425" s="121">
        <v>0.73860000000000003</v>
      </c>
      <c r="I425" s="121" t="s">
        <v>1174</v>
      </c>
      <c r="J425" s="121" t="s">
        <v>96</v>
      </c>
      <c r="K425" s="121">
        <v>34725</v>
      </c>
      <c r="L425" s="122">
        <v>25</v>
      </c>
      <c r="M425" s="126">
        <v>0.73860000000000003</v>
      </c>
      <c r="N425" s="127">
        <f t="shared" si="6"/>
        <v>18.465</v>
      </c>
    </row>
    <row r="426" spans="1:14">
      <c r="A426" s="121" t="s">
        <v>2003</v>
      </c>
      <c r="B426" s="121" t="s">
        <v>2004</v>
      </c>
      <c r="C426" s="121">
        <v>1</v>
      </c>
      <c r="D426" s="121" t="s">
        <v>1264</v>
      </c>
      <c r="E426" s="125">
        <v>44795</v>
      </c>
      <c r="F426" s="121" t="s">
        <v>1154</v>
      </c>
      <c r="G426" s="121" t="s">
        <v>1155</v>
      </c>
      <c r="H426" s="121">
        <v>0.20230000000000001</v>
      </c>
      <c r="I426" s="121" t="s">
        <v>1174</v>
      </c>
      <c r="J426" s="121" t="s">
        <v>96</v>
      </c>
      <c r="K426" s="121">
        <v>5449</v>
      </c>
      <c r="L426" s="122">
        <v>34</v>
      </c>
      <c r="M426" s="126">
        <v>0.20230000000000001</v>
      </c>
      <c r="N426" s="127">
        <f t="shared" si="6"/>
        <v>6.8782000000000005</v>
      </c>
    </row>
    <row r="427" spans="1:14">
      <c r="A427" s="121" t="s">
        <v>2005</v>
      </c>
      <c r="B427" s="121" t="s">
        <v>2006</v>
      </c>
      <c r="C427" s="121">
        <v>1</v>
      </c>
      <c r="D427" s="121" t="s">
        <v>1235</v>
      </c>
      <c r="E427" s="125">
        <v>44784</v>
      </c>
      <c r="F427" s="121" t="s">
        <v>1118</v>
      </c>
      <c r="G427" s="121" t="s">
        <v>1131</v>
      </c>
      <c r="H427" s="121">
        <v>0.1229</v>
      </c>
      <c r="I427" s="121" t="s">
        <v>1174</v>
      </c>
      <c r="J427" s="121" t="s">
        <v>96</v>
      </c>
      <c r="K427" s="121">
        <v>15013</v>
      </c>
      <c r="L427" s="122">
        <v>50</v>
      </c>
      <c r="M427" s="126">
        <v>0.123</v>
      </c>
      <c r="N427" s="127">
        <f t="shared" si="6"/>
        <v>6.15</v>
      </c>
    </row>
    <row r="428" spans="1:14">
      <c r="A428" s="121" t="s">
        <v>2007</v>
      </c>
      <c r="B428" s="121" t="s">
        <v>2008</v>
      </c>
      <c r="C428" s="121">
        <v>1</v>
      </c>
      <c r="D428" s="121" t="s">
        <v>1264</v>
      </c>
      <c r="E428" s="125">
        <v>44795</v>
      </c>
      <c r="F428" s="121" t="s">
        <v>1118</v>
      </c>
      <c r="G428" s="121" t="s">
        <v>1325</v>
      </c>
      <c r="H428" s="121">
        <v>4.7E-2</v>
      </c>
      <c r="I428" s="121" t="s">
        <v>1174</v>
      </c>
      <c r="J428" s="121" t="s">
        <v>96</v>
      </c>
      <c r="K428" s="121">
        <v>23497</v>
      </c>
      <c r="L428" s="122">
        <v>51</v>
      </c>
      <c r="M428" s="126">
        <v>4.7E-2</v>
      </c>
      <c r="N428" s="127">
        <f t="shared" si="6"/>
        <v>2.3969999999999998</v>
      </c>
    </row>
    <row r="429" spans="1:14">
      <c r="A429" s="121" t="s">
        <v>2009</v>
      </c>
      <c r="B429" s="121" t="s">
        <v>2010</v>
      </c>
      <c r="C429" s="121">
        <v>1</v>
      </c>
      <c r="D429" s="121" t="s">
        <v>1203</v>
      </c>
      <c r="E429" s="125">
        <v>44795</v>
      </c>
      <c r="F429" s="121" t="s">
        <v>1118</v>
      </c>
      <c r="G429" s="121" t="s">
        <v>1131</v>
      </c>
      <c r="H429" s="121">
        <v>0.14099999999999999</v>
      </c>
      <c r="I429" s="121" t="s">
        <v>1174</v>
      </c>
      <c r="J429" s="121" t="s">
        <v>96</v>
      </c>
      <c r="K429" s="121">
        <v>14832</v>
      </c>
      <c r="L429" s="122">
        <v>45</v>
      </c>
      <c r="M429" s="126">
        <v>0.14019999999999999</v>
      </c>
      <c r="N429" s="127">
        <f t="shared" si="6"/>
        <v>6.3089999999999993</v>
      </c>
    </row>
    <row r="430" spans="1:14">
      <c r="A430" s="121" t="s">
        <v>2011</v>
      </c>
      <c r="B430" s="121" t="s">
        <v>2012</v>
      </c>
      <c r="C430" s="121">
        <v>1</v>
      </c>
      <c r="D430" s="121" t="s">
        <v>1166</v>
      </c>
      <c r="E430" s="125">
        <v>44808</v>
      </c>
      <c r="F430" s="121" t="s">
        <v>1118</v>
      </c>
      <c r="G430" s="121" t="s">
        <v>1143</v>
      </c>
      <c r="H430" s="121">
        <v>9.3200000000000005E-2</v>
      </c>
      <c r="I430" s="121" t="s">
        <v>1174</v>
      </c>
      <c r="J430" s="121" t="s">
        <v>96</v>
      </c>
      <c r="K430" s="121">
        <v>13961</v>
      </c>
      <c r="L430" s="122">
        <v>37</v>
      </c>
      <c r="M430" s="126">
        <v>9.3200000000000005E-2</v>
      </c>
      <c r="N430" s="127">
        <f t="shared" si="6"/>
        <v>3.4484000000000004</v>
      </c>
    </row>
    <row r="431" spans="1:14">
      <c r="A431" s="121" t="s">
        <v>2013</v>
      </c>
      <c r="B431" s="121" t="s">
        <v>2014</v>
      </c>
      <c r="C431" s="121">
        <v>1</v>
      </c>
      <c r="D431" s="121" t="s">
        <v>1561</v>
      </c>
      <c r="E431" s="125">
        <v>44893</v>
      </c>
      <c r="F431" s="121" t="s">
        <v>1118</v>
      </c>
      <c r="G431" s="121" t="s">
        <v>1143</v>
      </c>
      <c r="H431" s="121">
        <v>0.30980000000000002</v>
      </c>
      <c r="I431" s="121" t="s">
        <v>1174</v>
      </c>
      <c r="J431" s="121" t="s">
        <v>96</v>
      </c>
      <c r="K431" s="121">
        <v>13961</v>
      </c>
      <c r="L431" s="122">
        <v>37</v>
      </c>
      <c r="M431" s="126">
        <v>0.30969999999999998</v>
      </c>
      <c r="N431" s="127">
        <f t="shared" si="6"/>
        <v>11.4589</v>
      </c>
    </row>
    <row r="432" spans="1:14">
      <c r="A432" s="121" t="s">
        <v>2015</v>
      </c>
      <c r="B432" s="121" t="s">
        <v>2016</v>
      </c>
      <c r="C432" s="121">
        <v>1</v>
      </c>
      <c r="D432" s="121" t="s">
        <v>1552</v>
      </c>
      <c r="E432" s="125">
        <v>44795</v>
      </c>
      <c r="F432" s="121" t="s">
        <v>1124</v>
      </c>
      <c r="G432" s="121" t="s">
        <v>1124</v>
      </c>
      <c r="H432" s="121">
        <v>0.2235</v>
      </c>
      <c r="I432" s="121" t="s">
        <v>1174</v>
      </c>
      <c r="J432" s="121" t="s">
        <v>96</v>
      </c>
      <c r="K432" s="121">
        <v>4871</v>
      </c>
      <c r="L432" s="122">
        <v>42</v>
      </c>
      <c r="M432" s="126">
        <v>0.2235</v>
      </c>
      <c r="N432" s="127">
        <f t="shared" si="6"/>
        <v>9.3870000000000005</v>
      </c>
    </row>
    <row r="433" spans="1:14">
      <c r="A433" s="121" t="s">
        <v>2017</v>
      </c>
      <c r="B433" s="121" t="s">
        <v>2018</v>
      </c>
      <c r="C433" s="121">
        <v>1</v>
      </c>
      <c r="D433" s="121" t="s">
        <v>1225</v>
      </c>
      <c r="E433" s="125">
        <v>44821</v>
      </c>
      <c r="F433" s="121" t="s">
        <v>1124</v>
      </c>
      <c r="G433" s="121" t="s">
        <v>1124</v>
      </c>
      <c r="H433" s="121">
        <v>5.2499999999999998E-2</v>
      </c>
      <c r="I433" s="121" t="s">
        <v>1174</v>
      </c>
      <c r="J433" s="121" t="s">
        <v>96</v>
      </c>
      <c r="K433" s="121">
        <v>4492</v>
      </c>
      <c r="L433" s="122">
        <v>37</v>
      </c>
      <c r="M433" s="126">
        <v>5.2499999999999998E-2</v>
      </c>
      <c r="N433" s="127">
        <f t="shared" si="6"/>
        <v>1.9424999999999999</v>
      </c>
    </row>
    <row r="434" spans="1:14">
      <c r="A434" s="121" t="s">
        <v>2019</v>
      </c>
      <c r="B434" s="121" t="s">
        <v>2020</v>
      </c>
      <c r="C434" s="121">
        <v>1</v>
      </c>
      <c r="D434" s="121" t="s">
        <v>1261</v>
      </c>
      <c r="E434" s="125">
        <v>44795</v>
      </c>
      <c r="F434" s="121" t="s">
        <v>1118</v>
      </c>
      <c r="G434" s="121" t="s">
        <v>1119</v>
      </c>
      <c r="H434" s="121">
        <v>0.35830000000000001</v>
      </c>
      <c r="I434" s="121" t="s">
        <v>1174</v>
      </c>
      <c r="J434" s="121" t="s">
        <v>96</v>
      </c>
      <c r="K434" s="121">
        <v>16899</v>
      </c>
      <c r="L434" s="122">
        <v>31</v>
      </c>
      <c r="M434" s="126">
        <v>0.35830000000000001</v>
      </c>
      <c r="N434" s="127">
        <f t="shared" si="6"/>
        <v>11.1073</v>
      </c>
    </row>
    <row r="435" spans="1:14">
      <c r="A435" s="121" t="s">
        <v>2021</v>
      </c>
      <c r="B435" s="121" t="s">
        <v>2022</v>
      </c>
      <c r="C435" s="121">
        <v>1</v>
      </c>
      <c r="D435" s="121" t="s">
        <v>1225</v>
      </c>
      <c r="E435" s="125">
        <v>44820</v>
      </c>
      <c r="F435" s="121" t="s">
        <v>1124</v>
      </c>
      <c r="G435" s="121" t="s">
        <v>1124</v>
      </c>
      <c r="H435" s="121">
        <v>0.159</v>
      </c>
      <c r="I435" s="121" t="s">
        <v>1174</v>
      </c>
      <c r="J435" s="121" t="s">
        <v>96</v>
      </c>
      <c r="K435" s="121">
        <v>4871</v>
      </c>
      <c r="L435" s="122">
        <v>42</v>
      </c>
      <c r="M435" s="126">
        <v>0.159</v>
      </c>
      <c r="N435" s="127">
        <f t="shared" si="6"/>
        <v>6.6779999999999999</v>
      </c>
    </row>
    <row r="436" spans="1:14">
      <c r="A436" s="121" t="s">
        <v>2023</v>
      </c>
      <c r="B436" s="121" t="s">
        <v>2024</v>
      </c>
      <c r="C436" s="121">
        <v>1</v>
      </c>
      <c r="D436" s="121" t="s">
        <v>1160</v>
      </c>
      <c r="E436" s="125">
        <v>44846</v>
      </c>
      <c r="F436" s="121" t="s">
        <v>1118</v>
      </c>
      <c r="G436" s="121" t="s">
        <v>1325</v>
      </c>
      <c r="H436" s="121">
        <v>0.1706</v>
      </c>
      <c r="I436" s="121" t="s">
        <v>1174</v>
      </c>
      <c r="J436" s="121" t="s">
        <v>96</v>
      </c>
      <c r="K436" s="121">
        <v>23723</v>
      </c>
      <c r="L436" s="122">
        <v>38</v>
      </c>
      <c r="M436" s="126">
        <v>0.1706</v>
      </c>
      <c r="N436" s="127">
        <f t="shared" si="6"/>
        <v>6.4828000000000001</v>
      </c>
    </row>
    <row r="437" spans="1:14">
      <c r="A437" s="121" t="s">
        <v>2025</v>
      </c>
      <c r="B437" s="121" t="s">
        <v>2026</v>
      </c>
      <c r="C437" s="121">
        <v>1</v>
      </c>
      <c r="D437" s="121" t="s">
        <v>1397</v>
      </c>
      <c r="E437" s="125">
        <v>44795</v>
      </c>
      <c r="F437" s="121" t="s">
        <v>1118</v>
      </c>
      <c r="G437" s="121" t="s">
        <v>1119</v>
      </c>
      <c r="H437" s="121">
        <v>3.6200000000000003E-2</v>
      </c>
      <c r="I437" s="121" t="s">
        <v>1174</v>
      </c>
      <c r="J437" s="121" t="s">
        <v>96</v>
      </c>
      <c r="K437" s="121">
        <v>16899</v>
      </c>
      <c r="L437" s="122">
        <v>31</v>
      </c>
      <c r="M437" s="126">
        <v>3.6200000000000003E-2</v>
      </c>
      <c r="N437" s="127">
        <f t="shared" si="6"/>
        <v>1.1222000000000001</v>
      </c>
    </row>
    <row r="438" spans="1:14">
      <c r="A438" s="121" t="s">
        <v>2027</v>
      </c>
      <c r="B438" s="121" t="s">
        <v>2028</v>
      </c>
      <c r="C438" s="121">
        <v>1</v>
      </c>
      <c r="D438" s="121" t="s">
        <v>1561</v>
      </c>
      <c r="E438" s="125">
        <v>44783</v>
      </c>
      <c r="F438" s="121" t="s">
        <v>1118</v>
      </c>
      <c r="G438" s="121" t="s">
        <v>1143</v>
      </c>
      <c r="H438" s="121">
        <v>0.248</v>
      </c>
      <c r="I438" s="121" t="s">
        <v>1174</v>
      </c>
      <c r="J438" s="121" t="s">
        <v>96</v>
      </c>
      <c r="K438" s="121">
        <v>13962</v>
      </c>
      <c r="L438" s="122">
        <v>41</v>
      </c>
      <c r="M438" s="126">
        <v>0.248</v>
      </c>
      <c r="N438" s="127">
        <f t="shared" si="6"/>
        <v>10.167999999999999</v>
      </c>
    </row>
    <row r="439" spans="1:14">
      <c r="A439" s="121" t="s">
        <v>2029</v>
      </c>
      <c r="B439" s="121" t="s">
        <v>2030</v>
      </c>
      <c r="C439" s="121">
        <v>1</v>
      </c>
      <c r="D439" s="121" t="s">
        <v>1220</v>
      </c>
      <c r="E439" s="125">
        <v>44795</v>
      </c>
      <c r="F439" s="121" t="s">
        <v>1124</v>
      </c>
      <c r="G439" s="121" t="s">
        <v>1124</v>
      </c>
      <c r="H439" s="121">
        <v>2.6499999999999999E-2</v>
      </c>
      <c r="I439" s="121" t="s">
        <v>1174</v>
      </c>
      <c r="J439" s="121" t="s">
        <v>96</v>
      </c>
      <c r="K439" s="121">
        <v>16892</v>
      </c>
      <c r="L439" s="122">
        <v>40</v>
      </c>
      <c r="M439" s="126">
        <v>1.15E-2</v>
      </c>
      <c r="N439" s="127">
        <f t="shared" si="6"/>
        <v>0.45999999999999996</v>
      </c>
    </row>
    <row r="440" spans="1:14">
      <c r="A440" s="121" t="s">
        <v>2029</v>
      </c>
      <c r="B440" s="121" t="s">
        <v>2030</v>
      </c>
      <c r="C440" s="121">
        <v>1</v>
      </c>
      <c r="D440" s="121" t="s">
        <v>1220</v>
      </c>
      <c r="E440" s="125">
        <v>44795</v>
      </c>
      <c r="F440" s="121" t="s">
        <v>1124</v>
      </c>
      <c r="G440" s="121" t="s">
        <v>1124</v>
      </c>
      <c r="H440" s="121">
        <v>2.6499999999999999E-2</v>
      </c>
      <c r="I440" s="121" t="s">
        <v>1174</v>
      </c>
      <c r="J440" s="121" t="s">
        <v>96</v>
      </c>
      <c r="K440" s="121">
        <v>17308</v>
      </c>
      <c r="L440" s="122">
        <v>43</v>
      </c>
      <c r="M440" s="126">
        <v>1.49E-2</v>
      </c>
      <c r="N440" s="127">
        <f t="shared" si="6"/>
        <v>0.64070000000000005</v>
      </c>
    </row>
    <row r="441" spans="1:14">
      <c r="A441" s="121" t="s">
        <v>2031</v>
      </c>
      <c r="B441" s="121" t="s">
        <v>2032</v>
      </c>
      <c r="C441" s="121">
        <v>1</v>
      </c>
      <c r="D441" s="121" t="s">
        <v>1913</v>
      </c>
      <c r="E441" s="125">
        <v>44795</v>
      </c>
      <c r="F441" s="121" t="s">
        <v>1118</v>
      </c>
      <c r="G441" s="121" t="s">
        <v>1119</v>
      </c>
      <c r="H441" s="121">
        <v>7.0099999999999996E-2</v>
      </c>
      <c r="I441" s="121" t="s">
        <v>1174</v>
      </c>
      <c r="J441" s="121" t="s">
        <v>96</v>
      </c>
      <c r="K441" s="121">
        <v>16892</v>
      </c>
      <c r="L441" s="122">
        <v>40</v>
      </c>
      <c r="M441" s="126">
        <v>7.0099999999999996E-2</v>
      </c>
      <c r="N441" s="127">
        <f t="shared" si="6"/>
        <v>2.8039999999999998</v>
      </c>
    </row>
    <row r="442" spans="1:14">
      <c r="A442" s="121" t="s">
        <v>2033</v>
      </c>
      <c r="B442" s="121" t="s">
        <v>2034</v>
      </c>
      <c r="C442" s="121">
        <v>1</v>
      </c>
      <c r="D442" s="121" t="s">
        <v>1210</v>
      </c>
      <c r="E442" s="125">
        <v>44795</v>
      </c>
      <c r="F442" s="121" t="s">
        <v>1118</v>
      </c>
      <c r="G442" s="121" t="s">
        <v>1119</v>
      </c>
      <c r="H442" s="121">
        <v>0.43219999999999997</v>
      </c>
      <c r="I442" s="121" t="s">
        <v>1174</v>
      </c>
      <c r="J442" s="121" t="s">
        <v>96</v>
      </c>
      <c r="K442" s="121">
        <v>16899</v>
      </c>
      <c r="L442" s="122">
        <v>31</v>
      </c>
      <c r="M442" s="126">
        <v>0.43219999999999997</v>
      </c>
      <c r="N442" s="127">
        <f t="shared" si="6"/>
        <v>13.398199999999999</v>
      </c>
    </row>
    <row r="443" spans="1:14">
      <c r="A443" s="121" t="s">
        <v>2035</v>
      </c>
      <c r="B443" s="121" t="s">
        <v>2036</v>
      </c>
      <c r="C443" s="121">
        <v>1</v>
      </c>
      <c r="D443" s="121" t="s">
        <v>1220</v>
      </c>
      <c r="E443" s="125">
        <v>44795</v>
      </c>
      <c r="F443" s="121" t="s">
        <v>1124</v>
      </c>
      <c r="G443" s="121" t="s">
        <v>1124</v>
      </c>
      <c r="H443" s="121">
        <v>8.3000000000000001E-3</v>
      </c>
      <c r="I443" s="121" t="s">
        <v>1174</v>
      </c>
      <c r="J443" s="121" t="s">
        <v>96</v>
      </c>
      <c r="K443" s="121">
        <v>16892</v>
      </c>
      <c r="L443" s="122">
        <v>40</v>
      </c>
      <c r="M443" s="126">
        <v>8.3000000000000001E-3</v>
      </c>
      <c r="N443" s="127">
        <f t="shared" si="6"/>
        <v>0.33200000000000002</v>
      </c>
    </row>
    <row r="444" spans="1:14">
      <c r="A444" s="121" t="s">
        <v>2037</v>
      </c>
      <c r="B444" s="121" t="s">
        <v>2038</v>
      </c>
      <c r="C444" s="121">
        <v>1</v>
      </c>
      <c r="D444" s="121" t="s">
        <v>1525</v>
      </c>
      <c r="E444" s="125">
        <v>44824</v>
      </c>
      <c r="F444" s="121" t="s">
        <v>1124</v>
      </c>
      <c r="G444" s="121" t="s">
        <v>1124</v>
      </c>
      <c r="H444" s="121">
        <v>0.3921</v>
      </c>
      <c r="I444" s="121" t="s">
        <v>1174</v>
      </c>
      <c r="J444" s="121" t="s">
        <v>96</v>
      </c>
      <c r="K444" s="121">
        <v>4308</v>
      </c>
      <c r="L444" s="122">
        <v>37</v>
      </c>
      <c r="M444" s="126">
        <v>0.3921</v>
      </c>
      <c r="N444" s="127">
        <f t="shared" si="6"/>
        <v>14.5077</v>
      </c>
    </row>
    <row r="445" spans="1:14">
      <c r="A445" s="121" t="s">
        <v>2039</v>
      </c>
      <c r="B445" s="121" t="s">
        <v>2040</v>
      </c>
      <c r="C445" s="121">
        <v>1</v>
      </c>
      <c r="D445" s="121" t="s">
        <v>1252</v>
      </c>
      <c r="E445" s="125">
        <v>44699</v>
      </c>
      <c r="F445" s="121" t="s">
        <v>1118</v>
      </c>
      <c r="G445" s="121" t="s">
        <v>2041</v>
      </c>
      <c r="H445" s="121">
        <v>0.1946</v>
      </c>
      <c r="I445" s="121" t="s">
        <v>1174</v>
      </c>
      <c r="J445" s="121" t="s">
        <v>96</v>
      </c>
      <c r="K445" s="121">
        <v>23544</v>
      </c>
      <c r="L445" s="122">
        <v>41</v>
      </c>
      <c r="M445" s="126">
        <v>0.1946</v>
      </c>
      <c r="N445" s="127">
        <f t="shared" si="6"/>
        <v>7.9786000000000001</v>
      </c>
    </row>
    <row r="446" spans="1:14">
      <c r="A446" s="121" t="s">
        <v>2042</v>
      </c>
      <c r="B446" s="121" t="s">
        <v>2043</v>
      </c>
      <c r="C446" s="121">
        <v>1</v>
      </c>
      <c r="D446" s="121" t="s">
        <v>1173</v>
      </c>
      <c r="E446" s="125">
        <v>44795</v>
      </c>
      <c r="F446" s="121" t="s">
        <v>1124</v>
      </c>
      <c r="G446" s="121" t="s">
        <v>1124</v>
      </c>
      <c r="H446" s="121">
        <v>1.3100000000000001E-2</v>
      </c>
      <c r="I446" s="121" t="s">
        <v>1174</v>
      </c>
      <c r="J446" s="121" t="s">
        <v>96</v>
      </c>
      <c r="K446" s="121">
        <v>5053</v>
      </c>
      <c r="L446" s="122">
        <v>41</v>
      </c>
      <c r="M446" s="126">
        <v>1.3100000000000001E-2</v>
      </c>
      <c r="N446" s="127">
        <f t="shared" si="6"/>
        <v>0.53710000000000002</v>
      </c>
    </row>
    <row r="447" spans="1:14">
      <c r="A447" s="121" t="s">
        <v>2044</v>
      </c>
      <c r="B447" s="121" t="s">
        <v>2045</v>
      </c>
      <c r="C447" s="121">
        <v>1</v>
      </c>
      <c r="D447" s="121" t="s">
        <v>1117</v>
      </c>
      <c r="E447" s="125">
        <v>44820</v>
      </c>
      <c r="F447" s="121" t="s">
        <v>1118</v>
      </c>
      <c r="G447" s="121" t="s">
        <v>1119</v>
      </c>
      <c r="H447" s="121">
        <v>0.3201</v>
      </c>
      <c r="I447" s="121" t="s">
        <v>1174</v>
      </c>
      <c r="J447" s="121" t="s">
        <v>96</v>
      </c>
      <c r="K447" s="121">
        <v>14116</v>
      </c>
      <c r="L447" s="122">
        <v>40</v>
      </c>
      <c r="M447" s="126">
        <v>0.31990000000000002</v>
      </c>
      <c r="N447" s="127">
        <f t="shared" si="6"/>
        <v>12.796000000000001</v>
      </c>
    </row>
    <row r="448" spans="1:14">
      <c r="A448" s="121" t="s">
        <v>2046</v>
      </c>
      <c r="B448" s="121" t="s">
        <v>2047</v>
      </c>
      <c r="C448" s="121">
        <v>1</v>
      </c>
      <c r="D448" s="121" t="s">
        <v>1225</v>
      </c>
      <c r="E448" s="125">
        <v>44816</v>
      </c>
      <c r="F448" s="121" t="s">
        <v>1154</v>
      </c>
      <c r="G448" s="121" t="s">
        <v>1155</v>
      </c>
      <c r="H448" s="121">
        <v>6.1499999999999999E-2</v>
      </c>
      <c r="I448" s="121" t="s">
        <v>1174</v>
      </c>
      <c r="J448" s="121" t="s">
        <v>96</v>
      </c>
      <c r="K448" s="121">
        <v>4871</v>
      </c>
      <c r="L448" s="122">
        <v>42</v>
      </c>
      <c r="M448" s="126">
        <v>6.1499999999999999E-2</v>
      </c>
      <c r="N448" s="127">
        <f t="shared" si="6"/>
        <v>2.5830000000000002</v>
      </c>
    </row>
    <row r="449" spans="1:14">
      <c r="A449" s="121" t="s">
        <v>2048</v>
      </c>
      <c r="B449" s="121" t="s">
        <v>2049</v>
      </c>
      <c r="C449" s="121">
        <v>1</v>
      </c>
      <c r="D449" s="121" t="s">
        <v>1220</v>
      </c>
      <c r="E449" s="125">
        <v>44795</v>
      </c>
      <c r="F449" s="121" t="s">
        <v>1118</v>
      </c>
      <c r="G449" s="121" t="s">
        <v>1265</v>
      </c>
      <c r="H449" s="121">
        <v>0.35599999999999998</v>
      </c>
      <c r="I449" s="121" t="s">
        <v>1174</v>
      </c>
      <c r="J449" s="121" t="s">
        <v>96</v>
      </c>
      <c r="K449" s="121">
        <v>19235</v>
      </c>
      <c r="L449" s="122">
        <v>45</v>
      </c>
      <c r="M449" s="126">
        <v>0.35599999999999998</v>
      </c>
      <c r="N449" s="127">
        <f t="shared" si="6"/>
        <v>16.02</v>
      </c>
    </row>
    <row r="450" spans="1:14">
      <c r="A450" s="121" t="s">
        <v>2050</v>
      </c>
      <c r="B450" s="121" t="s">
        <v>2051</v>
      </c>
      <c r="C450" s="121">
        <v>1</v>
      </c>
      <c r="D450" s="121" t="s">
        <v>1913</v>
      </c>
      <c r="E450" s="125">
        <v>44792</v>
      </c>
      <c r="F450" s="121" t="s">
        <v>1118</v>
      </c>
      <c r="G450" s="121" t="s">
        <v>1177</v>
      </c>
      <c r="H450" s="121">
        <v>0.34420000000000001</v>
      </c>
      <c r="I450" s="121" t="s">
        <v>1174</v>
      </c>
      <c r="J450" s="121" t="s">
        <v>96</v>
      </c>
      <c r="K450" s="121">
        <v>21547</v>
      </c>
      <c r="L450" s="122">
        <v>40</v>
      </c>
      <c r="M450" s="126">
        <v>0.34420000000000001</v>
      </c>
      <c r="N450" s="127">
        <f t="shared" ref="N450:N513" si="7">+M450*L450</f>
        <v>13.768000000000001</v>
      </c>
    </row>
    <row r="451" spans="1:14">
      <c r="A451" s="121" t="s">
        <v>2052</v>
      </c>
      <c r="B451" s="121" t="s">
        <v>2053</v>
      </c>
      <c r="C451" s="121">
        <v>1</v>
      </c>
      <c r="D451" s="121" t="s">
        <v>1117</v>
      </c>
      <c r="E451" s="125">
        <v>44795</v>
      </c>
      <c r="F451" s="121" t="s">
        <v>1118</v>
      </c>
      <c r="G451" s="121" t="s">
        <v>1325</v>
      </c>
      <c r="H451" s="121">
        <v>4.1300000000000003E-2</v>
      </c>
      <c r="I451" s="121" t="s">
        <v>1174</v>
      </c>
      <c r="J451" s="121" t="s">
        <v>96</v>
      </c>
      <c r="K451" s="121">
        <v>23496</v>
      </c>
      <c r="L451" s="122">
        <v>47</v>
      </c>
      <c r="M451" s="126">
        <v>4.1300000000000003E-2</v>
      </c>
      <c r="N451" s="127">
        <f t="shared" si="7"/>
        <v>1.9411</v>
      </c>
    </row>
    <row r="452" spans="1:14">
      <c r="A452" s="121" t="s">
        <v>2054</v>
      </c>
      <c r="B452" s="121" t="s">
        <v>2055</v>
      </c>
      <c r="C452" s="121">
        <v>1</v>
      </c>
      <c r="D452" s="121" t="s">
        <v>1117</v>
      </c>
      <c r="E452" s="125">
        <v>44828</v>
      </c>
      <c r="F452" s="121" t="s">
        <v>1118</v>
      </c>
      <c r="G452" s="121" t="s">
        <v>1119</v>
      </c>
      <c r="H452" s="121">
        <v>0.114</v>
      </c>
      <c r="I452" s="121" t="s">
        <v>1174</v>
      </c>
      <c r="J452" s="121" t="s">
        <v>96</v>
      </c>
      <c r="K452" s="121">
        <v>22057</v>
      </c>
      <c r="L452" s="122">
        <v>44</v>
      </c>
      <c r="M452" s="126">
        <v>0.114</v>
      </c>
      <c r="N452" s="127">
        <f t="shared" si="7"/>
        <v>5.016</v>
      </c>
    </row>
    <row r="453" spans="1:14">
      <c r="A453" s="121" t="s">
        <v>2056</v>
      </c>
      <c r="B453" s="121" t="s">
        <v>2057</v>
      </c>
      <c r="C453" s="121">
        <v>1</v>
      </c>
      <c r="D453" s="121" t="s">
        <v>1203</v>
      </c>
      <c r="E453" s="125">
        <v>44795</v>
      </c>
      <c r="F453" s="121" t="s">
        <v>1118</v>
      </c>
      <c r="G453" s="121" t="s">
        <v>1119</v>
      </c>
      <c r="H453" s="121">
        <v>2.7699999999999999E-2</v>
      </c>
      <c r="I453" s="121" t="s">
        <v>1174</v>
      </c>
      <c r="J453" s="121" t="s">
        <v>96</v>
      </c>
      <c r="K453" s="121">
        <v>17265</v>
      </c>
      <c r="L453" s="122">
        <v>33</v>
      </c>
      <c r="M453" s="126">
        <v>2.7699999999999999E-2</v>
      </c>
      <c r="N453" s="127">
        <f t="shared" si="7"/>
        <v>0.91409999999999991</v>
      </c>
    </row>
    <row r="454" spans="1:14">
      <c r="A454" s="121" t="s">
        <v>2058</v>
      </c>
      <c r="B454" s="121" t="s">
        <v>2059</v>
      </c>
      <c r="C454" s="121">
        <v>1</v>
      </c>
      <c r="D454" s="121" t="s">
        <v>1117</v>
      </c>
      <c r="E454" s="125">
        <v>44834</v>
      </c>
      <c r="F454" s="121" t="s">
        <v>1118</v>
      </c>
      <c r="G454" s="121" t="s">
        <v>1119</v>
      </c>
      <c r="H454" s="121">
        <v>7.4999999999999997E-3</v>
      </c>
      <c r="I454" s="121" t="s">
        <v>1174</v>
      </c>
      <c r="J454" s="121" t="s">
        <v>96</v>
      </c>
      <c r="K454" s="121">
        <v>22926</v>
      </c>
      <c r="L454" s="122">
        <v>43</v>
      </c>
      <c r="M454" s="126">
        <v>7.4999999999999997E-3</v>
      </c>
      <c r="N454" s="127">
        <f t="shared" si="7"/>
        <v>0.32250000000000001</v>
      </c>
    </row>
    <row r="455" spans="1:14">
      <c r="A455" s="121" t="s">
        <v>2060</v>
      </c>
      <c r="B455" s="121" t="s">
        <v>2061</v>
      </c>
      <c r="C455" s="121">
        <v>1</v>
      </c>
      <c r="D455" s="121" t="s">
        <v>1117</v>
      </c>
      <c r="E455" s="125">
        <v>44849</v>
      </c>
      <c r="F455" s="121" t="s">
        <v>1118</v>
      </c>
      <c r="G455" s="121" t="s">
        <v>1119</v>
      </c>
      <c r="H455" s="121">
        <v>0.25779999999999997</v>
      </c>
      <c r="I455" s="121" t="s">
        <v>1174</v>
      </c>
      <c r="J455" s="121" t="s">
        <v>96</v>
      </c>
      <c r="K455" s="121">
        <v>13961</v>
      </c>
      <c r="L455" s="122">
        <v>37</v>
      </c>
      <c r="M455" s="126">
        <v>0.25779999999999997</v>
      </c>
      <c r="N455" s="127">
        <f t="shared" si="7"/>
        <v>9.5385999999999989</v>
      </c>
    </row>
    <row r="456" spans="1:14">
      <c r="A456" s="121" t="s">
        <v>2062</v>
      </c>
      <c r="B456" s="121" t="s">
        <v>2063</v>
      </c>
      <c r="C456" s="121">
        <v>1</v>
      </c>
      <c r="D456" s="121" t="s">
        <v>1225</v>
      </c>
      <c r="E456" s="125">
        <v>44773</v>
      </c>
      <c r="F456" s="121" t="s">
        <v>1154</v>
      </c>
      <c r="G456" s="121" t="s">
        <v>1155</v>
      </c>
      <c r="H456" s="121">
        <v>1.5E-3</v>
      </c>
      <c r="I456" s="121" t="s">
        <v>1174</v>
      </c>
      <c r="J456" s="121" t="s">
        <v>96</v>
      </c>
      <c r="K456" s="121">
        <v>4689</v>
      </c>
      <c r="L456" s="122">
        <v>41</v>
      </c>
      <c r="M456" s="126">
        <v>1.5E-3</v>
      </c>
      <c r="N456" s="127">
        <f t="shared" si="7"/>
        <v>6.1499999999999999E-2</v>
      </c>
    </row>
    <row r="457" spans="1:14">
      <c r="A457" s="121" t="s">
        <v>2064</v>
      </c>
      <c r="B457" s="121" t="s">
        <v>2065</v>
      </c>
      <c r="C457" s="121">
        <v>1</v>
      </c>
      <c r="D457" s="121" t="s">
        <v>1117</v>
      </c>
      <c r="E457" s="125">
        <v>44793</v>
      </c>
      <c r="F457" s="121" t="s">
        <v>1118</v>
      </c>
      <c r="G457" s="121" t="s">
        <v>1119</v>
      </c>
      <c r="H457" s="121">
        <v>0.13550000000000001</v>
      </c>
      <c r="I457" s="121" t="s">
        <v>1174</v>
      </c>
      <c r="J457" s="121" t="s">
        <v>96</v>
      </c>
      <c r="K457" s="121">
        <v>28307</v>
      </c>
      <c r="L457" s="122">
        <v>38</v>
      </c>
      <c r="M457" s="126">
        <v>0.13550000000000001</v>
      </c>
      <c r="N457" s="127">
        <f t="shared" si="7"/>
        <v>5.149</v>
      </c>
    </row>
    <row r="458" spans="1:14">
      <c r="A458" s="121" t="s">
        <v>2066</v>
      </c>
      <c r="B458" s="121" t="s">
        <v>2067</v>
      </c>
      <c r="C458" s="121">
        <v>1</v>
      </c>
      <c r="D458" s="121" t="s">
        <v>1123</v>
      </c>
      <c r="E458" s="125">
        <v>44726</v>
      </c>
      <c r="F458" s="121" t="s">
        <v>1149</v>
      </c>
      <c r="G458" s="121" t="s">
        <v>1150</v>
      </c>
      <c r="H458" s="121">
        <v>0.13089999999999999</v>
      </c>
      <c r="I458" s="121" t="s">
        <v>1174</v>
      </c>
      <c r="J458" s="121" t="s">
        <v>96</v>
      </c>
      <c r="K458" s="121">
        <v>14832</v>
      </c>
      <c r="L458" s="122">
        <v>45</v>
      </c>
      <c r="M458" s="126">
        <v>0.13150000000000001</v>
      </c>
      <c r="N458" s="127">
        <f t="shared" si="7"/>
        <v>5.9175000000000004</v>
      </c>
    </row>
    <row r="459" spans="1:14">
      <c r="A459" s="121" t="s">
        <v>2068</v>
      </c>
      <c r="B459" s="121" t="s">
        <v>2069</v>
      </c>
      <c r="C459" s="121">
        <v>1</v>
      </c>
      <c r="D459" s="121" t="s">
        <v>2070</v>
      </c>
      <c r="E459" s="125">
        <v>44809</v>
      </c>
      <c r="F459" s="121" t="s">
        <v>1154</v>
      </c>
      <c r="G459" s="121" t="s">
        <v>1155</v>
      </c>
      <c r="H459" s="121">
        <v>4.19E-2</v>
      </c>
      <c r="I459" s="121" t="s">
        <v>1174</v>
      </c>
      <c r="J459" s="121" t="s">
        <v>96</v>
      </c>
      <c r="K459" s="121">
        <v>5229</v>
      </c>
      <c r="L459" s="122">
        <v>44</v>
      </c>
      <c r="M459" s="126">
        <v>4.19E-2</v>
      </c>
      <c r="N459" s="127">
        <f t="shared" si="7"/>
        <v>1.8435999999999999</v>
      </c>
    </row>
    <row r="460" spans="1:14">
      <c r="A460" s="121" t="s">
        <v>2071</v>
      </c>
      <c r="B460" s="121" t="s">
        <v>2072</v>
      </c>
      <c r="C460" s="121">
        <v>1</v>
      </c>
      <c r="D460" s="121" t="s">
        <v>1552</v>
      </c>
      <c r="E460" s="125">
        <v>44749</v>
      </c>
      <c r="F460" s="121" t="s">
        <v>1118</v>
      </c>
      <c r="G460" s="121" t="s">
        <v>2041</v>
      </c>
      <c r="H460" s="121">
        <v>1.0241</v>
      </c>
      <c r="I460" s="121" t="s">
        <v>1174</v>
      </c>
      <c r="J460" s="121" t="s">
        <v>96</v>
      </c>
      <c r="K460" s="121">
        <v>23110</v>
      </c>
      <c r="L460" s="122">
        <v>39</v>
      </c>
      <c r="M460" s="126">
        <v>0.32819999999999999</v>
      </c>
      <c r="N460" s="127">
        <f t="shared" si="7"/>
        <v>12.799799999999999</v>
      </c>
    </row>
    <row r="461" spans="1:14">
      <c r="A461" s="121" t="s">
        <v>2071</v>
      </c>
      <c r="B461" s="121" t="s">
        <v>2072</v>
      </c>
      <c r="C461" s="121">
        <v>1</v>
      </c>
      <c r="D461" s="121" t="s">
        <v>1552</v>
      </c>
      <c r="E461" s="125">
        <v>44749</v>
      </c>
      <c r="F461" s="121" t="s">
        <v>1118</v>
      </c>
      <c r="G461" s="121" t="s">
        <v>2041</v>
      </c>
      <c r="H461" s="121">
        <v>1.0241</v>
      </c>
      <c r="I461" s="121" t="s">
        <v>1174</v>
      </c>
      <c r="J461" s="121" t="s">
        <v>96</v>
      </c>
      <c r="K461" s="121">
        <v>23303</v>
      </c>
      <c r="L461" s="122">
        <v>38</v>
      </c>
      <c r="M461" s="126">
        <v>2.6599999999999999E-2</v>
      </c>
      <c r="N461" s="127">
        <f t="shared" si="7"/>
        <v>1.0107999999999999</v>
      </c>
    </row>
    <row r="462" spans="1:14">
      <c r="A462" s="121" t="s">
        <v>2071</v>
      </c>
      <c r="B462" s="121" t="s">
        <v>2072</v>
      </c>
      <c r="C462" s="121">
        <v>1</v>
      </c>
      <c r="D462" s="121" t="s">
        <v>1552</v>
      </c>
      <c r="E462" s="125">
        <v>44749</v>
      </c>
      <c r="F462" s="121" t="s">
        <v>1118</v>
      </c>
      <c r="G462" s="121" t="s">
        <v>2041</v>
      </c>
      <c r="H462" s="121">
        <v>1.0241</v>
      </c>
      <c r="I462" s="121" t="s">
        <v>1174</v>
      </c>
      <c r="J462" s="121" t="s">
        <v>96</v>
      </c>
      <c r="K462" s="121">
        <v>23544</v>
      </c>
      <c r="L462" s="122">
        <v>41</v>
      </c>
      <c r="M462" s="126">
        <v>0.66930000000000001</v>
      </c>
      <c r="N462" s="127">
        <f t="shared" si="7"/>
        <v>27.441300000000002</v>
      </c>
    </row>
    <row r="463" spans="1:14">
      <c r="A463" s="121" t="s">
        <v>2073</v>
      </c>
      <c r="B463" s="121" t="s">
        <v>2074</v>
      </c>
      <c r="C463" s="121">
        <v>1</v>
      </c>
      <c r="D463" s="121" t="s">
        <v>1123</v>
      </c>
      <c r="E463" s="125">
        <v>44795</v>
      </c>
      <c r="F463" s="121" t="s">
        <v>1124</v>
      </c>
      <c r="G463" s="121" t="s">
        <v>1124</v>
      </c>
      <c r="H463" s="121">
        <v>8.9599999999999999E-2</v>
      </c>
      <c r="I463" s="121" t="s">
        <v>1174</v>
      </c>
      <c r="J463" s="121" t="s">
        <v>96</v>
      </c>
      <c r="K463" s="121">
        <v>5052</v>
      </c>
      <c r="L463" s="122">
        <v>42</v>
      </c>
      <c r="M463" s="126">
        <v>8.9599999999999999E-2</v>
      </c>
      <c r="N463" s="127">
        <f t="shared" si="7"/>
        <v>3.7631999999999999</v>
      </c>
    </row>
    <row r="464" spans="1:14">
      <c r="A464" s="121" t="s">
        <v>2075</v>
      </c>
      <c r="B464" s="121" t="s">
        <v>2076</v>
      </c>
      <c r="C464" s="121">
        <v>1</v>
      </c>
      <c r="D464" s="121" t="s">
        <v>1117</v>
      </c>
      <c r="E464" s="125">
        <v>44757</v>
      </c>
      <c r="F464" s="121" t="s">
        <v>1118</v>
      </c>
      <c r="G464" s="121" t="s">
        <v>1119</v>
      </c>
      <c r="H464" s="121">
        <v>6.9900000000000004E-2</v>
      </c>
      <c r="I464" s="121" t="s">
        <v>1174</v>
      </c>
      <c r="J464" s="121" t="s">
        <v>96</v>
      </c>
      <c r="K464" s="121">
        <v>16142</v>
      </c>
      <c r="L464" s="122">
        <v>46</v>
      </c>
      <c r="M464" s="126">
        <v>6.9900000000000004E-2</v>
      </c>
      <c r="N464" s="127">
        <f t="shared" si="7"/>
        <v>3.2154000000000003</v>
      </c>
    </row>
    <row r="465" spans="1:14">
      <c r="A465" s="121" t="s">
        <v>2077</v>
      </c>
      <c r="B465" s="121" t="s">
        <v>2078</v>
      </c>
      <c r="C465" s="121">
        <v>1</v>
      </c>
      <c r="D465" s="121" t="s">
        <v>1456</v>
      </c>
      <c r="E465" s="125">
        <v>44833</v>
      </c>
      <c r="F465" s="121" t="s">
        <v>1154</v>
      </c>
      <c r="G465" s="121" t="s">
        <v>1155</v>
      </c>
      <c r="H465" s="121">
        <v>0.21579999999999999</v>
      </c>
      <c r="I465" s="121" t="s">
        <v>1174</v>
      </c>
      <c r="J465" s="121" t="s">
        <v>96</v>
      </c>
      <c r="K465" s="121">
        <v>5053</v>
      </c>
      <c r="L465" s="122">
        <v>41</v>
      </c>
      <c r="M465" s="126">
        <v>0.21579999999999999</v>
      </c>
      <c r="N465" s="127">
        <f t="shared" si="7"/>
        <v>8.8477999999999994</v>
      </c>
    </row>
    <row r="466" spans="1:14">
      <c r="A466" s="121" t="s">
        <v>2079</v>
      </c>
      <c r="B466" s="121" t="s">
        <v>2080</v>
      </c>
      <c r="C466" s="121">
        <v>1</v>
      </c>
      <c r="D466" s="121" t="s">
        <v>1220</v>
      </c>
      <c r="E466" s="125">
        <v>44799</v>
      </c>
      <c r="F466" s="121" t="s">
        <v>1118</v>
      </c>
      <c r="G466" s="121" t="s">
        <v>1131</v>
      </c>
      <c r="H466" s="121">
        <v>6.3600000000000004E-2</v>
      </c>
      <c r="I466" s="121" t="s">
        <v>1174</v>
      </c>
      <c r="J466" s="121" t="s">
        <v>96</v>
      </c>
      <c r="K466" s="121">
        <v>36814</v>
      </c>
      <c r="L466" s="122">
        <v>57</v>
      </c>
      <c r="M466" s="126">
        <v>6.3600000000000004E-2</v>
      </c>
      <c r="N466" s="127">
        <f t="shared" si="7"/>
        <v>3.6252000000000004</v>
      </c>
    </row>
    <row r="467" spans="1:14">
      <c r="A467" s="121" t="s">
        <v>2081</v>
      </c>
      <c r="B467" s="121" t="s">
        <v>2082</v>
      </c>
      <c r="C467" s="121">
        <v>1</v>
      </c>
      <c r="D467" s="121" t="s">
        <v>1117</v>
      </c>
      <c r="E467" s="125">
        <v>44795</v>
      </c>
      <c r="F467" s="121" t="s">
        <v>1124</v>
      </c>
      <c r="G467" s="121" t="s">
        <v>1124</v>
      </c>
      <c r="H467" s="121">
        <v>5.3499999999999999E-2</v>
      </c>
      <c r="I467" s="121" t="s">
        <v>1174</v>
      </c>
      <c r="J467" s="121" t="s">
        <v>96</v>
      </c>
      <c r="K467" s="121">
        <v>16142</v>
      </c>
      <c r="L467" s="122">
        <v>46</v>
      </c>
      <c r="M467" s="126">
        <v>5.3499999999999999E-2</v>
      </c>
      <c r="N467" s="127">
        <f t="shared" si="7"/>
        <v>2.4609999999999999</v>
      </c>
    </row>
    <row r="468" spans="1:14">
      <c r="A468" s="121" t="s">
        <v>2083</v>
      </c>
      <c r="B468" s="121" t="s">
        <v>2084</v>
      </c>
      <c r="C468" s="121">
        <v>1</v>
      </c>
      <c r="D468" s="121" t="s">
        <v>1637</v>
      </c>
      <c r="E468" s="125">
        <v>44795</v>
      </c>
      <c r="F468" s="121" t="s">
        <v>1118</v>
      </c>
      <c r="G468" s="121" t="s">
        <v>1177</v>
      </c>
      <c r="H468" s="121">
        <v>7.3700000000000002E-2</v>
      </c>
      <c r="I468" s="121" t="s">
        <v>1174</v>
      </c>
      <c r="J468" s="121" t="s">
        <v>96</v>
      </c>
      <c r="K468" s="121">
        <v>21729</v>
      </c>
      <c r="L468" s="122">
        <v>38</v>
      </c>
      <c r="M468" s="126">
        <v>2.06E-2</v>
      </c>
      <c r="N468" s="127">
        <f t="shared" si="7"/>
        <v>0.78280000000000005</v>
      </c>
    </row>
    <row r="469" spans="1:14">
      <c r="A469" s="121" t="s">
        <v>2083</v>
      </c>
      <c r="B469" s="121" t="s">
        <v>2084</v>
      </c>
      <c r="C469" s="121">
        <v>1</v>
      </c>
      <c r="D469" s="121" t="s">
        <v>1637</v>
      </c>
      <c r="E469" s="125">
        <v>44795</v>
      </c>
      <c r="F469" s="121" t="s">
        <v>1118</v>
      </c>
      <c r="G469" s="121" t="s">
        <v>1177</v>
      </c>
      <c r="H469" s="121">
        <v>7.3700000000000002E-2</v>
      </c>
      <c r="I469" s="121" t="s">
        <v>1174</v>
      </c>
      <c r="J469" s="121" t="s">
        <v>96</v>
      </c>
      <c r="K469" s="121">
        <v>21730</v>
      </c>
      <c r="L469" s="122">
        <v>41</v>
      </c>
      <c r="M469" s="126">
        <v>5.3100000000000001E-2</v>
      </c>
      <c r="N469" s="127">
        <f t="shared" si="7"/>
        <v>2.1771000000000003</v>
      </c>
    </row>
    <row r="470" spans="1:14">
      <c r="A470" s="121" t="s">
        <v>2085</v>
      </c>
      <c r="B470" s="121" t="s">
        <v>2086</v>
      </c>
      <c r="C470" s="121">
        <v>1</v>
      </c>
      <c r="D470" s="121" t="s">
        <v>1252</v>
      </c>
      <c r="E470" s="125">
        <v>44783</v>
      </c>
      <c r="F470" s="121" t="s">
        <v>1118</v>
      </c>
      <c r="G470" s="121" t="s">
        <v>1131</v>
      </c>
      <c r="H470" s="121">
        <v>0.51939999999999997</v>
      </c>
      <c r="I470" s="121" t="s">
        <v>1174</v>
      </c>
      <c r="J470" s="121" t="s">
        <v>96</v>
      </c>
      <c r="K470" s="121">
        <v>14477</v>
      </c>
      <c r="L470" s="122">
        <v>48</v>
      </c>
      <c r="M470" s="126">
        <v>0.51939999999999997</v>
      </c>
      <c r="N470" s="127">
        <f t="shared" si="7"/>
        <v>24.931199999999997</v>
      </c>
    </row>
    <row r="471" spans="1:14">
      <c r="A471" s="121" t="s">
        <v>2087</v>
      </c>
      <c r="B471" s="121" t="s">
        <v>2088</v>
      </c>
      <c r="C471" s="121">
        <v>1</v>
      </c>
      <c r="D471" s="121" t="s">
        <v>2089</v>
      </c>
      <c r="E471" s="125">
        <v>44693</v>
      </c>
      <c r="F471" s="121" t="s">
        <v>1118</v>
      </c>
      <c r="G471" s="121" t="s">
        <v>1143</v>
      </c>
      <c r="H471" s="121">
        <v>0.4632</v>
      </c>
      <c r="I471" s="121" t="s">
        <v>1174</v>
      </c>
      <c r="J471" s="121" t="s">
        <v>96</v>
      </c>
      <c r="K471" s="121">
        <v>14477</v>
      </c>
      <c r="L471" s="122">
        <v>48</v>
      </c>
      <c r="M471" s="126">
        <v>0.4632</v>
      </c>
      <c r="N471" s="127">
        <f t="shared" si="7"/>
        <v>22.233599999999999</v>
      </c>
    </row>
    <row r="472" spans="1:14">
      <c r="A472" s="121" t="s">
        <v>2090</v>
      </c>
      <c r="B472" s="121" t="s">
        <v>2091</v>
      </c>
      <c r="C472" s="121">
        <v>1</v>
      </c>
      <c r="D472" s="121" t="s">
        <v>1130</v>
      </c>
      <c r="E472" s="125">
        <v>44795</v>
      </c>
      <c r="F472" s="121" t="s">
        <v>1124</v>
      </c>
      <c r="G472" s="121" t="s">
        <v>1124</v>
      </c>
      <c r="H472" s="121">
        <v>5.5199999999999999E-2</v>
      </c>
      <c r="I472" s="121" t="s">
        <v>1174</v>
      </c>
      <c r="J472" s="121" t="s">
        <v>96</v>
      </c>
      <c r="K472" s="121">
        <v>16142</v>
      </c>
      <c r="L472" s="122">
        <v>46</v>
      </c>
      <c r="M472" s="126">
        <v>5.5199999999999999E-2</v>
      </c>
      <c r="N472" s="127">
        <f t="shared" si="7"/>
        <v>2.5392000000000001</v>
      </c>
    </row>
    <row r="473" spans="1:14">
      <c r="A473" s="121" t="s">
        <v>2092</v>
      </c>
      <c r="B473" s="121" t="s">
        <v>2093</v>
      </c>
      <c r="C473" s="121">
        <v>1</v>
      </c>
      <c r="D473" s="121" t="s">
        <v>1123</v>
      </c>
      <c r="E473" s="125">
        <v>44795</v>
      </c>
      <c r="F473" s="121" t="s">
        <v>1124</v>
      </c>
      <c r="G473" s="121" t="s">
        <v>1124</v>
      </c>
      <c r="H473" s="121">
        <v>0.13220000000000001</v>
      </c>
      <c r="I473" s="121" t="s">
        <v>1174</v>
      </c>
      <c r="J473" s="121" t="s">
        <v>96</v>
      </c>
      <c r="K473" s="121">
        <v>15947</v>
      </c>
      <c r="L473" s="122">
        <v>36</v>
      </c>
      <c r="M473" s="126">
        <v>3.9E-2</v>
      </c>
      <c r="N473" s="127">
        <f t="shared" si="7"/>
        <v>1.4039999999999999</v>
      </c>
    </row>
    <row r="474" spans="1:14">
      <c r="A474" s="121" t="s">
        <v>2092</v>
      </c>
      <c r="B474" s="121" t="s">
        <v>2093</v>
      </c>
      <c r="C474" s="121">
        <v>1</v>
      </c>
      <c r="D474" s="121" t="s">
        <v>1123</v>
      </c>
      <c r="E474" s="125">
        <v>44795</v>
      </c>
      <c r="F474" s="121" t="s">
        <v>1124</v>
      </c>
      <c r="G474" s="121" t="s">
        <v>1124</v>
      </c>
      <c r="H474" s="121">
        <v>0.13220000000000001</v>
      </c>
      <c r="I474" s="121" t="s">
        <v>1174</v>
      </c>
      <c r="J474" s="121" t="s">
        <v>96</v>
      </c>
      <c r="K474" s="121">
        <v>16141</v>
      </c>
      <c r="L474" s="122">
        <v>43</v>
      </c>
      <c r="M474" s="126">
        <v>9.3200000000000005E-2</v>
      </c>
      <c r="N474" s="127">
        <f t="shared" si="7"/>
        <v>4.0076000000000001</v>
      </c>
    </row>
    <row r="475" spans="1:14">
      <c r="A475" s="121" t="s">
        <v>2094</v>
      </c>
      <c r="B475" s="121" t="s">
        <v>2095</v>
      </c>
      <c r="C475" s="121">
        <v>1</v>
      </c>
      <c r="D475" s="121" t="s">
        <v>1123</v>
      </c>
      <c r="E475" s="125">
        <v>44824</v>
      </c>
      <c r="F475" s="121" t="s">
        <v>1118</v>
      </c>
      <c r="G475" s="121" t="s">
        <v>1131</v>
      </c>
      <c r="H475" s="121">
        <v>2.63E-2</v>
      </c>
      <c r="I475" s="121" t="s">
        <v>1174</v>
      </c>
      <c r="J475" s="121" t="s">
        <v>96</v>
      </c>
      <c r="K475" s="121">
        <v>14832</v>
      </c>
      <c r="L475" s="122">
        <v>45</v>
      </c>
      <c r="M475" s="126">
        <v>2.63E-2</v>
      </c>
      <c r="N475" s="127">
        <f t="shared" si="7"/>
        <v>1.1835</v>
      </c>
    </row>
    <row r="476" spans="1:14">
      <c r="A476" s="121" t="s">
        <v>2096</v>
      </c>
      <c r="B476" s="121" t="s">
        <v>2097</v>
      </c>
      <c r="C476" s="121">
        <v>1</v>
      </c>
      <c r="D476" s="121" t="s">
        <v>1117</v>
      </c>
      <c r="E476" s="125">
        <v>44795</v>
      </c>
      <c r="F476" s="121" t="s">
        <v>1124</v>
      </c>
      <c r="G476" s="121" t="s">
        <v>1124</v>
      </c>
      <c r="H476" s="121">
        <v>6.5799999999999997E-2</v>
      </c>
      <c r="I476" s="121" t="s">
        <v>1174</v>
      </c>
      <c r="J476" s="121" t="s">
        <v>96</v>
      </c>
      <c r="K476" s="121">
        <v>16142</v>
      </c>
      <c r="L476" s="122">
        <v>46</v>
      </c>
      <c r="M476" s="126">
        <v>6.5799999999999997E-2</v>
      </c>
      <c r="N476" s="127">
        <f t="shared" si="7"/>
        <v>3.0267999999999997</v>
      </c>
    </row>
    <row r="477" spans="1:14">
      <c r="A477" s="121" t="s">
        <v>2098</v>
      </c>
      <c r="B477" s="121" t="s">
        <v>1278</v>
      </c>
      <c r="C477" s="121">
        <v>1</v>
      </c>
      <c r="D477" s="121" t="s">
        <v>1203</v>
      </c>
      <c r="E477" s="125">
        <v>44828</v>
      </c>
      <c r="F477" s="121" t="s">
        <v>1118</v>
      </c>
      <c r="G477" s="121" t="s">
        <v>1119</v>
      </c>
      <c r="H477" s="121">
        <v>0.16120000000000001</v>
      </c>
      <c r="I477" s="121" t="s">
        <v>1174</v>
      </c>
      <c r="J477" s="121" t="s">
        <v>96</v>
      </c>
      <c r="K477" s="121">
        <v>14475</v>
      </c>
      <c r="L477" s="122">
        <v>46</v>
      </c>
      <c r="M477" s="126">
        <v>0.16120000000000001</v>
      </c>
      <c r="N477" s="127">
        <f t="shared" si="7"/>
        <v>7.4152000000000005</v>
      </c>
    </row>
    <row r="478" spans="1:14">
      <c r="A478" s="121" t="s">
        <v>2099</v>
      </c>
      <c r="B478" s="121" t="s">
        <v>2100</v>
      </c>
      <c r="C478" s="121">
        <v>1</v>
      </c>
      <c r="D478" s="121" t="s">
        <v>1130</v>
      </c>
      <c r="E478" s="125">
        <v>44795</v>
      </c>
      <c r="F478" s="121" t="s">
        <v>1118</v>
      </c>
      <c r="G478" s="121" t="s">
        <v>1325</v>
      </c>
      <c r="H478" s="121">
        <v>3.7199999999999997E-2</v>
      </c>
      <c r="I478" s="121" t="s">
        <v>1174</v>
      </c>
      <c r="J478" s="121" t="s">
        <v>96</v>
      </c>
      <c r="K478" s="121">
        <v>23496</v>
      </c>
      <c r="L478" s="122">
        <v>47</v>
      </c>
      <c r="M478" s="126">
        <v>3.7199999999999997E-2</v>
      </c>
      <c r="N478" s="127">
        <f t="shared" si="7"/>
        <v>1.7484</v>
      </c>
    </row>
    <row r="479" spans="1:14">
      <c r="A479" s="121" t="s">
        <v>2101</v>
      </c>
      <c r="B479" s="121" t="s">
        <v>2102</v>
      </c>
      <c r="C479" s="121">
        <v>1</v>
      </c>
      <c r="D479" s="121" t="s">
        <v>1117</v>
      </c>
      <c r="E479" s="125">
        <v>44702</v>
      </c>
      <c r="F479" s="121" t="s">
        <v>1118</v>
      </c>
      <c r="G479" s="121" t="s">
        <v>1131</v>
      </c>
      <c r="H479" s="121">
        <v>1.37E-2</v>
      </c>
      <c r="I479" s="121" t="s">
        <v>1174</v>
      </c>
      <c r="J479" s="121" t="s">
        <v>96</v>
      </c>
      <c r="K479" s="121">
        <v>35866</v>
      </c>
      <c r="L479" s="122">
        <v>46</v>
      </c>
      <c r="M479" s="126">
        <v>1.37E-2</v>
      </c>
      <c r="N479" s="127">
        <f t="shared" si="7"/>
        <v>0.63019999999999998</v>
      </c>
    </row>
    <row r="480" spans="1:14">
      <c r="A480" s="121" t="s">
        <v>2103</v>
      </c>
      <c r="B480" s="121" t="s">
        <v>2104</v>
      </c>
      <c r="C480" s="121">
        <v>1</v>
      </c>
      <c r="D480" s="121" t="s">
        <v>1117</v>
      </c>
      <c r="E480" s="125">
        <v>44828</v>
      </c>
      <c r="F480" s="121" t="s">
        <v>1118</v>
      </c>
      <c r="G480" s="121" t="s">
        <v>1119</v>
      </c>
      <c r="H480" s="121">
        <v>0.29120000000000001</v>
      </c>
      <c r="I480" s="121" t="s">
        <v>1174</v>
      </c>
      <c r="J480" s="121" t="s">
        <v>96</v>
      </c>
      <c r="K480" s="121">
        <v>28809</v>
      </c>
      <c r="L480" s="122">
        <v>38</v>
      </c>
      <c r="M480" s="126">
        <v>0.29120000000000001</v>
      </c>
      <c r="N480" s="127">
        <f t="shared" si="7"/>
        <v>11.0656</v>
      </c>
    </row>
    <row r="481" spans="1:14">
      <c r="A481" s="121" t="s">
        <v>2105</v>
      </c>
      <c r="B481" s="121" t="s">
        <v>2106</v>
      </c>
      <c r="C481" s="121">
        <v>1</v>
      </c>
      <c r="D481" s="121" t="s">
        <v>1123</v>
      </c>
      <c r="E481" s="125">
        <v>44795</v>
      </c>
      <c r="F481" s="121" t="s">
        <v>1118</v>
      </c>
      <c r="G481" s="121" t="s">
        <v>1265</v>
      </c>
      <c r="H481" s="121">
        <v>0.1782</v>
      </c>
      <c r="I481" s="121" t="s">
        <v>1174</v>
      </c>
      <c r="J481" s="121" t="s">
        <v>96</v>
      </c>
      <c r="K481" s="121">
        <v>22345</v>
      </c>
      <c r="L481" s="122">
        <v>39</v>
      </c>
      <c r="M481" s="126">
        <v>0.1782</v>
      </c>
      <c r="N481" s="127">
        <f t="shared" si="7"/>
        <v>6.9497999999999998</v>
      </c>
    </row>
    <row r="482" spans="1:14">
      <c r="A482" s="121" t="s">
        <v>2107</v>
      </c>
      <c r="B482" s="121" t="s">
        <v>2108</v>
      </c>
      <c r="C482" s="121">
        <v>1</v>
      </c>
      <c r="D482" s="121" t="s">
        <v>1352</v>
      </c>
      <c r="E482" s="125">
        <v>44795</v>
      </c>
      <c r="F482" s="121" t="s">
        <v>1124</v>
      </c>
      <c r="G482" s="121" t="s">
        <v>1124</v>
      </c>
      <c r="H482" s="121">
        <v>1.4800000000000001E-2</v>
      </c>
      <c r="I482" s="121" t="s">
        <v>1174</v>
      </c>
      <c r="J482" s="121" t="s">
        <v>96</v>
      </c>
      <c r="K482" s="121">
        <v>16713</v>
      </c>
      <c r="L482" s="122">
        <v>42</v>
      </c>
      <c r="M482" s="126">
        <v>1.4800000000000001E-2</v>
      </c>
      <c r="N482" s="127">
        <f t="shared" si="7"/>
        <v>0.62160000000000004</v>
      </c>
    </row>
    <row r="483" spans="1:14">
      <c r="A483" s="121" t="s">
        <v>2109</v>
      </c>
      <c r="B483" s="121" t="s">
        <v>1296</v>
      </c>
      <c r="C483" s="121">
        <v>1</v>
      </c>
      <c r="D483" s="121" t="s">
        <v>1163</v>
      </c>
      <c r="E483" s="125">
        <v>44849</v>
      </c>
      <c r="F483" s="121" t="s">
        <v>1118</v>
      </c>
      <c r="G483" s="121" t="s">
        <v>1124</v>
      </c>
      <c r="H483" s="121">
        <v>0.2344</v>
      </c>
      <c r="I483" s="121" t="s">
        <v>1174</v>
      </c>
      <c r="J483" s="121" t="s">
        <v>96</v>
      </c>
      <c r="K483" s="121">
        <v>14477</v>
      </c>
      <c r="L483" s="122">
        <v>48</v>
      </c>
      <c r="M483" s="126">
        <v>0.2344</v>
      </c>
      <c r="N483" s="127">
        <f t="shared" si="7"/>
        <v>11.251200000000001</v>
      </c>
    </row>
    <row r="484" spans="1:14">
      <c r="A484" s="121" t="s">
        <v>2110</v>
      </c>
      <c r="B484" s="121" t="s">
        <v>2111</v>
      </c>
      <c r="C484" s="121">
        <v>1</v>
      </c>
      <c r="D484" s="121" t="s">
        <v>1117</v>
      </c>
      <c r="E484" s="125">
        <v>44709</v>
      </c>
      <c r="F484" s="121" t="s">
        <v>1118</v>
      </c>
      <c r="G484" s="121" t="s">
        <v>1131</v>
      </c>
      <c r="H484" s="121">
        <v>0.1085</v>
      </c>
      <c r="I484" s="121" t="s">
        <v>1174</v>
      </c>
      <c r="J484" s="121" t="s">
        <v>96</v>
      </c>
      <c r="K484" s="121">
        <v>14832</v>
      </c>
      <c r="L484" s="122">
        <v>45</v>
      </c>
      <c r="M484" s="126">
        <v>0.1085</v>
      </c>
      <c r="N484" s="127">
        <f t="shared" si="7"/>
        <v>4.8825000000000003</v>
      </c>
    </row>
    <row r="485" spans="1:14">
      <c r="A485" s="121" t="s">
        <v>2112</v>
      </c>
      <c r="B485" s="121" t="s">
        <v>2113</v>
      </c>
      <c r="C485" s="121">
        <v>1</v>
      </c>
      <c r="D485" s="121" t="s">
        <v>2114</v>
      </c>
      <c r="E485" s="125">
        <v>44795</v>
      </c>
      <c r="F485" s="121" t="s">
        <v>1124</v>
      </c>
      <c r="G485" s="121" t="s">
        <v>1124</v>
      </c>
      <c r="H485" s="121">
        <v>9.3600000000000003E-2</v>
      </c>
      <c r="I485" s="121" t="s">
        <v>1174</v>
      </c>
      <c r="J485" s="121" t="s">
        <v>96</v>
      </c>
      <c r="K485" s="121">
        <v>22863</v>
      </c>
      <c r="L485" s="122">
        <v>47</v>
      </c>
      <c r="M485" s="126">
        <v>9.3600000000000003E-2</v>
      </c>
      <c r="N485" s="127">
        <f t="shared" si="7"/>
        <v>4.3992000000000004</v>
      </c>
    </row>
    <row r="486" spans="1:14">
      <c r="A486" s="121" t="s">
        <v>2115</v>
      </c>
      <c r="B486" s="121" t="s">
        <v>2116</v>
      </c>
      <c r="C486" s="121">
        <v>1</v>
      </c>
      <c r="D486" s="121" t="s">
        <v>1123</v>
      </c>
      <c r="E486" s="125">
        <v>44850</v>
      </c>
      <c r="F486" s="121" t="s">
        <v>1118</v>
      </c>
      <c r="G486" s="121" t="s">
        <v>1177</v>
      </c>
      <c r="H486" s="121">
        <v>0.1026</v>
      </c>
      <c r="I486" s="121" t="s">
        <v>1174</v>
      </c>
      <c r="J486" s="121" t="s">
        <v>96</v>
      </c>
      <c r="K486" s="121">
        <v>34662</v>
      </c>
      <c r="L486" s="122">
        <v>44</v>
      </c>
      <c r="M486" s="126">
        <v>0.1026</v>
      </c>
      <c r="N486" s="127">
        <f t="shared" si="7"/>
        <v>4.5144000000000002</v>
      </c>
    </row>
    <row r="487" spans="1:14">
      <c r="A487" s="121" t="s">
        <v>2117</v>
      </c>
      <c r="B487" s="121" t="s">
        <v>1116</v>
      </c>
      <c r="C487" s="121">
        <v>1</v>
      </c>
      <c r="D487" s="121" t="s">
        <v>1123</v>
      </c>
      <c r="E487" s="125">
        <v>44795</v>
      </c>
      <c r="F487" s="121" t="s">
        <v>1124</v>
      </c>
      <c r="G487" s="121" t="s">
        <v>1124</v>
      </c>
      <c r="H487" s="121">
        <v>1.9400000000000001E-2</v>
      </c>
      <c r="I487" s="121" t="s">
        <v>1174</v>
      </c>
      <c r="J487" s="121" t="s">
        <v>96</v>
      </c>
      <c r="K487" s="121">
        <v>16892</v>
      </c>
      <c r="L487" s="122">
        <v>40</v>
      </c>
      <c r="M487" s="126">
        <v>0</v>
      </c>
      <c r="N487" s="127">
        <f t="shared" si="7"/>
        <v>0</v>
      </c>
    </row>
    <row r="488" spans="1:14">
      <c r="A488" s="121" t="s">
        <v>2117</v>
      </c>
      <c r="B488" s="121" t="s">
        <v>1116</v>
      </c>
      <c r="C488" s="121">
        <v>1</v>
      </c>
      <c r="D488" s="121" t="s">
        <v>1123</v>
      </c>
      <c r="E488" s="125">
        <v>44795</v>
      </c>
      <c r="F488" s="121" t="s">
        <v>1124</v>
      </c>
      <c r="G488" s="121" t="s">
        <v>1124</v>
      </c>
      <c r="H488" s="121">
        <v>1.9400000000000001E-2</v>
      </c>
      <c r="I488" s="121" t="s">
        <v>1174</v>
      </c>
      <c r="J488" s="121" t="s">
        <v>96</v>
      </c>
      <c r="K488" s="121">
        <v>17308</v>
      </c>
      <c r="L488" s="122">
        <v>43</v>
      </c>
      <c r="M488" s="126">
        <v>1.9400000000000001E-2</v>
      </c>
      <c r="N488" s="127">
        <f t="shared" si="7"/>
        <v>0.83420000000000005</v>
      </c>
    </row>
    <row r="489" spans="1:14">
      <c r="A489" s="121" t="s">
        <v>2118</v>
      </c>
      <c r="B489" s="121" t="s">
        <v>2119</v>
      </c>
      <c r="C489" s="121">
        <v>1</v>
      </c>
      <c r="D489" s="121" t="s">
        <v>1117</v>
      </c>
      <c r="E489" s="125">
        <v>44795</v>
      </c>
      <c r="F489" s="121" t="s">
        <v>1118</v>
      </c>
      <c r="G489" s="121" t="s">
        <v>1119</v>
      </c>
      <c r="H489" s="121">
        <v>0.2409</v>
      </c>
      <c r="I489" s="121" t="s">
        <v>1174</v>
      </c>
      <c r="J489" s="121" t="s">
        <v>96</v>
      </c>
      <c r="K489" s="121">
        <v>17077</v>
      </c>
      <c r="L489" s="122">
        <v>36</v>
      </c>
      <c r="M489" s="126">
        <v>0.2409</v>
      </c>
      <c r="N489" s="127">
        <f t="shared" si="7"/>
        <v>8.6723999999999997</v>
      </c>
    </row>
    <row r="490" spans="1:14">
      <c r="A490" s="121" t="s">
        <v>2120</v>
      </c>
      <c r="B490" s="121" t="s">
        <v>2121</v>
      </c>
      <c r="C490" s="121">
        <v>1</v>
      </c>
      <c r="D490" s="121" t="s">
        <v>1123</v>
      </c>
      <c r="E490" s="125">
        <v>44719</v>
      </c>
      <c r="F490" s="121" t="s">
        <v>1149</v>
      </c>
      <c r="G490" s="121" t="s">
        <v>1150</v>
      </c>
      <c r="H490" s="121">
        <v>0.17680000000000001</v>
      </c>
      <c r="I490" s="121" t="s">
        <v>1174</v>
      </c>
      <c r="J490" s="121" t="s">
        <v>96</v>
      </c>
      <c r="K490" s="121">
        <v>40161</v>
      </c>
      <c r="L490" s="122">
        <v>33</v>
      </c>
      <c r="M490" s="126">
        <v>0.17680000000000001</v>
      </c>
      <c r="N490" s="127">
        <f t="shared" si="7"/>
        <v>5.8344000000000005</v>
      </c>
    </row>
    <row r="491" spans="1:14">
      <c r="A491" s="121" t="s">
        <v>2122</v>
      </c>
      <c r="B491" s="121" t="s">
        <v>2123</v>
      </c>
      <c r="C491" s="121">
        <v>1</v>
      </c>
      <c r="D491" s="121" t="s">
        <v>1412</v>
      </c>
      <c r="E491" s="125">
        <v>44828</v>
      </c>
      <c r="F491" s="121" t="s">
        <v>1154</v>
      </c>
      <c r="G491" s="121" t="s">
        <v>1155</v>
      </c>
      <c r="H491" s="121">
        <v>0.29199999999999998</v>
      </c>
      <c r="I491" s="121" t="s">
        <v>1174</v>
      </c>
      <c r="J491" s="121" t="s">
        <v>96</v>
      </c>
      <c r="K491" s="121">
        <v>6036</v>
      </c>
      <c r="L491" s="122">
        <v>40</v>
      </c>
      <c r="M491" s="126">
        <v>0.29199999999999998</v>
      </c>
      <c r="N491" s="127">
        <f t="shared" si="7"/>
        <v>11.68</v>
      </c>
    </row>
    <row r="492" spans="1:14">
      <c r="A492" s="121" t="s">
        <v>2124</v>
      </c>
      <c r="B492" s="121" t="s">
        <v>2125</v>
      </c>
      <c r="C492" s="121">
        <v>1</v>
      </c>
      <c r="D492" s="121" t="s">
        <v>2126</v>
      </c>
      <c r="E492" s="125">
        <v>44795</v>
      </c>
      <c r="F492" s="121" t="s">
        <v>1118</v>
      </c>
      <c r="G492" s="121" t="s">
        <v>1325</v>
      </c>
      <c r="H492" s="121">
        <v>1.9699999999999999E-2</v>
      </c>
      <c r="I492" s="121" t="s">
        <v>1174</v>
      </c>
      <c r="J492" s="121" t="s">
        <v>96</v>
      </c>
      <c r="K492" s="121">
        <v>23497</v>
      </c>
      <c r="L492" s="122">
        <v>51</v>
      </c>
      <c r="M492" s="126">
        <v>1.9699999999999999E-2</v>
      </c>
      <c r="N492" s="127">
        <f t="shared" si="7"/>
        <v>1.0046999999999999</v>
      </c>
    </row>
    <row r="493" spans="1:14">
      <c r="A493" s="121" t="s">
        <v>2127</v>
      </c>
      <c r="B493" s="121" t="s">
        <v>2128</v>
      </c>
      <c r="C493" s="121">
        <v>1</v>
      </c>
      <c r="D493" s="121" t="s">
        <v>1117</v>
      </c>
      <c r="E493" s="125">
        <v>44795</v>
      </c>
      <c r="F493" s="121" t="s">
        <v>1118</v>
      </c>
      <c r="G493" s="121" t="s">
        <v>1325</v>
      </c>
      <c r="H493" s="121">
        <v>3.0599999999999999E-2</v>
      </c>
      <c r="I493" s="121" t="s">
        <v>1174</v>
      </c>
      <c r="J493" s="121" t="s">
        <v>96</v>
      </c>
      <c r="K493" s="121">
        <v>23496</v>
      </c>
      <c r="L493" s="122">
        <v>47</v>
      </c>
      <c r="M493" s="126">
        <v>3.0599999999999999E-2</v>
      </c>
      <c r="N493" s="127">
        <f t="shared" si="7"/>
        <v>1.4381999999999999</v>
      </c>
    </row>
    <row r="494" spans="1:14">
      <c r="A494" s="121" t="s">
        <v>2129</v>
      </c>
      <c r="B494" s="121" t="s">
        <v>2130</v>
      </c>
      <c r="C494" s="121">
        <v>1</v>
      </c>
      <c r="D494" s="121" t="s">
        <v>1525</v>
      </c>
      <c r="E494" s="125">
        <v>44793</v>
      </c>
      <c r="F494" s="121" t="s">
        <v>1118</v>
      </c>
      <c r="G494" s="121" t="s">
        <v>1119</v>
      </c>
      <c r="H494" s="121">
        <v>9.2799999999999994E-2</v>
      </c>
      <c r="I494" s="121" t="s">
        <v>1174</v>
      </c>
      <c r="J494" s="121" t="s">
        <v>96</v>
      </c>
      <c r="K494" s="121">
        <v>16899</v>
      </c>
      <c r="L494" s="122">
        <v>31</v>
      </c>
      <c r="M494" s="126">
        <v>9.2799999999999994E-2</v>
      </c>
      <c r="N494" s="127">
        <f t="shared" si="7"/>
        <v>2.8767999999999998</v>
      </c>
    </row>
    <row r="495" spans="1:14">
      <c r="A495" s="121" t="s">
        <v>2131</v>
      </c>
      <c r="B495" s="121" t="s">
        <v>2132</v>
      </c>
      <c r="C495" s="121">
        <v>1</v>
      </c>
      <c r="D495" s="121" t="s">
        <v>1123</v>
      </c>
      <c r="E495" s="125">
        <v>44837</v>
      </c>
      <c r="F495" s="121" t="s">
        <v>1118</v>
      </c>
      <c r="G495" s="121" t="s">
        <v>1265</v>
      </c>
      <c r="H495" s="121">
        <v>0.2281</v>
      </c>
      <c r="I495" s="121" t="s">
        <v>1174</v>
      </c>
      <c r="J495" s="121" t="s">
        <v>96</v>
      </c>
      <c r="K495" s="121">
        <v>19235</v>
      </c>
      <c r="L495" s="122">
        <v>45</v>
      </c>
      <c r="M495" s="126">
        <v>0.2281</v>
      </c>
      <c r="N495" s="127">
        <f t="shared" si="7"/>
        <v>10.2645</v>
      </c>
    </row>
    <row r="496" spans="1:14">
      <c r="A496" s="121" t="s">
        <v>2133</v>
      </c>
      <c r="B496" s="121" t="s">
        <v>2134</v>
      </c>
      <c r="C496" s="121">
        <v>1</v>
      </c>
      <c r="D496" s="121" t="s">
        <v>1235</v>
      </c>
      <c r="E496" s="125">
        <v>44693</v>
      </c>
      <c r="F496" s="121" t="s">
        <v>1118</v>
      </c>
      <c r="G496" s="121" t="s">
        <v>1119</v>
      </c>
      <c r="H496" s="121">
        <v>0.2409</v>
      </c>
      <c r="I496" s="121" t="s">
        <v>1174</v>
      </c>
      <c r="J496" s="121" t="s">
        <v>96</v>
      </c>
      <c r="K496" s="121">
        <v>15777</v>
      </c>
      <c r="L496" s="122">
        <v>42</v>
      </c>
      <c r="M496" s="126">
        <v>0.2409</v>
      </c>
      <c r="N496" s="127">
        <f t="shared" si="7"/>
        <v>10.117800000000001</v>
      </c>
    </row>
    <row r="497" spans="1:14">
      <c r="A497" s="121" t="s">
        <v>2135</v>
      </c>
      <c r="B497" s="121" t="s">
        <v>2136</v>
      </c>
      <c r="C497" s="121">
        <v>1</v>
      </c>
      <c r="D497" s="121" t="s">
        <v>1187</v>
      </c>
      <c r="E497" s="125">
        <v>44795</v>
      </c>
      <c r="F497" s="121" t="s">
        <v>1118</v>
      </c>
      <c r="G497" s="121" t="s">
        <v>1119</v>
      </c>
      <c r="H497" s="121">
        <v>0.1245</v>
      </c>
      <c r="I497" s="121" t="s">
        <v>1174</v>
      </c>
      <c r="J497" s="121" t="s">
        <v>96</v>
      </c>
      <c r="K497" s="121">
        <v>16142</v>
      </c>
      <c r="L497" s="122">
        <v>46</v>
      </c>
      <c r="M497" s="126">
        <v>0.1245</v>
      </c>
      <c r="N497" s="127">
        <f t="shared" si="7"/>
        <v>5.7270000000000003</v>
      </c>
    </row>
    <row r="498" spans="1:14">
      <c r="A498" s="121" t="s">
        <v>2137</v>
      </c>
      <c r="B498" s="121" t="s">
        <v>2138</v>
      </c>
      <c r="C498" s="121">
        <v>1</v>
      </c>
      <c r="D498" s="121" t="s">
        <v>1123</v>
      </c>
      <c r="E498" s="125">
        <v>44765</v>
      </c>
      <c r="F498" s="121" t="s">
        <v>1118</v>
      </c>
      <c r="G498" s="121" t="s">
        <v>1131</v>
      </c>
      <c r="H498" s="121">
        <v>9.11E-2</v>
      </c>
      <c r="I498" s="121" t="s">
        <v>1174</v>
      </c>
      <c r="J498" s="121" t="s">
        <v>96</v>
      </c>
      <c r="K498" s="121">
        <v>28307</v>
      </c>
      <c r="L498" s="122">
        <v>38</v>
      </c>
      <c r="M498" s="126">
        <v>9.11E-2</v>
      </c>
      <c r="N498" s="127">
        <f t="shared" si="7"/>
        <v>3.4618000000000002</v>
      </c>
    </row>
    <row r="499" spans="1:14">
      <c r="A499" s="121" t="s">
        <v>2139</v>
      </c>
      <c r="B499" s="121" t="s">
        <v>2140</v>
      </c>
      <c r="C499" s="121">
        <v>1</v>
      </c>
      <c r="D499" s="121" t="s">
        <v>1863</v>
      </c>
      <c r="E499" s="125">
        <v>44776</v>
      </c>
      <c r="F499" s="121" t="s">
        <v>1154</v>
      </c>
      <c r="G499" s="121" t="s">
        <v>1155</v>
      </c>
      <c r="H499" s="121">
        <v>5.67E-2</v>
      </c>
      <c r="I499" s="121" t="s">
        <v>1174</v>
      </c>
      <c r="J499" s="121" t="s">
        <v>96</v>
      </c>
      <c r="K499" s="121">
        <v>5449</v>
      </c>
      <c r="L499" s="122">
        <v>34</v>
      </c>
      <c r="M499" s="126">
        <v>5.5500000000000001E-2</v>
      </c>
      <c r="N499" s="127">
        <f t="shared" si="7"/>
        <v>1.887</v>
      </c>
    </row>
    <row r="500" spans="1:14">
      <c r="A500" s="121" t="s">
        <v>2139</v>
      </c>
      <c r="B500" s="121" t="s">
        <v>2140</v>
      </c>
      <c r="C500" s="121">
        <v>1</v>
      </c>
      <c r="D500" s="121" t="s">
        <v>1863</v>
      </c>
      <c r="E500" s="125">
        <v>44776</v>
      </c>
      <c r="F500" s="121" t="s">
        <v>1154</v>
      </c>
      <c r="G500" s="121" t="s">
        <v>1155</v>
      </c>
      <c r="H500" s="121">
        <v>5.67E-2</v>
      </c>
      <c r="I500" s="121" t="s">
        <v>1174</v>
      </c>
      <c r="J500" s="121" t="s">
        <v>96</v>
      </c>
      <c r="K500" s="121">
        <v>5450</v>
      </c>
      <c r="L500" s="122">
        <v>40</v>
      </c>
      <c r="M500" s="126">
        <v>1.1999999999999999E-3</v>
      </c>
      <c r="N500" s="127">
        <f t="shared" si="7"/>
        <v>4.7999999999999994E-2</v>
      </c>
    </row>
    <row r="501" spans="1:14">
      <c r="A501" s="121" t="s">
        <v>2141</v>
      </c>
      <c r="B501" s="121" t="s">
        <v>2142</v>
      </c>
      <c r="C501" s="121">
        <v>1</v>
      </c>
      <c r="D501" s="121" t="s">
        <v>1552</v>
      </c>
      <c r="E501" s="125">
        <v>44816</v>
      </c>
      <c r="F501" s="121" t="s">
        <v>1154</v>
      </c>
      <c r="G501" s="121" t="s">
        <v>1155</v>
      </c>
      <c r="H501" s="121">
        <v>4.2599999999999999E-2</v>
      </c>
      <c r="I501" s="121" t="s">
        <v>1174</v>
      </c>
      <c r="J501" s="121" t="s">
        <v>96</v>
      </c>
      <c r="K501" s="121">
        <v>6036</v>
      </c>
      <c r="L501" s="122">
        <v>40</v>
      </c>
      <c r="M501" s="126">
        <v>4.2599999999999999E-2</v>
      </c>
      <c r="N501" s="127">
        <f t="shared" si="7"/>
        <v>1.704</v>
      </c>
    </row>
    <row r="502" spans="1:14">
      <c r="A502" s="121" t="s">
        <v>2143</v>
      </c>
      <c r="B502" s="121" t="s">
        <v>2144</v>
      </c>
      <c r="C502" s="121">
        <v>1</v>
      </c>
      <c r="D502" s="121" t="s">
        <v>1123</v>
      </c>
      <c r="E502" s="125">
        <v>44863</v>
      </c>
      <c r="F502" s="121" t="s">
        <v>1118</v>
      </c>
      <c r="G502" s="121" t="s">
        <v>1119</v>
      </c>
      <c r="H502" s="121">
        <v>0.1104</v>
      </c>
      <c r="I502" s="121" t="s">
        <v>1174</v>
      </c>
      <c r="J502" s="121" t="s">
        <v>96</v>
      </c>
      <c r="K502" s="121">
        <v>34101</v>
      </c>
      <c r="L502" s="122">
        <v>39</v>
      </c>
      <c r="M502" s="126">
        <v>0.11070000000000001</v>
      </c>
      <c r="N502" s="127">
        <f t="shared" si="7"/>
        <v>4.3173000000000004</v>
      </c>
    </row>
    <row r="503" spans="1:14">
      <c r="A503" s="121" t="s">
        <v>2145</v>
      </c>
      <c r="B503" s="121" t="s">
        <v>2146</v>
      </c>
      <c r="C503" s="121">
        <v>1</v>
      </c>
      <c r="D503" s="121" t="s">
        <v>1173</v>
      </c>
      <c r="E503" s="125">
        <v>44772</v>
      </c>
      <c r="F503" s="121" t="s">
        <v>1154</v>
      </c>
      <c r="G503" s="121" t="s">
        <v>1155</v>
      </c>
      <c r="H503" s="121">
        <v>0.16889999999999999</v>
      </c>
      <c r="I503" s="121" t="s">
        <v>1174</v>
      </c>
      <c r="J503" s="121" t="s">
        <v>96</v>
      </c>
      <c r="K503" s="121">
        <v>5052</v>
      </c>
      <c r="L503" s="122">
        <v>42</v>
      </c>
      <c r="M503" s="126">
        <v>0.16889999999999999</v>
      </c>
      <c r="N503" s="127">
        <f t="shared" si="7"/>
        <v>7.0937999999999999</v>
      </c>
    </row>
    <row r="504" spans="1:14">
      <c r="A504" s="121" t="s">
        <v>2147</v>
      </c>
      <c r="B504" s="121" t="s">
        <v>2148</v>
      </c>
      <c r="C504" s="121">
        <v>1</v>
      </c>
      <c r="D504" s="121" t="s">
        <v>1314</v>
      </c>
      <c r="E504" s="125">
        <v>44772</v>
      </c>
      <c r="F504" s="121" t="s">
        <v>1154</v>
      </c>
      <c r="G504" s="121" t="s">
        <v>1155</v>
      </c>
      <c r="H504" s="121">
        <v>0.2253</v>
      </c>
      <c r="I504" s="121" t="s">
        <v>1174</v>
      </c>
      <c r="J504" s="121" t="s">
        <v>96</v>
      </c>
      <c r="K504" s="121">
        <v>5052</v>
      </c>
      <c r="L504" s="122">
        <v>42</v>
      </c>
      <c r="M504" s="126">
        <v>0.2253</v>
      </c>
      <c r="N504" s="127">
        <f t="shared" si="7"/>
        <v>9.4626000000000001</v>
      </c>
    </row>
    <row r="505" spans="1:14">
      <c r="A505" s="121" t="s">
        <v>2149</v>
      </c>
      <c r="B505" s="121" t="s">
        <v>2150</v>
      </c>
      <c r="C505" s="121">
        <v>1</v>
      </c>
      <c r="D505" s="121" t="s">
        <v>2070</v>
      </c>
      <c r="E505" s="125">
        <v>44776</v>
      </c>
      <c r="F505" s="121" t="s">
        <v>1154</v>
      </c>
      <c r="G505" s="121" t="s">
        <v>1155</v>
      </c>
      <c r="H505" s="121">
        <v>0.36670000000000003</v>
      </c>
      <c r="I505" s="121" t="s">
        <v>1174</v>
      </c>
      <c r="J505" s="121" t="s">
        <v>96</v>
      </c>
      <c r="K505" s="121">
        <v>5228</v>
      </c>
      <c r="L505" s="122">
        <v>39</v>
      </c>
      <c r="M505" s="126">
        <v>0.36670000000000003</v>
      </c>
      <c r="N505" s="127">
        <f t="shared" si="7"/>
        <v>14.301300000000001</v>
      </c>
    </row>
    <row r="506" spans="1:14">
      <c r="A506" s="121" t="s">
        <v>2151</v>
      </c>
      <c r="B506" s="121" t="s">
        <v>2152</v>
      </c>
      <c r="C506" s="121">
        <v>1</v>
      </c>
      <c r="D506" s="121" t="s">
        <v>1160</v>
      </c>
      <c r="E506" s="125">
        <v>44795</v>
      </c>
      <c r="F506" s="121" t="s">
        <v>1118</v>
      </c>
      <c r="G506" s="121" t="s">
        <v>1177</v>
      </c>
      <c r="H506" s="121">
        <v>5.8999999999999997E-2</v>
      </c>
      <c r="I506" s="121" t="s">
        <v>1174</v>
      </c>
      <c r="J506" s="121" t="s">
        <v>96</v>
      </c>
      <c r="K506" s="121">
        <v>21730</v>
      </c>
      <c r="L506" s="122">
        <v>41</v>
      </c>
      <c r="M506" s="126">
        <v>5.8999999999999997E-2</v>
      </c>
      <c r="N506" s="127">
        <f t="shared" si="7"/>
        <v>2.419</v>
      </c>
    </row>
    <row r="507" spans="1:14">
      <c r="A507" s="121" t="s">
        <v>2153</v>
      </c>
      <c r="B507" s="121" t="s">
        <v>2154</v>
      </c>
      <c r="C507" s="121">
        <v>1</v>
      </c>
      <c r="D507" s="121" t="s">
        <v>1187</v>
      </c>
      <c r="E507" s="125">
        <v>44848</v>
      </c>
      <c r="F507" s="121" t="s">
        <v>1118</v>
      </c>
      <c r="G507" s="121" t="s">
        <v>1265</v>
      </c>
      <c r="H507" s="121">
        <v>0.2452</v>
      </c>
      <c r="I507" s="121" t="s">
        <v>1174</v>
      </c>
      <c r="J507" s="121" t="s">
        <v>96</v>
      </c>
      <c r="K507" s="121">
        <v>18442</v>
      </c>
      <c r="L507" s="122">
        <v>46</v>
      </c>
      <c r="M507" s="126">
        <v>0.2452</v>
      </c>
      <c r="N507" s="127">
        <f t="shared" si="7"/>
        <v>11.279199999999999</v>
      </c>
    </row>
    <row r="508" spans="1:14">
      <c r="A508" s="121" t="s">
        <v>2155</v>
      </c>
      <c r="B508" s="121" t="s">
        <v>2156</v>
      </c>
      <c r="C508" s="121">
        <v>1</v>
      </c>
      <c r="D508" s="121" t="s">
        <v>1203</v>
      </c>
      <c r="E508" s="125">
        <v>44690</v>
      </c>
      <c r="F508" s="121" t="s">
        <v>1118</v>
      </c>
      <c r="G508" s="121" t="s">
        <v>2041</v>
      </c>
      <c r="H508" s="121">
        <v>0.46779999999999999</v>
      </c>
      <c r="I508" s="121" t="s">
        <v>1174</v>
      </c>
      <c r="J508" s="121" t="s">
        <v>96</v>
      </c>
      <c r="K508" s="121">
        <v>23544</v>
      </c>
      <c r="L508" s="122">
        <v>41</v>
      </c>
      <c r="M508" s="126">
        <v>0.46779999999999999</v>
      </c>
      <c r="N508" s="127">
        <f t="shared" si="7"/>
        <v>19.1798</v>
      </c>
    </row>
    <row r="509" spans="1:14">
      <c r="A509" s="121" t="s">
        <v>2157</v>
      </c>
      <c r="B509" s="121" t="s">
        <v>2158</v>
      </c>
      <c r="C509" s="121">
        <v>1</v>
      </c>
      <c r="D509" s="121" t="s">
        <v>1117</v>
      </c>
      <c r="E509" s="125">
        <v>44795</v>
      </c>
      <c r="F509" s="121" t="s">
        <v>1124</v>
      </c>
      <c r="G509" s="121" t="s">
        <v>1124</v>
      </c>
      <c r="H509" s="121">
        <v>5.2200000000000003E-2</v>
      </c>
      <c r="I509" s="121" t="s">
        <v>1174</v>
      </c>
      <c r="J509" s="121" t="s">
        <v>96</v>
      </c>
      <c r="K509" s="121">
        <v>17077</v>
      </c>
      <c r="L509" s="122">
        <v>36</v>
      </c>
      <c r="M509" s="126">
        <v>5.2200000000000003E-2</v>
      </c>
      <c r="N509" s="127">
        <f t="shared" si="7"/>
        <v>1.8792000000000002</v>
      </c>
    </row>
    <row r="510" spans="1:14">
      <c r="A510" s="121" t="s">
        <v>2159</v>
      </c>
      <c r="B510" s="121" t="s">
        <v>2160</v>
      </c>
      <c r="C510" s="121">
        <v>1</v>
      </c>
      <c r="D510" s="121" t="s">
        <v>1274</v>
      </c>
      <c r="E510" s="125">
        <v>44795</v>
      </c>
      <c r="F510" s="121" t="s">
        <v>1124</v>
      </c>
      <c r="G510" s="121" t="s">
        <v>1124</v>
      </c>
      <c r="H510" s="121">
        <v>0.29020000000000001</v>
      </c>
      <c r="I510" s="121" t="s">
        <v>1174</v>
      </c>
      <c r="J510" s="121" t="s">
        <v>96</v>
      </c>
      <c r="K510" s="121">
        <v>6036</v>
      </c>
      <c r="L510" s="122">
        <v>40</v>
      </c>
      <c r="M510" s="126">
        <v>0.29020000000000001</v>
      </c>
      <c r="N510" s="127">
        <f t="shared" si="7"/>
        <v>11.608000000000001</v>
      </c>
    </row>
    <row r="511" spans="1:14">
      <c r="A511" s="121" t="s">
        <v>2161</v>
      </c>
      <c r="B511" s="121" t="s">
        <v>2162</v>
      </c>
      <c r="C511" s="121">
        <v>1</v>
      </c>
      <c r="D511" s="121" t="s">
        <v>1397</v>
      </c>
      <c r="E511" s="125">
        <v>44762</v>
      </c>
      <c r="F511" s="121" t="s">
        <v>1118</v>
      </c>
      <c r="G511" s="121" t="s">
        <v>1131</v>
      </c>
      <c r="H511" s="121">
        <v>0.1178</v>
      </c>
      <c r="I511" s="121" t="s">
        <v>1174</v>
      </c>
      <c r="J511" s="121" t="s">
        <v>96</v>
      </c>
      <c r="K511" s="121">
        <v>28810</v>
      </c>
      <c r="L511" s="122">
        <v>37</v>
      </c>
      <c r="M511" s="126">
        <v>0.1178</v>
      </c>
      <c r="N511" s="127">
        <f t="shared" si="7"/>
        <v>4.3586</v>
      </c>
    </row>
    <row r="512" spans="1:14">
      <c r="A512" s="121" t="s">
        <v>2163</v>
      </c>
      <c r="B512" s="121" t="s">
        <v>2164</v>
      </c>
      <c r="C512" s="121">
        <v>1</v>
      </c>
      <c r="D512" s="121" t="s">
        <v>1225</v>
      </c>
      <c r="E512" s="125">
        <v>44815</v>
      </c>
      <c r="F512" s="121" t="s">
        <v>1154</v>
      </c>
      <c r="G512" s="121" t="s">
        <v>1155</v>
      </c>
      <c r="H512" s="121">
        <v>0.1236</v>
      </c>
      <c r="I512" s="121" t="s">
        <v>1174</v>
      </c>
      <c r="J512" s="121" t="s">
        <v>96</v>
      </c>
      <c r="K512" s="121">
        <v>4871</v>
      </c>
      <c r="L512" s="122">
        <v>42</v>
      </c>
      <c r="M512" s="126">
        <v>0.1236</v>
      </c>
      <c r="N512" s="127">
        <f t="shared" si="7"/>
        <v>5.1912000000000003</v>
      </c>
    </row>
    <row r="513" spans="1:14">
      <c r="A513" s="121" t="s">
        <v>2165</v>
      </c>
      <c r="B513" s="121" t="s">
        <v>2166</v>
      </c>
      <c r="C513" s="121">
        <v>1</v>
      </c>
      <c r="D513" s="121" t="s">
        <v>1225</v>
      </c>
      <c r="E513" s="125">
        <v>44806</v>
      </c>
      <c r="F513" s="121" t="s">
        <v>1124</v>
      </c>
      <c r="G513" s="121" t="s">
        <v>1124</v>
      </c>
      <c r="H513" s="121">
        <v>0.1343</v>
      </c>
      <c r="I513" s="121" t="s">
        <v>1174</v>
      </c>
      <c r="J513" s="121" t="s">
        <v>96</v>
      </c>
      <c r="K513" s="121">
        <v>4871</v>
      </c>
      <c r="L513" s="122">
        <v>42</v>
      </c>
      <c r="M513" s="126">
        <v>0.1343</v>
      </c>
      <c r="N513" s="127">
        <f t="shared" si="7"/>
        <v>5.6406000000000001</v>
      </c>
    </row>
    <row r="514" spans="1:14">
      <c r="A514" s="121" t="s">
        <v>2167</v>
      </c>
      <c r="B514" s="121" t="s">
        <v>2168</v>
      </c>
      <c r="C514" s="121">
        <v>1</v>
      </c>
      <c r="D514" s="121" t="s">
        <v>1117</v>
      </c>
      <c r="E514" s="125">
        <v>44737</v>
      </c>
      <c r="F514" s="121" t="s">
        <v>1118</v>
      </c>
      <c r="G514" s="121" t="s">
        <v>1131</v>
      </c>
      <c r="H514" s="121">
        <v>0.19819999999999999</v>
      </c>
      <c r="I514" s="121" t="s">
        <v>1174</v>
      </c>
      <c r="J514" s="121" t="s">
        <v>96</v>
      </c>
      <c r="K514" s="121">
        <v>34729</v>
      </c>
      <c r="L514" s="122">
        <v>26</v>
      </c>
      <c r="M514" s="126">
        <v>0.19819999999999999</v>
      </c>
      <c r="N514" s="127">
        <f t="shared" ref="N514:N577" si="8">+M514*L514</f>
        <v>5.1532</v>
      </c>
    </row>
    <row r="515" spans="1:14">
      <c r="A515" s="121" t="s">
        <v>2169</v>
      </c>
      <c r="B515" s="121" t="s">
        <v>2170</v>
      </c>
      <c r="C515" s="121">
        <v>1</v>
      </c>
      <c r="D515" s="121" t="s">
        <v>1166</v>
      </c>
      <c r="E515" s="125">
        <v>44718</v>
      </c>
      <c r="F515" s="121" t="s">
        <v>1118</v>
      </c>
      <c r="G515" s="121" t="s">
        <v>1143</v>
      </c>
      <c r="H515" s="121">
        <v>1.1999999999999999E-3</v>
      </c>
      <c r="I515" s="121" t="s">
        <v>1174</v>
      </c>
      <c r="J515" s="121" t="s">
        <v>96</v>
      </c>
      <c r="K515" s="121">
        <v>33454</v>
      </c>
      <c r="L515" s="122">
        <v>41</v>
      </c>
      <c r="M515" s="126">
        <v>1.1999999999999999E-3</v>
      </c>
      <c r="N515" s="127">
        <f t="shared" si="8"/>
        <v>4.9199999999999994E-2</v>
      </c>
    </row>
    <row r="516" spans="1:14">
      <c r="A516" s="121" t="s">
        <v>2171</v>
      </c>
      <c r="B516" s="121" t="s">
        <v>2172</v>
      </c>
      <c r="C516" s="121">
        <v>1</v>
      </c>
      <c r="D516" s="121" t="s">
        <v>1252</v>
      </c>
      <c r="E516" s="125">
        <v>44798</v>
      </c>
      <c r="F516" s="121" t="s">
        <v>1118</v>
      </c>
      <c r="G516" s="121" t="s">
        <v>1131</v>
      </c>
      <c r="H516" s="121">
        <v>2.2800000000000001E-2</v>
      </c>
      <c r="I516" s="121" t="s">
        <v>1174</v>
      </c>
      <c r="J516" s="121" t="s">
        <v>96</v>
      </c>
      <c r="K516" s="121">
        <v>14647</v>
      </c>
      <c r="L516" s="122">
        <v>42</v>
      </c>
      <c r="M516" s="126">
        <v>2.2800000000000001E-2</v>
      </c>
      <c r="N516" s="127">
        <f t="shared" si="8"/>
        <v>0.95760000000000001</v>
      </c>
    </row>
    <row r="517" spans="1:14">
      <c r="A517" s="121" t="s">
        <v>2173</v>
      </c>
      <c r="B517" s="121" t="s">
        <v>2174</v>
      </c>
      <c r="C517" s="121">
        <v>1</v>
      </c>
      <c r="D517" s="121" t="s">
        <v>1525</v>
      </c>
      <c r="E517" s="125">
        <v>44783</v>
      </c>
      <c r="F517" s="121" t="s">
        <v>1118</v>
      </c>
      <c r="G517" s="121" t="s">
        <v>1131</v>
      </c>
      <c r="H517" s="121">
        <v>0.20599999999999999</v>
      </c>
      <c r="I517" s="121" t="s">
        <v>1174</v>
      </c>
      <c r="J517" s="121" t="s">
        <v>96</v>
      </c>
      <c r="K517" s="121">
        <v>14273</v>
      </c>
      <c r="L517" s="122">
        <v>44</v>
      </c>
      <c r="M517" s="126">
        <v>0.20619999999999999</v>
      </c>
      <c r="N517" s="127">
        <f t="shared" si="8"/>
        <v>9.0727999999999991</v>
      </c>
    </row>
    <row r="518" spans="1:14">
      <c r="A518" s="121" t="s">
        <v>2175</v>
      </c>
      <c r="B518" s="121" t="s">
        <v>2176</v>
      </c>
      <c r="C518" s="121">
        <v>1</v>
      </c>
      <c r="D518" s="121" t="s">
        <v>1225</v>
      </c>
      <c r="E518" s="125">
        <v>44801</v>
      </c>
      <c r="F518" s="121" t="s">
        <v>1154</v>
      </c>
      <c r="G518" s="121" t="s">
        <v>1155</v>
      </c>
      <c r="H518" s="121">
        <v>0.2717</v>
      </c>
      <c r="I518" s="121" t="s">
        <v>1174</v>
      </c>
      <c r="J518" s="121" t="s">
        <v>96</v>
      </c>
      <c r="K518" s="121">
        <v>4689</v>
      </c>
      <c r="L518" s="122">
        <v>41</v>
      </c>
      <c r="M518" s="126">
        <v>0.2717</v>
      </c>
      <c r="N518" s="127">
        <f t="shared" si="8"/>
        <v>11.139699999999999</v>
      </c>
    </row>
    <row r="519" spans="1:14">
      <c r="A519" s="121" t="s">
        <v>2177</v>
      </c>
      <c r="B519" s="121" t="s">
        <v>2178</v>
      </c>
      <c r="C519" s="121">
        <v>1</v>
      </c>
      <c r="D519" s="121" t="s">
        <v>1252</v>
      </c>
      <c r="E519" s="125">
        <v>44762</v>
      </c>
      <c r="F519" s="121" t="s">
        <v>1118</v>
      </c>
      <c r="G519" s="121" t="s">
        <v>1131</v>
      </c>
      <c r="H519" s="121">
        <v>5.3999999999999999E-2</v>
      </c>
      <c r="I519" s="121" t="s">
        <v>1174</v>
      </c>
      <c r="J519" s="121" t="s">
        <v>96</v>
      </c>
      <c r="K519" s="121">
        <v>28307</v>
      </c>
      <c r="L519" s="122">
        <v>38</v>
      </c>
      <c r="M519" s="126">
        <v>5.3999999999999999E-2</v>
      </c>
      <c r="N519" s="127">
        <f t="shared" si="8"/>
        <v>2.052</v>
      </c>
    </row>
    <row r="520" spans="1:14">
      <c r="A520" s="121" t="s">
        <v>2179</v>
      </c>
      <c r="B520" s="121" t="s">
        <v>2180</v>
      </c>
      <c r="C520" s="121">
        <v>1</v>
      </c>
      <c r="D520" s="121" t="s">
        <v>1166</v>
      </c>
      <c r="E520" s="125">
        <v>44694</v>
      </c>
      <c r="F520" s="121" t="s">
        <v>1118</v>
      </c>
      <c r="G520" s="121" t="s">
        <v>1143</v>
      </c>
      <c r="H520" s="121">
        <v>0.2606</v>
      </c>
      <c r="I520" s="121" t="s">
        <v>1174</v>
      </c>
      <c r="J520" s="121" t="s">
        <v>96</v>
      </c>
      <c r="K520" s="121">
        <v>40542</v>
      </c>
      <c r="L520" s="122">
        <v>46</v>
      </c>
      <c r="M520" s="126">
        <v>0.2606</v>
      </c>
      <c r="N520" s="127">
        <f t="shared" si="8"/>
        <v>11.9876</v>
      </c>
    </row>
    <row r="521" spans="1:14">
      <c r="A521" s="121" t="s">
        <v>2181</v>
      </c>
      <c r="B521" s="121" t="s">
        <v>2182</v>
      </c>
      <c r="C521" s="121">
        <v>1</v>
      </c>
      <c r="D521" s="121" t="s">
        <v>1252</v>
      </c>
      <c r="E521" s="125">
        <v>44790</v>
      </c>
      <c r="F521" s="121" t="s">
        <v>1118</v>
      </c>
      <c r="G521" s="121" t="s">
        <v>1131</v>
      </c>
      <c r="H521" s="121">
        <v>1.4500000000000001E-2</v>
      </c>
      <c r="I521" s="121" t="s">
        <v>1174</v>
      </c>
      <c r="J521" s="121" t="s">
        <v>96</v>
      </c>
      <c r="K521" s="121">
        <v>13772</v>
      </c>
      <c r="L521" s="122">
        <v>38</v>
      </c>
      <c r="M521" s="126">
        <v>1.4500000000000001E-2</v>
      </c>
      <c r="N521" s="127">
        <f t="shared" si="8"/>
        <v>0.55100000000000005</v>
      </c>
    </row>
    <row r="522" spans="1:14">
      <c r="A522" s="121" t="s">
        <v>2183</v>
      </c>
      <c r="B522" s="121" t="s">
        <v>2184</v>
      </c>
      <c r="C522" s="121">
        <v>1</v>
      </c>
      <c r="D522" s="121" t="s">
        <v>1203</v>
      </c>
      <c r="E522" s="125">
        <v>44797</v>
      </c>
      <c r="F522" s="121" t="s">
        <v>1118</v>
      </c>
      <c r="G522" s="121" t="s">
        <v>1131</v>
      </c>
      <c r="H522" s="121">
        <v>7.1599999999999997E-2</v>
      </c>
      <c r="I522" s="121" t="s">
        <v>1174</v>
      </c>
      <c r="J522" s="121" t="s">
        <v>96</v>
      </c>
      <c r="K522" s="121">
        <v>14832</v>
      </c>
      <c r="L522" s="122">
        <v>45</v>
      </c>
      <c r="M522" s="126">
        <v>7.1599999999999997E-2</v>
      </c>
      <c r="N522" s="127">
        <f t="shared" si="8"/>
        <v>3.222</v>
      </c>
    </row>
    <row r="523" spans="1:14">
      <c r="A523" s="121" t="s">
        <v>2185</v>
      </c>
      <c r="B523" s="121" t="s">
        <v>2186</v>
      </c>
      <c r="C523" s="121">
        <v>1</v>
      </c>
      <c r="D523" s="121" t="s">
        <v>2187</v>
      </c>
      <c r="E523" s="125">
        <v>44777</v>
      </c>
      <c r="F523" s="121" t="s">
        <v>1154</v>
      </c>
      <c r="G523" s="121" t="s">
        <v>1155</v>
      </c>
      <c r="H523" s="121">
        <v>0.3175</v>
      </c>
      <c r="I523" s="121" t="s">
        <v>1174</v>
      </c>
      <c r="J523" s="121" t="s">
        <v>96</v>
      </c>
      <c r="K523" s="121">
        <v>5449</v>
      </c>
      <c r="L523" s="122">
        <v>34</v>
      </c>
      <c r="M523" s="126">
        <v>0.3175</v>
      </c>
      <c r="N523" s="127">
        <f t="shared" si="8"/>
        <v>10.795</v>
      </c>
    </row>
    <row r="524" spans="1:14">
      <c r="A524" s="121" t="s">
        <v>2188</v>
      </c>
      <c r="B524" s="121" t="s">
        <v>2189</v>
      </c>
      <c r="C524" s="121">
        <v>1</v>
      </c>
      <c r="D524" s="121" t="s">
        <v>1314</v>
      </c>
      <c r="E524" s="125">
        <v>44755</v>
      </c>
      <c r="F524" s="121" t="s">
        <v>1118</v>
      </c>
      <c r="G524" s="121" t="s">
        <v>1131</v>
      </c>
      <c r="H524" s="121">
        <v>0.1114</v>
      </c>
      <c r="I524" s="121" t="s">
        <v>1174</v>
      </c>
      <c r="J524" s="121" t="s">
        <v>96</v>
      </c>
      <c r="K524" s="121">
        <v>13946</v>
      </c>
      <c r="L524" s="122">
        <v>37</v>
      </c>
      <c r="M524" s="126">
        <v>0.1114</v>
      </c>
      <c r="N524" s="127">
        <f t="shared" si="8"/>
        <v>4.1218000000000004</v>
      </c>
    </row>
    <row r="525" spans="1:14">
      <c r="A525" s="121" t="s">
        <v>2190</v>
      </c>
      <c r="B525" s="121" t="s">
        <v>2191</v>
      </c>
      <c r="C525" s="121">
        <v>1</v>
      </c>
      <c r="D525" s="121" t="s">
        <v>1412</v>
      </c>
      <c r="E525" s="125">
        <v>44822</v>
      </c>
      <c r="F525" s="121" t="s">
        <v>1154</v>
      </c>
      <c r="G525" s="121" t="s">
        <v>1155</v>
      </c>
      <c r="H525" s="121">
        <v>0.18260000000000001</v>
      </c>
      <c r="I525" s="121" t="s">
        <v>1174</v>
      </c>
      <c r="J525" s="121" t="s">
        <v>96</v>
      </c>
      <c r="K525" s="121">
        <v>6035</v>
      </c>
      <c r="L525" s="122">
        <v>46</v>
      </c>
      <c r="M525" s="126">
        <v>0.18260000000000001</v>
      </c>
      <c r="N525" s="127">
        <f t="shared" si="8"/>
        <v>8.3996000000000013</v>
      </c>
    </row>
    <row r="526" spans="1:14">
      <c r="A526" s="121" t="s">
        <v>2192</v>
      </c>
      <c r="B526" s="121" t="s">
        <v>2193</v>
      </c>
      <c r="C526" s="121">
        <v>1</v>
      </c>
      <c r="D526" s="121" t="s">
        <v>1637</v>
      </c>
      <c r="E526" s="125">
        <v>44752</v>
      </c>
      <c r="F526" s="121" t="s">
        <v>1154</v>
      </c>
      <c r="G526" s="121" t="s">
        <v>1155</v>
      </c>
      <c r="H526" s="121">
        <v>0.49819999999999998</v>
      </c>
      <c r="I526" s="121" t="s">
        <v>1174</v>
      </c>
      <c r="J526" s="121" t="s">
        <v>96</v>
      </c>
      <c r="K526" s="121">
        <v>5054</v>
      </c>
      <c r="L526" s="122">
        <v>39</v>
      </c>
      <c r="M526" s="126">
        <v>0.49819999999999998</v>
      </c>
      <c r="N526" s="127">
        <f t="shared" si="8"/>
        <v>19.4298</v>
      </c>
    </row>
    <row r="527" spans="1:14">
      <c r="A527" s="121" t="s">
        <v>2194</v>
      </c>
      <c r="B527" s="121" t="s">
        <v>2195</v>
      </c>
      <c r="C527" s="121">
        <v>1</v>
      </c>
      <c r="D527" s="121" t="s">
        <v>1117</v>
      </c>
      <c r="E527" s="125">
        <v>44751</v>
      </c>
      <c r="F527" s="121" t="s">
        <v>1118</v>
      </c>
      <c r="G527" s="121" t="s">
        <v>1131</v>
      </c>
      <c r="H527" s="121">
        <v>0.1731</v>
      </c>
      <c r="I527" s="121" t="s">
        <v>1174</v>
      </c>
      <c r="J527" s="121" t="s">
        <v>96</v>
      </c>
      <c r="K527" s="121">
        <v>40161</v>
      </c>
      <c r="L527" s="122">
        <v>33</v>
      </c>
      <c r="M527" s="126">
        <v>0.17330000000000001</v>
      </c>
      <c r="N527" s="127">
        <f t="shared" si="8"/>
        <v>5.7189000000000005</v>
      </c>
    </row>
    <row r="528" spans="1:14">
      <c r="A528" s="121" t="s">
        <v>2196</v>
      </c>
      <c r="B528" s="121" t="s">
        <v>2197</v>
      </c>
      <c r="C528" s="121">
        <v>1</v>
      </c>
      <c r="D528" s="121" t="s">
        <v>1274</v>
      </c>
      <c r="E528" s="125">
        <v>44793</v>
      </c>
      <c r="F528" s="121" t="s">
        <v>1118</v>
      </c>
      <c r="G528" s="121" t="s">
        <v>1131</v>
      </c>
      <c r="H528" s="121">
        <v>0.1019</v>
      </c>
      <c r="I528" s="121" t="s">
        <v>1174</v>
      </c>
      <c r="J528" s="121" t="s">
        <v>96</v>
      </c>
      <c r="K528" s="121">
        <v>30729</v>
      </c>
      <c r="L528" s="122">
        <v>44</v>
      </c>
      <c r="M528" s="126">
        <v>0.1019</v>
      </c>
      <c r="N528" s="127">
        <f t="shared" si="8"/>
        <v>4.4836</v>
      </c>
    </row>
    <row r="529" spans="1:14">
      <c r="A529" s="121" t="s">
        <v>2198</v>
      </c>
      <c r="B529" s="121" t="s">
        <v>2199</v>
      </c>
      <c r="C529" s="121">
        <v>1</v>
      </c>
      <c r="D529" s="121" t="s">
        <v>1130</v>
      </c>
      <c r="E529" s="125">
        <v>44690</v>
      </c>
      <c r="F529" s="121" t="s">
        <v>1118</v>
      </c>
      <c r="G529" s="121" t="s">
        <v>1143</v>
      </c>
      <c r="H529" s="121">
        <v>0.21690000000000001</v>
      </c>
      <c r="I529" s="121" t="s">
        <v>1174</v>
      </c>
      <c r="J529" s="121" t="s">
        <v>96</v>
      </c>
      <c r="K529" s="121">
        <v>34683</v>
      </c>
      <c r="L529" s="122">
        <v>41</v>
      </c>
      <c r="M529" s="126">
        <v>0.21690000000000001</v>
      </c>
      <c r="N529" s="127">
        <f t="shared" si="8"/>
        <v>8.8929000000000009</v>
      </c>
    </row>
    <row r="530" spans="1:14">
      <c r="A530" s="121" t="s">
        <v>2200</v>
      </c>
      <c r="B530" s="121" t="s">
        <v>2201</v>
      </c>
      <c r="C530" s="121">
        <v>1</v>
      </c>
      <c r="D530" s="121" t="s">
        <v>1163</v>
      </c>
      <c r="E530" s="125">
        <v>44795</v>
      </c>
      <c r="F530" s="121" t="s">
        <v>1124</v>
      </c>
      <c r="G530" s="121" t="s">
        <v>1124</v>
      </c>
      <c r="H530" s="121">
        <v>6.6900000000000001E-2</v>
      </c>
      <c r="I530" s="121" t="s">
        <v>1174</v>
      </c>
      <c r="J530" s="121" t="s">
        <v>96</v>
      </c>
      <c r="K530" s="121">
        <v>6036</v>
      </c>
      <c r="L530" s="122">
        <v>40</v>
      </c>
      <c r="M530" s="126">
        <v>6.6900000000000001E-2</v>
      </c>
      <c r="N530" s="127">
        <f t="shared" si="8"/>
        <v>2.6760000000000002</v>
      </c>
    </row>
    <row r="531" spans="1:14">
      <c r="A531" s="121" t="s">
        <v>2202</v>
      </c>
      <c r="B531" s="121" t="s">
        <v>2203</v>
      </c>
      <c r="C531" s="121">
        <v>1</v>
      </c>
      <c r="D531" s="121" t="s">
        <v>1252</v>
      </c>
      <c r="E531" s="125">
        <v>44791</v>
      </c>
      <c r="F531" s="121" t="s">
        <v>1118</v>
      </c>
      <c r="G531" s="121" t="s">
        <v>1131</v>
      </c>
      <c r="H531" s="121">
        <v>5.9299999999999999E-2</v>
      </c>
      <c r="I531" s="121" t="s">
        <v>1174</v>
      </c>
      <c r="J531" s="121" t="s">
        <v>96</v>
      </c>
      <c r="K531" s="121">
        <v>29593</v>
      </c>
      <c r="L531" s="122">
        <v>40</v>
      </c>
      <c r="M531" s="126">
        <v>5.9299999999999999E-2</v>
      </c>
      <c r="N531" s="127">
        <f t="shared" si="8"/>
        <v>2.3719999999999999</v>
      </c>
    </row>
    <row r="532" spans="1:14">
      <c r="A532" s="121" t="s">
        <v>2204</v>
      </c>
      <c r="B532" s="121" t="s">
        <v>2205</v>
      </c>
      <c r="C532" s="121">
        <v>1</v>
      </c>
      <c r="D532" s="121" t="s">
        <v>1203</v>
      </c>
      <c r="E532" s="125">
        <v>24677</v>
      </c>
      <c r="F532" s="121" t="s">
        <v>1118</v>
      </c>
      <c r="G532" s="121" t="s">
        <v>1143</v>
      </c>
      <c r="H532" s="121">
        <v>1.18E-2</v>
      </c>
      <c r="I532" s="121" t="s">
        <v>1174</v>
      </c>
      <c r="J532" s="121" t="s">
        <v>96</v>
      </c>
      <c r="K532" s="121">
        <v>13961</v>
      </c>
      <c r="L532" s="122">
        <v>37</v>
      </c>
      <c r="M532" s="126">
        <v>1.1900000000000001E-2</v>
      </c>
      <c r="N532" s="127">
        <f t="shared" si="8"/>
        <v>0.44030000000000002</v>
      </c>
    </row>
    <row r="533" spans="1:14">
      <c r="A533" s="121" t="s">
        <v>2206</v>
      </c>
      <c r="B533" s="121" t="s">
        <v>2207</v>
      </c>
      <c r="C533" s="121">
        <v>1</v>
      </c>
      <c r="D533" s="121" t="s">
        <v>1225</v>
      </c>
      <c r="E533" s="125">
        <v>44827</v>
      </c>
      <c r="F533" s="121" t="s">
        <v>1124</v>
      </c>
      <c r="G533" s="121" t="s">
        <v>1124</v>
      </c>
      <c r="H533" s="121">
        <v>0.10730000000000001</v>
      </c>
      <c r="I533" s="121" t="s">
        <v>1174</v>
      </c>
      <c r="J533" s="121" t="s">
        <v>96</v>
      </c>
      <c r="K533" s="121">
        <v>3945</v>
      </c>
      <c r="L533" s="122">
        <v>35</v>
      </c>
      <c r="M533" s="126">
        <v>0.10730000000000001</v>
      </c>
      <c r="N533" s="127">
        <f t="shared" si="8"/>
        <v>3.7555000000000001</v>
      </c>
    </row>
    <row r="534" spans="1:14">
      <c r="A534" s="121" t="s">
        <v>2208</v>
      </c>
      <c r="B534" s="121" t="s">
        <v>2209</v>
      </c>
      <c r="C534" s="121">
        <v>1</v>
      </c>
      <c r="D534" s="121" t="s">
        <v>1163</v>
      </c>
      <c r="E534" s="125">
        <v>44764</v>
      </c>
      <c r="F534" s="121" t="s">
        <v>1118</v>
      </c>
      <c r="G534" s="121" t="s">
        <v>1131</v>
      </c>
      <c r="H534" s="121">
        <v>0.29349999999999998</v>
      </c>
      <c r="I534" s="121" t="s">
        <v>1174</v>
      </c>
      <c r="J534" s="121" t="s">
        <v>96</v>
      </c>
      <c r="K534" s="121">
        <v>13961</v>
      </c>
      <c r="L534" s="122">
        <v>37</v>
      </c>
      <c r="M534" s="126">
        <v>0.29349999999999998</v>
      </c>
      <c r="N534" s="127">
        <f t="shared" si="8"/>
        <v>10.859499999999999</v>
      </c>
    </row>
    <row r="535" spans="1:14">
      <c r="A535" s="121" t="s">
        <v>2210</v>
      </c>
      <c r="B535" s="121" t="s">
        <v>2211</v>
      </c>
      <c r="C535" s="121">
        <v>1</v>
      </c>
      <c r="D535" s="121" t="s">
        <v>1166</v>
      </c>
      <c r="E535" s="125">
        <v>44785</v>
      </c>
      <c r="F535" s="121" t="s">
        <v>1118</v>
      </c>
      <c r="G535" s="121" t="s">
        <v>1131</v>
      </c>
      <c r="H535" s="121">
        <v>1.06E-2</v>
      </c>
      <c r="I535" s="121" t="s">
        <v>1174</v>
      </c>
      <c r="J535" s="121" t="s">
        <v>96</v>
      </c>
      <c r="K535" s="121">
        <v>14827</v>
      </c>
      <c r="L535" s="122">
        <v>46</v>
      </c>
      <c r="M535" s="126">
        <v>1.0500000000000001E-2</v>
      </c>
      <c r="N535" s="127">
        <f t="shared" si="8"/>
        <v>0.48300000000000004</v>
      </c>
    </row>
    <row r="536" spans="1:14">
      <c r="A536" s="121" t="s">
        <v>2212</v>
      </c>
      <c r="B536" s="121" t="s">
        <v>2213</v>
      </c>
      <c r="C536" s="121">
        <v>1</v>
      </c>
      <c r="D536" s="121" t="s">
        <v>1220</v>
      </c>
      <c r="E536" s="125">
        <v>44795</v>
      </c>
      <c r="F536" s="121" t="s">
        <v>1118</v>
      </c>
      <c r="G536" s="121" t="s">
        <v>1119</v>
      </c>
      <c r="H536" s="121">
        <v>0.1847</v>
      </c>
      <c r="I536" s="121" t="s">
        <v>1174</v>
      </c>
      <c r="J536" s="121" t="s">
        <v>96</v>
      </c>
      <c r="K536" s="121">
        <v>16142</v>
      </c>
      <c r="L536" s="122">
        <v>46</v>
      </c>
      <c r="M536" s="126">
        <v>0.1847</v>
      </c>
      <c r="N536" s="127">
        <f t="shared" si="8"/>
        <v>8.4962</v>
      </c>
    </row>
    <row r="537" spans="1:14">
      <c r="A537" s="121" t="s">
        <v>2214</v>
      </c>
      <c r="B537" s="121" t="s">
        <v>2215</v>
      </c>
      <c r="C537" s="121">
        <v>1</v>
      </c>
      <c r="D537" s="121" t="s">
        <v>1210</v>
      </c>
      <c r="E537" s="125">
        <v>44767</v>
      </c>
      <c r="F537" s="121" t="s">
        <v>1154</v>
      </c>
      <c r="G537" s="121" t="s">
        <v>1155</v>
      </c>
      <c r="H537" s="121">
        <v>0.3523</v>
      </c>
      <c r="I537" s="121" t="s">
        <v>1174</v>
      </c>
      <c r="J537" s="121" t="s">
        <v>96</v>
      </c>
      <c r="K537" s="121">
        <v>5052</v>
      </c>
      <c r="L537" s="122">
        <v>42</v>
      </c>
      <c r="M537" s="126">
        <v>0.3523</v>
      </c>
      <c r="N537" s="127">
        <f t="shared" si="8"/>
        <v>14.7966</v>
      </c>
    </row>
    <row r="538" spans="1:14">
      <c r="A538" s="121" t="s">
        <v>2216</v>
      </c>
      <c r="B538" s="121" t="s">
        <v>2217</v>
      </c>
      <c r="C538" s="121">
        <v>1</v>
      </c>
      <c r="D538" s="121" t="s">
        <v>1225</v>
      </c>
      <c r="E538" s="125">
        <v>44765</v>
      </c>
      <c r="F538" s="121" t="s">
        <v>1154</v>
      </c>
      <c r="G538" s="121" t="s">
        <v>1155</v>
      </c>
      <c r="H538" s="121">
        <v>6.9500000000000006E-2</v>
      </c>
      <c r="I538" s="121" t="s">
        <v>1174</v>
      </c>
      <c r="J538" s="121" t="s">
        <v>96</v>
      </c>
      <c r="K538" s="121">
        <v>5228</v>
      </c>
      <c r="L538" s="122">
        <v>39</v>
      </c>
      <c r="M538" s="126">
        <v>6.9500000000000006E-2</v>
      </c>
      <c r="N538" s="127">
        <f t="shared" si="8"/>
        <v>2.7105000000000001</v>
      </c>
    </row>
    <row r="539" spans="1:14">
      <c r="A539" s="121" t="s">
        <v>2218</v>
      </c>
      <c r="B539" s="121" t="s">
        <v>2219</v>
      </c>
      <c r="C539" s="121">
        <v>1</v>
      </c>
      <c r="D539" s="121" t="s">
        <v>1203</v>
      </c>
      <c r="E539" s="125">
        <v>44795</v>
      </c>
      <c r="F539" s="121" t="s">
        <v>1118</v>
      </c>
      <c r="G539" s="121" t="s">
        <v>1119</v>
      </c>
      <c r="H539" s="121">
        <v>0.221</v>
      </c>
      <c r="I539" s="121" t="s">
        <v>1174</v>
      </c>
      <c r="J539" s="121" t="s">
        <v>96</v>
      </c>
      <c r="K539" s="121">
        <v>16717</v>
      </c>
      <c r="L539" s="122">
        <v>36</v>
      </c>
      <c r="M539" s="126">
        <v>0.221</v>
      </c>
      <c r="N539" s="127">
        <f t="shared" si="8"/>
        <v>7.9560000000000004</v>
      </c>
    </row>
    <row r="540" spans="1:14">
      <c r="A540" s="121" t="s">
        <v>2220</v>
      </c>
      <c r="B540" s="121" t="s">
        <v>2221</v>
      </c>
      <c r="C540" s="121">
        <v>1</v>
      </c>
      <c r="D540" s="121" t="s">
        <v>1117</v>
      </c>
      <c r="E540" s="125">
        <v>44795</v>
      </c>
      <c r="F540" s="121" t="s">
        <v>1118</v>
      </c>
      <c r="G540" s="121" t="s">
        <v>1325</v>
      </c>
      <c r="H540" s="121">
        <v>2.7300000000000001E-2</v>
      </c>
      <c r="I540" s="121" t="s">
        <v>1174</v>
      </c>
      <c r="J540" s="121" t="s">
        <v>96</v>
      </c>
      <c r="K540" s="121">
        <v>23496</v>
      </c>
      <c r="L540" s="122">
        <v>47</v>
      </c>
      <c r="M540" s="126">
        <v>2.7300000000000001E-2</v>
      </c>
      <c r="N540" s="127">
        <f t="shared" si="8"/>
        <v>1.2831000000000001</v>
      </c>
    </row>
    <row r="541" spans="1:14">
      <c r="A541" s="121" t="s">
        <v>2222</v>
      </c>
      <c r="B541" s="121" t="s">
        <v>2223</v>
      </c>
      <c r="C541" s="121">
        <v>1</v>
      </c>
      <c r="D541" s="121" t="s">
        <v>1203</v>
      </c>
      <c r="E541" s="125">
        <v>44795</v>
      </c>
      <c r="F541" s="121" t="s">
        <v>1118</v>
      </c>
      <c r="G541" s="121" t="s">
        <v>1325</v>
      </c>
      <c r="H541" s="121">
        <v>1.6199999999999999E-2</v>
      </c>
      <c r="I541" s="121" t="s">
        <v>1174</v>
      </c>
      <c r="J541" s="121" t="s">
        <v>96</v>
      </c>
      <c r="K541" s="121">
        <v>23496</v>
      </c>
      <c r="L541" s="122">
        <v>47</v>
      </c>
      <c r="M541" s="126">
        <v>1.6199999999999999E-2</v>
      </c>
      <c r="N541" s="127">
        <f t="shared" si="8"/>
        <v>0.76139999999999997</v>
      </c>
    </row>
    <row r="542" spans="1:14">
      <c r="A542" s="121" t="s">
        <v>2224</v>
      </c>
      <c r="B542" s="121" t="s">
        <v>2225</v>
      </c>
      <c r="C542" s="121">
        <v>1</v>
      </c>
      <c r="D542" s="121" t="s">
        <v>1117</v>
      </c>
      <c r="E542" s="125">
        <v>44795</v>
      </c>
      <c r="F542" s="121" t="s">
        <v>1124</v>
      </c>
      <c r="G542" s="121" t="s">
        <v>1124</v>
      </c>
      <c r="H542" s="121">
        <v>1.1283000000000001</v>
      </c>
      <c r="I542" s="121" t="s">
        <v>1174</v>
      </c>
      <c r="J542" s="121" t="s">
        <v>96</v>
      </c>
      <c r="K542" s="121">
        <v>5449</v>
      </c>
      <c r="L542" s="122">
        <v>34</v>
      </c>
      <c r="M542" s="126">
        <v>1.1283000000000001</v>
      </c>
      <c r="N542" s="127">
        <f t="shared" si="8"/>
        <v>38.362200000000001</v>
      </c>
    </row>
    <row r="543" spans="1:14">
      <c r="A543" s="121" t="s">
        <v>2226</v>
      </c>
      <c r="B543" s="121" t="s">
        <v>2227</v>
      </c>
      <c r="C543" s="121">
        <v>1</v>
      </c>
      <c r="D543" s="121" t="s">
        <v>1123</v>
      </c>
      <c r="E543" s="125">
        <v>44750</v>
      </c>
      <c r="F543" s="121" t="s">
        <v>1118</v>
      </c>
      <c r="G543" s="121" t="s">
        <v>1131</v>
      </c>
      <c r="H543" s="121">
        <v>0.1009</v>
      </c>
      <c r="I543" s="121" t="s">
        <v>1174</v>
      </c>
      <c r="J543" s="121" t="s">
        <v>96</v>
      </c>
      <c r="K543" s="121">
        <v>35264</v>
      </c>
      <c r="L543" s="122">
        <v>46</v>
      </c>
      <c r="M543" s="126">
        <v>0.1009</v>
      </c>
      <c r="N543" s="127">
        <f t="shared" si="8"/>
        <v>4.6414</v>
      </c>
    </row>
    <row r="544" spans="1:14">
      <c r="A544" s="121" t="s">
        <v>2228</v>
      </c>
      <c r="B544" s="121" t="s">
        <v>2229</v>
      </c>
      <c r="C544" s="121">
        <v>1</v>
      </c>
      <c r="D544" s="121" t="s">
        <v>1117</v>
      </c>
      <c r="E544" s="125">
        <v>44788</v>
      </c>
      <c r="F544" s="121" t="s">
        <v>1118</v>
      </c>
      <c r="G544" s="121" t="s">
        <v>1131</v>
      </c>
      <c r="H544" s="121">
        <v>0.1462</v>
      </c>
      <c r="I544" s="121" t="s">
        <v>1174</v>
      </c>
      <c r="J544" s="121" t="s">
        <v>96</v>
      </c>
      <c r="K544" s="121">
        <v>14477</v>
      </c>
      <c r="L544" s="122">
        <v>48</v>
      </c>
      <c r="M544" s="126">
        <v>0.1462</v>
      </c>
      <c r="N544" s="127">
        <f t="shared" si="8"/>
        <v>7.0175999999999998</v>
      </c>
    </row>
    <row r="545" spans="1:14">
      <c r="A545" s="121" t="s">
        <v>2230</v>
      </c>
      <c r="B545" s="121" t="s">
        <v>2231</v>
      </c>
      <c r="C545" s="121">
        <v>1</v>
      </c>
      <c r="D545" s="121" t="s">
        <v>1220</v>
      </c>
      <c r="E545" s="125">
        <v>44795</v>
      </c>
      <c r="F545" s="121" t="s">
        <v>1118</v>
      </c>
      <c r="G545" s="121" t="s">
        <v>1119</v>
      </c>
      <c r="H545" s="121">
        <v>8.3999999999999995E-3</v>
      </c>
      <c r="I545" s="121" t="s">
        <v>1174</v>
      </c>
      <c r="J545" s="121" t="s">
        <v>96</v>
      </c>
      <c r="K545" s="121">
        <v>16892</v>
      </c>
      <c r="L545" s="122">
        <v>40</v>
      </c>
      <c r="M545" s="126">
        <v>8.3999999999999995E-3</v>
      </c>
      <c r="N545" s="127">
        <f t="shared" si="8"/>
        <v>0.33599999999999997</v>
      </c>
    </row>
    <row r="546" spans="1:14">
      <c r="A546" s="121" t="s">
        <v>2232</v>
      </c>
      <c r="B546" s="121" t="s">
        <v>2233</v>
      </c>
      <c r="C546" s="121">
        <v>1</v>
      </c>
      <c r="D546" s="121" t="s">
        <v>1160</v>
      </c>
      <c r="E546" s="125">
        <v>44819</v>
      </c>
      <c r="F546" s="121" t="s">
        <v>1118</v>
      </c>
      <c r="G546" s="121" t="s">
        <v>1325</v>
      </c>
      <c r="H546" s="121">
        <v>0.1077</v>
      </c>
      <c r="I546" s="121" t="s">
        <v>1174</v>
      </c>
      <c r="J546" s="121" t="s">
        <v>96</v>
      </c>
      <c r="K546" s="121">
        <v>23723</v>
      </c>
      <c r="L546" s="122">
        <v>38</v>
      </c>
      <c r="M546" s="126">
        <v>0.1077</v>
      </c>
      <c r="N546" s="127">
        <f t="shared" si="8"/>
        <v>4.0926</v>
      </c>
    </row>
    <row r="547" spans="1:14">
      <c r="A547" s="121" t="s">
        <v>2234</v>
      </c>
      <c r="B547" s="121" t="s">
        <v>2235</v>
      </c>
      <c r="C547" s="121">
        <v>1</v>
      </c>
      <c r="D547" s="121" t="s">
        <v>1274</v>
      </c>
      <c r="E547" s="125">
        <v>44760</v>
      </c>
      <c r="F547" s="121" t="s">
        <v>1154</v>
      </c>
      <c r="G547" s="121" t="s">
        <v>1155</v>
      </c>
      <c r="H547" s="121">
        <v>0.22</v>
      </c>
      <c r="I547" s="121" t="s">
        <v>1174</v>
      </c>
      <c r="J547" s="121" t="s">
        <v>96</v>
      </c>
      <c r="K547" s="121">
        <v>5449</v>
      </c>
      <c r="L547" s="122">
        <v>34</v>
      </c>
      <c r="M547" s="126">
        <v>0.22</v>
      </c>
      <c r="N547" s="127">
        <f t="shared" si="8"/>
        <v>7.48</v>
      </c>
    </row>
    <row r="548" spans="1:14">
      <c r="A548" s="121" t="s">
        <v>2236</v>
      </c>
      <c r="B548" s="121" t="s">
        <v>2237</v>
      </c>
      <c r="C548" s="121">
        <v>1</v>
      </c>
      <c r="D548" s="121" t="s">
        <v>1235</v>
      </c>
      <c r="E548" s="125">
        <v>44795</v>
      </c>
      <c r="F548" s="121" t="s">
        <v>1124</v>
      </c>
      <c r="G548" s="121" t="s">
        <v>1124</v>
      </c>
      <c r="H548" s="121">
        <v>1.2111000000000001</v>
      </c>
      <c r="I548" s="121" t="s">
        <v>1174</v>
      </c>
      <c r="J548" s="121" t="s">
        <v>96</v>
      </c>
      <c r="K548" s="121">
        <v>16892</v>
      </c>
      <c r="L548" s="122">
        <v>40</v>
      </c>
      <c r="M548" s="126">
        <v>1.2111000000000001</v>
      </c>
      <c r="N548" s="127">
        <f t="shared" si="8"/>
        <v>48.444000000000003</v>
      </c>
    </row>
    <row r="549" spans="1:14">
      <c r="A549" s="121" t="s">
        <v>2238</v>
      </c>
      <c r="B549" s="121" t="s">
        <v>2239</v>
      </c>
      <c r="C549" s="121">
        <v>1</v>
      </c>
      <c r="D549" s="121" t="s">
        <v>1117</v>
      </c>
      <c r="E549" s="125">
        <v>44800</v>
      </c>
      <c r="F549" s="121" t="s">
        <v>1118</v>
      </c>
      <c r="G549" s="121" t="s">
        <v>1119</v>
      </c>
      <c r="H549" s="121">
        <v>0.25659999999999999</v>
      </c>
      <c r="I549" s="121" t="s">
        <v>1174</v>
      </c>
      <c r="J549" s="121" t="s">
        <v>96</v>
      </c>
      <c r="K549" s="121">
        <v>13961</v>
      </c>
      <c r="L549" s="122">
        <v>37</v>
      </c>
      <c r="M549" s="126">
        <v>0.25659999999999999</v>
      </c>
      <c r="N549" s="127">
        <f t="shared" si="8"/>
        <v>9.4941999999999993</v>
      </c>
    </row>
    <row r="550" spans="1:14">
      <c r="A550" s="121" t="s">
        <v>2240</v>
      </c>
      <c r="B550" s="121" t="s">
        <v>2241</v>
      </c>
      <c r="C550" s="121">
        <v>1</v>
      </c>
      <c r="D550" s="121" t="s">
        <v>1252</v>
      </c>
      <c r="E550" s="125">
        <v>44752</v>
      </c>
      <c r="F550" s="121" t="s">
        <v>1118</v>
      </c>
      <c r="G550" s="121" t="s">
        <v>2041</v>
      </c>
      <c r="H550" s="121">
        <v>0.34920000000000001</v>
      </c>
      <c r="I550" s="121" t="s">
        <v>1174</v>
      </c>
      <c r="J550" s="121" t="s">
        <v>96</v>
      </c>
      <c r="K550" s="121">
        <v>23544</v>
      </c>
      <c r="L550" s="122">
        <v>41</v>
      </c>
      <c r="M550" s="126">
        <v>0.34920000000000001</v>
      </c>
      <c r="N550" s="127">
        <f t="shared" si="8"/>
        <v>14.3172</v>
      </c>
    </row>
    <row r="551" spans="1:14">
      <c r="A551" s="121" t="s">
        <v>2242</v>
      </c>
      <c r="B551" s="121" t="s">
        <v>2243</v>
      </c>
      <c r="C551" s="121">
        <v>1</v>
      </c>
      <c r="D551" s="121" t="s">
        <v>1220</v>
      </c>
      <c r="E551" s="125">
        <v>44795</v>
      </c>
      <c r="F551" s="121" t="s">
        <v>1118</v>
      </c>
      <c r="G551" s="121" t="s">
        <v>1119</v>
      </c>
      <c r="H551" s="121">
        <v>0.13059999999999999</v>
      </c>
      <c r="I551" s="121" t="s">
        <v>1174</v>
      </c>
      <c r="J551" s="121" t="s">
        <v>96</v>
      </c>
      <c r="K551" s="121">
        <v>16892</v>
      </c>
      <c r="L551" s="122">
        <v>40</v>
      </c>
      <c r="M551" s="126">
        <v>0.13059999999999999</v>
      </c>
      <c r="N551" s="127">
        <f t="shared" si="8"/>
        <v>5.2240000000000002</v>
      </c>
    </row>
    <row r="552" spans="1:14">
      <c r="A552" s="121" t="s">
        <v>2244</v>
      </c>
      <c r="B552" s="121" t="s">
        <v>2245</v>
      </c>
      <c r="C552" s="121">
        <v>1</v>
      </c>
      <c r="D552" s="121" t="s">
        <v>1123</v>
      </c>
      <c r="E552" s="125">
        <v>44828</v>
      </c>
      <c r="F552" s="121" t="s">
        <v>1118</v>
      </c>
      <c r="G552" s="121" t="s">
        <v>1131</v>
      </c>
      <c r="H552" s="121">
        <v>7.8299999999999995E-2</v>
      </c>
      <c r="I552" s="121" t="s">
        <v>1174</v>
      </c>
      <c r="J552" s="121" t="s">
        <v>96</v>
      </c>
      <c r="K552" s="121">
        <v>28807</v>
      </c>
      <c r="L552" s="122">
        <v>41</v>
      </c>
      <c r="M552" s="126">
        <v>7.8299999999999995E-2</v>
      </c>
      <c r="N552" s="127">
        <f t="shared" si="8"/>
        <v>3.2102999999999997</v>
      </c>
    </row>
    <row r="553" spans="1:14">
      <c r="A553" s="121" t="s">
        <v>2246</v>
      </c>
      <c r="B553" s="121" t="s">
        <v>2247</v>
      </c>
      <c r="C553" s="121">
        <v>1</v>
      </c>
      <c r="D553" s="121" t="s">
        <v>1225</v>
      </c>
      <c r="E553" s="125">
        <v>44799</v>
      </c>
      <c r="F553" s="121" t="s">
        <v>1124</v>
      </c>
      <c r="G553" s="121" t="s">
        <v>1124</v>
      </c>
      <c r="H553" s="121">
        <v>9.2299999999999993E-2</v>
      </c>
      <c r="I553" s="121" t="s">
        <v>1174</v>
      </c>
      <c r="J553" s="121" t="s">
        <v>96</v>
      </c>
      <c r="K553" s="121">
        <v>4871</v>
      </c>
      <c r="L553" s="122">
        <v>42</v>
      </c>
      <c r="M553" s="126">
        <v>9.2299999999999993E-2</v>
      </c>
      <c r="N553" s="127">
        <f t="shared" si="8"/>
        <v>3.8765999999999998</v>
      </c>
    </row>
    <row r="554" spans="1:14">
      <c r="A554" s="121" t="s">
        <v>2248</v>
      </c>
      <c r="B554" s="121" t="s">
        <v>2249</v>
      </c>
      <c r="C554" s="121">
        <v>1</v>
      </c>
      <c r="D554" s="121" t="s">
        <v>1235</v>
      </c>
      <c r="E554" s="125">
        <v>44795</v>
      </c>
      <c r="F554" s="121" t="s">
        <v>1118</v>
      </c>
      <c r="G554" s="121" t="s">
        <v>1119</v>
      </c>
      <c r="H554" s="121">
        <v>7.3400000000000007E-2</v>
      </c>
      <c r="I554" s="121" t="s">
        <v>1174</v>
      </c>
      <c r="J554" s="121" t="s">
        <v>96</v>
      </c>
      <c r="K554" s="121">
        <v>16142</v>
      </c>
      <c r="L554" s="122">
        <v>46</v>
      </c>
      <c r="M554" s="126">
        <v>7.3400000000000007E-2</v>
      </c>
      <c r="N554" s="127">
        <f t="shared" si="8"/>
        <v>3.3764000000000003</v>
      </c>
    </row>
    <row r="555" spans="1:14">
      <c r="A555" s="121" t="s">
        <v>2250</v>
      </c>
      <c r="B555" s="121" t="s">
        <v>2251</v>
      </c>
      <c r="C555" s="121">
        <v>1</v>
      </c>
      <c r="D555" s="121" t="s">
        <v>1587</v>
      </c>
      <c r="E555" s="125">
        <v>44714</v>
      </c>
      <c r="F555" s="121" t="s">
        <v>1149</v>
      </c>
      <c r="G555" s="121" t="s">
        <v>1150</v>
      </c>
      <c r="H555" s="121">
        <v>0.1019</v>
      </c>
      <c r="I555" s="121" t="s">
        <v>1174</v>
      </c>
      <c r="J555" s="121" t="s">
        <v>96</v>
      </c>
      <c r="K555" s="121">
        <v>34101</v>
      </c>
      <c r="L555" s="122">
        <v>39</v>
      </c>
      <c r="M555" s="126">
        <v>0.1019</v>
      </c>
      <c r="N555" s="127">
        <f t="shared" si="8"/>
        <v>3.9741</v>
      </c>
    </row>
    <row r="556" spans="1:14">
      <c r="A556" s="121" t="s">
        <v>2252</v>
      </c>
      <c r="B556" s="121" t="s">
        <v>2253</v>
      </c>
      <c r="C556" s="121">
        <v>1</v>
      </c>
      <c r="D556" s="121" t="s">
        <v>1123</v>
      </c>
      <c r="E556" s="125">
        <v>44834</v>
      </c>
      <c r="F556" s="121" t="s">
        <v>1118</v>
      </c>
      <c r="G556" s="121" t="s">
        <v>1131</v>
      </c>
      <c r="H556" s="121">
        <v>0.13420000000000001</v>
      </c>
      <c r="I556" s="121" t="s">
        <v>1174</v>
      </c>
      <c r="J556" s="121" t="s">
        <v>96</v>
      </c>
      <c r="K556" s="121">
        <v>30896</v>
      </c>
      <c r="L556" s="122">
        <v>44</v>
      </c>
      <c r="M556" s="126">
        <v>0.13420000000000001</v>
      </c>
      <c r="N556" s="127">
        <f t="shared" si="8"/>
        <v>5.9048000000000007</v>
      </c>
    </row>
    <row r="557" spans="1:14">
      <c r="A557" s="121" t="s">
        <v>2254</v>
      </c>
      <c r="B557" s="121" t="s">
        <v>2255</v>
      </c>
      <c r="C557" s="121">
        <v>1</v>
      </c>
      <c r="D557" s="121" t="s">
        <v>1117</v>
      </c>
      <c r="E557" s="125">
        <v>44795</v>
      </c>
      <c r="F557" s="121" t="s">
        <v>1124</v>
      </c>
      <c r="G557" s="121" t="s">
        <v>1124</v>
      </c>
      <c r="H557" s="121">
        <v>0.14080000000000001</v>
      </c>
      <c r="I557" s="121" t="s">
        <v>1174</v>
      </c>
      <c r="J557" s="121" t="s">
        <v>96</v>
      </c>
      <c r="K557" s="121">
        <v>6232</v>
      </c>
      <c r="L557" s="122">
        <v>37</v>
      </c>
      <c r="M557" s="126">
        <v>0.14080000000000001</v>
      </c>
      <c r="N557" s="127">
        <f t="shared" si="8"/>
        <v>5.2096</v>
      </c>
    </row>
    <row r="558" spans="1:14">
      <c r="A558" s="121" t="s">
        <v>2256</v>
      </c>
      <c r="B558" s="121" t="s">
        <v>2257</v>
      </c>
      <c r="C558" s="121">
        <v>1</v>
      </c>
      <c r="D558" s="121" t="s">
        <v>1160</v>
      </c>
      <c r="E558" s="125">
        <v>44840</v>
      </c>
      <c r="F558" s="121" t="s">
        <v>1154</v>
      </c>
      <c r="G558" s="121" t="s">
        <v>1155</v>
      </c>
      <c r="H558" s="121">
        <v>0.31819999999999998</v>
      </c>
      <c r="I558" s="121" t="s">
        <v>1174</v>
      </c>
      <c r="J558" s="121" t="s">
        <v>96</v>
      </c>
      <c r="K558" s="121">
        <v>4308</v>
      </c>
      <c r="L558" s="122">
        <v>37</v>
      </c>
      <c r="M558" s="126">
        <v>0.31819999999999998</v>
      </c>
      <c r="N558" s="127">
        <f t="shared" si="8"/>
        <v>11.773399999999999</v>
      </c>
    </row>
    <row r="559" spans="1:14">
      <c r="A559" s="121" t="s">
        <v>2258</v>
      </c>
      <c r="B559" s="121" t="s">
        <v>2259</v>
      </c>
      <c r="C559" s="121">
        <v>1</v>
      </c>
      <c r="D559" s="121" t="s">
        <v>1235</v>
      </c>
      <c r="E559" s="125">
        <v>44808</v>
      </c>
      <c r="F559" s="121" t="s">
        <v>1118</v>
      </c>
      <c r="G559" s="121" t="s">
        <v>1119</v>
      </c>
      <c r="H559" s="121">
        <v>1.7899999999999999E-2</v>
      </c>
      <c r="I559" s="121" t="s">
        <v>1174</v>
      </c>
      <c r="J559" s="121" t="s">
        <v>96</v>
      </c>
      <c r="K559" s="121">
        <v>14116</v>
      </c>
      <c r="L559" s="122">
        <v>40</v>
      </c>
      <c r="M559" s="126">
        <v>1.78E-2</v>
      </c>
      <c r="N559" s="127">
        <f t="shared" si="8"/>
        <v>0.71199999999999997</v>
      </c>
    </row>
    <row r="560" spans="1:14">
      <c r="A560" s="121" t="s">
        <v>2260</v>
      </c>
      <c r="B560" s="121" t="s">
        <v>2261</v>
      </c>
      <c r="C560" s="121">
        <v>1</v>
      </c>
      <c r="D560" s="121" t="s">
        <v>1607</v>
      </c>
      <c r="E560" s="125">
        <v>44795</v>
      </c>
      <c r="F560" s="121" t="s">
        <v>1118</v>
      </c>
      <c r="G560" s="121" t="s">
        <v>1119</v>
      </c>
      <c r="H560" s="121">
        <v>0.1346</v>
      </c>
      <c r="I560" s="121" t="s">
        <v>1174</v>
      </c>
      <c r="J560" s="121" t="s">
        <v>96</v>
      </c>
      <c r="K560" s="121">
        <v>16712</v>
      </c>
      <c r="L560" s="122">
        <v>41</v>
      </c>
      <c r="M560" s="126">
        <v>0.1346</v>
      </c>
      <c r="N560" s="127">
        <f t="shared" si="8"/>
        <v>5.5186000000000002</v>
      </c>
    </row>
    <row r="561" spans="1:14">
      <c r="A561" s="121" t="s">
        <v>2262</v>
      </c>
      <c r="B561" s="121" t="s">
        <v>2263</v>
      </c>
      <c r="C561" s="121">
        <v>1</v>
      </c>
      <c r="D561" s="121" t="s">
        <v>2264</v>
      </c>
      <c r="E561" s="125">
        <v>44800</v>
      </c>
      <c r="F561" s="121" t="s">
        <v>1118</v>
      </c>
      <c r="G561" s="121" t="s">
        <v>1119</v>
      </c>
      <c r="H561" s="121">
        <v>2.18E-2</v>
      </c>
      <c r="I561" s="121" t="s">
        <v>1174</v>
      </c>
      <c r="J561" s="121" t="s">
        <v>96</v>
      </c>
      <c r="K561" s="121">
        <v>16712</v>
      </c>
      <c r="L561" s="122">
        <v>41</v>
      </c>
      <c r="M561" s="126">
        <v>2.18E-2</v>
      </c>
      <c r="N561" s="127">
        <f t="shared" si="8"/>
        <v>0.89380000000000004</v>
      </c>
    </row>
    <row r="562" spans="1:14">
      <c r="A562" s="121" t="s">
        <v>2265</v>
      </c>
      <c r="B562" s="121" t="s">
        <v>2266</v>
      </c>
      <c r="C562" s="121">
        <v>1</v>
      </c>
      <c r="D562" s="121" t="s">
        <v>1203</v>
      </c>
      <c r="E562" s="125">
        <v>44895</v>
      </c>
      <c r="F562" s="121" t="s">
        <v>1118</v>
      </c>
      <c r="G562" s="121" t="s">
        <v>1119</v>
      </c>
      <c r="H562" s="121">
        <v>3.5999999999999997E-2</v>
      </c>
      <c r="I562" s="121" t="s">
        <v>1174</v>
      </c>
      <c r="J562" s="121" t="s">
        <v>96</v>
      </c>
      <c r="K562" s="121">
        <v>30546</v>
      </c>
      <c r="L562" s="122">
        <v>47</v>
      </c>
      <c r="M562" s="126">
        <v>3.5999999999999997E-2</v>
      </c>
      <c r="N562" s="127">
        <f t="shared" si="8"/>
        <v>1.6919999999999999</v>
      </c>
    </row>
    <row r="563" spans="1:14">
      <c r="A563" s="121" t="s">
        <v>2267</v>
      </c>
      <c r="B563" s="121" t="s">
        <v>2268</v>
      </c>
      <c r="C563" s="121">
        <v>1</v>
      </c>
      <c r="D563" s="121" t="s">
        <v>1130</v>
      </c>
      <c r="E563" s="125">
        <v>44795</v>
      </c>
      <c r="F563" s="121" t="s">
        <v>1124</v>
      </c>
      <c r="G563" s="121" t="s">
        <v>1124</v>
      </c>
      <c r="H563" s="121">
        <v>0.2414</v>
      </c>
      <c r="I563" s="121" t="s">
        <v>1174</v>
      </c>
      <c r="J563" s="121" t="s">
        <v>96</v>
      </c>
      <c r="K563" s="121">
        <v>5449</v>
      </c>
      <c r="L563" s="122">
        <v>34</v>
      </c>
      <c r="M563" s="126">
        <v>0.13489999999999999</v>
      </c>
      <c r="N563" s="127">
        <f t="shared" si="8"/>
        <v>4.5865999999999998</v>
      </c>
    </row>
    <row r="564" spans="1:14">
      <c r="A564" s="121" t="s">
        <v>2267</v>
      </c>
      <c r="B564" s="121" t="s">
        <v>2268</v>
      </c>
      <c r="C564" s="121">
        <v>1</v>
      </c>
      <c r="D564" s="121" t="s">
        <v>1130</v>
      </c>
      <c r="E564" s="125">
        <v>44795</v>
      </c>
      <c r="F564" s="121" t="s">
        <v>1124</v>
      </c>
      <c r="G564" s="121" t="s">
        <v>1124</v>
      </c>
      <c r="H564" s="121">
        <v>0.2414</v>
      </c>
      <c r="I564" s="121" t="s">
        <v>1174</v>
      </c>
      <c r="J564" s="121" t="s">
        <v>96</v>
      </c>
      <c r="K564" s="121">
        <v>5450</v>
      </c>
      <c r="L564" s="122">
        <v>40</v>
      </c>
      <c r="M564" s="126">
        <v>0.10639999999999999</v>
      </c>
      <c r="N564" s="127">
        <f t="shared" si="8"/>
        <v>4.2560000000000002</v>
      </c>
    </row>
    <row r="565" spans="1:14">
      <c r="A565" s="121" t="s">
        <v>2269</v>
      </c>
      <c r="B565" s="121" t="s">
        <v>2270</v>
      </c>
      <c r="C565" s="121">
        <v>1</v>
      </c>
      <c r="D565" s="121" t="s">
        <v>1130</v>
      </c>
      <c r="E565" s="125">
        <v>44747</v>
      </c>
      <c r="F565" s="121" t="s">
        <v>1118</v>
      </c>
      <c r="G565" s="121" t="s">
        <v>1143</v>
      </c>
      <c r="H565" s="121">
        <v>3.2000000000000001E-2</v>
      </c>
      <c r="I565" s="121" t="s">
        <v>1174</v>
      </c>
      <c r="J565" s="121" t="s">
        <v>96</v>
      </c>
      <c r="K565" s="121">
        <v>33454</v>
      </c>
      <c r="L565" s="122">
        <v>41</v>
      </c>
      <c r="M565" s="126">
        <v>3.2099999999999997E-2</v>
      </c>
      <c r="N565" s="127">
        <f t="shared" si="8"/>
        <v>1.3160999999999998</v>
      </c>
    </row>
    <row r="566" spans="1:14">
      <c r="A566" s="121" t="s">
        <v>2271</v>
      </c>
      <c r="B566" s="121" t="s">
        <v>2272</v>
      </c>
      <c r="C566" s="121">
        <v>1</v>
      </c>
      <c r="D566" s="121" t="s">
        <v>1117</v>
      </c>
      <c r="E566" s="125">
        <v>44772</v>
      </c>
      <c r="F566" s="121" t="s">
        <v>1118</v>
      </c>
      <c r="G566" s="121" t="s">
        <v>1119</v>
      </c>
      <c r="H566" s="121">
        <v>2.4899999999999999E-2</v>
      </c>
      <c r="I566" s="121" t="s">
        <v>1174</v>
      </c>
      <c r="J566" s="121" t="s">
        <v>96</v>
      </c>
      <c r="K566" s="121">
        <v>33897</v>
      </c>
      <c r="L566" s="122">
        <v>44</v>
      </c>
      <c r="M566" s="126">
        <v>2.5000000000000001E-2</v>
      </c>
      <c r="N566" s="127">
        <f t="shared" si="8"/>
        <v>1.1000000000000001</v>
      </c>
    </row>
    <row r="567" spans="1:14">
      <c r="A567" s="121" t="s">
        <v>2273</v>
      </c>
      <c r="B567" s="121" t="s">
        <v>2274</v>
      </c>
      <c r="C567" s="121">
        <v>1</v>
      </c>
      <c r="D567" s="121" t="s">
        <v>1117</v>
      </c>
      <c r="E567" s="125">
        <v>44760</v>
      </c>
      <c r="F567" s="121" t="s">
        <v>1154</v>
      </c>
      <c r="G567" s="121" t="s">
        <v>1155</v>
      </c>
      <c r="H567" s="121">
        <v>8.9599999999999999E-2</v>
      </c>
      <c r="I567" s="121" t="s">
        <v>1174</v>
      </c>
      <c r="J567" s="121" t="s">
        <v>96</v>
      </c>
      <c r="K567" s="121">
        <v>5052</v>
      </c>
      <c r="L567" s="122">
        <v>42</v>
      </c>
      <c r="M567" s="126">
        <v>8.9599999999999999E-2</v>
      </c>
      <c r="N567" s="127">
        <f t="shared" si="8"/>
        <v>3.7631999999999999</v>
      </c>
    </row>
    <row r="568" spans="1:14">
      <c r="A568" s="121" t="s">
        <v>2275</v>
      </c>
      <c r="B568" s="121" t="s">
        <v>2274</v>
      </c>
      <c r="C568" s="121">
        <v>1</v>
      </c>
      <c r="D568" s="121" t="s">
        <v>2276</v>
      </c>
      <c r="E568" s="125">
        <v>44760</v>
      </c>
      <c r="F568" s="121" t="s">
        <v>1154</v>
      </c>
      <c r="G568" s="121" t="s">
        <v>1155</v>
      </c>
      <c r="H568" s="121">
        <v>0.18820000000000001</v>
      </c>
      <c r="I568" s="121" t="s">
        <v>1174</v>
      </c>
      <c r="J568" s="121" t="s">
        <v>96</v>
      </c>
      <c r="K568" s="121">
        <v>5052</v>
      </c>
      <c r="L568" s="122">
        <v>42</v>
      </c>
      <c r="M568" s="126">
        <v>0.18820000000000001</v>
      </c>
      <c r="N568" s="127">
        <f t="shared" si="8"/>
        <v>7.9043999999999999</v>
      </c>
    </row>
    <row r="569" spans="1:14">
      <c r="A569" s="121" t="s">
        <v>2277</v>
      </c>
      <c r="B569" s="121" t="s">
        <v>2278</v>
      </c>
      <c r="C569" s="121">
        <v>1</v>
      </c>
      <c r="D569" s="121" t="s">
        <v>1166</v>
      </c>
      <c r="E569" s="125">
        <v>44795</v>
      </c>
      <c r="F569" s="121" t="s">
        <v>1124</v>
      </c>
      <c r="G569" s="121" t="s">
        <v>1124</v>
      </c>
      <c r="H569" s="121">
        <v>0.26300000000000001</v>
      </c>
      <c r="I569" s="121" t="s">
        <v>1174</v>
      </c>
      <c r="J569" s="121" t="s">
        <v>96</v>
      </c>
      <c r="K569" s="121">
        <v>5052</v>
      </c>
      <c r="L569" s="122">
        <v>42</v>
      </c>
      <c r="M569" s="126">
        <v>0.26300000000000001</v>
      </c>
      <c r="N569" s="127">
        <f t="shared" si="8"/>
        <v>11.046000000000001</v>
      </c>
    </row>
    <row r="570" spans="1:14">
      <c r="A570" s="121" t="s">
        <v>2279</v>
      </c>
      <c r="B570" s="121" t="s">
        <v>2280</v>
      </c>
      <c r="C570" s="121">
        <v>1</v>
      </c>
      <c r="D570" s="121" t="s">
        <v>1261</v>
      </c>
      <c r="E570" s="125">
        <v>44771</v>
      </c>
      <c r="F570" s="121" t="s">
        <v>1118</v>
      </c>
      <c r="G570" s="121" t="s">
        <v>1143</v>
      </c>
      <c r="H570" s="121">
        <v>3.3300000000000003E-2</v>
      </c>
      <c r="I570" s="121" t="s">
        <v>1174</v>
      </c>
      <c r="J570" s="121" t="s">
        <v>96</v>
      </c>
      <c r="K570" s="121">
        <v>14272</v>
      </c>
      <c r="L570" s="122">
        <v>43</v>
      </c>
      <c r="M570" s="126">
        <v>3.3300000000000003E-2</v>
      </c>
      <c r="N570" s="127">
        <f t="shared" si="8"/>
        <v>1.4319000000000002</v>
      </c>
    </row>
    <row r="571" spans="1:14">
      <c r="A571" s="121" t="s">
        <v>2281</v>
      </c>
      <c r="B571" s="121" t="s">
        <v>2282</v>
      </c>
      <c r="C571" s="121">
        <v>1</v>
      </c>
      <c r="D571" s="121" t="s">
        <v>1220</v>
      </c>
      <c r="E571" s="125">
        <v>44795</v>
      </c>
      <c r="F571" s="121" t="s">
        <v>1124</v>
      </c>
      <c r="G571" s="121" t="s">
        <v>1124</v>
      </c>
      <c r="H571" s="121">
        <v>3.1899999999999998E-2</v>
      </c>
      <c r="I571" s="121" t="s">
        <v>1174</v>
      </c>
      <c r="J571" s="121" t="s">
        <v>96</v>
      </c>
      <c r="K571" s="121">
        <v>16892</v>
      </c>
      <c r="L571" s="122">
        <v>40</v>
      </c>
      <c r="M571" s="126">
        <v>3.1899999999999998E-2</v>
      </c>
      <c r="N571" s="127">
        <f t="shared" si="8"/>
        <v>1.2759999999999998</v>
      </c>
    </row>
    <row r="572" spans="1:14">
      <c r="A572" s="121" t="s">
        <v>2283</v>
      </c>
      <c r="B572" s="121" t="s">
        <v>2284</v>
      </c>
      <c r="C572" s="121">
        <v>1</v>
      </c>
      <c r="D572" s="121" t="s">
        <v>1163</v>
      </c>
      <c r="E572" s="125">
        <v>44795</v>
      </c>
      <c r="F572" s="121" t="s">
        <v>1124</v>
      </c>
      <c r="G572" s="121" t="s">
        <v>1124</v>
      </c>
      <c r="H572" s="121">
        <v>7.1999999999999998E-3</v>
      </c>
      <c r="I572" s="121" t="s">
        <v>1174</v>
      </c>
      <c r="J572" s="121" t="s">
        <v>96</v>
      </c>
      <c r="K572" s="121">
        <v>16713</v>
      </c>
      <c r="L572" s="122">
        <v>42</v>
      </c>
      <c r="M572" s="126">
        <v>7.1999999999999998E-3</v>
      </c>
      <c r="N572" s="127">
        <f t="shared" si="8"/>
        <v>0.3024</v>
      </c>
    </row>
    <row r="573" spans="1:14">
      <c r="A573" s="121" t="s">
        <v>2285</v>
      </c>
      <c r="B573" s="121" t="s">
        <v>2286</v>
      </c>
      <c r="C573" s="121">
        <v>1</v>
      </c>
      <c r="D573" s="121" t="s">
        <v>1203</v>
      </c>
      <c r="E573" s="125">
        <v>44795</v>
      </c>
      <c r="F573" s="121" t="s">
        <v>1118</v>
      </c>
      <c r="G573" s="121" t="s">
        <v>1131</v>
      </c>
      <c r="H573" s="121">
        <v>0.26140000000000002</v>
      </c>
      <c r="I573" s="121" t="s">
        <v>1174</v>
      </c>
      <c r="J573" s="121" t="s">
        <v>96</v>
      </c>
      <c r="K573" s="121">
        <v>14832</v>
      </c>
      <c r="L573" s="122">
        <v>45</v>
      </c>
      <c r="M573" s="126">
        <v>0.26190000000000002</v>
      </c>
      <c r="N573" s="127">
        <f t="shared" si="8"/>
        <v>11.785500000000001</v>
      </c>
    </row>
    <row r="574" spans="1:14">
      <c r="A574" s="121" t="s">
        <v>2287</v>
      </c>
      <c r="B574" s="121" t="s">
        <v>2288</v>
      </c>
      <c r="C574" s="121">
        <v>1</v>
      </c>
      <c r="D574" s="121" t="s">
        <v>1297</v>
      </c>
      <c r="E574" s="125">
        <v>44795</v>
      </c>
      <c r="F574" s="121" t="s">
        <v>1124</v>
      </c>
      <c r="G574" s="121" t="s">
        <v>1124</v>
      </c>
      <c r="H574" s="121">
        <v>0.1724</v>
      </c>
      <c r="I574" s="121" t="s">
        <v>1174</v>
      </c>
      <c r="J574" s="121" t="s">
        <v>96</v>
      </c>
      <c r="K574" s="121">
        <v>5052</v>
      </c>
      <c r="L574" s="122">
        <v>42</v>
      </c>
      <c r="M574" s="126">
        <v>0.1724</v>
      </c>
      <c r="N574" s="127">
        <f t="shared" si="8"/>
        <v>7.2408000000000001</v>
      </c>
    </row>
    <row r="575" spans="1:14">
      <c r="A575" s="121" t="s">
        <v>2289</v>
      </c>
      <c r="B575" s="121" t="s">
        <v>2290</v>
      </c>
      <c r="C575" s="121">
        <v>1</v>
      </c>
      <c r="D575" s="121" t="s">
        <v>1130</v>
      </c>
      <c r="E575" s="125">
        <v>44800</v>
      </c>
      <c r="F575" s="121" t="s">
        <v>1154</v>
      </c>
      <c r="G575" s="121" t="s">
        <v>1155</v>
      </c>
      <c r="H575" s="121">
        <v>0.20499999999999999</v>
      </c>
      <c r="I575" s="121" t="s">
        <v>1174</v>
      </c>
      <c r="J575" s="121" t="s">
        <v>96</v>
      </c>
      <c r="K575" s="121">
        <v>5052</v>
      </c>
      <c r="L575" s="122">
        <v>42</v>
      </c>
      <c r="M575" s="126">
        <v>0.20499999999999999</v>
      </c>
      <c r="N575" s="127">
        <f t="shared" si="8"/>
        <v>8.61</v>
      </c>
    </row>
    <row r="576" spans="1:14">
      <c r="A576" s="121" t="s">
        <v>2291</v>
      </c>
      <c r="B576" s="121" t="s">
        <v>2292</v>
      </c>
      <c r="C576" s="121">
        <v>1</v>
      </c>
      <c r="D576" s="121" t="s">
        <v>2070</v>
      </c>
      <c r="E576" s="125">
        <v>44798</v>
      </c>
      <c r="F576" s="121" t="s">
        <v>1154</v>
      </c>
      <c r="G576" s="121" t="s">
        <v>1155</v>
      </c>
      <c r="H576" s="121">
        <v>0.34760000000000002</v>
      </c>
      <c r="I576" s="121" t="s">
        <v>1174</v>
      </c>
      <c r="J576" s="121" t="s">
        <v>96</v>
      </c>
      <c r="K576" s="121">
        <v>5228</v>
      </c>
      <c r="L576" s="122">
        <v>39</v>
      </c>
      <c r="M576" s="126">
        <v>0.34760000000000002</v>
      </c>
      <c r="N576" s="127">
        <f t="shared" si="8"/>
        <v>13.5564</v>
      </c>
    </row>
    <row r="577" spans="1:14">
      <c r="A577" s="121" t="s">
        <v>2293</v>
      </c>
      <c r="B577" s="121" t="s">
        <v>1475</v>
      </c>
      <c r="C577" s="121">
        <v>1</v>
      </c>
      <c r="D577" s="121" t="s">
        <v>1117</v>
      </c>
      <c r="E577" s="125">
        <v>44795</v>
      </c>
      <c r="F577" s="121" t="s">
        <v>1124</v>
      </c>
      <c r="G577" s="121" t="s">
        <v>1124</v>
      </c>
      <c r="H577" s="121">
        <v>2.3E-2</v>
      </c>
      <c r="I577" s="121" t="s">
        <v>1174</v>
      </c>
      <c r="J577" s="121" t="s">
        <v>96</v>
      </c>
      <c r="K577" s="121">
        <v>17308</v>
      </c>
      <c r="L577" s="122">
        <v>43</v>
      </c>
      <c r="M577" s="126">
        <v>2.3E-2</v>
      </c>
      <c r="N577" s="127">
        <f t="shared" si="8"/>
        <v>0.98899999999999999</v>
      </c>
    </row>
    <row r="578" spans="1:14">
      <c r="A578" s="121" t="s">
        <v>2294</v>
      </c>
      <c r="B578" s="121" t="s">
        <v>2295</v>
      </c>
      <c r="C578" s="121">
        <v>1</v>
      </c>
      <c r="D578" s="121" t="s">
        <v>1220</v>
      </c>
      <c r="E578" s="125">
        <v>44795</v>
      </c>
      <c r="F578" s="121" t="s">
        <v>1118</v>
      </c>
      <c r="G578" s="121" t="s">
        <v>1119</v>
      </c>
      <c r="H578" s="121">
        <v>1.66E-2</v>
      </c>
      <c r="I578" s="121" t="s">
        <v>1174</v>
      </c>
      <c r="J578" s="121" t="s">
        <v>96</v>
      </c>
      <c r="K578" s="121">
        <v>17077</v>
      </c>
      <c r="L578" s="122">
        <v>36</v>
      </c>
      <c r="M578" s="126">
        <v>1.66E-2</v>
      </c>
      <c r="N578" s="127">
        <f t="shared" ref="N578:N641" si="9">+M578*L578</f>
        <v>0.59760000000000002</v>
      </c>
    </row>
    <row r="579" spans="1:14">
      <c r="A579" s="121" t="s">
        <v>2296</v>
      </c>
      <c r="B579" s="121" t="s">
        <v>2297</v>
      </c>
      <c r="C579" s="121">
        <v>1</v>
      </c>
      <c r="D579" s="121" t="s">
        <v>1117</v>
      </c>
      <c r="E579" s="125">
        <v>44789</v>
      </c>
      <c r="F579" s="121" t="s">
        <v>1118</v>
      </c>
      <c r="G579" s="121" t="s">
        <v>1131</v>
      </c>
      <c r="H579" s="121">
        <v>3.0800000000000001E-2</v>
      </c>
      <c r="I579" s="121" t="s">
        <v>1174</v>
      </c>
      <c r="J579" s="121" t="s">
        <v>96</v>
      </c>
      <c r="K579" s="121">
        <v>16892</v>
      </c>
      <c r="L579" s="122">
        <v>40</v>
      </c>
      <c r="M579" s="126">
        <v>3.0800000000000001E-2</v>
      </c>
      <c r="N579" s="127">
        <f t="shared" si="9"/>
        <v>1.232</v>
      </c>
    </row>
    <row r="580" spans="1:14">
      <c r="A580" s="121" t="s">
        <v>2298</v>
      </c>
      <c r="B580" s="121" t="s">
        <v>2299</v>
      </c>
      <c r="C580" s="121">
        <v>1</v>
      </c>
      <c r="D580" s="121" t="s">
        <v>1123</v>
      </c>
      <c r="E580" s="125">
        <v>44761</v>
      </c>
      <c r="F580" s="121" t="s">
        <v>1149</v>
      </c>
      <c r="G580" s="121" t="s">
        <v>1150</v>
      </c>
      <c r="H580" s="121">
        <v>9.11E-2</v>
      </c>
      <c r="I580" s="121" t="s">
        <v>1174</v>
      </c>
      <c r="J580" s="121" t="s">
        <v>96</v>
      </c>
      <c r="K580" s="121">
        <v>14646</v>
      </c>
      <c r="L580" s="122">
        <v>41</v>
      </c>
      <c r="M580" s="126">
        <v>9.11E-2</v>
      </c>
      <c r="N580" s="127">
        <f t="shared" si="9"/>
        <v>3.7351000000000001</v>
      </c>
    </row>
    <row r="581" spans="1:14">
      <c r="A581" s="121" t="s">
        <v>2300</v>
      </c>
      <c r="B581" s="121" t="s">
        <v>2301</v>
      </c>
      <c r="C581" s="121">
        <v>1</v>
      </c>
      <c r="D581" s="121" t="s">
        <v>1252</v>
      </c>
      <c r="E581" s="125">
        <v>44771</v>
      </c>
      <c r="F581" s="121" t="s">
        <v>1118</v>
      </c>
      <c r="G581" s="121" t="s">
        <v>2041</v>
      </c>
      <c r="H581" s="121">
        <v>0.23519999999999999</v>
      </c>
      <c r="I581" s="121" t="s">
        <v>1174</v>
      </c>
      <c r="J581" s="121" t="s">
        <v>96</v>
      </c>
      <c r="K581" s="121">
        <v>23544</v>
      </c>
      <c r="L581" s="122">
        <v>41</v>
      </c>
      <c r="M581" s="126">
        <v>0.23519999999999999</v>
      </c>
      <c r="N581" s="127">
        <f t="shared" si="9"/>
        <v>9.6432000000000002</v>
      </c>
    </row>
    <row r="582" spans="1:14">
      <c r="A582" s="121" t="s">
        <v>2302</v>
      </c>
      <c r="B582" s="121" t="s">
        <v>2303</v>
      </c>
      <c r="C582" s="121">
        <v>1</v>
      </c>
      <c r="D582" s="121" t="s">
        <v>1123</v>
      </c>
      <c r="E582" s="125">
        <v>44852</v>
      </c>
      <c r="F582" s="121" t="s">
        <v>1118</v>
      </c>
      <c r="G582" s="121" t="s">
        <v>1124</v>
      </c>
      <c r="H582" s="121">
        <v>0.20419999999999999</v>
      </c>
      <c r="I582" s="121" t="s">
        <v>1174</v>
      </c>
      <c r="J582" s="121" t="s">
        <v>96</v>
      </c>
      <c r="K582" s="121">
        <v>34332</v>
      </c>
      <c r="L582" s="122">
        <v>21</v>
      </c>
      <c r="M582" s="126">
        <v>0.20349999999999999</v>
      </c>
      <c r="N582" s="127">
        <f t="shared" si="9"/>
        <v>4.2734999999999994</v>
      </c>
    </row>
    <row r="583" spans="1:14">
      <c r="A583" s="121" t="s">
        <v>2304</v>
      </c>
      <c r="B583" s="121" t="s">
        <v>2305</v>
      </c>
      <c r="C583" s="121">
        <v>1</v>
      </c>
      <c r="D583" s="121" t="s">
        <v>1117</v>
      </c>
      <c r="E583" s="125">
        <v>44762</v>
      </c>
      <c r="F583" s="121" t="s">
        <v>1118</v>
      </c>
      <c r="G583" s="121" t="s">
        <v>1131</v>
      </c>
      <c r="H583" s="121">
        <v>0.13320000000000001</v>
      </c>
      <c r="I583" s="121" t="s">
        <v>1174</v>
      </c>
      <c r="J583" s="121" t="s">
        <v>96</v>
      </c>
      <c r="K583" s="121">
        <v>14832</v>
      </c>
      <c r="L583" s="122">
        <v>45</v>
      </c>
      <c r="M583" s="126">
        <v>0.13320000000000001</v>
      </c>
      <c r="N583" s="127">
        <f t="shared" si="9"/>
        <v>5.9940000000000007</v>
      </c>
    </row>
    <row r="584" spans="1:14">
      <c r="A584" s="121" t="s">
        <v>2306</v>
      </c>
      <c r="B584" s="121" t="s">
        <v>2307</v>
      </c>
      <c r="C584" s="121">
        <v>1</v>
      </c>
      <c r="D584" s="121" t="s">
        <v>1397</v>
      </c>
      <c r="E584" s="125">
        <v>44795</v>
      </c>
      <c r="F584" s="121" t="s">
        <v>1124</v>
      </c>
      <c r="G584" s="121" t="s">
        <v>1124</v>
      </c>
      <c r="H584" s="121">
        <v>0.12479999999999999</v>
      </c>
      <c r="I584" s="121" t="s">
        <v>1174</v>
      </c>
      <c r="J584" s="121" t="s">
        <v>96</v>
      </c>
      <c r="K584" s="121">
        <v>6035</v>
      </c>
      <c r="L584" s="122">
        <v>46</v>
      </c>
      <c r="M584" s="126">
        <v>0.12479999999999999</v>
      </c>
      <c r="N584" s="127">
        <f t="shared" si="9"/>
        <v>5.7408000000000001</v>
      </c>
    </row>
    <row r="585" spans="1:14">
      <c r="A585" s="121" t="s">
        <v>2308</v>
      </c>
      <c r="B585" s="121" t="s">
        <v>2309</v>
      </c>
      <c r="C585" s="121">
        <v>1</v>
      </c>
      <c r="D585" s="121" t="s">
        <v>1928</v>
      </c>
      <c r="E585" s="125">
        <v>44795</v>
      </c>
      <c r="F585" s="121" t="s">
        <v>1118</v>
      </c>
      <c r="G585" s="121" t="s">
        <v>1325</v>
      </c>
      <c r="H585" s="121">
        <v>3.8300000000000001E-2</v>
      </c>
      <c r="I585" s="121" t="s">
        <v>1174</v>
      </c>
      <c r="J585" s="121" t="s">
        <v>96</v>
      </c>
      <c r="K585" s="121">
        <v>23496</v>
      </c>
      <c r="L585" s="122">
        <v>47</v>
      </c>
      <c r="M585" s="126">
        <v>3.8300000000000001E-2</v>
      </c>
      <c r="N585" s="127">
        <f t="shared" si="9"/>
        <v>1.8001</v>
      </c>
    </row>
    <row r="586" spans="1:14">
      <c r="A586" s="121" t="s">
        <v>2310</v>
      </c>
      <c r="B586" s="121" t="s">
        <v>2311</v>
      </c>
      <c r="C586" s="121">
        <v>1</v>
      </c>
      <c r="D586" s="121" t="s">
        <v>2312</v>
      </c>
      <c r="E586" s="125">
        <v>44752</v>
      </c>
      <c r="F586" s="121" t="s">
        <v>1118</v>
      </c>
      <c r="G586" s="121" t="s">
        <v>1131</v>
      </c>
      <c r="H586" s="121">
        <v>0.50409999999999999</v>
      </c>
      <c r="I586" s="121" t="s">
        <v>1174</v>
      </c>
      <c r="J586" s="121" t="s">
        <v>96</v>
      </c>
      <c r="K586" s="121">
        <v>14477</v>
      </c>
      <c r="L586" s="122">
        <v>48</v>
      </c>
      <c r="M586" s="126">
        <v>0.50409999999999999</v>
      </c>
      <c r="N586" s="127">
        <f t="shared" si="9"/>
        <v>24.1968</v>
      </c>
    </row>
    <row r="587" spans="1:14">
      <c r="A587" s="121" t="s">
        <v>2313</v>
      </c>
      <c r="B587" s="121" t="s">
        <v>2314</v>
      </c>
      <c r="C587" s="121">
        <v>1</v>
      </c>
      <c r="D587" s="121" t="s">
        <v>1235</v>
      </c>
      <c r="E587" s="125">
        <v>44795</v>
      </c>
      <c r="F587" s="121" t="s">
        <v>1118</v>
      </c>
      <c r="G587" s="121" t="s">
        <v>1119</v>
      </c>
      <c r="H587" s="121">
        <v>0.12809999999999999</v>
      </c>
      <c r="I587" s="121" t="s">
        <v>1174</v>
      </c>
      <c r="J587" s="121" t="s">
        <v>96</v>
      </c>
      <c r="K587" s="121">
        <v>16142</v>
      </c>
      <c r="L587" s="122">
        <v>46</v>
      </c>
      <c r="M587" s="126">
        <v>0.12809999999999999</v>
      </c>
      <c r="N587" s="127">
        <f t="shared" si="9"/>
        <v>5.8925999999999998</v>
      </c>
    </row>
    <row r="588" spans="1:14">
      <c r="A588" s="121" t="s">
        <v>2315</v>
      </c>
      <c r="B588" s="121" t="s">
        <v>2316</v>
      </c>
      <c r="C588" s="121">
        <v>1</v>
      </c>
      <c r="D588" s="121" t="s">
        <v>1252</v>
      </c>
      <c r="E588" s="125">
        <v>44795</v>
      </c>
      <c r="F588" s="121" t="s">
        <v>1118</v>
      </c>
      <c r="G588" s="121" t="s">
        <v>1265</v>
      </c>
      <c r="H588" s="121">
        <v>0.18310000000000001</v>
      </c>
      <c r="I588" s="121" t="s">
        <v>1174</v>
      </c>
      <c r="J588" s="121" t="s">
        <v>96</v>
      </c>
      <c r="K588" s="121">
        <v>19038</v>
      </c>
      <c r="L588" s="122">
        <v>37</v>
      </c>
      <c r="M588" s="126">
        <v>0.18310000000000001</v>
      </c>
      <c r="N588" s="127">
        <f t="shared" si="9"/>
        <v>6.7747000000000002</v>
      </c>
    </row>
    <row r="589" spans="1:14">
      <c r="A589" s="121" t="s">
        <v>2317</v>
      </c>
      <c r="B589" s="121" t="s">
        <v>2318</v>
      </c>
      <c r="C589" s="121">
        <v>1</v>
      </c>
      <c r="D589" s="121" t="s">
        <v>2319</v>
      </c>
      <c r="E589" s="125">
        <v>16606</v>
      </c>
      <c r="F589" s="121" t="s">
        <v>1118</v>
      </c>
      <c r="G589" s="121" t="s">
        <v>1124</v>
      </c>
      <c r="H589" s="121">
        <v>0.43140000000000001</v>
      </c>
      <c r="I589" s="121" t="s">
        <v>1174</v>
      </c>
      <c r="J589" s="121" t="s">
        <v>96</v>
      </c>
      <c r="K589" s="121">
        <v>14477</v>
      </c>
      <c r="L589" s="122">
        <v>48</v>
      </c>
      <c r="M589" s="126">
        <v>0.43140000000000001</v>
      </c>
      <c r="N589" s="127">
        <f t="shared" si="9"/>
        <v>20.7072</v>
      </c>
    </row>
    <row r="590" spans="1:14">
      <c r="A590" s="121" t="s">
        <v>2320</v>
      </c>
      <c r="B590" s="121" t="s">
        <v>2321</v>
      </c>
      <c r="C590" s="121">
        <v>1</v>
      </c>
      <c r="D590" s="121" t="s">
        <v>1117</v>
      </c>
      <c r="E590" s="125">
        <v>44795</v>
      </c>
      <c r="F590" s="121" t="s">
        <v>1118</v>
      </c>
      <c r="G590" s="121" t="s">
        <v>1325</v>
      </c>
      <c r="H590" s="121">
        <v>3.73E-2</v>
      </c>
      <c r="I590" s="121" t="s">
        <v>1174</v>
      </c>
      <c r="J590" s="121" t="s">
        <v>96</v>
      </c>
      <c r="K590" s="121">
        <v>23496</v>
      </c>
      <c r="L590" s="122">
        <v>47</v>
      </c>
      <c r="M590" s="126">
        <v>3.73E-2</v>
      </c>
      <c r="N590" s="127">
        <f t="shared" si="9"/>
        <v>1.7530999999999999</v>
      </c>
    </row>
    <row r="591" spans="1:14">
      <c r="A591" s="121" t="s">
        <v>2322</v>
      </c>
      <c r="B591" s="121" t="s">
        <v>2323</v>
      </c>
      <c r="C591" s="121">
        <v>1</v>
      </c>
      <c r="D591" s="121" t="s">
        <v>1123</v>
      </c>
      <c r="E591" s="125">
        <v>44795</v>
      </c>
      <c r="F591" s="121" t="s">
        <v>1124</v>
      </c>
      <c r="G591" s="121" t="s">
        <v>1124</v>
      </c>
      <c r="H591" s="121">
        <v>2.7000000000000001E-3</v>
      </c>
      <c r="I591" s="121" t="s">
        <v>1174</v>
      </c>
      <c r="J591" s="121" t="s">
        <v>96</v>
      </c>
      <c r="K591" s="121">
        <v>16892</v>
      </c>
      <c r="L591" s="122">
        <v>40</v>
      </c>
      <c r="M591" s="126">
        <v>2.7000000000000001E-3</v>
      </c>
      <c r="N591" s="127">
        <f t="shared" si="9"/>
        <v>0.10800000000000001</v>
      </c>
    </row>
    <row r="592" spans="1:14">
      <c r="A592" s="121" t="s">
        <v>2324</v>
      </c>
      <c r="B592" s="121" t="s">
        <v>2325</v>
      </c>
      <c r="C592" s="121">
        <v>1</v>
      </c>
      <c r="D592" s="121" t="s">
        <v>1220</v>
      </c>
      <c r="E592" s="125">
        <v>44795</v>
      </c>
      <c r="F592" s="121" t="s">
        <v>1118</v>
      </c>
      <c r="G592" s="121" t="s">
        <v>1119</v>
      </c>
      <c r="H592" s="121">
        <v>5.5800000000000002E-2</v>
      </c>
      <c r="I592" s="121" t="s">
        <v>1174</v>
      </c>
      <c r="J592" s="121" t="s">
        <v>96</v>
      </c>
      <c r="K592" s="121">
        <v>16892</v>
      </c>
      <c r="L592" s="122">
        <v>40</v>
      </c>
      <c r="M592" s="126">
        <v>5.5800000000000002E-2</v>
      </c>
      <c r="N592" s="127">
        <f t="shared" si="9"/>
        <v>2.2320000000000002</v>
      </c>
    </row>
    <row r="593" spans="1:14">
      <c r="A593" s="121" t="s">
        <v>2326</v>
      </c>
      <c r="B593" s="121" t="s">
        <v>2327</v>
      </c>
      <c r="C593" s="121">
        <v>1</v>
      </c>
      <c r="D593" s="121" t="s">
        <v>1117</v>
      </c>
      <c r="E593" s="125">
        <v>44788</v>
      </c>
      <c r="F593" s="121" t="s">
        <v>1118</v>
      </c>
      <c r="G593" s="121" t="s">
        <v>1119</v>
      </c>
      <c r="H593" s="121">
        <v>9.06E-2</v>
      </c>
      <c r="I593" s="121" t="s">
        <v>1174</v>
      </c>
      <c r="J593" s="121" t="s">
        <v>96</v>
      </c>
      <c r="K593" s="121">
        <v>17872</v>
      </c>
      <c r="L593" s="122">
        <v>34</v>
      </c>
      <c r="M593" s="126">
        <v>9.06E-2</v>
      </c>
      <c r="N593" s="127">
        <f t="shared" si="9"/>
        <v>3.0804</v>
      </c>
    </row>
    <row r="594" spans="1:14">
      <c r="A594" s="121" t="s">
        <v>2328</v>
      </c>
      <c r="B594" s="121" t="s">
        <v>2327</v>
      </c>
      <c r="C594" s="121">
        <v>1</v>
      </c>
      <c r="D594" s="121" t="s">
        <v>1220</v>
      </c>
      <c r="E594" s="125">
        <v>44767</v>
      </c>
      <c r="F594" s="121" t="s">
        <v>1118</v>
      </c>
      <c r="G594" s="121" t="s">
        <v>1119</v>
      </c>
      <c r="H594" s="121">
        <v>8.9800000000000005E-2</v>
      </c>
      <c r="I594" s="121" t="s">
        <v>1174</v>
      </c>
      <c r="J594" s="121" t="s">
        <v>96</v>
      </c>
      <c r="K594" s="121">
        <v>33454</v>
      </c>
      <c r="L594" s="122">
        <v>41</v>
      </c>
      <c r="M594" s="126">
        <v>8.9800000000000005E-2</v>
      </c>
      <c r="N594" s="127">
        <f t="shared" si="9"/>
        <v>3.6818000000000004</v>
      </c>
    </row>
    <row r="595" spans="1:14">
      <c r="A595" s="121" t="s">
        <v>2329</v>
      </c>
      <c r="B595" s="121" t="s">
        <v>2330</v>
      </c>
      <c r="C595" s="121">
        <v>1</v>
      </c>
      <c r="D595" s="121" t="s">
        <v>1220</v>
      </c>
      <c r="E595" s="125">
        <v>44795</v>
      </c>
      <c r="F595" s="121" t="s">
        <v>1118</v>
      </c>
      <c r="G595" s="121" t="s">
        <v>1119</v>
      </c>
      <c r="H595" s="121">
        <v>1.26E-2</v>
      </c>
      <c r="I595" s="121" t="s">
        <v>1174</v>
      </c>
      <c r="J595" s="121" t="s">
        <v>96</v>
      </c>
      <c r="K595" s="121">
        <v>16142</v>
      </c>
      <c r="L595" s="122">
        <v>46</v>
      </c>
      <c r="M595" s="126">
        <v>1.26E-2</v>
      </c>
      <c r="N595" s="127">
        <f t="shared" si="9"/>
        <v>0.5796</v>
      </c>
    </row>
    <row r="596" spans="1:14">
      <c r="A596" s="121" t="s">
        <v>2331</v>
      </c>
      <c r="B596" s="121" t="s">
        <v>2332</v>
      </c>
      <c r="C596" s="121">
        <v>1</v>
      </c>
      <c r="D596" s="121" t="s">
        <v>2089</v>
      </c>
      <c r="E596" s="125">
        <v>44693</v>
      </c>
      <c r="F596" s="121" t="s">
        <v>1118</v>
      </c>
      <c r="G596" s="121" t="s">
        <v>1143</v>
      </c>
      <c r="H596" s="121">
        <v>2.53E-2</v>
      </c>
      <c r="I596" s="121" t="s">
        <v>1174</v>
      </c>
      <c r="J596" s="121" t="s">
        <v>96</v>
      </c>
      <c r="K596" s="121">
        <v>17265</v>
      </c>
      <c r="L596" s="122">
        <v>33</v>
      </c>
      <c r="M596" s="126">
        <v>2.6100000000000002E-2</v>
      </c>
      <c r="N596" s="127">
        <f t="shared" si="9"/>
        <v>0.86130000000000007</v>
      </c>
    </row>
    <row r="597" spans="1:14">
      <c r="A597" s="121" t="s">
        <v>2333</v>
      </c>
      <c r="B597" s="121" t="s">
        <v>2334</v>
      </c>
      <c r="C597" s="121">
        <v>1</v>
      </c>
      <c r="D597" s="121" t="s">
        <v>1160</v>
      </c>
      <c r="E597" s="125">
        <v>44776</v>
      </c>
      <c r="F597" s="121" t="s">
        <v>1118</v>
      </c>
      <c r="G597" s="121" t="s">
        <v>1325</v>
      </c>
      <c r="H597" s="121">
        <v>0.1353</v>
      </c>
      <c r="I597" s="121" t="s">
        <v>1174</v>
      </c>
      <c r="J597" s="121" t="s">
        <v>96</v>
      </c>
      <c r="K597" s="121">
        <v>23326</v>
      </c>
      <c r="L597" s="122">
        <v>46</v>
      </c>
      <c r="M597" s="126">
        <v>0.1353</v>
      </c>
      <c r="N597" s="127">
        <f t="shared" si="9"/>
        <v>6.2237999999999998</v>
      </c>
    </row>
    <row r="598" spans="1:14">
      <c r="A598" s="121" t="s">
        <v>2335</v>
      </c>
      <c r="B598" s="121" t="s">
        <v>2336</v>
      </c>
      <c r="C598" s="121">
        <v>1</v>
      </c>
      <c r="D598" s="121" t="s">
        <v>1220</v>
      </c>
      <c r="E598" s="125">
        <v>44795</v>
      </c>
      <c r="F598" s="121" t="s">
        <v>1124</v>
      </c>
      <c r="G598" s="121" t="s">
        <v>1124</v>
      </c>
      <c r="H598" s="121">
        <v>4.41E-2</v>
      </c>
      <c r="I598" s="121" t="s">
        <v>1174</v>
      </c>
      <c r="J598" s="121" t="s">
        <v>96</v>
      </c>
      <c r="K598" s="121">
        <v>16142</v>
      </c>
      <c r="L598" s="122">
        <v>46</v>
      </c>
      <c r="M598" s="126">
        <v>4.41E-2</v>
      </c>
      <c r="N598" s="127">
        <f t="shared" si="9"/>
        <v>2.0286</v>
      </c>
    </row>
    <row r="599" spans="1:14">
      <c r="A599" s="121" t="s">
        <v>2337</v>
      </c>
      <c r="B599" s="121" t="s">
        <v>2338</v>
      </c>
      <c r="C599" s="121">
        <v>1</v>
      </c>
      <c r="D599" s="121" t="s">
        <v>1123</v>
      </c>
      <c r="E599" s="125">
        <v>44788</v>
      </c>
      <c r="F599" s="121" t="s">
        <v>1118</v>
      </c>
      <c r="G599" s="121" t="s">
        <v>1124</v>
      </c>
      <c r="H599" s="121">
        <v>5.1000000000000004E-3</v>
      </c>
      <c r="I599" s="121" t="s">
        <v>1174</v>
      </c>
      <c r="J599" s="121" t="s">
        <v>96</v>
      </c>
      <c r="K599" s="121">
        <v>23111</v>
      </c>
      <c r="L599" s="122">
        <v>39</v>
      </c>
      <c r="M599" s="126">
        <v>5.1000000000000004E-3</v>
      </c>
      <c r="N599" s="127">
        <f t="shared" si="9"/>
        <v>0.19890000000000002</v>
      </c>
    </row>
    <row r="600" spans="1:14">
      <c r="A600" s="121" t="s">
        <v>2339</v>
      </c>
      <c r="B600" s="121" t="s">
        <v>2340</v>
      </c>
      <c r="C600" s="121">
        <v>1</v>
      </c>
      <c r="D600" s="121" t="s">
        <v>1123</v>
      </c>
      <c r="E600" s="125">
        <v>44778</v>
      </c>
      <c r="F600" s="121" t="s">
        <v>1118</v>
      </c>
      <c r="G600" s="121" t="s">
        <v>1124</v>
      </c>
      <c r="H600" s="121">
        <v>0</v>
      </c>
      <c r="I600" s="121" t="s">
        <v>1174</v>
      </c>
      <c r="J600" s="121" t="s">
        <v>96</v>
      </c>
      <c r="K600" s="121">
        <v>23545</v>
      </c>
      <c r="L600" s="122">
        <v>40</v>
      </c>
      <c r="M600" s="126">
        <v>1E-4</v>
      </c>
      <c r="N600" s="127">
        <f t="shared" si="9"/>
        <v>4.0000000000000001E-3</v>
      </c>
    </row>
    <row r="601" spans="1:14">
      <c r="A601" s="121" t="s">
        <v>2341</v>
      </c>
      <c r="B601" s="121" t="s">
        <v>2342</v>
      </c>
      <c r="C601" s="121">
        <v>1</v>
      </c>
      <c r="D601" s="121" t="s">
        <v>1123</v>
      </c>
      <c r="E601" s="125">
        <v>44810</v>
      </c>
      <c r="F601" s="121" t="s">
        <v>1149</v>
      </c>
      <c r="G601" s="121" t="s">
        <v>1150</v>
      </c>
      <c r="H601" s="121">
        <v>6.6299999999999998E-2</v>
      </c>
      <c r="I601" s="121" t="s">
        <v>1174</v>
      </c>
      <c r="J601" s="121" t="s">
        <v>96</v>
      </c>
      <c r="K601" s="121">
        <v>35866</v>
      </c>
      <c r="L601" s="122">
        <v>46</v>
      </c>
      <c r="M601" s="126">
        <v>6.6299999999999998E-2</v>
      </c>
      <c r="N601" s="127">
        <f t="shared" si="9"/>
        <v>3.0497999999999998</v>
      </c>
    </row>
    <row r="602" spans="1:14">
      <c r="A602" s="121" t="s">
        <v>2343</v>
      </c>
      <c r="B602" s="121" t="s">
        <v>2344</v>
      </c>
      <c r="C602" s="121">
        <v>1</v>
      </c>
      <c r="D602" s="121" t="s">
        <v>1252</v>
      </c>
      <c r="E602" s="125">
        <v>44797</v>
      </c>
      <c r="F602" s="121" t="s">
        <v>1118</v>
      </c>
      <c r="G602" s="121" t="s">
        <v>1131</v>
      </c>
      <c r="H602" s="121">
        <v>0.23810000000000001</v>
      </c>
      <c r="I602" s="121" t="s">
        <v>1174</v>
      </c>
      <c r="J602" s="121" t="s">
        <v>96</v>
      </c>
      <c r="K602" s="121">
        <v>21989</v>
      </c>
      <c r="L602" s="122">
        <v>46</v>
      </c>
      <c r="M602" s="126">
        <v>4.65E-2</v>
      </c>
      <c r="N602" s="127">
        <f t="shared" si="9"/>
        <v>2.1389999999999998</v>
      </c>
    </row>
    <row r="603" spans="1:14">
      <c r="A603" s="121" t="s">
        <v>2343</v>
      </c>
      <c r="B603" s="121" t="s">
        <v>2344</v>
      </c>
      <c r="C603" s="121">
        <v>1</v>
      </c>
      <c r="D603" s="121" t="s">
        <v>1252</v>
      </c>
      <c r="E603" s="125">
        <v>44797</v>
      </c>
      <c r="F603" s="121" t="s">
        <v>1118</v>
      </c>
      <c r="G603" s="121" t="s">
        <v>1131</v>
      </c>
      <c r="H603" s="121">
        <v>0.23810000000000001</v>
      </c>
      <c r="I603" s="121" t="s">
        <v>1174</v>
      </c>
      <c r="J603" s="121" t="s">
        <v>96</v>
      </c>
      <c r="K603" s="121">
        <v>22057</v>
      </c>
      <c r="L603" s="122">
        <v>44</v>
      </c>
      <c r="M603" s="126">
        <v>0.1915</v>
      </c>
      <c r="N603" s="127">
        <f t="shared" si="9"/>
        <v>8.4260000000000002</v>
      </c>
    </row>
    <row r="604" spans="1:14">
      <c r="A604" s="121" t="s">
        <v>2345</v>
      </c>
      <c r="B604" s="121" t="s">
        <v>2346</v>
      </c>
      <c r="C604" s="121">
        <v>1</v>
      </c>
      <c r="D604" s="121" t="s">
        <v>1123</v>
      </c>
      <c r="E604" s="125">
        <v>44839</v>
      </c>
      <c r="F604" s="121" t="s">
        <v>1118</v>
      </c>
      <c r="G604" s="121" t="s">
        <v>1131</v>
      </c>
      <c r="H604" s="121">
        <v>0.2339</v>
      </c>
      <c r="I604" s="121" t="s">
        <v>1174</v>
      </c>
      <c r="J604" s="121" t="s">
        <v>96</v>
      </c>
      <c r="K604" s="121">
        <v>14832</v>
      </c>
      <c r="L604" s="122">
        <v>45</v>
      </c>
      <c r="M604" s="126">
        <v>0.2339</v>
      </c>
      <c r="N604" s="127">
        <f t="shared" si="9"/>
        <v>10.525499999999999</v>
      </c>
    </row>
    <row r="605" spans="1:14">
      <c r="A605" s="121" t="s">
        <v>2347</v>
      </c>
      <c r="B605" s="121" t="s">
        <v>2348</v>
      </c>
      <c r="C605" s="121">
        <v>1</v>
      </c>
      <c r="D605" s="121" t="s">
        <v>1252</v>
      </c>
      <c r="E605" s="125">
        <v>44675</v>
      </c>
      <c r="F605" s="121" t="s">
        <v>1118</v>
      </c>
      <c r="G605" s="121" t="s">
        <v>2041</v>
      </c>
      <c r="H605" s="121">
        <v>0.20069999999999999</v>
      </c>
      <c r="I605" s="121" t="s">
        <v>1174</v>
      </c>
      <c r="J605" s="121" t="s">
        <v>96</v>
      </c>
      <c r="K605" s="121">
        <v>23544</v>
      </c>
      <c r="L605" s="122">
        <v>41</v>
      </c>
      <c r="M605" s="126">
        <v>0.20069999999999999</v>
      </c>
      <c r="N605" s="127">
        <f t="shared" si="9"/>
        <v>8.2286999999999999</v>
      </c>
    </row>
    <row r="606" spans="1:14">
      <c r="A606" s="121" t="s">
        <v>2349</v>
      </c>
      <c r="B606" s="121" t="s">
        <v>2350</v>
      </c>
      <c r="C606" s="121">
        <v>1</v>
      </c>
      <c r="D606" s="121" t="s">
        <v>1166</v>
      </c>
      <c r="E606" s="125">
        <v>44691</v>
      </c>
      <c r="F606" s="121" t="s">
        <v>1118</v>
      </c>
      <c r="G606" s="121" t="s">
        <v>2041</v>
      </c>
      <c r="H606" s="121">
        <v>0.14399999999999999</v>
      </c>
      <c r="I606" s="121" t="s">
        <v>1174</v>
      </c>
      <c r="J606" s="121" t="s">
        <v>96</v>
      </c>
      <c r="K606" s="121">
        <v>23544</v>
      </c>
      <c r="L606" s="122">
        <v>41</v>
      </c>
      <c r="M606" s="126">
        <v>0.14399999999999999</v>
      </c>
      <c r="N606" s="127">
        <f t="shared" si="9"/>
        <v>5.9039999999999999</v>
      </c>
    </row>
    <row r="607" spans="1:14">
      <c r="A607" s="121" t="s">
        <v>2351</v>
      </c>
      <c r="B607" s="121" t="s">
        <v>2352</v>
      </c>
      <c r="C607" s="121">
        <v>1</v>
      </c>
      <c r="D607" s="121" t="s">
        <v>1552</v>
      </c>
      <c r="E607" s="125">
        <v>44726</v>
      </c>
      <c r="F607" s="121" t="s">
        <v>1118</v>
      </c>
      <c r="G607" s="121" t="s">
        <v>2041</v>
      </c>
      <c r="H607" s="121">
        <v>0.64170000000000005</v>
      </c>
      <c r="I607" s="121" t="s">
        <v>1174</v>
      </c>
      <c r="J607" s="121" t="s">
        <v>96</v>
      </c>
      <c r="K607" s="121">
        <v>23544</v>
      </c>
      <c r="L607" s="122">
        <v>41</v>
      </c>
      <c r="M607" s="126">
        <v>0.64170000000000005</v>
      </c>
      <c r="N607" s="127">
        <f t="shared" si="9"/>
        <v>26.309700000000003</v>
      </c>
    </row>
    <row r="608" spans="1:14">
      <c r="A608" s="121" t="s">
        <v>2353</v>
      </c>
      <c r="B608" s="121" t="s">
        <v>2354</v>
      </c>
      <c r="C608" s="121">
        <v>1</v>
      </c>
      <c r="D608" s="121" t="s">
        <v>1252</v>
      </c>
      <c r="E608" s="125">
        <v>44889</v>
      </c>
      <c r="F608" s="121" t="s">
        <v>1118</v>
      </c>
      <c r="G608" s="121" t="s">
        <v>2041</v>
      </c>
      <c r="H608" s="121">
        <v>0.1221</v>
      </c>
      <c r="I608" s="121" t="s">
        <v>1174</v>
      </c>
      <c r="J608" s="121" t="s">
        <v>96</v>
      </c>
      <c r="K608" s="121">
        <v>23544</v>
      </c>
      <c r="L608" s="122">
        <v>41</v>
      </c>
      <c r="M608" s="126">
        <v>0.1221</v>
      </c>
      <c r="N608" s="127">
        <f t="shared" si="9"/>
        <v>5.0061</v>
      </c>
    </row>
    <row r="609" spans="1:14">
      <c r="A609" s="121" t="s">
        <v>2355</v>
      </c>
      <c r="B609" s="121" t="s">
        <v>2356</v>
      </c>
      <c r="C609" s="121">
        <v>1</v>
      </c>
      <c r="D609" s="121" t="s">
        <v>1117</v>
      </c>
      <c r="E609" s="125">
        <v>44852</v>
      </c>
      <c r="F609" s="121" t="s">
        <v>1118</v>
      </c>
      <c r="G609" s="121" t="s">
        <v>1143</v>
      </c>
      <c r="H609" s="121">
        <v>2.63E-2</v>
      </c>
      <c r="I609" s="121" t="s">
        <v>1174</v>
      </c>
      <c r="J609" s="121" t="s">
        <v>96</v>
      </c>
      <c r="K609" s="121">
        <v>25241</v>
      </c>
      <c r="L609" s="122">
        <v>21</v>
      </c>
      <c r="M609" s="126">
        <v>2.63E-2</v>
      </c>
      <c r="N609" s="127">
        <f t="shared" si="9"/>
        <v>0.55230000000000001</v>
      </c>
    </row>
    <row r="610" spans="1:14">
      <c r="A610" s="121" t="s">
        <v>2357</v>
      </c>
      <c r="B610" s="121" t="s">
        <v>2358</v>
      </c>
      <c r="C610" s="121">
        <v>1</v>
      </c>
      <c r="D610" s="121" t="s">
        <v>2359</v>
      </c>
      <c r="E610" s="125">
        <v>44795</v>
      </c>
      <c r="F610" s="121" t="s">
        <v>1124</v>
      </c>
      <c r="G610" s="121" t="s">
        <v>1124</v>
      </c>
      <c r="H610" s="121">
        <v>2.2000000000000001E-3</v>
      </c>
      <c r="I610" s="121" t="s">
        <v>1174</v>
      </c>
      <c r="J610" s="121" t="s">
        <v>96</v>
      </c>
      <c r="K610" s="121">
        <v>21090</v>
      </c>
      <c r="L610" s="122">
        <v>40</v>
      </c>
      <c r="M610" s="126">
        <v>2.2000000000000001E-3</v>
      </c>
      <c r="N610" s="127">
        <f t="shared" si="9"/>
        <v>8.8000000000000009E-2</v>
      </c>
    </row>
    <row r="611" spans="1:14">
      <c r="A611" s="121" t="s">
        <v>2360</v>
      </c>
      <c r="B611" s="121" t="s">
        <v>2361</v>
      </c>
      <c r="C611" s="121">
        <v>1</v>
      </c>
      <c r="D611" s="121" t="s">
        <v>1117</v>
      </c>
      <c r="E611" s="125">
        <v>44751</v>
      </c>
      <c r="F611" s="121" t="s">
        <v>1118</v>
      </c>
      <c r="G611" s="121" t="s">
        <v>1325</v>
      </c>
      <c r="H611" s="121">
        <v>6.0900000000000003E-2</v>
      </c>
      <c r="I611" s="121" t="s">
        <v>1174</v>
      </c>
      <c r="J611" s="121" t="s">
        <v>96</v>
      </c>
      <c r="K611" s="121">
        <v>23499</v>
      </c>
      <c r="L611" s="122">
        <v>45</v>
      </c>
      <c r="M611" s="126">
        <v>6.0900000000000003E-2</v>
      </c>
      <c r="N611" s="127">
        <f t="shared" si="9"/>
        <v>2.7404999999999999</v>
      </c>
    </row>
    <row r="612" spans="1:14">
      <c r="A612" s="121" t="s">
        <v>2362</v>
      </c>
      <c r="B612" s="121" t="s">
        <v>2363</v>
      </c>
      <c r="C612" s="121">
        <v>1</v>
      </c>
      <c r="D612" s="121" t="s">
        <v>1397</v>
      </c>
      <c r="E612" s="125">
        <v>44819</v>
      </c>
      <c r="F612" s="121" t="s">
        <v>1118</v>
      </c>
      <c r="G612" s="121" t="s">
        <v>1265</v>
      </c>
      <c r="H612" s="121">
        <v>0.1048</v>
      </c>
      <c r="I612" s="121" t="s">
        <v>1174</v>
      </c>
      <c r="J612" s="121" t="s">
        <v>96</v>
      </c>
      <c r="K612" s="121">
        <v>19038</v>
      </c>
      <c r="L612" s="122">
        <v>37</v>
      </c>
      <c r="M612" s="126">
        <v>0.1048</v>
      </c>
      <c r="N612" s="127">
        <f t="shared" si="9"/>
        <v>3.8776000000000002</v>
      </c>
    </row>
    <row r="613" spans="1:14">
      <c r="A613" s="121" t="s">
        <v>2364</v>
      </c>
      <c r="B613" s="121" t="s">
        <v>1543</v>
      </c>
      <c r="C613" s="121">
        <v>1</v>
      </c>
      <c r="D613" s="121" t="s">
        <v>1160</v>
      </c>
      <c r="E613" s="125">
        <v>33361</v>
      </c>
      <c r="F613" s="121" t="s">
        <v>1118</v>
      </c>
      <c r="G613" s="121" t="s">
        <v>1143</v>
      </c>
      <c r="H613" s="121">
        <v>0.54990000000000006</v>
      </c>
      <c r="I613" s="121" t="s">
        <v>1174</v>
      </c>
      <c r="J613" s="121" t="s">
        <v>96</v>
      </c>
      <c r="K613" s="121">
        <v>14492</v>
      </c>
      <c r="L613" s="122">
        <v>42</v>
      </c>
      <c r="M613" s="126">
        <v>0.54990000000000006</v>
      </c>
      <c r="N613" s="127">
        <f t="shared" si="9"/>
        <v>23.095800000000004</v>
      </c>
    </row>
    <row r="614" spans="1:14">
      <c r="A614" s="121" t="s">
        <v>2365</v>
      </c>
      <c r="B614" s="121" t="s">
        <v>2366</v>
      </c>
      <c r="C614" s="121">
        <v>1</v>
      </c>
      <c r="D614" s="121" t="s">
        <v>1397</v>
      </c>
      <c r="E614" s="125">
        <v>44696</v>
      </c>
      <c r="F614" s="121" t="s">
        <v>1118</v>
      </c>
      <c r="G614" s="121" t="s">
        <v>1131</v>
      </c>
      <c r="H614" s="121">
        <v>0.1847</v>
      </c>
      <c r="I614" s="121" t="s">
        <v>1174</v>
      </c>
      <c r="J614" s="121" t="s">
        <v>96</v>
      </c>
      <c r="K614" s="121">
        <v>14285</v>
      </c>
      <c r="L614" s="122">
        <v>41</v>
      </c>
      <c r="M614" s="126">
        <v>0.1847</v>
      </c>
      <c r="N614" s="127">
        <f t="shared" si="9"/>
        <v>7.5727000000000002</v>
      </c>
    </row>
    <row r="615" spans="1:14">
      <c r="A615" s="121" t="s">
        <v>2367</v>
      </c>
      <c r="B615" s="121" t="s">
        <v>2368</v>
      </c>
      <c r="C615" s="121">
        <v>1</v>
      </c>
      <c r="D615" s="121" t="s">
        <v>1123</v>
      </c>
      <c r="E615" s="125">
        <v>44849</v>
      </c>
      <c r="F615" s="121" t="s">
        <v>1118</v>
      </c>
      <c r="G615" s="121" t="s">
        <v>1265</v>
      </c>
      <c r="H615" s="121">
        <v>7.1199999999999999E-2</v>
      </c>
      <c r="I615" s="121" t="s">
        <v>1174</v>
      </c>
      <c r="J615" s="121" t="s">
        <v>96</v>
      </c>
      <c r="K615" s="121">
        <v>19038</v>
      </c>
      <c r="L615" s="122">
        <v>37</v>
      </c>
      <c r="M615" s="126">
        <v>7.1199999999999999E-2</v>
      </c>
      <c r="N615" s="127">
        <f t="shared" si="9"/>
        <v>2.6343999999999999</v>
      </c>
    </row>
    <row r="616" spans="1:14">
      <c r="A616" s="121" t="s">
        <v>2369</v>
      </c>
      <c r="B616" s="121" t="s">
        <v>2370</v>
      </c>
      <c r="C616" s="121">
        <v>1</v>
      </c>
      <c r="D616" s="121" t="s">
        <v>1552</v>
      </c>
      <c r="E616" s="125">
        <v>44722</v>
      </c>
      <c r="F616" s="121" t="s">
        <v>1118</v>
      </c>
      <c r="G616" s="121" t="s">
        <v>1265</v>
      </c>
      <c r="H616" s="121">
        <v>0.2364</v>
      </c>
      <c r="I616" s="121" t="s">
        <v>1174</v>
      </c>
      <c r="J616" s="121" t="s">
        <v>96</v>
      </c>
      <c r="K616" s="121">
        <v>18443</v>
      </c>
      <c r="L616" s="122">
        <v>43</v>
      </c>
      <c r="M616" s="126">
        <v>0.2364</v>
      </c>
      <c r="N616" s="127">
        <f t="shared" si="9"/>
        <v>10.1652</v>
      </c>
    </row>
    <row r="617" spans="1:14">
      <c r="A617" s="121" t="s">
        <v>2371</v>
      </c>
      <c r="B617" s="121" t="s">
        <v>2372</v>
      </c>
      <c r="C617" s="121">
        <v>1</v>
      </c>
      <c r="D617" s="121" t="s">
        <v>1225</v>
      </c>
      <c r="E617" s="125">
        <v>44823</v>
      </c>
      <c r="F617" s="121" t="s">
        <v>1154</v>
      </c>
      <c r="G617" s="121" t="s">
        <v>1155</v>
      </c>
      <c r="H617" s="121">
        <v>9.6500000000000002E-2</v>
      </c>
      <c r="I617" s="121" t="s">
        <v>1174</v>
      </c>
      <c r="J617" s="121" t="s">
        <v>96</v>
      </c>
      <c r="K617" s="121">
        <v>4871</v>
      </c>
      <c r="L617" s="122">
        <v>42</v>
      </c>
      <c r="M617" s="126">
        <v>9.6500000000000002E-2</v>
      </c>
      <c r="N617" s="127">
        <f t="shared" si="9"/>
        <v>4.0529999999999999</v>
      </c>
    </row>
    <row r="618" spans="1:14">
      <c r="A618" s="121" t="s">
        <v>2373</v>
      </c>
      <c r="B618" s="121" t="s">
        <v>2374</v>
      </c>
      <c r="C618" s="121">
        <v>1</v>
      </c>
      <c r="D618" s="121" t="s">
        <v>1166</v>
      </c>
      <c r="E618" s="125">
        <v>44692</v>
      </c>
      <c r="F618" s="121" t="s">
        <v>1118</v>
      </c>
      <c r="G618" s="121" t="s">
        <v>1325</v>
      </c>
      <c r="H618" s="121">
        <v>3.2899999999999999E-2</v>
      </c>
      <c r="I618" s="121" t="s">
        <v>1174</v>
      </c>
      <c r="J618" s="121" t="s">
        <v>96</v>
      </c>
      <c r="K618" s="121">
        <v>22554</v>
      </c>
      <c r="L618" s="122">
        <v>43</v>
      </c>
      <c r="M618" s="126">
        <v>3.2899999999999999E-2</v>
      </c>
      <c r="N618" s="127">
        <f t="shared" si="9"/>
        <v>1.4146999999999998</v>
      </c>
    </row>
    <row r="619" spans="1:14">
      <c r="A619" s="121" t="s">
        <v>2375</v>
      </c>
      <c r="B619" s="121" t="s">
        <v>2376</v>
      </c>
      <c r="C619" s="121">
        <v>1</v>
      </c>
      <c r="D619" s="121" t="s">
        <v>1117</v>
      </c>
      <c r="E619" s="125">
        <v>44795</v>
      </c>
      <c r="F619" s="121" t="s">
        <v>1118</v>
      </c>
      <c r="G619" s="121" t="s">
        <v>1119</v>
      </c>
      <c r="H619" s="121">
        <v>0.1429</v>
      </c>
      <c r="I619" s="121" t="s">
        <v>1174</v>
      </c>
      <c r="J619" s="121" t="s">
        <v>96</v>
      </c>
      <c r="K619" s="121">
        <v>16899</v>
      </c>
      <c r="L619" s="122">
        <v>31</v>
      </c>
      <c r="M619" s="126">
        <v>0.1429</v>
      </c>
      <c r="N619" s="127">
        <f t="shared" si="9"/>
        <v>4.4298999999999999</v>
      </c>
    </row>
    <row r="620" spans="1:14">
      <c r="A620" s="121" t="s">
        <v>2377</v>
      </c>
      <c r="B620" s="121" t="s">
        <v>2378</v>
      </c>
      <c r="C620" s="121">
        <v>1</v>
      </c>
      <c r="D620" s="121" t="s">
        <v>1225</v>
      </c>
      <c r="E620" s="125">
        <v>44722</v>
      </c>
      <c r="F620" s="121" t="s">
        <v>1154</v>
      </c>
      <c r="G620" s="121" t="s">
        <v>1155</v>
      </c>
      <c r="H620" s="121">
        <v>0.34200000000000003</v>
      </c>
      <c r="I620" s="121" t="s">
        <v>1174</v>
      </c>
      <c r="J620" s="121" t="s">
        <v>96</v>
      </c>
      <c r="K620" s="121">
        <v>5229</v>
      </c>
      <c r="L620" s="122">
        <v>44</v>
      </c>
      <c r="M620" s="126">
        <v>0.34200000000000003</v>
      </c>
      <c r="N620" s="127">
        <f t="shared" si="9"/>
        <v>15.048000000000002</v>
      </c>
    </row>
    <row r="621" spans="1:14">
      <c r="A621" s="121" t="s">
        <v>2379</v>
      </c>
      <c r="B621" s="121" t="s">
        <v>2380</v>
      </c>
      <c r="C621" s="121">
        <v>1</v>
      </c>
      <c r="D621" s="121" t="s">
        <v>1123</v>
      </c>
      <c r="E621" s="125">
        <v>44795</v>
      </c>
      <c r="F621" s="121" t="s">
        <v>1118</v>
      </c>
      <c r="G621" s="121" t="s">
        <v>1177</v>
      </c>
      <c r="H621" s="121">
        <v>0.39489999999999997</v>
      </c>
      <c r="I621" s="121" t="s">
        <v>1174</v>
      </c>
      <c r="J621" s="121" t="s">
        <v>96</v>
      </c>
      <c r="K621" s="121">
        <v>22138</v>
      </c>
      <c r="L621" s="122">
        <v>44</v>
      </c>
      <c r="M621" s="126">
        <v>0.39489999999999997</v>
      </c>
      <c r="N621" s="127">
        <f t="shared" si="9"/>
        <v>17.375599999999999</v>
      </c>
    </row>
    <row r="622" spans="1:14">
      <c r="A622" s="121" t="s">
        <v>2381</v>
      </c>
      <c r="B622" s="121" t="s">
        <v>2382</v>
      </c>
      <c r="C622" s="121">
        <v>1</v>
      </c>
      <c r="D622" s="121" t="s">
        <v>1561</v>
      </c>
      <c r="E622" s="125">
        <v>44791</v>
      </c>
      <c r="F622" s="121" t="s">
        <v>1118</v>
      </c>
      <c r="G622" s="121" t="s">
        <v>1143</v>
      </c>
      <c r="H622" s="121">
        <v>4.0000000000000002E-4</v>
      </c>
      <c r="I622" s="121" t="s">
        <v>1174</v>
      </c>
      <c r="J622" s="121" t="s">
        <v>96</v>
      </c>
      <c r="K622" s="121">
        <v>22733</v>
      </c>
      <c r="L622" s="122">
        <v>46</v>
      </c>
      <c r="M622" s="126">
        <v>4.0000000000000002E-4</v>
      </c>
      <c r="N622" s="127">
        <f t="shared" si="9"/>
        <v>1.84E-2</v>
      </c>
    </row>
    <row r="623" spans="1:14">
      <c r="A623" s="121" t="s">
        <v>2383</v>
      </c>
      <c r="B623" s="121" t="s">
        <v>2384</v>
      </c>
      <c r="C623" s="121">
        <v>1</v>
      </c>
      <c r="D623" s="121" t="s">
        <v>1235</v>
      </c>
      <c r="E623" s="125">
        <v>44791</v>
      </c>
      <c r="F623" s="121" t="s">
        <v>1118</v>
      </c>
      <c r="G623" s="121" t="s">
        <v>1131</v>
      </c>
      <c r="H623" s="121">
        <v>5.5599999999999997E-2</v>
      </c>
      <c r="I623" s="121" t="s">
        <v>1174</v>
      </c>
      <c r="J623" s="121" t="s">
        <v>96</v>
      </c>
      <c r="K623" s="121">
        <v>30730</v>
      </c>
      <c r="L623" s="122">
        <v>46</v>
      </c>
      <c r="M623" s="126">
        <v>5.5599999999999997E-2</v>
      </c>
      <c r="N623" s="127">
        <f t="shared" si="9"/>
        <v>2.5575999999999999</v>
      </c>
    </row>
    <row r="624" spans="1:14">
      <c r="A624" s="121" t="s">
        <v>2385</v>
      </c>
      <c r="B624" s="121" t="s">
        <v>2386</v>
      </c>
      <c r="C624" s="121">
        <v>1</v>
      </c>
      <c r="D624" s="121" t="s">
        <v>1166</v>
      </c>
      <c r="E624" s="125">
        <v>44795</v>
      </c>
      <c r="F624" s="121" t="s">
        <v>1124</v>
      </c>
      <c r="G624" s="121" t="s">
        <v>1124</v>
      </c>
      <c r="H624" s="121">
        <v>3.8699999999999998E-2</v>
      </c>
      <c r="I624" s="121" t="s">
        <v>1174</v>
      </c>
      <c r="J624" s="121" t="s">
        <v>96</v>
      </c>
      <c r="K624" s="121">
        <v>17266</v>
      </c>
      <c r="L624" s="122">
        <v>37</v>
      </c>
      <c r="M624" s="126">
        <v>3.8699999999999998E-2</v>
      </c>
      <c r="N624" s="127">
        <f t="shared" si="9"/>
        <v>1.4319</v>
      </c>
    </row>
    <row r="625" spans="1:14">
      <c r="A625" s="121" t="s">
        <v>2387</v>
      </c>
      <c r="B625" s="121" t="s">
        <v>2388</v>
      </c>
      <c r="C625" s="121">
        <v>1</v>
      </c>
      <c r="D625" s="121" t="s">
        <v>2070</v>
      </c>
      <c r="E625" s="125">
        <v>44759</v>
      </c>
      <c r="F625" s="121" t="s">
        <v>1154</v>
      </c>
      <c r="G625" s="121" t="s">
        <v>1155</v>
      </c>
      <c r="H625" s="121">
        <v>0.39839999999999998</v>
      </c>
      <c r="I625" s="121" t="s">
        <v>1174</v>
      </c>
      <c r="J625" s="121" t="s">
        <v>96</v>
      </c>
      <c r="K625" s="121">
        <v>5052</v>
      </c>
      <c r="L625" s="122">
        <v>42</v>
      </c>
      <c r="M625" s="126">
        <v>0.39839999999999998</v>
      </c>
      <c r="N625" s="127">
        <f t="shared" si="9"/>
        <v>16.732799999999997</v>
      </c>
    </row>
    <row r="626" spans="1:14">
      <c r="A626" s="121" t="s">
        <v>2389</v>
      </c>
      <c r="B626" s="121" t="s">
        <v>2390</v>
      </c>
      <c r="C626" s="121">
        <v>1</v>
      </c>
      <c r="D626" s="121" t="s">
        <v>1552</v>
      </c>
      <c r="E626" s="125">
        <v>44795</v>
      </c>
      <c r="F626" s="121" t="s">
        <v>1118</v>
      </c>
      <c r="G626" s="121" t="s">
        <v>1119</v>
      </c>
      <c r="H626" s="121">
        <v>0.35320000000000001</v>
      </c>
      <c r="I626" s="121" t="s">
        <v>1174</v>
      </c>
      <c r="J626" s="121" t="s">
        <v>96</v>
      </c>
      <c r="K626" s="121">
        <v>16142</v>
      </c>
      <c r="L626" s="122">
        <v>46</v>
      </c>
      <c r="M626" s="126">
        <v>0.35320000000000001</v>
      </c>
      <c r="N626" s="127">
        <f t="shared" si="9"/>
        <v>16.247199999999999</v>
      </c>
    </row>
    <row r="627" spans="1:14">
      <c r="A627" s="121" t="s">
        <v>2391</v>
      </c>
      <c r="B627" s="121" t="s">
        <v>2392</v>
      </c>
      <c r="C627" s="121">
        <v>1</v>
      </c>
      <c r="D627" s="121" t="s">
        <v>2070</v>
      </c>
      <c r="E627" s="125">
        <v>44788</v>
      </c>
      <c r="F627" s="121" t="s">
        <v>1154</v>
      </c>
      <c r="G627" s="121" t="s">
        <v>1155</v>
      </c>
      <c r="H627" s="121">
        <v>0.316</v>
      </c>
      <c r="I627" s="121" t="s">
        <v>1174</v>
      </c>
      <c r="J627" s="121" t="s">
        <v>96</v>
      </c>
      <c r="K627" s="121">
        <v>5054</v>
      </c>
      <c r="L627" s="122">
        <v>39</v>
      </c>
      <c r="M627" s="126">
        <v>1.37E-2</v>
      </c>
      <c r="N627" s="127">
        <f t="shared" si="9"/>
        <v>0.5343</v>
      </c>
    </row>
    <row r="628" spans="1:14">
      <c r="A628" s="121" t="s">
        <v>2391</v>
      </c>
      <c r="B628" s="121" t="s">
        <v>2392</v>
      </c>
      <c r="C628" s="121">
        <v>1</v>
      </c>
      <c r="D628" s="121" t="s">
        <v>2070</v>
      </c>
      <c r="E628" s="125">
        <v>44788</v>
      </c>
      <c r="F628" s="121" t="s">
        <v>1154</v>
      </c>
      <c r="G628" s="121" t="s">
        <v>1155</v>
      </c>
      <c r="H628" s="121">
        <v>0.316</v>
      </c>
      <c r="I628" s="121" t="s">
        <v>1174</v>
      </c>
      <c r="J628" s="121" t="s">
        <v>96</v>
      </c>
      <c r="K628" s="121">
        <v>5055</v>
      </c>
      <c r="L628" s="122">
        <v>41</v>
      </c>
      <c r="M628" s="126">
        <v>0.30230000000000001</v>
      </c>
      <c r="N628" s="127">
        <f t="shared" si="9"/>
        <v>12.394300000000001</v>
      </c>
    </row>
    <row r="629" spans="1:14">
      <c r="A629" s="121" t="s">
        <v>2393</v>
      </c>
      <c r="B629" s="121" t="s">
        <v>2394</v>
      </c>
      <c r="C629" s="121">
        <v>1</v>
      </c>
      <c r="D629" s="121" t="s">
        <v>1173</v>
      </c>
      <c r="E629" s="125">
        <v>44821</v>
      </c>
      <c r="F629" s="121" t="s">
        <v>1124</v>
      </c>
      <c r="G629" s="121" t="s">
        <v>1124</v>
      </c>
      <c r="H629" s="121">
        <v>0.1797</v>
      </c>
      <c r="I629" s="121" t="s">
        <v>1174</v>
      </c>
      <c r="J629" s="121" t="s">
        <v>96</v>
      </c>
      <c r="K629" s="121">
        <v>4871</v>
      </c>
      <c r="L629" s="122">
        <v>42</v>
      </c>
      <c r="M629" s="126">
        <v>0.1797</v>
      </c>
      <c r="N629" s="127">
        <f t="shared" si="9"/>
        <v>7.5473999999999997</v>
      </c>
    </row>
    <row r="630" spans="1:14">
      <c r="A630" s="121" t="s">
        <v>2395</v>
      </c>
      <c r="B630" s="121" t="s">
        <v>2396</v>
      </c>
      <c r="C630" s="121">
        <v>1</v>
      </c>
      <c r="D630" s="121" t="s">
        <v>1264</v>
      </c>
      <c r="E630" s="125">
        <v>44795</v>
      </c>
      <c r="F630" s="121" t="s">
        <v>1124</v>
      </c>
      <c r="G630" s="121" t="s">
        <v>1124</v>
      </c>
      <c r="H630" s="121">
        <v>2.7E-2</v>
      </c>
      <c r="I630" s="121" t="s">
        <v>1174</v>
      </c>
      <c r="J630" s="121" t="s">
        <v>96</v>
      </c>
      <c r="K630" s="121">
        <v>16712</v>
      </c>
      <c r="L630" s="122">
        <v>41</v>
      </c>
      <c r="M630" s="126">
        <v>2.7E-2</v>
      </c>
      <c r="N630" s="127">
        <f t="shared" si="9"/>
        <v>1.107</v>
      </c>
    </row>
    <row r="631" spans="1:14">
      <c r="A631" s="121" t="s">
        <v>2397</v>
      </c>
      <c r="B631" s="121" t="s">
        <v>2398</v>
      </c>
      <c r="C631" s="121">
        <v>1</v>
      </c>
      <c r="D631" s="121" t="s">
        <v>2187</v>
      </c>
      <c r="E631" s="125">
        <v>44833</v>
      </c>
      <c r="F631" s="121" t="s">
        <v>1124</v>
      </c>
      <c r="G631" s="121" t="s">
        <v>1124</v>
      </c>
      <c r="H631" s="121">
        <v>0.13</v>
      </c>
      <c r="I631" s="121" t="s">
        <v>1174</v>
      </c>
      <c r="J631" s="121" t="s">
        <v>96</v>
      </c>
      <c r="K631" s="121">
        <v>4871</v>
      </c>
      <c r="L631" s="122">
        <v>42</v>
      </c>
      <c r="M631" s="126">
        <v>0.13</v>
      </c>
      <c r="N631" s="127">
        <f t="shared" si="9"/>
        <v>5.46</v>
      </c>
    </row>
    <row r="632" spans="1:14">
      <c r="A632" s="121" t="s">
        <v>2399</v>
      </c>
      <c r="B632" s="121" t="s">
        <v>2400</v>
      </c>
      <c r="C632" s="121">
        <v>1</v>
      </c>
      <c r="D632" s="121" t="s">
        <v>2070</v>
      </c>
      <c r="E632" s="125">
        <v>44820</v>
      </c>
      <c r="F632" s="121" t="s">
        <v>1124</v>
      </c>
      <c r="G632" s="121" t="s">
        <v>1124</v>
      </c>
      <c r="H632" s="121">
        <v>0.21990000000000001</v>
      </c>
      <c r="I632" s="121" t="s">
        <v>1174</v>
      </c>
      <c r="J632" s="121" t="s">
        <v>96</v>
      </c>
      <c r="K632" s="121">
        <v>4688</v>
      </c>
      <c r="L632" s="122">
        <v>37</v>
      </c>
      <c r="M632" s="126">
        <v>0.21990000000000001</v>
      </c>
      <c r="N632" s="127">
        <f t="shared" si="9"/>
        <v>8.1363000000000003</v>
      </c>
    </row>
    <row r="633" spans="1:14">
      <c r="A633" s="121" t="s">
        <v>2401</v>
      </c>
      <c r="B633" s="121" t="s">
        <v>2402</v>
      </c>
      <c r="C633" s="121">
        <v>1</v>
      </c>
      <c r="D633" s="121" t="s">
        <v>2070</v>
      </c>
      <c r="E633" s="125">
        <v>44787</v>
      </c>
      <c r="F633" s="121" t="s">
        <v>1154</v>
      </c>
      <c r="G633" s="121" t="s">
        <v>1155</v>
      </c>
      <c r="H633" s="121">
        <v>0.12620000000000001</v>
      </c>
      <c r="I633" s="121" t="s">
        <v>1174</v>
      </c>
      <c r="J633" s="121" t="s">
        <v>96</v>
      </c>
      <c r="K633" s="121">
        <v>5228</v>
      </c>
      <c r="L633" s="122">
        <v>39</v>
      </c>
      <c r="M633" s="126">
        <v>0.12620000000000001</v>
      </c>
      <c r="N633" s="127">
        <f t="shared" si="9"/>
        <v>4.9218000000000002</v>
      </c>
    </row>
    <row r="634" spans="1:14">
      <c r="A634" s="121" t="s">
        <v>2403</v>
      </c>
      <c r="B634" s="121" t="s">
        <v>2404</v>
      </c>
      <c r="C634" s="121">
        <v>1</v>
      </c>
      <c r="D634" s="121" t="s">
        <v>1225</v>
      </c>
      <c r="E634" s="125">
        <v>44795</v>
      </c>
      <c r="F634" s="121" t="s">
        <v>1154</v>
      </c>
      <c r="G634" s="121" t="s">
        <v>1155</v>
      </c>
      <c r="H634" s="121">
        <v>0.32619999999999999</v>
      </c>
      <c r="I634" s="121" t="s">
        <v>1174</v>
      </c>
      <c r="J634" s="121" t="s">
        <v>96</v>
      </c>
      <c r="K634" s="121">
        <v>5449</v>
      </c>
      <c r="L634" s="122">
        <v>34</v>
      </c>
      <c r="M634" s="126">
        <v>0.32619999999999999</v>
      </c>
      <c r="N634" s="127">
        <f t="shared" si="9"/>
        <v>11.0908</v>
      </c>
    </row>
    <row r="635" spans="1:14">
      <c r="A635" s="121" t="s">
        <v>2405</v>
      </c>
      <c r="B635" s="121" t="s">
        <v>2406</v>
      </c>
      <c r="C635" s="121">
        <v>1</v>
      </c>
      <c r="D635" s="121" t="s">
        <v>1123</v>
      </c>
      <c r="E635" s="125">
        <v>44843</v>
      </c>
      <c r="F635" s="121" t="s">
        <v>1118</v>
      </c>
      <c r="G635" s="121" t="s">
        <v>1131</v>
      </c>
      <c r="H635" s="121">
        <v>3.7900000000000003E-2</v>
      </c>
      <c r="I635" s="121" t="s">
        <v>1174</v>
      </c>
      <c r="J635" s="121" t="s">
        <v>96</v>
      </c>
      <c r="K635" s="121">
        <v>14649</v>
      </c>
      <c r="L635" s="122">
        <v>45</v>
      </c>
      <c r="M635" s="126">
        <v>3.7900000000000003E-2</v>
      </c>
      <c r="N635" s="127">
        <f t="shared" si="9"/>
        <v>1.7055000000000002</v>
      </c>
    </row>
    <row r="636" spans="1:14">
      <c r="A636" s="121" t="s">
        <v>2407</v>
      </c>
      <c r="B636" s="121" t="s">
        <v>2408</v>
      </c>
      <c r="C636" s="121">
        <v>1</v>
      </c>
      <c r="D636" s="121" t="s">
        <v>1117</v>
      </c>
      <c r="E636" s="125">
        <v>44795</v>
      </c>
      <c r="F636" s="121" t="s">
        <v>1118</v>
      </c>
      <c r="G636" s="121" t="s">
        <v>1119</v>
      </c>
      <c r="H636" s="121">
        <v>0.12909999999999999</v>
      </c>
      <c r="I636" s="121" t="s">
        <v>1174</v>
      </c>
      <c r="J636" s="121" t="s">
        <v>96</v>
      </c>
      <c r="K636" s="121">
        <v>17678</v>
      </c>
      <c r="L636" s="122">
        <v>36</v>
      </c>
      <c r="M636" s="126">
        <v>0.12909999999999999</v>
      </c>
      <c r="N636" s="127">
        <f t="shared" si="9"/>
        <v>4.6475999999999997</v>
      </c>
    </row>
    <row r="637" spans="1:14">
      <c r="A637" s="121" t="s">
        <v>2409</v>
      </c>
      <c r="B637" s="121" t="s">
        <v>2410</v>
      </c>
      <c r="C637" s="121">
        <v>1</v>
      </c>
      <c r="D637" s="121" t="s">
        <v>1117</v>
      </c>
      <c r="E637" s="125">
        <v>44795</v>
      </c>
      <c r="F637" s="121" t="s">
        <v>1124</v>
      </c>
      <c r="G637" s="121" t="s">
        <v>1124</v>
      </c>
      <c r="H637" s="121">
        <v>4.9099999999999998E-2</v>
      </c>
      <c r="I637" s="121" t="s">
        <v>1174</v>
      </c>
      <c r="J637" s="121" t="s">
        <v>96</v>
      </c>
      <c r="K637" s="121">
        <v>17678</v>
      </c>
      <c r="L637" s="122">
        <v>36</v>
      </c>
      <c r="M637" s="126">
        <v>4.9099999999999998E-2</v>
      </c>
      <c r="N637" s="127">
        <f t="shared" si="9"/>
        <v>1.7675999999999998</v>
      </c>
    </row>
    <row r="638" spans="1:14">
      <c r="A638" s="121" t="s">
        <v>2411</v>
      </c>
      <c r="B638" s="121" t="s">
        <v>2412</v>
      </c>
      <c r="C638" s="121">
        <v>1</v>
      </c>
      <c r="D638" s="121" t="s">
        <v>1235</v>
      </c>
      <c r="E638" s="125">
        <v>44795</v>
      </c>
      <c r="F638" s="121" t="s">
        <v>1124</v>
      </c>
      <c r="G638" s="121" t="s">
        <v>1124</v>
      </c>
      <c r="H638" s="121">
        <v>0.2059</v>
      </c>
      <c r="I638" s="121" t="s">
        <v>1174</v>
      </c>
      <c r="J638" s="121" t="s">
        <v>96</v>
      </c>
      <c r="K638" s="121">
        <v>5225</v>
      </c>
      <c r="L638" s="122">
        <v>44</v>
      </c>
      <c r="M638" s="126">
        <v>0.2059</v>
      </c>
      <c r="N638" s="127">
        <f t="shared" si="9"/>
        <v>9.0595999999999997</v>
      </c>
    </row>
    <row r="639" spans="1:14">
      <c r="A639" s="121" t="s">
        <v>2413</v>
      </c>
      <c r="B639" s="121" t="s">
        <v>1596</v>
      </c>
      <c r="C639" s="121">
        <v>1</v>
      </c>
      <c r="D639" s="121" t="s">
        <v>1117</v>
      </c>
      <c r="E639" s="125">
        <v>44795</v>
      </c>
      <c r="F639" s="121" t="s">
        <v>1124</v>
      </c>
      <c r="G639" s="121" t="s">
        <v>1124</v>
      </c>
      <c r="H639" s="121">
        <v>2.0799999999999999E-2</v>
      </c>
      <c r="I639" s="121" t="s">
        <v>1174</v>
      </c>
      <c r="J639" s="121" t="s">
        <v>96</v>
      </c>
      <c r="K639" s="121">
        <v>17308</v>
      </c>
      <c r="L639" s="122">
        <v>43</v>
      </c>
      <c r="M639" s="126">
        <v>2.0799999999999999E-2</v>
      </c>
      <c r="N639" s="127">
        <f t="shared" si="9"/>
        <v>0.89439999999999997</v>
      </c>
    </row>
    <row r="640" spans="1:14">
      <c r="A640" s="121" t="s">
        <v>2414</v>
      </c>
      <c r="B640" s="121" t="s">
        <v>2415</v>
      </c>
      <c r="C640" s="121">
        <v>1</v>
      </c>
      <c r="D640" s="121" t="s">
        <v>1252</v>
      </c>
      <c r="E640" s="125">
        <v>44798</v>
      </c>
      <c r="F640" s="121" t="s">
        <v>1118</v>
      </c>
      <c r="G640" s="121" t="s">
        <v>1131</v>
      </c>
      <c r="H640" s="121">
        <v>1.1299999999999999E-2</v>
      </c>
      <c r="I640" s="121" t="s">
        <v>1174</v>
      </c>
      <c r="J640" s="121" t="s">
        <v>96</v>
      </c>
      <c r="K640" s="121">
        <v>17308</v>
      </c>
      <c r="L640" s="122">
        <v>43</v>
      </c>
      <c r="M640" s="126">
        <v>1.1299999999999999E-2</v>
      </c>
      <c r="N640" s="127">
        <f t="shared" si="9"/>
        <v>0.48589999999999994</v>
      </c>
    </row>
    <row r="641" spans="1:14">
      <c r="A641" s="121" t="s">
        <v>2416</v>
      </c>
      <c r="B641" s="121" t="s">
        <v>2417</v>
      </c>
      <c r="C641" s="121">
        <v>1</v>
      </c>
      <c r="D641" s="121" t="s">
        <v>1490</v>
      </c>
      <c r="E641" s="125">
        <v>44762</v>
      </c>
      <c r="F641" s="121" t="s">
        <v>1118</v>
      </c>
      <c r="G641" s="121" t="s">
        <v>1119</v>
      </c>
      <c r="H641" s="121">
        <v>5.5899999999999998E-2</v>
      </c>
      <c r="I641" s="121" t="s">
        <v>1174</v>
      </c>
      <c r="J641" s="121" t="s">
        <v>96</v>
      </c>
      <c r="K641" s="121">
        <v>16142</v>
      </c>
      <c r="L641" s="122">
        <v>46</v>
      </c>
      <c r="M641" s="126">
        <v>5.5899999999999998E-2</v>
      </c>
      <c r="N641" s="127">
        <f t="shared" si="9"/>
        <v>2.5714000000000001</v>
      </c>
    </row>
    <row r="642" spans="1:14">
      <c r="A642" s="121" t="s">
        <v>2418</v>
      </c>
      <c r="B642" s="121" t="s">
        <v>2419</v>
      </c>
      <c r="C642" s="121">
        <v>1</v>
      </c>
      <c r="D642" s="121" t="s">
        <v>2276</v>
      </c>
      <c r="E642" s="125">
        <v>44809</v>
      </c>
      <c r="F642" s="121" t="s">
        <v>1154</v>
      </c>
      <c r="G642" s="121" t="s">
        <v>1155</v>
      </c>
      <c r="H642" s="121">
        <v>0.1091</v>
      </c>
      <c r="I642" s="121" t="s">
        <v>1174</v>
      </c>
      <c r="J642" s="121" t="s">
        <v>96</v>
      </c>
      <c r="K642" s="121">
        <v>5052</v>
      </c>
      <c r="L642" s="122">
        <v>42</v>
      </c>
      <c r="M642" s="126">
        <v>0.1091</v>
      </c>
      <c r="N642" s="127">
        <f t="shared" ref="N642:N705" si="10">+M642*L642</f>
        <v>4.5822000000000003</v>
      </c>
    </row>
    <row r="643" spans="1:14">
      <c r="A643" s="121" t="s">
        <v>2420</v>
      </c>
      <c r="B643" s="121" t="s">
        <v>2421</v>
      </c>
      <c r="C643" s="121">
        <v>1</v>
      </c>
      <c r="D643" s="121" t="s">
        <v>1210</v>
      </c>
      <c r="E643" s="125">
        <v>44777</v>
      </c>
      <c r="F643" s="121" t="s">
        <v>1154</v>
      </c>
      <c r="G643" s="121" t="s">
        <v>1155</v>
      </c>
      <c r="H643" s="121">
        <v>0.33700000000000002</v>
      </c>
      <c r="I643" s="121" t="s">
        <v>1174</v>
      </c>
      <c r="J643" s="121" t="s">
        <v>96</v>
      </c>
      <c r="K643" s="121">
        <v>5228</v>
      </c>
      <c r="L643" s="122">
        <v>39</v>
      </c>
      <c r="M643" s="126">
        <v>0.33700000000000002</v>
      </c>
      <c r="N643" s="127">
        <f t="shared" si="10"/>
        <v>13.143000000000001</v>
      </c>
    </row>
    <row r="644" spans="1:14">
      <c r="A644" s="121" t="s">
        <v>2422</v>
      </c>
      <c r="B644" s="121" t="s">
        <v>2423</v>
      </c>
      <c r="C644" s="121">
        <v>1</v>
      </c>
      <c r="D644" s="121" t="s">
        <v>2070</v>
      </c>
      <c r="E644" s="125">
        <v>44795</v>
      </c>
      <c r="F644" s="121" t="s">
        <v>1124</v>
      </c>
      <c r="G644" s="121" t="s">
        <v>1124</v>
      </c>
      <c r="H644" s="121">
        <v>0.75229999999999997</v>
      </c>
      <c r="I644" s="121" t="s">
        <v>1174</v>
      </c>
      <c r="J644" s="121" t="s">
        <v>96</v>
      </c>
      <c r="K644" s="121">
        <v>5228</v>
      </c>
      <c r="L644" s="122">
        <v>39</v>
      </c>
      <c r="M644" s="126">
        <v>0.75229999999999997</v>
      </c>
      <c r="N644" s="127">
        <f t="shared" si="10"/>
        <v>29.339700000000001</v>
      </c>
    </row>
    <row r="645" spans="1:14">
      <c r="A645" s="121" t="s">
        <v>2424</v>
      </c>
      <c r="B645" s="121" t="s">
        <v>2425</v>
      </c>
      <c r="C645" s="121">
        <v>1</v>
      </c>
      <c r="D645" s="121" t="s">
        <v>1117</v>
      </c>
      <c r="E645" s="125">
        <v>16652</v>
      </c>
      <c r="F645" s="121" t="s">
        <v>1118</v>
      </c>
      <c r="G645" s="121" t="s">
        <v>1131</v>
      </c>
      <c r="H645" s="121">
        <v>9.6600000000000005E-2</v>
      </c>
      <c r="I645" s="121" t="s">
        <v>1174</v>
      </c>
      <c r="J645" s="121" t="s">
        <v>96</v>
      </c>
      <c r="K645" s="121">
        <v>14477</v>
      </c>
      <c r="L645" s="122">
        <v>48</v>
      </c>
      <c r="M645" s="126">
        <v>9.6600000000000005E-2</v>
      </c>
      <c r="N645" s="127">
        <f t="shared" si="10"/>
        <v>4.6368</v>
      </c>
    </row>
    <row r="646" spans="1:14">
      <c r="A646" s="121" t="s">
        <v>2426</v>
      </c>
      <c r="B646" s="121" t="s">
        <v>2427</v>
      </c>
      <c r="C646" s="121">
        <v>1</v>
      </c>
      <c r="D646" s="121" t="s">
        <v>1173</v>
      </c>
      <c r="E646" s="125">
        <v>44819</v>
      </c>
      <c r="F646" s="121" t="s">
        <v>1154</v>
      </c>
      <c r="G646" s="121" t="s">
        <v>1155</v>
      </c>
      <c r="H646" s="121">
        <v>0.24440000000000001</v>
      </c>
      <c r="I646" s="121" t="s">
        <v>1174</v>
      </c>
      <c r="J646" s="121" t="s">
        <v>96</v>
      </c>
      <c r="K646" s="121">
        <v>5052</v>
      </c>
      <c r="L646" s="122">
        <v>42</v>
      </c>
      <c r="M646" s="126">
        <v>0.24440000000000001</v>
      </c>
      <c r="N646" s="127">
        <f t="shared" si="10"/>
        <v>10.264800000000001</v>
      </c>
    </row>
    <row r="647" spans="1:14">
      <c r="A647" s="121" t="s">
        <v>2428</v>
      </c>
      <c r="B647" s="121" t="s">
        <v>2429</v>
      </c>
      <c r="C647" s="121">
        <v>1</v>
      </c>
      <c r="D647" s="121" t="s">
        <v>1587</v>
      </c>
      <c r="E647" s="125">
        <v>44795</v>
      </c>
      <c r="F647" s="121" t="s">
        <v>1118</v>
      </c>
      <c r="G647" s="121" t="s">
        <v>1177</v>
      </c>
      <c r="H647" s="121">
        <v>6.4100000000000004E-2</v>
      </c>
      <c r="I647" s="121" t="s">
        <v>1174</v>
      </c>
      <c r="J647" s="121" t="s">
        <v>96</v>
      </c>
      <c r="K647" s="121">
        <v>21729</v>
      </c>
      <c r="L647" s="122">
        <v>38</v>
      </c>
      <c r="M647" s="126">
        <v>6.9999999999999999E-4</v>
      </c>
      <c r="N647" s="127">
        <f t="shared" si="10"/>
        <v>2.6599999999999999E-2</v>
      </c>
    </row>
    <row r="648" spans="1:14">
      <c r="A648" s="121" t="s">
        <v>2428</v>
      </c>
      <c r="B648" s="121" t="s">
        <v>2429</v>
      </c>
      <c r="C648" s="121">
        <v>1</v>
      </c>
      <c r="D648" s="121" t="s">
        <v>1587</v>
      </c>
      <c r="E648" s="125">
        <v>44795</v>
      </c>
      <c r="F648" s="121" t="s">
        <v>1118</v>
      </c>
      <c r="G648" s="121" t="s">
        <v>1177</v>
      </c>
      <c r="H648" s="121">
        <v>6.4100000000000004E-2</v>
      </c>
      <c r="I648" s="121" t="s">
        <v>1174</v>
      </c>
      <c r="J648" s="121" t="s">
        <v>96</v>
      </c>
      <c r="K648" s="121">
        <v>21730</v>
      </c>
      <c r="L648" s="122">
        <v>41</v>
      </c>
      <c r="M648" s="126">
        <v>6.3299999999999995E-2</v>
      </c>
      <c r="N648" s="127">
        <f t="shared" si="10"/>
        <v>2.5952999999999999</v>
      </c>
    </row>
    <row r="649" spans="1:14">
      <c r="A649" s="121" t="s">
        <v>2430</v>
      </c>
      <c r="B649" s="121" t="s">
        <v>2431</v>
      </c>
      <c r="C649" s="121">
        <v>1</v>
      </c>
      <c r="D649" s="121" t="s">
        <v>1130</v>
      </c>
      <c r="E649" s="125">
        <v>44795</v>
      </c>
      <c r="F649" s="121" t="s">
        <v>1118</v>
      </c>
      <c r="G649" s="121" t="s">
        <v>1325</v>
      </c>
      <c r="H649" s="121">
        <v>1.8700000000000001E-2</v>
      </c>
      <c r="I649" s="121" t="s">
        <v>1174</v>
      </c>
      <c r="J649" s="121" t="s">
        <v>96</v>
      </c>
      <c r="K649" s="121">
        <v>23496</v>
      </c>
      <c r="L649" s="122">
        <v>47</v>
      </c>
      <c r="M649" s="126">
        <v>1.8700000000000001E-2</v>
      </c>
      <c r="N649" s="127">
        <f t="shared" si="10"/>
        <v>0.87890000000000001</v>
      </c>
    </row>
    <row r="650" spans="1:14">
      <c r="A650" s="121" t="s">
        <v>2432</v>
      </c>
      <c r="B650" s="121" t="s">
        <v>2433</v>
      </c>
      <c r="C650" s="121">
        <v>1</v>
      </c>
      <c r="D650" s="121" t="s">
        <v>1160</v>
      </c>
      <c r="E650" s="125">
        <v>44793</v>
      </c>
      <c r="F650" s="121" t="s">
        <v>1154</v>
      </c>
      <c r="G650" s="121" t="s">
        <v>1155</v>
      </c>
      <c r="H650" s="121">
        <v>1.1964999999999999</v>
      </c>
      <c r="I650" s="121" t="s">
        <v>1174</v>
      </c>
      <c r="J650" s="121" t="s">
        <v>96</v>
      </c>
      <c r="K650" s="121">
        <v>4695</v>
      </c>
      <c r="L650" s="122">
        <v>36</v>
      </c>
      <c r="M650" s="126">
        <v>1.1964999999999999</v>
      </c>
      <c r="N650" s="127">
        <f t="shared" si="10"/>
        <v>43.073999999999998</v>
      </c>
    </row>
    <row r="651" spans="1:14">
      <c r="A651" s="121" t="s">
        <v>2434</v>
      </c>
      <c r="B651" s="121" t="s">
        <v>2435</v>
      </c>
      <c r="C651" s="121">
        <v>1</v>
      </c>
      <c r="D651" s="121" t="s">
        <v>1261</v>
      </c>
      <c r="E651" s="125">
        <v>44795</v>
      </c>
      <c r="F651" s="121" t="s">
        <v>1118</v>
      </c>
      <c r="G651" s="121" t="s">
        <v>1177</v>
      </c>
      <c r="H651" s="121">
        <v>8.4699999999999998E-2</v>
      </c>
      <c r="I651" s="121" t="s">
        <v>1174</v>
      </c>
      <c r="J651" s="121" t="s">
        <v>96</v>
      </c>
      <c r="K651" s="121">
        <v>21730</v>
      </c>
      <c r="L651" s="122">
        <v>41</v>
      </c>
      <c r="M651" s="126">
        <v>8.4699999999999998E-2</v>
      </c>
      <c r="N651" s="127">
        <f t="shared" si="10"/>
        <v>3.4726999999999997</v>
      </c>
    </row>
    <row r="652" spans="1:14">
      <c r="A652" s="121" t="s">
        <v>2436</v>
      </c>
      <c r="B652" s="121" t="s">
        <v>2437</v>
      </c>
      <c r="C652" s="121">
        <v>1</v>
      </c>
      <c r="D652" s="121" t="s">
        <v>1235</v>
      </c>
      <c r="E652" s="125">
        <v>44868</v>
      </c>
      <c r="F652" s="121" t="s">
        <v>1118</v>
      </c>
      <c r="G652" s="121" t="s">
        <v>1143</v>
      </c>
      <c r="H652" s="121">
        <v>0.1108</v>
      </c>
      <c r="I652" s="121" t="s">
        <v>1174</v>
      </c>
      <c r="J652" s="121" t="s">
        <v>96</v>
      </c>
      <c r="K652" s="121">
        <v>22057</v>
      </c>
      <c r="L652" s="122">
        <v>44</v>
      </c>
      <c r="M652" s="126">
        <v>0.1108</v>
      </c>
      <c r="N652" s="127">
        <f t="shared" si="10"/>
        <v>4.8751999999999995</v>
      </c>
    </row>
    <row r="653" spans="1:14">
      <c r="A653" s="121" t="s">
        <v>2438</v>
      </c>
      <c r="B653" s="121" t="s">
        <v>2439</v>
      </c>
      <c r="C653" s="121">
        <v>1</v>
      </c>
      <c r="D653" s="121" t="s">
        <v>2070</v>
      </c>
      <c r="E653" s="125">
        <v>44779</v>
      </c>
      <c r="F653" s="121" t="s">
        <v>1154</v>
      </c>
      <c r="G653" s="121" t="s">
        <v>1155</v>
      </c>
      <c r="H653" s="121">
        <v>0.23080000000000001</v>
      </c>
      <c r="I653" s="121" t="s">
        <v>1174</v>
      </c>
      <c r="J653" s="121" t="s">
        <v>96</v>
      </c>
      <c r="K653" s="121">
        <v>5229</v>
      </c>
      <c r="L653" s="122">
        <v>44</v>
      </c>
      <c r="M653" s="126">
        <v>0.23080000000000001</v>
      </c>
      <c r="N653" s="127">
        <f t="shared" si="10"/>
        <v>10.155200000000001</v>
      </c>
    </row>
    <row r="654" spans="1:14">
      <c r="A654" s="121" t="s">
        <v>2440</v>
      </c>
      <c r="B654" s="121" t="s">
        <v>2441</v>
      </c>
      <c r="C654" s="121">
        <v>1</v>
      </c>
      <c r="D654" s="121" t="s">
        <v>1160</v>
      </c>
      <c r="E654" s="125">
        <v>44831</v>
      </c>
      <c r="F654" s="121" t="s">
        <v>1118</v>
      </c>
      <c r="G654" s="121" t="s">
        <v>1325</v>
      </c>
      <c r="H654" s="121">
        <v>7.6700000000000004E-2</v>
      </c>
      <c r="I654" s="121" t="s">
        <v>1174</v>
      </c>
      <c r="J654" s="121" t="s">
        <v>96</v>
      </c>
      <c r="K654" s="121">
        <v>23133</v>
      </c>
      <c r="L654" s="122">
        <v>41</v>
      </c>
      <c r="M654" s="126">
        <v>1.4800000000000001E-2</v>
      </c>
      <c r="N654" s="127">
        <f t="shared" si="10"/>
        <v>0.60680000000000001</v>
      </c>
    </row>
    <row r="655" spans="1:14">
      <c r="A655" s="121" t="s">
        <v>2440</v>
      </c>
      <c r="B655" s="121" t="s">
        <v>2441</v>
      </c>
      <c r="C655" s="121">
        <v>1</v>
      </c>
      <c r="D655" s="121" t="s">
        <v>1160</v>
      </c>
      <c r="E655" s="125">
        <v>44831</v>
      </c>
      <c r="F655" s="121" t="s">
        <v>1118</v>
      </c>
      <c r="G655" s="121" t="s">
        <v>1325</v>
      </c>
      <c r="H655" s="121">
        <v>7.6700000000000004E-2</v>
      </c>
      <c r="I655" s="121" t="s">
        <v>1174</v>
      </c>
      <c r="J655" s="121" t="s">
        <v>96</v>
      </c>
      <c r="K655" s="121">
        <v>23326</v>
      </c>
      <c r="L655" s="122">
        <v>46</v>
      </c>
      <c r="M655" s="126">
        <v>6.1800000000000001E-2</v>
      </c>
      <c r="N655" s="127">
        <f t="shared" si="10"/>
        <v>2.8428</v>
      </c>
    </row>
    <row r="656" spans="1:14">
      <c r="A656" s="121" t="s">
        <v>2442</v>
      </c>
      <c r="B656" s="121" t="s">
        <v>2443</v>
      </c>
      <c r="C656" s="121">
        <v>1</v>
      </c>
      <c r="D656" s="121" t="s">
        <v>1261</v>
      </c>
      <c r="E656" s="125">
        <v>44737</v>
      </c>
      <c r="F656" s="121" t="s">
        <v>1154</v>
      </c>
      <c r="G656" s="121" t="s">
        <v>1155</v>
      </c>
      <c r="H656" s="121">
        <v>0.3306</v>
      </c>
      <c r="I656" s="121" t="s">
        <v>1174</v>
      </c>
      <c r="J656" s="121" t="s">
        <v>96</v>
      </c>
      <c r="K656" s="121">
        <v>5053</v>
      </c>
      <c r="L656" s="122">
        <v>41</v>
      </c>
      <c r="M656" s="126">
        <v>0.18809999999999999</v>
      </c>
      <c r="N656" s="127">
        <f t="shared" si="10"/>
        <v>7.7120999999999995</v>
      </c>
    </row>
    <row r="657" spans="1:14">
      <c r="A657" s="121" t="s">
        <v>2442</v>
      </c>
      <c r="B657" s="121" t="s">
        <v>2443</v>
      </c>
      <c r="C657" s="121">
        <v>1</v>
      </c>
      <c r="D657" s="121" t="s">
        <v>1261</v>
      </c>
      <c r="E657" s="125">
        <v>44737</v>
      </c>
      <c r="F657" s="121" t="s">
        <v>1154</v>
      </c>
      <c r="G657" s="121" t="s">
        <v>1155</v>
      </c>
      <c r="H657" s="121">
        <v>0.3306</v>
      </c>
      <c r="I657" s="121" t="s">
        <v>1174</v>
      </c>
      <c r="J657" s="121" t="s">
        <v>96</v>
      </c>
      <c r="K657" s="121">
        <v>5228</v>
      </c>
      <c r="L657" s="122">
        <v>39</v>
      </c>
      <c r="M657" s="126">
        <v>0.14249999999999999</v>
      </c>
      <c r="N657" s="127">
        <f t="shared" si="10"/>
        <v>5.5574999999999992</v>
      </c>
    </row>
    <row r="658" spans="1:14">
      <c r="A658" s="121" t="s">
        <v>2444</v>
      </c>
      <c r="B658" s="121" t="s">
        <v>2445</v>
      </c>
      <c r="C658" s="121">
        <v>1</v>
      </c>
      <c r="D658" s="121" t="s">
        <v>1402</v>
      </c>
      <c r="E658" s="125">
        <v>44791</v>
      </c>
      <c r="F658" s="121" t="s">
        <v>1118</v>
      </c>
      <c r="G658" s="121" t="s">
        <v>1265</v>
      </c>
      <c r="H658" s="121">
        <v>0.1208</v>
      </c>
      <c r="I658" s="121" t="s">
        <v>1174</v>
      </c>
      <c r="J658" s="121" t="s">
        <v>96</v>
      </c>
      <c r="K658" s="121">
        <v>18634</v>
      </c>
      <c r="L658" s="122">
        <v>47</v>
      </c>
      <c r="M658" s="126">
        <v>0.1208</v>
      </c>
      <c r="N658" s="127">
        <f t="shared" si="10"/>
        <v>5.6776</v>
      </c>
    </row>
    <row r="659" spans="1:14">
      <c r="A659" s="121" t="s">
        <v>2446</v>
      </c>
      <c r="B659" s="121" t="s">
        <v>2447</v>
      </c>
      <c r="C659" s="121">
        <v>1</v>
      </c>
      <c r="D659" s="121" t="s">
        <v>1117</v>
      </c>
      <c r="E659" s="125">
        <v>44795</v>
      </c>
      <c r="F659" s="121" t="s">
        <v>1118</v>
      </c>
      <c r="G659" s="121" t="s">
        <v>1177</v>
      </c>
      <c r="H659" s="121">
        <v>2.4799999999999999E-2</v>
      </c>
      <c r="I659" s="121" t="s">
        <v>1174</v>
      </c>
      <c r="J659" s="121" t="s">
        <v>96</v>
      </c>
      <c r="K659" s="121">
        <v>14489</v>
      </c>
      <c r="L659" s="122">
        <v>35</v>
      </c>
      <c r="M659" s="126">
        <v>2.4799999999999999E-2</v>
      </c>
      <c r="N659" s="127">
        <f t="shared" si="10"/>
        <v>0.86799999999999999</v>
      </c>
    </row>
    <row r="660" spans="1:14">
      <c r="A660" s="121" t="s">
        <v>2448</v>
      </c>
      <c r="B660" s="121" t="s">
        <v>2449</v>
      </c>
      <c r="C660" s="121">
        <v>1</v>
      </c>
      <c r="D660" s="121" t="s">
        <v>1123</v>
      </c>
      <c r="E660" s="125">
        <v>44748</v>
      </c>
      <c r="F660" s="121" t="s">
        <v>1118</v>
      </c>
      <c r="G660" s="121" t="s">
        <v>1131</v>
      </c>
      <c r="H660" s="121">
        <v>0.1477</v>
      </c>
      <c r="I660" s="121" t="s">
        <v>1174</v>
      </c>
      <c r="J660" s="121" t="s">
        <v>96</v>
      </c>
      <c r="K660" s="121">
        <v>30547</v>
      </c>
      <c r="L660" s="122">
        <v>45</v>
      </c>
      <c r="M660" s="126">
        <v>0.1477</v>
      </c>
      <c r="N660" s="127">
        <f t="shared" si="10"/>
        <v>6.6464999999999996</v>
      </c>
    </row>
    <row r="661" spans="1:14">
      <c r="A661" s="121" t="s">
        <v>2450</v>
      </c>
      <c r="B661" s="121" t="s">
        <v>2451</v>
      </c>
      <c r="C661" s="121">
        <v>1</v>
      </c>
      <c r="D661" s="121" t="s">
        <v>1117</v>
      </c>
      <c r="E661" s="125">
        <v>44665</v>
      </c>
      <c r="F661" s="121" t="s">
        <v>1118</v>
      </c>
      <c r="G661" s="121" t="s">
        <v>2041</v>
      </c>
      <c r="H661" s="121">
        <v>0.12790000000000001</v>
      </c>
      <c r="I661" s="121" t="s">
        <v>1174</v>
      </c>
      <c r="J661" s="121" t="s">
        <v>96</v>
      </c>
      <c r="K661" s="121">
        <v>22923</v>
      </c>
      <c r="L661" s="122">
        <v>37</v>
      </c>
      <c r="M661" s="126">
        <v>0.12790000000000001</v>
      </c>
      <c r="N661" s="127">
        <f t="shared" si="10"/>
        <v>4.7323000000000004</v>
      </c>
    </row>
    <row r="662" spans="1:14">
      <c r="A662" s="121" t="s">
        <v>2452</v>
      </c>
      <c r="B662" s="121" t="s">
        <v>2453</v>
      </c>
      <c r="C662" s="121">
        <v>1</v>
      </c>
      <c r="D662" s="121" t="s">
        <v>1255</v>
      </c>
      <c r="E662" s="125">
        <v>44707</v>
      </c>
      <c r="F662" s="121" t="s">
        <v>1118</v>
      </c>
      <c r="G662" s="121" t="s">
        <v>1325</v>
      </c>
      <c r="H662" s="121">
        <v>0.1031</v>
      </c>
      <c r="I662" s="121" t="s">
        <v>1174</v>
      </c>
      <c r="J662" s="121" t="s">
        <v>96</v>
      </c>
      <c r="K662" s="121">
        <v>22554</v>
      </c>
      <c r="L662" s="122">
        <v>43</v>
      </c>
      <c r="M662" s="126">
        <v>0.1031</v>
      </c>
      <c r="N662" s="127">
        <f t="shared" si="10"/>
        <v>4.4333</v>
      </c>
    </row>
    <row r="663" spans="1:14">
      <c r="A663" s="121" t="s">
        <v>2454</v>
      </c>
      <c r="B663" s="121" t="s">
        <v>2455</v>
      </c>
      <c r="C663" s="121">
        <v>1</v>
      </c>
      <c r="D663" s="121" t="s">
        <v>1123</v>
      </c>
      <c r="E663" s="125">
        <v>44795</v>
      </c>
      <c r="F663" s="121" t="s">
        <v>1118</v>
      </c>
      <c r="G663" s="121" t="s">
        <v>1124</v>
      </c>
      <c r="H663" s="121">
        <v>7.1999999999999995E-2</v>
      </c>
      <c r="I663" s="121" t="s">
        <v>1174</v>
      </c>
      <c r="J663" s="121" t="s">
        <v>96</v>
      </c>
      <c r="K663" s="121">
        <v>22915</v>
      </c>
      <c r="L663" s="122">
        <v>35</v>
      </c>
      <c r="M663" s="126">
        <v>3.61E-2</v>
      </c>
      <c r="N663" s="127">
        <f t="shared" si="10"/>
        <v>1.2635000000000001</v>
      </c>
    </row>
    <row r="664" spans="1:14">
      <c r="A664" s="121" t="s">
        <v>2454</v>
      </c>
      <c r="B664" s="121" t="s">
        <v>2455</v>
      </c>
      <c r="C664" s="121">
        <v>1</v>
      </c>
      <c r="D664" s="121" t="s">
        <v>1123</v>
      </c>
      <c r="E664" s="125">
        <v>44795</v>
      </c>
      <c r="F664" s="121" t="s">
        <v>1118</v>
      </c>
      <c r="G664" s="121" t="s">
        <v>1124</v>
      </c>
      <c r="H664" s="121">
        <v>7.1999999999999995E-2</v>
      </c>
      <c r="I664" s="121" t="s">
        <v>1174</v>
      </c>
      <c r="J664" s="121" t="s">
        <v>96</v>
      </c>
      <c r="K664" s="121">
        <v>22916</v>
      </c>
      <c r="L664" s="122">
        <v>39</v>
      </c>
      <c r="M664" s="126">
        <v>3.5999999999999997E-2</v>
      </c>
      <c r="N664" s="127">
        <f t="shared" si="10"/>
        <v>1.4039999999999999</v>
      </c>
    </row>
    <row r="665" spans="1:14">
      <c r="A665" s="121" t="s">
        <v>2456</v>
      </c>
      <c r="B665" s="121" t="s">
        <v>2457</v>
      </c>
      <c r="C665" s="121">
        <v>1</v>
      </c>
      <c r="D665" s="121" t="s">
        <v>1123</v>
      </c>
      <c r="E665" s="125">
        <v>44751</v>
      </c>
      <c r="F665" s="121" t="s">
        <v>1118</v>
      </c>
      <c r="G665" s="121" t="s">
        <v>1131</v>
      </c>
      <c r="H665" s="121">
        <v>0.36530000000000001</v>
      </c>
      <c r="I665" s="121" t="s">
        <v>1174</v>
      </c>
      <c r="J665" s="121" t="s">
        <v>96</v>
      </c>
      <c r="K665" s="121">
        <v>28809</v>
      </c>
      <c r="L665" s="122">
        <v>38</v>
      </c>
      <c r="M665" s="126">
        <v>0.36530000000000001</v>
      </c>
      <c r="N665" s="127">
        <f t="shared" si="10"/>
        <v>13.881400000000001</v>
      </c>
    </row>
    <row r="666" spans="1:14">
      <c r="A666" s="121" t="s">
        <v>2458</v>
      </c>
      <c r="B666" s="121" t="s">
        <v>2459</v>
      </c>
      <c r="C666" s="121">
        <v>1</v>
      </c>
      <c r="D666" s="121" t="s">
        <v>1123</v>
      </c>
      <c r="E666" s="125">
        <v>44762</v>
      </c>
      <c r="F666" s="121" t="s">
        <v>1118</v>
      </c>
      <c r="G666" s="121" t="s">
        <v>1265</v>
      </c>
      <c r="H666" s="121">
        <v>7.3800000000000004E-2</v>
      </c>
      <c r="I666" s="121" t="s">
        <v>1174</v>
      </c>
      <c r="J666" s="121" t="s">
        <v>96</v>
      </c>
      <c r="K666" s="121">
        <v>18634</v>
      </c>
      <c r="L666" s="122">
        <v>47</v>
      </c>
      <c r="M666" s="126">
        <v>7.3800000000000004E-2</v>
      </c>
      <c r="N666" s="127">
        <f t="shared" si="10"/>
        <v>3.4686000000000003</v>
      </c>
    </row>
    <row r="667" spans="1:14">
      <c r="A667" s="121" t="s">
        <v>2460</v>
      </c>
      <c r="B667" s="121" t="s">
        <v>2461</v>
      </c>
      <c r="C667" s="121">
        <v>1</v>
      </c>
      <c r="D667" s="121" t="s">
        <v>1163</v>
      </c>
      <c r="E667" s="125">
        <v>44786</v>
      </c>
      <c r="F667" s="121" t="s">
        <v>1118</v>
      </c>
      <c r="G667" s="121" t="s">
        <v>1265</v>
      </c>
      <c r="H667" s="121">
        <v>0.1234</v>
      </c>
      <c r="I667" s="121" t="s">
        <v>1174</v>
      </c>
      <c r="J667" s="121" t="s">
        <v>96</v>
      </c>
      <c r="K667" s="121">
        <v>18633</v>
      </c>
      <c r="L667" s="122">
        <v>34</v>
      </c>
      <c r="M667" s="126">
        <v>0.1234</v>
      </c>
      <c r="N667" s="127">
        <f t="shared" si="10"/>
        <v>4.1955999999999998</v>
      </c>
    </row>
    <row r="668" spans="1:14">
      <c r="A668" s="121" t="s">
        <v>2462</v>
      </c>
      <c r="B668" s="121" t="s">
        <v>2461</v>
      </c>
      <c r="C668" s="121">
        <v>1</v>
      </c>
      <c r="D668" s="121" t="s">
        <v>1166</v>
      </c>
      <c r="E668" s="125">
        <v>44791</v>
      </c>
      <c r="F668" s="121" t="s">
        <v>1118</v>
      </c>
      <c r="G668" s="121" t="s">
        <v>1265</v>
      </c>
      <c r="H668" s="121">
        <v>8.4699999999999998E-2</v>
      </c>
      <c r="I668" s="121" t="s">
        <v>1174</v>
      </c>
      <c r="J668" s="121" t="s">
        <v>96</v>
      </c>
      <c r="K668" s="121">
        <v>18634</v>
      </c>
      <c r="L668" s="122">
        <v>47</v>
      </c>
      <c r="M668" s="126">
        <v>8.4699999999999998E-2</v>
      </c>
      <c r="N668" s="127">
        <f t="shared" si="10"/>
        <v>3.9809000000000001</v>
      </c>
    </row>
    <row r="669" spans="1:14">
      <c r="A669" s="121" t="s">
        <v>2463</v>
      </c>
      <c r="B669" s="121" t="s">
        <v>2464</v>
      </c>
      <c r="C669" s="121">
        <v>1</v>
      </c>
      <c r="D669" s="121" t="s">
        <v>2465</v>
      </c>
      <c r="E669" s="125">
        <v>44720</v>
      </c>
      <c r="F669" s="121" t="s">
        <v>1118</v>
      </c>
      <c r="G669" s="121" t="s">
        <v>1265</v>
      </c>
      <c r="H669" s="121">
        <v>0.4199</v>
      </c>
      <c r="I669" s="121" t="s">
        <v>1174</v>
      </c>
      <c r="J669" s="121" t="s">
        <v>96</v>
      </c>
      <c r="K669" s="121">
        <v>19036</v>
      </c>
      <c r="L669" s="122">
        <v>48</v>
      </c>
      <c r="M669" s="126">
        <v>0.4199</v>
      </c>
      <c r="N669" s="127">
        <f t="shared" si="10"/>
        <v>20.155200000000001</v>
      </c>
    </row>
    <row r="670" spans="1:14">
      <c r="A670" s="121" t="s">
        <v>2466</v>
      </c>
      <c r="B670" s="121" t="s">
        <v>2467</v>
      </c>
      <c r="C670" s="121">
        <v>1</v>
      </c>
      <c r="D670" s="121" t="s">
        <v>1130</v>
      </c>
      <c r="E670" s="125">
        <v>44789</v>
      </c>
      <c r="F670" s="121" t="s">
        <v>1118</v>
      </c>
      <c r="G670" s="121" t="s">
        <v>1131</v>
      </c>
      <c r="H670" s="121">
        <v>2.2599999999999999E-2</v>
      </c>
      <c r="I670" s="121" t="s">
        <v>1174</v>
      </c>
      <c r="J670" s="121" t="s">
        <v>96</v>
      </c>
      <c r="K670" s="121">
        <v>33277</v>
      </c>
      <c r="L670" s="122">
        <v>44</v>
      </c>
      <c r="M670" s="126">
        <v>2.2599999999999999E-2</v>
      </c>
      <c r="N670" s="127">
        <f t="shared" si="10"/>
        <v>0.99439999999999995</v>
      </c>
    </row>
    <row r="671" spans="1:14">
      <c r="A671" s="121" t="s">
        <v>2468</v>
      </c>
      <c r="B671" s="121" t="s">
        <v>2469</v>
      </c>
      <c r="C671" s="121">
        <v>1</v>
      </c>
      <c r="D671" s="121" t="s">
        <v>2470</v>
      </c>
      <c r="E671" s="125">
        <v>44756</v>
      </c>
      <c r="F671" s="121" t="s">
        <v>1118</v>
      </c>
      <c r="G671" s="121" t="s">
        <v>1131</v>
      </c>
      <c r="H671" s="121">
        <v>1.67E-2</v>
      </c>
      <c r="I671" s="121" t="s">
        <v>1174</v>
      </c>
      <c r="J671" s="121" t="s">
        <v>96</v>
      </c>
      <c r="K671" s="121">
        <v>14647</v>
      </c>
      <c r="L671" s="122">
        <v>42</v>
      </c>
      <c r="M671" s="126">
        <v>1.67E-2</v>
      </c>
      <c r="N671" s="127">
        <f t="shared" si="10"/>
        <v>0.70140000000000002</v>
      </c>
    </row>
    <row r="672" spans="1:14">
      <c r="A672" s="121" t="s">
        <v>2471</v>
      </c>
      <c r="B672" s="121" t="s">
        <v>2472</v>
      </c>
      <c r="C672" s="121">
        <v>1</v>
      </c>
      <c r="D672" s="121" t="s">
        <v>1261</v>
      </c>
      <c r="E672" s="125">
        <v>44783</v>
      </c>
      <c r="F672" s="121" t="s">
        <v>1118</v>
      </c>
      <c r="G672" s="121" t="s">
        <v>1143</v>
      </c>
      <c r="H672" s="121">
        <v>2.76E-2</v>
      </c>
      <c r="I672" s="121" t="s">
        <v>1174</v>
      </c>
      <c r="J672" s="121" t="s">
        <v>96</v>
      </c>
      <c r="K672" s="121">
        <v>14272</v>
      </c>
      <c r="L672" s="122">
        <v>43</v>
      </c>
      <c r="M672" s="126">
        <v>2.76E-2</v>
      </c>
      <c r="N672" s="127">
        <f t="shared" si="10"/>
        <v>1.1868000000000001</v>
      </c>
    </row>
    <row r="673" spans="1:14">
      <c r="A673" s="121" t="s">
        <v>2473</v>
      </c>
      <c r="B673" s="121" t="s">
        <v>2474</v>
      </c>
      <c r="C673" s="121">
        <v>1</v>
      </c>
      <c r="D673" s="121" t="s">
        <v>1123</v>
      </c>
      <c r="E673" s="125">
        <v>44822</v>
      </c>
      <c r="F673" s="121" t="s">
        <v>1118</v>
      </c>
      <c r="G673" s="121" t="s">
        <v>1143</v>
      </c>
      <c r="H673" s="121">
        <v>1.6799999999999999E-2</v>
      </c>
      <c r="I673" s="121" t="s">
        <v>1174</v>
      </c>
      <c r="J673" s="121" t="s">
        <v>96</v>
      </c>
      <c r="K673" s="121">
        <v>16105</v>
      </c>
      <c r="L673" s="122">
        <v>46</v>
      </c>
      <c r="M673" s="126">
        <v>1.6799999999999999E-2</v>
      </c>
      <c r="N673" s="127">
        <f t="shared" si="10"/>
        <v>0.77279999999999993</v>
      </c>
    </row>
    <row r="674" spans="1:14">
      <c r="A674" s="121" t="s">
        <v>2475</v>
      </c>
      <c r="B674" s="121" t="s">
        <v>2476</v>
      </c>
      <c r="C674" s="121">
        <v>1</v>
      </c>
      <c r="D674" s="121" t="s">
        <v>1160</v>
      </c>
      <c r="E674" s="125">
        <v>44812</v>
      </c>
      <c r="F674" s="121" t="s">
        <v>1118</v>
      </c>
      <c r="G674" s="121" t="s">
        <v>1325</v>
      </c>
      <c r="H674" s="121">
        <v>0.2218</v>
      </c>
      <c r="I674" s="121" t="s">
        <v>1174</v>
      </c>
      <c r="J674" s="121" t="s">
        <v>96</v>
      </c>
      <c r="K674" s="121">
        <v>23723</v>
      </c>
      <c r="L674" s="122">
        <v>38</v>
      </c>
      <c r="M674" s="126">
        <v>0.2218</v>
      </c>
      <c r="N674" s="127">
        <f t="shared" si="10"/>
        <v>8.4283999999999999</v>
      </c>
    </row>
    <row r="675" spans="1:14">
      <c r="A675" s="121" t="s">
        <v>2477</v>
      </c>
      <c r="B675" s="121" t="s">
        <v>2478</v>
      </c>
      <c r="C675" s="121">
        <v>1</v>
      </c>
      <c r="D675" s="121" t="s">
        <v>1117</v>
      </c>
      <c r="E675" s="125">
        <v>44795</v>
      </c>
      <c r="F675" s="121" t="s">
        <v>1124</v>
      </c>
      <c r="G675" s="121" t="s">
        <v>1124</v>
      </c>
      <c r="H675" s="121">
        <v>1.6400000000000001E-2</v>
      </c>
      <c r="I675" s="121" t="s">
        <v>1174</v>
      </c>
      <c r="J675" s="121" t="s">
        <v>96</v>
      </c>
      <c r="K675" s="121">
        <v>17264</v>
      </c>
      <c r="L675" s="122">
        <v>43</v>
      </c>
      <c r="M675" s="126">
        <v>1.6400000000000001E-2</v>
      </c>
      <c r="N675" s="127">
        <f t="shared" si="10"/>
        <v>0.70520000000000005</v>
      </c>
    </row>
    <row r="676" spans="1:14">
      <c r="A676" s="121" t="s">
        <v>2479</v>
      </c>
      <c r="B676" s="121" t="s">
        <v>2480</v>
      </c>
      <c r="C676" s="121">
        <v>1</v>
      </c>
      <c r="D676" s="121" t="s">
        <v>1187</v>
      </c>
      <c r="E676" s="125">
        <v>44795</v>
      </c>
      <c r="F676" s="121" t="s">
        <v>1118</v>
      </c>
      <c r="G676" s="121" t="s">
        <v>1119</v>
      </c>
      <c r="H676" s="121">
        <v>0.2492</v>
      </c>
      <c r="I676" s="121" t="s">
        <v>1174</v>
      </c>
      <c r="J676" s="121" t="s">
        <v>96</v>
      </c>
      <c r="K676" s="121">
        <v>16713</v>
      </c>
      <c r="L676" s="122">
        <v>42</v>
      </c>
      <c r="M676" s="126">
        <v>0.2492</v>
      </c>
      <c r="N676" s="127">
        <f t="shared" si="10"/>
        <v>10.4664</v>
      </c>
    </row>
    <row r="677" spans="1:14">
      <c r="A677" s="121" t="s">
        <v>2481</v>
      </c>
      <c r="B677" s="121" t="s">
        <v>2482</v>
      </c>
      <c r="C677" s="121">
        <v>1</v>
      </c>
      <c r="D677" s="121" t="s">
        <v>1187</v>
      </c>
      <c r="E677" s="125">
        <v>44795</v>
      </c>
      <c r="F677" s="121" t="s">
        <v>1124</v>
      </c>
      <c r="G677" s="121" t="s">
        <v>1124</v>
      </c>
      <c r="H677" s="121">
        <v>0.21110000000000001</v>
      </c>
      <c r="I677" s="121" t="s">
        <v>1174</v>
      </c>
      <c r="J677" s="121" t="s">
        <v>96</v>
      </c>
      <c r="K677" s="121">
        <v>16712</v>
      </c>
      <c r="L677" s="122">
        <v>41</v>
      </c>
      <c r="M677" s="126">
        <v>0.21110000000000001</v>
      </c>
      <c r="N677" s="127">
        <f t="shared" si="10"/>
        <v>8.6551000000000009</v>
      </c>
    </row>
    <row r="678" spans="1:14">
      <c r="A678" s="121" t="s">
        <v>2483</v>
      </c>
      <c r="B678" s="121" t="s">
        <v>2484</v>
      </c>
      <c r="C678" s="121">
        <v>1</v>
      </c>
      <c r="D678" s="121" t="s">
        <v>1220</v>
      </c>
      <c r="E678" s="125">
        <v>44795</v>
      </c>
      <c r="F678" s="121" t="s">
        <v>1118</v>
      </c>
      <c r="G678" s="121" t="s">
        <v>1119</v>
      </c>
      <c r="H678" s="121">
        <v>0.47420000000000001</v>
      </c>
      <c r="I678" s="121" t="s">
        <v>1174</v>
      </c>
      <c r="J678" s="121" t="s">
        <v>96</v>
      </c>
      <c r="K678" s="121">
        <v>16142</v>
      </c>
      <c r="L678" s="122">
        <v>46</v>
      </c>
      <c r="M678" s="126">
        <v>0.47420000000000001</v>
      </c>
      <c r="N678" s="127">
        <f t="shared" si="10"/>
        <v>21.813200000000002</v>
      </c>
    </row>
    <row r="679" spans="1:14">
      <c r="A679" s="121" t="s">
        <v>2485</v>
      </c>
      <c r="B679" s="121" t="s">
        <v>2486</v>
      </c>
      <c r="C679" s="121">
        <v>1</v>
      </c>
      <c r="D679" s="121" t="s">
        <v>1117</v>
      </c>
      <c r="E679" s="125">
        <v>44795</v>
      </c>
      <c r="F679" s="121" t="s">
        <v>1124</v>
      </c>
      <c r="G679" s="121" t="s">
        <v>1124</v>
      </c>
      <c r="H679" s="121">
        <v>6.25E-2</v>
      </c>
      <c r="I679" s="121" t="s">
        <v>1174</v>
      </c>
      <c r="J679" s="121" t="s">
        <v>96</v>
      </c>
      <c r="K679" s="121">
        <v>17266</v>
      </c>
      <c r="L679" s="122">
        <v>37</v>
      </c>
      <c r="M679" s="126">
        <v>6.25E-2</v>
      </c>
      <c r="N679" s="127">
        <f t="shared" si="10"/>
        <v>2.3125</v>
      </c>
    </row>
    <row r="680" spans="1:14">
      <c r="A680" s="121" t="s">
        <v>2487</v>
      </c>
      <c r="B680" s="121" t="s">
        <v>2488</v>
      </c>
      <c r="C680" s="121">
        <v>1</v>
      </c>
      <c r="D680" s="121" t="s">
        <v>1264</v>
      </c>
      <c r="E680" s="125">
        <v>16435</v>
      </c>
      <c r="F680" s="121" t="s">
        <v>1118</v>
      </c>
      <c r="G680" s="121" t="s">
        <v>1143</v>
      </c>
      <c r="H680" s="121">
        <v>0.34810000000000002</v>
      </c>
      <c r="I680" s="121" t="s">
        <v>1174</v>
      </c>
      <c r="J680" s="121" t="s">
        <v>96</v>
      </c>
      <c r="K680" s="121">
        <v>14491</v>
      </c>
      <c r="L680" s="122">
        <v>41</v>
      </c>
      <c r="M680" s="126">
        <v>0.34810000000000002</v>
      </c>
      <c r="N680" s="127">
        <f t="shared" si="10"/>
        <v>14.2721</v>
      </c>
    </row>
    <row r="681" spans="1:14">
      <c r="A681" s="121" t="s">
        <v>2489</v>
      </c>
      <c r="B681" s="121" t="s">
        <v>2490</v>
      </c>
      <c r="C681" s="121">
        <v>1</v>
      </c>
      <c r="D681" s="121" t="s">
        <v>1261</v>
      </c>
      <c r="E681" s="125">
        <v>44810</v>
      </c>
      <c r="F681" s="121" t="s">
        <v>1118</v>
      </c>
      <c r="G681" s="121" t="s">
        <v>1143</v>
      </c>
      <c r="H681" s="121">
        <v>1.9699999999999999E-2</v>
      </c>
      <c r="I681" s="121" t="s">
        <v>1174</v>
      </c>
      <c r="J681" s="121" t="s">
        <v>96</v>
      </c>
      <c r="K681" s="121">
        <v>33454</v>
      </c>
      <c r="L681" s="122">
        <v>41</v>
      </c>
      <c r="M681" s="126">
        <v>1.9699999999999999E-2</v>
      </c>
      <c r="N681" s="127">
        <f t="shared" si="10"/>
        <v>0.80769999999999997</v>
      </c>
    </row>
    <row r="682" spans="1:14">
      <c r="A682" s="121" t="s">
        <v>2491</v>
      </c>
      <c r="B682" s="121" t="s">
        <v>2492</v>
      </c>
      <c r="C682" s="121">
        <v>1</v>
      </c>
      <c r="D682" s="121" t="s">
        <v>1123</v>
      </c>
      <c r="E682" s="125">
        <v>44755</v>
      </c>
      <c r="F682" s="121" t="s">
        <v>1118</v>
      </c>
      <c r="G682" s="121" t="s">
        <v>1131</v>
      </c>
      <c r="H682" s="121">
        <v>1.2500000000000001E-2</v>
      </c>
      <c r="I682" s="121" t="s">
        <v>1174</v>
      </c>
      <c r="J682" s="121" t="s">
        <v>96</v>
      </c>
      <c r="K682" s="121">
        <v>14116</v>
      </c>
      <c r="L682" s="122">
        <v>40</v>
      </c>
      <c r="M682" s="126">
        <v>1.32E-2</v>
      </c>
      <c r="N682" s="127">
        <f t="shared" si="10"/>
        <v>0.52800000000000002</v>
      </c>
    </row>
    <row r="683" spans="1:14">
      <c r="A683" s="121" t="s">
        <v>2493</v>
      </c>
      <c r="B683" s="121" t="s">
        <v>2494</v>
      </c>
      <c r="C683" s="121">
        <v>1</v>
      </c>
      <c r="D683" s="121" t="s">
        <v>1117</v>
      </c>
      <c r="E683" s="125">
        <v>44795</v>
      </c>
      <c r="F683" s="121" t="s">
        <v>1124</v>
      </c>
      <c r="G683" s="121" t="s">
        <v>1124</v>
      </c>
      <c r="H683" s="121">
        <v>4.8899999999999999E-2</v>
      </c>
      <c r="I683" s="121" t="s">
        <v>1174</v>
      </c>
      <c r="J683" s="121" t="s">
        <v>96</v>
      </c>
      <c r="K683" s="121">
        <v>17265</v>
      </c>
      <c r="L683" s="122">
        <v>33</v>
      </c>
      <c r="M683" s="126">
        <v>4.8899999999999999E-2</v>
      </c>
      <c r="N683" s="127">
        <f t="shared" si="10"/>
        <v>1.6136999999999999</v>
      </c>
    </row>
    <row r="684" spans="1:14">
      <c r="A684" s="121" t="s">
        <v>2495</v>
      </c>
      <c r="B684" s="121" t="s">
        <v>2494</v>
      </c>
      <c r="C684" s="121">
        <v>1</v>
      </c>
      <c r="D684" s="121" t="s">
        <v>1166</v>
      </c>
      <c r="E684" s="125">
        <v>44795</v>
      </c>
      <c r="F684" s="121" t="s">
        <v>1124</v>
      </c>
      <c r="G684" s="121" t="s">
        <v>1124</v>
      </c>
      <c r="H684" s="121">
        <v>4.4400000000000002E-2</v>
      </c>
      <c r="I684" s="121" t="s">
        <v>1174</v>
      </c>
      <c r="J684" s="121" t="s">
        <v>96</v>
      </c>
      <c r="K684" s="121">
        <v>17264</v>
      </c>
      <c r="L684" s="122">
        <v>43</v>
      </c>
      <c r="M684" s="126">
        <v>4.4400000000000002E-2</v>
      </c>
      <c r="N684" s="127">
        <f t="shared" si="10"/>
        <v>1.9092</v>
      </c>
    </row>
    <row r="685" spans="1:14">
      <c r="A685" s="121" t="s">
        <v>2496</v>
      </c>
      <c r="B685" s="121" t="s">
        <v>2497</v>
      </c>
      <c r="C685" s="121">
        <v>1</v>
      </c>
      <c r="D685" s="121" t="s">
        <v>1123</v>
      </c>
      <c r="E685" s="125">
        <v>44795</v>
      </c>
      <c r="F685" s="121" t="s">
        <v>1118</v>
      </c>
      <c r="G685" s="121" t="s">
        <v>1124</v>
      </c>
      <c r="H685" s="121">
        <v>0.34639999999999999</v>
      </c>
      <c r="I685" s="121" t="s">
        <v>1174</v>
      </c>
      <c r="J685" s="121" t="s">
        <v>96</v>
      </c>
      <c r="K685" s="121">
        <v>22733</v>
      </c>
      <c r="L685" s="122">
        <v>46</v>
      </c>
      <c r="M685" s="126">
        <v>0.10780000000000001</v>
      </c>
      <c r="N685" s="127">
        <f t="shared" si="10"/>
        <v>4.9588000000000001</v>
      </c>
    </row>
    <row r="686" spans="1:14">
      <c r="A686" s="121" t="s">
        <v>2496</v>
      </c>
      <c r="B686" s="121" t="s">
        <v>2497</v>
      </c>
      <c r="C686" s="121">
        <v>1</v>
      </c>
      <c r="D686" s="121" t="s">
        <v>1123</v>
      </c>
      <c r="E686" s="125">
        <v>44795</v>
      </c>
      <c r="F686" s="121" t="s">
        <v>1118</v>
      </c>
      <c r="G686" s="121" t="s">
        <v>1124</v>
      </c>
      <c r="H686" s="121">
        <v>0.34639999999999999</v>
      </c>
      <c r="I686" s="121" t="s">
        <v>1174</v>
      </c>
      <c r="J686" s="121" t="s">
        <v>96</v>
      </c>
      <c r="K686" s="121">
        <v>22926</v>
      </c>
      <c r="L686" s="122">
        <v>43</v>
      </c>
      <c r="M686" s="126">
        <v>0.2387</v>
      </c>
      <c r="N686" s="127">
        <f t="shared" si="10"/>
        <v>10.264099999999999</v>
      </c>
    </row>
    <row r="687" spans="1:14">
      <c r="A687" s="121" t="s">
        <v>2498</v>
      </c>
      <c r="B687" s="121" t="s">
        <v>2499</v>
      </c>
      <c r="C687" s="121">
        <v>1</v>
      </c>
      <c r="D687" s="121" t="s">
        <v>1123</v>
      </c>
      <c r="E687" s="125">
        <v>44795</v>
      </c>
      <c r="F687" s="121" t="s">
        <v>1118</v>
      </c>
      <c r="G687" s="121" t="s">
        <v>1124</v>
      </c>
      <c r="H687" s="121">
        <v>0.1782</v>
      </c>
      <c r="I687" s="121" t="s">
        <v>1174</v>
      </c>
      <c r="J687" s="121" t="s">
        <v>96</v>
      </c>
      <c r="K687" s="121">
        <v>22537</v>
      </c>
      <c r="L687" s="122">
        <v>44</v>
      </c>
      <c r="M687" s="126">
        <v>0.1782</v>
      </c>
      <c r="N687" s="127">
        <f t="shared" si="10"/>
        <v>7.8407999999999998</v>
      </c>
    </row>
    <row r="688" spans="1:14">
      <c r="A688" s="121" t="s">
        <v>2500</v>
      </c>
      <c r="B688" s="121" t="s">
        <v>2501</v>
      </c>
      <c r="C688" s="121">
        <v>1</v>
      </c>
      <c r="D688" s="121" t="s">
        <v>1928</v>
      </c>
      <c r="E688" s="125">
        <v>44841</v>
      </c>
      <c r="F688" s="121" t="s">
        <v>1118</v>
      </c>
      <c r="G688" s="121" t="s">
        <v>1325</v>
      </c>
      <c r="H688" s="121">
        <v>0.99850000000000005</v>
      </c>
      <c r="I688" s="121" t="s">
        <v>1174</v>
      </c>
      <c r="J688" s="121" t="s">
        <v>96</v>
      </c>
      <c r="K688" s="121">
        <v>23933</v>
      </c>
      <c r="L688" s="122">
        <v>41</v>
      </c>
      <c r="M688" s="126">
        <v>0.99850000000000005</v>
      </c>
      <c r="N688" s="127">
        <f t="shared" si="10"/>
        <v>40.938500000000005</v>
      </c>
    </row>
    <row r="689" spans="1:14">
      <c r="A689" s="121" t="s">
        <v>2502</v>
      </c>
      <c r="B689" s="121" t="s">
        <v>2503</v>
      </c>
      <c r="C689" s="121">
        <v>1</v>
      </c>
      <c r="D689" s="121" t="s">
        <v>1637</v>
      </c>
      <c r="E689" s="125">
        <v>44795</v>
      </c>
      <c r="F689" s="121" t="s">
        <v>1118</v>
      </c>
      <c r="G689" s="121" t="s">
        <v>1177</v>
      </c>
      <c r="H689" s="121">
        <v>0.4113</v>
      </c>
      <c r="I689" s="121" t="s">
        <v>1174</v>
      </c>
      <c r="J689" s="121" t="s">
        <v>96</v>
      </c>
      <c r="K689" s="121">
        <v>21729</v>
      </c>
      <c r="L689" s="122">
        <v>38</v>
      </c>
      <c r="M689" s="126">
        <v>0.17330000000000001</v>
      </c>
      <c r="N689" s="127">
        <f t="shared" si="10"/>
        <v>6.5853999999999999</v>
      </c>
    </row>
    <row r="690" spans="1:14">
      <c r="A690" s="121" t="s">
        <v>2502</v>
      </c>
      <c r="B690" s="121" t="s">
        <v>2503</v>
      </c>
      <c r="C690" s="121">
        <v>1</v>
      </c>
      <c r="D690" s="121" t="s">
        <v>1637</v>
      </c>
      <c r="E690" s="125">
        <v>44795</v>
      </c>
      <c r="F690" s="121" t="s">
        <v>1118</v>
      </c>
      <c r="G690" s="121" t="s">
        <v>1177</v>
      </c>
      <c r="H690" s="121">
        <v>0.4113</v>
      </c>
      <c r="I690" s="121" t="s">
        <v>1174</v>
      </c>
      <c r="J690" s="121" t="s">
        <v>96</v>
      </c>
      <c r="K690" s="121">
        <v>21730</v>
      </c>
      <c r="L690" s="122">
        <v>41</v>
      </c>
      <c r="M690" s="126">
        <v>0.2379</v>
      </c>
      <c r="N690" s="127">
        <f t="shared" si="10"/>
        <v>9.7538999999999998</v>
      </c>
    </row>
    <row r="691" spans="1:14">
      <c r="A691" s="121" t="s">
        <v>2504</v>
      </c>
      <c r="B691" s="121" t="s">
        <v>2505</v>
      </c>
      <c r="C691" s="121">
        <v>1</v>
      </c>
      <c r="D691" s="121" t="s">
        <v>1123</v>
      </c>
      <c r="E691" s="125">
        <v>44845</v>
      </c>
      <c r="F691" s="121" t="s">
        <v>1118</v>
      </c>
      <c r="G691" s="121" t="s">
        <v>1124</v>
      </c>
      <c r="H691" s="121">
        <v>7.1599999999999997E-2</v>
      </c>
      <c r="I691" s="121" t="s">
        <v>1174</v>
      </c>
      <c r="J691" s="121" t="s">
        <v>96</v>
      </c>
      <c r="K691" s="121">
        <v>22733</v>
      </c>
      <c r="L691" s="122">
        <v>46</v>
      </c>
      <c r="M691" s="126">
        <v>7.1599999999999997E-2</v>
      </c>
      <c r="N691" s="127">
        <f t="shared" si="10"/>
        <v>3.2935999999999996</v>
      </c>
    </row>
    <row r="692" spans="1:14">
      <c r="A692" s="121" t="s">
        <v>2506</v>
      </c>
      <c r="B692" s="121" t="s">
        <v>2507</v>
      </c>
      <c r="C692" s="121">
        <v>1</v>
      </c>
      <c r="D692" s="121" t="s">
        <v>2070</v>
      </c>
      <c r="E692" s="125">
        <v>44795</v>
      </c>
      <c r="F692" s="121" t="s">
        <v>1124</v>
      </c>
      <c r="G692" s="121" t="s">
        <v>1124</v>
      </c>
      <c r="H692" s="121">
        <v>2.6100000000000002E-2</v>
      </c>
      <c r="I692" s="121" t="s">
        <v>1174</v>
      </c>
      <c r="J692" s="121" t="s">
        <v>96</v>
      </c>
      <c r="K692" s="121">
        <v>4688</v>
      </c>
      <c r="L692" s="122">
        <v>37</v>
      </c>
      <c r="M692" s="126">
        <v>2.6100000000000002E-2</v>
      </c>
      <c r="N692" s="127">
        <f t="shared" si="10"/>
        <v>0.96570000000000011</v>
      </c>
    </row>
    <row r="693" spans="1:14">
      <c r="A693" s="121" t="s">
        <v>2508</v>
      </c>
      <c r="B693" s="121" t="s">
        <v>2509</v>
      </c>
      <c r="C693" s="121">
        <v>1</v>
      </c>
      <c r="D693" s="121" t="s">
        <v>1117</v>
      </c>
      <c r="E693" s="125">
        <v>44839</v>
      </c>
      <c r="F693" s="121" t="s">
        <v>1118</v>
      </c>
      <c r="G693" s="121" t="s">
        <v>1124</v>
      </c>
      <c r="H693" s="121">
        <v>2.6100000000000002E-2</v>
      </c>
      <c r="I693" s="121" t="s">
        <v>1174</v>
      </c>
      <c r="J693" s="121" t="s">
        <v>96</v>
      </c>
      <c r="K693" s="121">
        <v>35429</v>
      </c>
      <c r="L693" s="122">
        <v>55</v>
      </c>
      <c r="M693" s="126">
        <v>2.6100000000000002E-2</v>
      </c>
      <c r="N693" s="127">
        <f t="shared" si="10"/>
        <v>1.4355</v>
      </c>
    </row>
    <row r="694" spans="1:14">
      <c r="A694" s="121" t="s">
        <v>2510</v>
      </c>
      <c r="B694" s="121" t="s">
        <v>2511</v>
      </c>
      <c r="C694" s="121">
        <v>1</v>
      </c>
      <c r="D694" s="121" t="s">
        <v>1123</v>
      </c>
      <c r="E694" s="125">
        <v>44718</v>
      </c>
      <c r="F694" s="121" t="s">
        <v>1118</v>
      </c>
      <c r="G694" s="121" t="s">
        <v>2041</v>
      </c>
      <c r="H694" s="121">
        <v>0.443</v>
      </c>
      <c r="I694" s="121" t="s">
        <v>1174</v>
      </c>
      <c r="J694" s="121" t="s">
        <v>96</v>
      </c>
      <c r="K694" s="121">
        <v>23111</v>
      </c>
      <c r="L694" s="122">
        <v>39</v>
      </c>
      <c r="M694" s="126">
        <v>0.443</v>
      </c>
      <c r="N694" s="127">
        <f t="shared" si="10"/>
        <v>17.277000000000001</v>
      </c>
    </row>
    <row r="695" spans="1:14">
      <c r="A695" s="121" t="s">
        <v>2512</v>
      </c>
      <c r="B695" s="121" t="s">
        <v>2513</v>
      </c>
      <c r="C695" s="121">
        <v>1</v>
      </c>
      <c r="D695" s="121" t="s">
        <v>1123</v>
      </c>
      <c r="E695" s="125">
        <v>44763</v>
      </c>
      <c r="F695" s="121" t="s">
        <v>1149</v>
      </c>
      <c r="G695" s="121" t="s">
        <v>1150</v>
      </c>
      <c r="H695" s="121">
        <v>0.16200000000000001</v>
      </c>
      <c r="I695" s="121" t="s">
        <v>1174</v>
      </c>
      <c r="J695" s="121" t="s">
        <v>96</v>
      </c>
      <c r="K695" s="121">
        <v>34929</v>
      </c>
      <c r="L695" s="122">
        <v>37</v>
      </c>
      <c r="M695" s="126">
        <v>0.16200000000000001</v>
      </c>
      <c r="N695" s="127">
        <f t="shared" si="10"/>
        <v>5.9939999999999998</v>
      </c>
    </row>
    <row r="696" spans="1:14">
      <c r="A696" s="121" t="s">
        <v>2514</v>
      </c>
      <c r="B696" s="121" t="s">
        <v>2515</v>
      </c>
      <c r="C696" s="121">
        <v>1</v>
      </c>
      <c r="D696" s="121" t="s">
        <v>2089</v>
      </c>
      <c r="E696" s="125">
        <v>44699</v>
      </c>
      <c r="F696" s="121" t="s">
        <v>1118</v>
      </c>
      <c r="G696" s="121" t="s">
        <v>1143</v>
      </c>
      <c r="H696" s="121">
        <v>0</v>
      </c>
      <c r="I696" s="121" t="s">
        <v>1174</v>
      </c>
      <c r="J696" s="121" t="s">
        <v>96</v>
      </c>
      <c r="K696" s="121">
        <v>14477</v>
      </c>
      <c r="L696" s="122">
        <v>48</v>
      </c>
      <c r="M696" s="126">
        <v>0</v>
      </c>
      <c r="N696" s="127">
        <f t="shared" si="10"/>
        <v>0</v>
      </c>
    </row>
    <row r="697" spans="1:14">
      <c r="A697" s="121" t="s">
        <v>2516</v>
      </c>
      <c r="B697" s="121" t="s">
        <v>2517</v>
      </c>
      <c r="C697" s="121">
        <v>1</v>
      </c>
      <c r="D697" s="121" t="s">
        <v>1166</v>
      </c>
      <c r="E697" s="125">
        <v>44863</v>
      </c>
      <c r="F697" s="121" t="s">
        <v>1118</v>
      </c>
      <c r="G697" s="121" t="s">
        <v>1124</v>
      </c>
      <c r="H697" s="121">
        <v>5.7999999999999996E-3</v>
      </c>
      <c r="I697" s="121" t="s">
        <v>1174</v>
      </c>
      <c r="J697" s="121" t="s">
        <v>96</v>
      </c>
      <c r="K697" s="121">
        <v>13772</v>
      </c>
      <c r="L697" s="122">
        <v>38</v>
      </c>
      <c r="M697" s="126">
        <v>5.7999999999999996E-3</v>
      </c>
      <c r="N697" s="127">
        <f t="shared" si="10"/>
        <v>0.22039999999999998</v>
      </c>
    </row>
    <row r="698" spans="1:14">
      <c r="A698" s="121" t="s">
        <v>2518</v>
      </c>
      <c r="B698" s="121" t="s">
        <v>2519</v>
      </c>
      <c r="C698" s="121">
        <v>1</v>
      </c>
      <c r="D698" s="121" t="s">
        <v>1445</v>
      </c>
      <c r="E698" s="125">
        <v>44795</v>
      </c>
      <c r="F698" s="121" t="s">
        <v>1118</v>
      </c>
      <c r="G698" s="121" t="s">
        <v>1177</v>
      </c>
      <c r="H698" s="121">
        <v>0.2994</v>
      </c>
      <c r="I698" s="121" t="s">
        <v>1174</v>
      </c>
      <c r="J698" s="121" t="s">
        <v>96</v>
      </c>
      <c r="K698" s="121">
        <v>21729</v>
      </c>
      <c r="L698" s="122">
        <v>38</v>
      </c>
      <c r="M698" s="126">
        <v>0.2994</v>
      </c>
      <c r="N698" s="127">
        <f t="shared" si="10"/>
        <v>11.3772</v>
      </c>
    </row>
    <row r="699" spans="1:14">
      <c r="A699" s="121" t="s">
        <v>2520</v>
      </c>
      <c r="B699" s="121" t="s">
        <v>2521</v>
      </c>
      <c r="C699" s="121">
        <v>1</v>
      </c>
      <c r="D699" s="121" t="s">
        <v>1123</v>
      </c>
      <c r="E699" s="125">
        <v>44863</v>
      </c>
      <c r="F699" s="121" t="s">
        <v>1118</v>
      </c>
      <c r="G699" s="121" t="s">
        <v>1131</v>
      </c>
      <c r="H699" s="121">
        <v>2.7900000000000001E-2</v>
      </c>
      <c r="I699" s="121" t="s">
        <v>1174</v>
      </c>
      <c r="J699" s="121" t="s">
        <v>96</v>
      </c>
      <c r="K699" s="121">
        <v>34683</v>
      </c>
      <c r="L699" s="122">
        <v>41</v>
      </c>
      <c r="M699" s="126">
        <v>2.7900000000000001E-2</v>
      </c>
      <c r="N699" s="127">
        <f t="shared" si="10"/>
        <v>1.1439000000000001</v>
      </c>
    </row>
    <row r="700" spans="1:14">
      <c r="A700" s="121" t="s">
        <v>2522</v>
      </c>
      <c r="B700" s="121" t="s">
        <v>2523</v>
      </c>
      <c r="C700" s="121">
        <v>1</v>
      </c>
      <c r="D700" s="121" t="s">
        <v>1123</v>
      </c>
      <c r="E700" s="125">
        <v>44851</v>
      </c>
      <c r="F700" s="121" t="s">
        <v>1118</v>
      </c>
      <c r="G700" s="121" t="s">
        <v>1124</v>
      </c>
      <c r="H700" s="121">
        <v>1.7600000000000001E-2</v>
      </c>
      <c r="I700" s="121" t="s">
        <v>1174</v>
      </c>
      <c r="J700" s="121" t="s">
        <v>96</v>
      </c>
      <c r="K700" s="121">
        <v>14116</v>
      </c>
      <c r="L700" s="122">
        <v>40</v>
      </c>
      <c r="M700" s="126">
        <v>1.7600000000000001E-2</v>
      </c>
      <c r="N700" s="127">
        <f t="shared" si="10"/>
        <v>0.70400000000000007</v>
      </c>
    </row>
    <row r="701" spans="1:14">
      <c r="A701" s="121" t="s">
        <v>2524</v>
      </c>
      <c r="B701" s="121" t="s">
        <v>2525</v>
      </c>
      <c r="C701" s="121">
        <v>1</v>
      </c>
      <c r="D701" s="121" t="s">
        <v>1187</v>
      </c>
      <c r="E701" s="125">
        <v>44795</v>
      </c>
      <c r="F701" s="121" t="s">
        <v>1149</v>
      </c>
      <c r="G701" s="121" t="s">
        <v>1150</v>
      </c>
      <c r="H701" s="121">
        <v>0.32369999999999999</v>
      </c>
      <c r="I701" s="121" t="s">
        <v>1174</v>
      </c>
      <c r="J701" s="121" t="s">
        <v>96</v>
      </c>
      <c r="K701" s="121">
        <v>22670</v>
      </c>
      <c r="L701" s="122">
        <v>44</v>
      </c>
      <c r="M701" s="126">
        <v>0.32369999999999999</v>
      </c>
      <c r="N701" s="127">
        <f t="shared" si="10"/>
        <v>14.242799999999999</v>
      </c>
    </row>
    <row r="702" spans="1:14">
      <c r="A702" s="121" t="s">
        <v>2526</v>
      </c>
      <c r="B702" s="121" t="s">
        <v>2527</v>
      </c>
      <c r="C702" s="121">
        <v>1</v>
      </c>
      <c r="D702" s="121" t="s">
        <v>1130</v>
      </c>
      <c r="E702" s="125">
        <v>44766</v>
      </c>
      <c r="F702" s="121" t="s">
        <v>1118</v>
      </c>
      <c r="G702" s="121" t="s">
        <v>1143</v>
      </c>
      <c r="H702" s="121">
        <v>0.25719999999999998</v>
      </c>
      <c r="I702" s="121" t="s">
        <v>1174</v>
      </c>
      <c r="J702" s="121" t="s">
        <v>96</v>
      </c>
      <c r="K702" s="121">
        <v>30546</v>
      </c>
      <c r="L702" s="122">
        <v>47</v>
      </c>
      <c r="M702" s="126">
        <v>0.25719999999999998</v>
      </c>
      <c r="N702" s="127">
        <f t="shared" si="10"/>
        <v>12.0884</v>
      </c>
    </row>
    <row r="703" spans="1:14">
      <c r="A703" s="121" t="s">
        <v>2528</v>
      </c>
      <c r="B703" s="121" t="s">
        <v>2529</v>
      </c>
      <c r="C703" s="121">
        <v>1</v>
      </c>
      <c r="D703" s="121" t="s">
        <v>1160</v>
      </c>
      <c r="E703" s="125">
        <v>44825</v>
      </c>
      <c r="F703" s="121" t="s">
        <v>1118</v>
      </c>
      <c r="G703" s="121" t="s">
        <v>1124</v>
      </c>
      <c r="H703" s="121">
        <v>0.14169999999999999</v>
      </c>
      <c r="I703" s="121" t="s">
        <v>1174</v>
      </c>
      <c r="J703" s="121" t="s">
        <v>96</v>
      </c>
      <c r="K703" s="121">
        <v>35264</v>
      </c>
      <c r="L703" s="122">
        <v>46</v>
      </c>
      <c r="M703" s="126">
        <v>0.14169999999999999</v>
      </c>
      <c r="N703" s="127">
        <f t="shared" si="10"/>
        <v>6.5181999999999993</v>
      </c>
    </row>
    <row r="704" spans="1:14">
      <c r="A704" s="121" t="s">
        <v>2530</v>
      </c>
      <c r="B704" s="121" t="s">
        <v>2531</v>
      </c>
      <c r="C704" s="121">
        <v>1</v>
      </c>
      <c r="D704" s="121" t="s">
        <v>1123</v>
      </c>
      <c r="E704" s="125">
        <v>44920</v>
      </c>
      <c r="F704" s="121" t="s">
        <v>1118</v>
      </c>
      <c r="G704" s="121" t="s">
        <v>1124</v>
      </c>
      <c r="H704" s="121">
        <v>8.6699999999999999E-2</v>
      </c>
      <c r="I704" s="121" t="s">
        <v>1174</v>
      </c>
      <c r="J704" s="121" t="s">
        <v>96</v>
      </c>
      <c r="K704" s="121">
        <v>30547</v>
      </c>
      <c r="L704" s="122">
        <v>45</v>
      </c>
      <c r="M704" s="126">
        <v>8.7300000000000003E-2</v>
      </c>
      <c r="N704" s="127">
        <f t="shared" si="10"/>
        <v>3.9285000000000001</v>
      </c>
    </row>
    <row r="705" spans="1:14">
      <c r="A705" s="121" t="s">
        <v>2532</v>
      </c>
      <c r="B705" s="121" t="s">
        <v>2533</v>
      </c>
      <c r="C705" s="121">
        <v>1</v>
      </c>
      <c r="D705" s="121" t="s">
        <v>1130</v>
      </c>
      <c r="E705" s="125">
        <v>44704</v>
      </c>
      <c r="F705" s="121" t="s">
        <v>1118</v>
      </c>
      <c r="G705" s="121" t="s">
        <v>1143</v>
      </c>
      <c r="H705" s="121">
        <v>5.8400000000000001E-2</v>
      </c>
      <c r="I705" s="121" t="s">
        <v>1174</v>
      </c>
      <c r="J705" s="121" t="s">
        <v>96</v>
      </c>
      <c r="K705" s="121">
        <v>35085</v>
      </c>
      <c r="L705" s="122">
        <v>42</v>
      </c>
      <c r="M705" s="126">
        <v>5.8400000000000001E-2</v>
      </c>
      <c r="N705" s="127">
        <f t="shared" si="10"/>
        <v>2.4527999999999999</v>
      </c>
    </row>
    <row r="706" spans="1:14">
      <c r="A706" s="121" t="s">
        <v>2534</v>
      </c>
      <c r="B706" s="121" t="s">
        <v>2535</v>
      </c>
      <c r="C706" s="121">
        <v>1</v>
      </c>
      <c r="D706" s="121" t="s">
        <v>1252</v>
      </c>
      <c r="E706" s="125">
        <v>44787</v>
      </c>
      <c r="F706" s="121" t="s">
        <v>1118</v>
      </c>
      <c r="G706" s="121" t="s">
        <v>1131</v>
      </c>
      <c r="H706" s="121">
        <v>2.1899999999999999E-2</v>
      </c>
      <c r="I706" s="121" t="s">
        <v>1174</v>
      </c>
      <c r="J706" s="121" t="s">
        <v>96</v>
      </c>
      <c r="K706" s="121">
        <v>14489</v>
      </c>
      <c r="L706" s="122">
        <v>35</v>
      </c>
      <c r="M706" s="126">
        <v>2.1899999999999999E-2</v>
      </c>
      <c r="N706" s="127">
        <f t="shared" ref="N706:N769" si="11">+M706*L706</f>
        <v>0.76649999999999996</v>
      </c>
    </row>
    <row r="707" spans="1:14">
      <c r="A707" s="121" t="s">
        <v>2536</v>
      </c>
      <c r="B707" s="121" t="s">
        <v>2537</v>
      </c>
      <c r="C707" s="121">
        <v>1</v>
      </c>
      <c r="D707" s="121" t="s">
        <v>1235</v>
      </c>
      <c r="E707" s="125">
        <v>44786</v>
      </c>
      <c r="F707" s="121" t="s">
        <v>1118</v>
      </c>
      <c r="G707" s="121" t="s">
        <v>1131</v>
      </c>
      <c r="H707" s="121">
        <v>2.5100000000000001E-2</v>
      </c>
      <c r="I707" s="121" t="s">
        <v>1174</v>
      </c>
      <c r="J707" s="121" t="s">
        <v>96</v>
      </c>
      <c r="K707" s="121">
        <v>30730</v>
      </c>
      <c r="L707" s="122">
        <v>46</v>
      </c>
      <c r="M707" s="126">
        <v>2.5100000000000001E-2</v>
      </c>
      <c r="N707" s="127">
        <f t="shared" si="11"/>
        <v>1.1546000000000001</v>
      </c>
    </row>
    <row r="708" spans="1:14">
      <c r="A708" s="121" t="s">
        <v>2538</v>
      </c>
      <c r="B708" s="121" t="s">
        <v>2539</v>
      </c>
      <c r="C708" s="121">
        <v>1</v>
      </c>
      <c r="D708" s="121" t="s">
        <v>1117</v>
      </c>
      <c r="E708" s="125">
        <v>44737</v>
      </c>
      <c r="F708" s="121" t="s">
        <v>1118</v>
      </c>
      <c r="G708" s="121" t="s">
        <v>1119</v>
      </c>
      <c r="H708" s="121">
        <v>0.78129999999999999</v>
      </c>
      <c r="I708" s="121" t="s">
        <v>1174</v>
      </c>
      <c r="J708" s="121" t="s">
        <v>96</v>
      </c>
      <c r="K708" s="121">
        <v>17077</v>
      </c>
      <c r="L708" s="122">
        <v>36</v>
      </c>
      <c r="M708" s="126">
        <v>0.78129999999999999</v>
      </c>
      <c r="N708" s="127">
        <f t="shared" si="11"/>
        <v>28.126799999999999</v>
      </c>
    </row>
    <row r="709" spans="1:14">
      <c r="A709" s="121" t="s">
        <v>2540</v>
      </c>
      <c r="B709" s="121" t="s">
        <v>2541</v>
      </c>
      <c r="C709" s="121">
        <v>1</v>
      </c>
      <c r="D709" s="121" t="s">
        <v>1252</v>
      </c>
      <c r="E709" s="125">
        <v>44770</v>
      </c>
      <c r="F709" s="121" t="s">
        <v>1118</v>
      </c>
      <c r="G709" s="121" t="s">
        <v>1265</v>
      </c>
      <c r="H709" s="121">
        <v>0.1152</v>
      </c>
      <c r="I709" s="121" t="s">
        <v>1174</v>
      </c>
      <c r="J709" s="121" t="s">
        <v>96</v>
      </c>
      <c r="K709" s="121">
        <v>18633</v>
      </c>
      <c r="L709" s="122">
        <v>34</v>
      </c>
      <c r="M709" s="126">
        <v>0.1152</v>
      </c>
      <c r="N709" s="127">
        <f t="shared" si="11"/>
        <v>3.9167999999999998</v>
      </c>
    </row>
    <row r="710" spans="1:14">
      <c r="A710" s="121" t="s">
        <v>2542</v>
      </c>
      <c r="B710" s="121" t="s">
        <v>2543</v>
      </c>
      <c r="C710" s="121">
        <v>1</v>
      </c>
      <c r="D710" s="121" t="s">
        <v>1252</v>
      </c>
      <c r="E710" s="125">
        <v>44795</v>
      </c>
      <c r="F710" s="121" t="s">
        <v>1118</v>
      </c>
      <c r="G710" s="121" t="s">
        <v>1119</v>
      </c>
      <c r="H710" s="121">
        <v>0.54269999999999996</v>
      </c>
      <c r="I710" s="121" t="s">
        <v>1174</v>
      </c>
      <c r="J710" s="121" t="s">
        <v>96</v>
      </c>
      <c r="K710" s="121">
        <v>15777</v>
      </c>
      <c r="L710" s="122">
        <v>42</v>
      </c>
      <c r="M710" s="126">
        <v>0.54269999999999996</v>
      </c>
      <c r="N710" s="127">
        <f t="shared" si="11"/>
        <v>22.793399999999998</v>
      </c>
    </row>
    <row r="711" spans="1:14">
      <c r="A711" s="121" t="s">
        <v>2544</v>
      </c>
      <c r="B711" s="121" t="s">
        <v>2545</v>
      </c>
      <c r="C711" s="121">
        <v>1</v>
      </c>
      <c r="D711" s="121" t="s">
        <v>1235</v>
      </c>
      <c r="E711" s="125">
        <v>44795</v>
      </c>
      <c r="F711" s="121" t="s">
        <v>1124</v>
      </c>
      <c r="G711" s="121" t="s">
        <v>1124</v>
      </c>
      <c r="H711" s="121">
        <v>2.0400000000000001E-2</v>
      </c>
      <c r="I711" s="121" t="s">
        <v>1174</v>
      </c>
      <c r="J711" s="121" t="s">
        <v>96</v>
      </c>
      <c r="K711" s="121">
        <v>15948</v>
      </c>
      <c r="L711" s="122">
        <v>41</v>
      </c>
      <c r="M711" s="126">
        <v>2.0400000000000001E-2</v>
      </c>
      <c r="N711" s="127">
        <f t="shared" si="11"/>
        <v>0.83640000000000003</v>
      </c>
    </row>
    <row r="712" spans="1:14">
      <c r="A712" s="121" t="s">
        <v>2546</v>
      </c>
      <c r="B712" s="121" t="s">
        <v>2547</v>
      </c>
      <c r="C712" s="121">
        <v>1</v>
      </c>
      <c r="D712" s="121" t="s">
        <v>2548</v>
      </c>
      <c r="E712" s="125">
        <v>44795</v>
      </c>
      <c r="F712" s="121" t="s">
        <v>1124</v>
      </c>
      <c r="G712" s="121" t="s">
        <v>1124</v>
      </c>
      <c r="H712" s="121">
        <v>0.21479999999999999</v>
      </c>
      <c r="I712" s="121" t="s">
        <v>1174</v>
      </c>
      <c r="J712" s="121" t="s">
        <v>96</v>
      </c>
      <c r="K712" s="121">
        <v>4870</v>
      </c>
      <c r="L712" s="122">
        <v>47</v>
      </c>
      <c r="M712" s="126">
        <v>0.15110000000000001</v>
      </c>
      <c r="N712" s="127">
        <f t="shared" si="11"/>
        <v>7.101700000000001</v>
      </c>
    </row>
    <row r="713" spans="1:14">
      <c r="A713" s="121" t="s">
        <v>2546</v>
      </c>
      <c r="B713" s="121" t="s">
        <v>2547</v>
      </c>
      <c r="C713" s="121">
        <v>1</v>
      </c>
      <c r="D713" s="121" t="s">
        <v>2548</v>
      </c>
      <c r="E713" s="125">
        <v>44795</v>
      </c>
      <c r="F713" s="121" t="s">
        <v>1124</v>
      </c>
      <c r="G713" s="121" t="s">
        <v>1124</v>
      </c>
      <c r="H713" s="121">
        <v>0.21479999999999999</v>
      </c>
      <c r="I713" s="121" t="s">
        <v>1174</v>
      </c>
      <c r="J713" s="121" t="s">
        <v>96</v>
      </c>
      <c r="K713" s="121">
        <v>4871</v>
      </c>
      <c r="L713" s="122">
        <v>42</v>
      </c>
      <c r="M713" s="126">
        <v>5.2200000000000003E-2</v>
      </c>
      <c r="N713" s="127">
        <f t="shared" si="11"/>
        <v>2.1924000000000001</v>
      </c>
    </row>
    <row r="714" spans="1:14">
      <c r="A714" s="121" t="s">
        <v>2546</v>
      </c>
      <c r="B714" s="121" t="s">
        <v>2547</v>
      </c>
      <c r="C714" s="121">
        <v>1</v>
      </c>
      <c r="D714" s="121" t="s">
        <v>2548</v>
      </c>
      <c r="E714" s="125">
        <v>44795</v>
      </c>
      <c r="F714" s="121" t="s">
        <v>1124</v>
      </c>
      <c r="G714" s="121" t="s">
        <v>1124</v>
      </c>
      <c r="H714" s="121">
        <v>0.21479999999999999</v>
      </c>
      <c r="I714" s="121" t="s">
        <v>1174</v>
      </c>
      <c r="J714" s="121" t="s">
        <v>96</v>
      </c>
      <c r="K714" s="121">
        <v>5050</v>
      </c>
      <c r="L714" s="122">
        <v>44</v>
      </c>
      <c r="M714" s="126">
        <v>1.15E-2</v>
      </c>
      <c r="N714" s="127">
        <f t="shared" si="11"/>
        <v>0.50600000000000001</v>
      </c>
    </row>
    <row r="715" spans="1:14">
      <c r="A715" s="121" t="s">
        <v>2549</v>
      </c>
      <c r="B715" s="121" t="s">
        <v>2550</v>
      </c>
      <c r="C715" s="121">
        <v>1</v>
      </c>
      <c r="D715" s="121" t="s">
        <v>1928</v>
      </c>
      <c r="E715" s="125">
        <v>44795</v>
      </c>
      <c r="F715" s="121" t="s">
        <v>1118</v>
      </c>
      <c r="G715" s="121" t="s">
        <v>1119</v>
      </c>
      <c r="H715" s="121">
        <v>0.23350000000000001</v>
      </c>
      <c r="I715" s="121" t="s">
        <v>1174</v>
      </c>
      <c r="J715" s="121" t="s">
        <v>96</v>
      </c>
      <c r="K715" s="121">
        <v>16712</v>
      </c>
      <c r="L715" s="122">
        <v>41</v>
      </c>
      <c r="M715" s="126">
        <v>0.23350000000000001</v>
      </c>
      <c r="N715" s="127">
        <f t="shared" si="11"/>
        <v>9.573500000000001</v>
      </c>
    </row>
    <row r="716" spans="1:14">
      <c r="A716" s="121" t="s">
        <v>2551</v>
      </c>
      <c r="B716" s="121" t="s">
        <v>2552</v>
      </c>
      <c r="C716" s="121">
        <v>1</v>
      </c>
      <c r="D716" s="121" t="s">
        <v>1397</v>
      </c>
      <c r="E716" s="125">
        <v>44778</v>
      </c>
      <c r="F716" s="121" t="s">
        <v>1118</v>
      </c>
      <c r="G716" s="121" t="s">
        <v>1143</v>
      </c>
      <c r="H716" s="121">
        <v>6.5799999999999997E-2</v>
      </c>
      <c r="I716" s="121" t="s">
        <v>1174</v>
      </c>
      <c r="J716" s="121" t="s">
        <v>96</v>
      </c>
      <c r="K716" s="121">
        <v>16103</v>
      </c>
      <c r="L716" s="122">
        <v>46</v>
      </c>
      <c r="M716" s="126">
        <v>6.5799999999999997E-2</v>
      </c>
      <c r="N716" s="127">
        <f t="shared" si="11"/>
        <v>3.0267999999999997</v>
      </c>
    </row>
    <row r="717" spans="1:14">
      <c r="A717" s="121" t="s">
        <v>2553</v>
      </c>
      <c r="B717" s="121" t="s">
        <v>2554</v>
      </c>
      <c r="C717" s="121">
        <v>1</v>
      </c>
      <c r="D717" s="121" t="s">
        <v>1123</v>
      </c>
      <c r="E717" s="125">
        <v>44783</v>
      </c>
      <c r="F717" s="121" t="s">
        <v>1118</v>
      </c>
      <c r="G717" s="121" t="s">
        <v>1131</v>
      </c>
      <c r="H717" s="121">
        <v>2.35E-2</v>
      </c>
      <c r="I717" s="121" t="s">
        <v>1174</v>
      </c>
      <c r="J717" s="121" t="s">
        <v>96</v>
      </c>
      <c r="K717" s="121">
        <v>14115</v>
      </c>
      <c r="L717" s="122">
        <v>39</v>
      </c>
      <c r="M717" s="126">
        <v>2.35E-2</v>
      </c>
      <c r="N717" s="127">
        <f t="shared" si="11"/>
        <v>0.91649999999999998</v>
      </c>
    </row>
    <row r="718" spans="1:14">
      <c r="A718" s="121" t="s">
        <v>2555</v>
      </c>
      <c r="B718" s="121" t="s">
        <v>2556</v>
      </c>
      <c r="C718" s="121">
        <v>1</v>
      </c>
      <c r="D718" s="121" t="s">
        <v>1220</v>
      </c>
      <c r="E718" s="125">
        <v>44799</v>
      </c>
      <c r="F718" s="121" t="s">
        <v>1118</v>
      </c>
      <c r="G718" s="121" t="s">
        <v>1265</v>
      </c>
      <c r="H718" s="121">
        <v>0.46560000000000001</v>
      </c>
      <c r="I718" s="121" t="s">
        <v>1174</v>
      </c>
      <c r="J718" s="121" t="s">
        <v>96</v>
      </c>
      <c r="K718" s="121">
        <v>18634</v>
      </c>
      <c r="L718" s="122">
        <v>47</v>
      </c>
      <c r="M718" s="126">
        <v>0.46560000000000001</v>
      </c>
      <c r="N718" s="127">
        <f t="shared" si="11"/>
        <v>21.883200000000002</v>
      </c>
    </row>
    <row r="719" spans="1:14">
      <c r="A719" s="121" t="s">
        <v>2557</v>
      </c>
      <c r="B719" s="121" t="s">
        <v>2556</v>
      </c>
      <c r="C719" s="121">
        <v>1</v>
      </c>
      <c r="D719" s="121" t="s">
        <v>1490</v>
      </c>
      <c r="E719" s="125">
        <v>44790</v>
      </c>
      <c r="F719" s="121" t="s">
        <v>1118</v>
      </c>
      <c r="G719" s="121" t="s">
        <v>1265</v>
      </c>
      <c r="H719" s="121">
        <v>0.4047</v>
      </c>
      <c r="I719" s="121" t="s">
        <v>1174</v>
      </c>
      <c r="J719" s="121" t="s">
        <v>96</v>
      </c>
      <c r="K719" s="121">
        <v>18634</v>
      </c>
      <c r="L719" s="122">
        <v>47</v>
      </c>
      <c r="M719" s="126">
        <v>0.4047</v>
      </c>
      <c r="N719" s="127">
        <f t="shared" si="11"/>
        <v>19.020900000000001</v>
      </c>
    </row>
    <row r="720" spans="1:14">
      <c r="A720" s="121" t="s">
        <v>2558</v>
      </c>
      <c r="B720" s="121" t="s">
        <v>2559</v>
      </c>
      <c r="C720" s="121">
        <v>1</v>
      </c>
      <c r="D720" s="121" t="s">
        <v>1163</v>
      </c>
      <c r="E720" s="125">
        <v>44885</v>
      </c>
      <c r="F720" s="121" t="s">
        <v>1118</v>
      </c>
      <c r="G720" s="121" t="s">
        <v>1124</v>
      </c>
      <c r="H720" s="121">
        <v>0.1542</v>
      </c>
      <c r="I720" s="121" t="s">
        <v>1174</v>
      </c>
      <c r="J720" s="121" t="s">
        <v>96</v>
      </c>
      <c r="K720" s="121">
        <v>14475</v>
      </c>
      <c r="L720" s="122">
        <v>46</v>
      </c>
      <c r="M720" s="126">
        <v>9.7000000000000003E-2</v>
      </c>
      <c r="N720" s="127">
        <f t="shared" si="11"/>
        <v>4.4619999999999997</v>
      </c>
    </row>
    <row r="721" spans="1:14">
      <c r="A721" s="121" t="s">
        <v>2558</v>
      </c>
      <c r="B721" s="121" t="s">
        <v>2559</v>
      </c>
      <c r="C721" s="121">
        <v>1</v>
      </c>
      <c r="D721" s="121" t="s">
        <v>1163</v>
      </c>
      <c r="E721" s="125">
        <v>44885</v>
      </c>
      <c r="F721" s="121" t="s">
        <v>1118</v>
      </c>
      <c r="G721" s="121" t="s">
        <v>1124</v>
      </c>
      <c r="H721" s="121">
        <v>0.1542</v>
      </c>
      <c r="I721" s="121" t="s">
        <v>1174</v>
      </c>
      <c r="J721" s="121" t="s">
        <v>96</v>
      </c>
      <c r="K721" s="121">
        <v>14476</v>
      </c>
      <c r="L721" s="122">
        <v>43</v>
      </c>
      <c r="M721" s="126">
        <v>5.7299999999999997E-2</v>
      </c>
      <c r="N721" s="127">
        <f t="shared" si="11"/>
        <v>2.4638999999999998</v>
      </c>
    </row>
    <row r="722" spans="1:14">
      <c r="A722" s="121" t="s">
        <v>2560</v>
      </c>
      <c r="B722" s="121" t="s">
        <v>2561</v>
      </c>
      <c r="C722" s="121">
        <v>1</v>
      </c>
      <c r="D722" s="121" t="s">
        <v>1160</v>
      </c>
      <c r="E722" s="125">
        <v>44765</v>
      </c>
      <c r="F722" s="121" t="s">
        <v>1118</v>
      </c>
      <c r="G722" s="121" t="s">
        <v>1265</v>
      </c>
      <c r="H722" s="121">
        <v>3.4099999999999998E-2</v>
      </c>
      <c r="I722" s="121" t="s">
        <v>1174</v>
      </c>
      <c r="J722" s="121" t="s">
        <v>96</v>
      </c>
      <c r="K722" s="121">
        <v>18249</v>
      </c>
      <c r="L722" s="122">
        <v>37</v>
      </c>
      <c r="M722" s="126">
        <v>3.4099999999999998E-2</v>
      </c>
      <c r="N722" s="127">
        <f t="shared" si="11"/>
        <v>1.2617</v>
      </c>
    </row>
    <row r="723" spans="1:14">
      <c r="A723" s="121" t="s">
        <v>2562</v>
      </c>
      <c r="B723" s="121" t="s">
        <v>2563</v>
      </c>
      <c r="C723" s="121">
        <v>1</v>
      </c>
      <c r="D723" s="121" t="s">
        <v>1261</v>
      </c>
      <c r="E723" s="125">
        <v>44692</v>
      </c>
      <c r="F723" s="121" t="s">
        <v>1118</v>
      </c>
      <c r="G723" s="121" t="s">
        <v>2041</v>
      </c>
      <c r="H723" s="121">
        <v>0.59130000000000005</v>
      </c>
      <c r="I723" s="121" t="s">
        <v>1174</v>
      </c>
      <c r="J723" s="121" t="s">
        <v>96</v>
      </c>
      <c r="K723" s="121">
        <v>23544</v>
      </c>
      <c r="L723" s="122">
        <v>41</v>
      </c>
      <c r="M723" s="126">
        <v>0.59130000000000005</v>
      </c>
      <c r="N723" s="127">
        <f t="shared" si="11"/>
        <v>24.243300000000001</v>
      </c>
    </row>
    <row r="724" spans="1:14">
      <c r="A724" s="121" t="s">
        <v>2564</v>
      </c>
      <c r="B724" s="121" t="s">
        <v>2565</v>
      </c>
      <c r="C724" s="121">
        <v>1</v>
      </c>
      <c r="D724" s="121" t="s">
        <v>1561</v>
      </c>
      <c r="E724" s="125">
        <v>44795</v>
      </c>
      <c r="F724" s="121" t="s">
        <v>1118</v>
      </c>
      <c r="G724" s="121" t="s">
        <v>1119</v>
      </c>
      <c r="H724" s="121">
        <v>0.35170000000000001</v>
      </c>
      <c r="I724" s="121" t="s">
        <v>1174</v>
      </c>
      <c r="J724" s="121" t="s">
        <v>96</v>
      </c>
      <c r="K724" s="121">
        <v>17079</v>
      </c>
      <c r="L724" s="122">
        <v>40</v>
      </c>
      <c r="M724" s="126">
        <v>0.35170000000000001</v>
      </c>
      <c r="N724" s="127">
        <f t="shared" si="11"/>
        <v>14.068000000000001</v>
      </c>
    </row>
    <row r="725" spans="1:14">
      <c r="A725" s="121" t="s">
        <v>2566</v>
      </c>
      <c r="B725" s="121" t="s">
        <v>2567</v>
      </c>
      <c r="C725" s="121">
        <v>1</v>
      </c>
      <c r="D725" s="121" t="s">
        <v>1252</v>
      </c>
      <c r="E725" s="125">
        <v>44755</v>
      </c>
      <c r="F725" s="121" t="s">
        <v>1118</v>
      </c>
      <c r="G725" s="121" t="s">
        <v>2041</v>
      </c>
      <c r="H725" s="121">
        <v>0.2099</v>
      </c>
      <c r="I725" s="121" t="s">
        <v>1174</v>
      </c>
      <c r="J725" s="121" t="s">
        <v>96</v>
      </c>
      <c r="K725" s="121">
        <v>22923</v>
      </c>
      <c r="L725" s="122">
        <v>37</v>
      </c>
      <c r="M725" s="126">
        <v>0.2099</v>
      </c>
      <c r="N725" s="127">
        <f t="shared" si="11"/>
        <v>7.7663000000000002</v>
      </c>
    </row>
    <row r="726" spans="1:14">
      <c r="A726" s="121" t="s">
        <v>2568</v>
      </c>
      <c r="B726" s="121" t="s">
        <v>2569</v>
      </c>
      <c r="C726" s="121">
        <v>1</v>
      </c>
      <c r="D726" s="121" t="s">
        <v>1220</v>
      </c>
      <c r="E726" s="125">
        <v>44727</v>
      </c>
      <c r="F726" s="121" t="s">
        <v>1118</v>
      </c>
      <c r="G726" s="121" t="s">
        <v>1131</v>
      </c>
      <c r="H726" s="121">
        <v>4.82E-2</v>
      </c>
      <c r="I726" s="121" t="s">
        <v>1174</v>
      </c>
      <c r="J726" s="121" t="s">
        <v>96</v>
      </c>
      <c r="K726" s="121">
        <v>35866</v>
      </c>
      <c r="L726" s="122">
        <v>46</v>
      </c>
      <c r="M726" s="126">
        <v>4.82E-2</v>
      </c>
      <c r="N726" s="127">
        <f t="shared" si="11"/>
        <v>2.2172000000000001</v>
      </c>
    </row>
    <row r="727" spans="1:14">
      <c r="A727" s="121" t="s">
        <v>2570</v>
      </c>
      <c r="B727" s="121" t="s">
        <v>2571</v>
      </c>
      <c r="C727" s="121">
        <v>1</v>
      </c>
      <c r="D727" s="121" t="s">
        <v>1397</v>
      </c>
      <c r="E727" s="125">
        <v>44736</v>
      </c>
      <c r="F727" s="121" t="s">
        <v>1118</v>
      </c>
      <c r="G727" s="121" t="s">
        <v>1265</v>
      </c>
      <c r="H727" s="121">
        <v>7.0300000000000001E-2</v>
      </c>
      <c r="I727" s="121" t="s">
        <v>1174</v>
      </c>
      <c r="J727" s="121" t="s">
        <v>96</v>
      </c>
      <c r="K727" s="121">
        <v>18634</v>
      </c>
      <c r="L727" s="122">
        <v>47</v>
      </c>
      <c r="M727" s="126">
        <v>7.0300000000000001E-2</v>
      </c>
      <c r="N727" s="127">
        <f t="shared" si="11"/>
        <v>3.3041</v>
      </c>
    </row>
    <row r="728" spans="1:14">
      <c r="A728" s="121" t="s">
        <v>2572</v>
      </c>
      <c r="B728" s="121" t="s">
        <v>2573</v>
      </c>
      <c r="C728" s="121">
        <v>1</v>
      </c>
      <c r="D728" s="121" t="s">
        <v>1123</v>
      </c>
      <c r="E728" s="125">
        <v>44796</v>
      </c>
      <c r="F728" s="121" t="s">
        <v>1118</v>
      </c>
      <c r="G728" s="121" t="s">
        <v>1325</v>
      </c>
      <c r="H728" s="121">
        <v>1.6199999999999999E-2</v>
      </c>
      <c r="I728" s="121" t="s">
        <v>1174</v>
      </c>
      <c r="J728" s="121" t="s">
        <v>96</v>
      </c>
      <c r="K728" s="121">
        <v>23133</v>
      </c>
      <c r="L728" s="122">
        <v>41</v>
      </c>
      <c r="M728" s="126">
        <v>1.6199999999999999E-2</v>
      </c>
      <c r="N728" s="127">
        <f t="shared" si="11"/>
        <v>0.66420000000000001</v>
      </c>
    </row>
    <row r="729" spans="1:14">
      <c r="A729" s="121" t="s">
        <v>2574</v>
      </c>
      <c r="B729" s="121" t="s">
        <v>2575</v>
      </c>
      <c r="C729" s="121">
        <v>1</v>
      </c>
      <c r="D729" s="121" t="s">
        <v>1561</v>
      </c>
      <c r="E729" s="125">
        <v>44780</v>
      </c>
      <c r="F729" s="121" t="s">
        <v>1149</v>
      </c>
      <c r="G729" s="121" t="s">
        <v>1150</v>
      </c>
      <c r="H729" s="121">
        <v>0.29120000000000001</v>
      </c>
      <c r="I729" s="121" t="s">
        <v>1174</v>
      </c>
      <c r="J729" s="121" t="s">
        <v>96</v>
      </c>
      <c r="K729" s="121">
        <v>36622</v>
      </c>
      <c r="L729" s="122">
        <v>47</v>
      </c>
      <c r="M729" s="126">
        <v>0.29120000000000001</v>
      </c>
      <c r="N729" s="127">
        <f t="shared" si="11"/>
        <v>13.686400000000001</v>
      </c>
    </row>
    <row r="730" spans="1:14">
      <c r="A730" s="121" t="s">
        <v>2576</v>
      </c>
      <c r="B730" s="121" t="s">
        <v>2577</v>
      </c>
      <c r="C730" s="121">
        <v>1</v>
      </c>
      <c r="D730" s="121" t="s">
        <v>1203</v>
      </c>
      <c r="E730" s="125">
        <v>44757</v>
      </c>
      <c r="F730" s="121" t="s">
        <v>1118</v>
      </c>
      <c r="G730" s="121" t="s">
        <v>1131</v>
      </c>
      <c r="H730" s="121">
        <v>0.21029999999999999</v>
      </c>
      <c r="I730" s="121" t="s">
        <v>1174</v>
      </c>
      <c r="J730" s="121" t="s">
        <v>96</v>
      </c>
      <c r="K730" s="121">
        <v>28378</v>
      </c>
      <c r="L730" s="122">
        <v>46</v>
      </c>
      <c r="M730" s="126">
        <v>0.21029999999999999</v>
      </c>
      <c r="N730" s="127">
        <f t="shared" si="11"/>
        <v>9.6738</v>
      </c>
    </row>
    <row r="731" spans="1:14">
      <c r="A731" s="121" t="s">
        <v>2578</v>
      </c>
      <c r="B731" s="121" t="s">
        <v>2579</v>
      </c>
      <c r="C731" s="121">
        <v>1</v>
      </c>
      <c r="D731" s="121" t="s">
        <v>1235</v>
      </c>
      <c r="E731" s="125">
        <v>44791</v>
      </c>
      <c r="F731" s="121" t="s">
        <v>1118</v>
      </c>
      <c r="G731" s="121" t="s">
        <v>1265</v>
      </c>
      <c r="H731" s="121">
        <v>0.1993</v>
      </c>
      <c r="I731" s="121" t="s">
        <v>1174</v>
      </c>
      <c r="J731" s="121" t="s">
        <v>96</v>
      </c>
      <c r="K731" s="121">
        <v>18049</v>
      </c>
      <c r="L731" s="122">
        <v>46</v>
      </c>
      <c r="M731" s="126">
        <v>0.1993</v>
      </c>
      <c r="N731" s="127">
        <f t="shared" si="11"/>
        <v>9.1677999999999997</v>
      </c>
    </row>
    <row r="732" spans="1:14">
      <c r="A732" s="121" t="s">
        <v>2580</v>
      </c>
      <c r="B732" s="121" t="s">
        <v>2581</v>
      </c>
      <c r="C732" s="121">
        <v>1</v>
      </c>
      <c r="D732" s="121" t="s">
        <v>1552</v>
      </c>
      <c r="E732" s="125">
        <v>44694</v>
      </c>
      <c r="F732" s="121" t="s">
        <v>1118</v>
      </c>
      <c r="G732" s="121" t="s">
        <v>2041</v>
      </c>
      <c r="H732" s="121">
        <v>0.26119999999999999</v>
      </c>
      <c r="I732" s="121" t="s">
        <v>1174</v>
      </c>
      <c r="J732" s="121" t="s">
        <v>96</v>
      </c>
      <c r="K732" s="121">
        <v>23544</v>
      </c>
      <c r="L732" s="122">
        <v>41</v>
      </c>
      <c r="M732" s="126">
        <v>0.26119999999999999</v>
      </c>
      <c r="N732" s="127">
        <f t="shared" si="11"/>
        <v>10.709199999999999</v>
      </c>
    </row>
    <row r="733" spans="1:14">
      <c r="A733" s="121" t="s">
        <v>2582</v>
      </c>
      <c r="B733" s="121" t="s">
        <v>2583</v>
      </c>
      <c r="C733" s="121">
        <v>1</v>
      </c>
      <c r="D733" s="121" t="s">
        <v>1445</v>
      </c>
      <c r="E733" s="125">
        <v>44795</v>
      </c>
      <c r="F733" s="121" t="s">
        <v>1124</v>
      </c>
      <c r="G733" s="121" t="s">
        <v>1124</v>
      </c>
      <c r="H733" s="121">
        <v>1.6000000000000001E-3</v>
      </c>
      <c r="I733" s="121" t="s">
        <v>1174</v>
      </c>
      <c r="J733" s="121" t="s">
        <v>96</v>
      </c>
      <c r="K733" s="121">
        <v>4870</v>
      </c>
      <c r="L733" s="122">
        <v>47</v>
      </c>
      <c r="M733" s="126">
        <v>1.6000000000000001E-3</v>
      </c>
      <c r="N733" s="127">
        <f t="shared" si="11"/>
        <v>7.5200000000000003E-2</v>
      </c>
    </row>
    <row r="734" spans="1:14">
      <c r="A734" s="121" t="s">
        <v>2584</v>
      </c>
      <c r="B734" s="121" t="s">
        <v>2585</v>
      </c>
      <c r="C734" s="121">
        <v>1</v>
      </c>
      <c r="D734" s="121" t="s">
        <v>1187</v>
      </c>
      <c r="E734" s="125">
        <v>44818</v>
      </c>
      <c r="F734" s="121" t="s">
        <v>1154</v>
      </c>
      <c r="G734" s="121" t="s">
        <v>1155</v>
      </c>
      <c r="H734" s="121">
        <v>0.10249999999999999</v>
      </c>
      <c r="I734" s="121" t="s">
        <v>1174</v>
      </c>
      <c r="J734" s="121" t="s">
        <v>96</v>
      </c>
      <c r="K734" s="121">
        <v>4871</v>
      </c>
      <c r="L734" s="122">
        <v>42</v>
      </c>
      <c r="M734" s="126">
        <v>0.10249999999999999</v>
      </c>
      <c r="N734" s="127">
        <f t="shared" si="11"/>
        <v>4.3049999999999997</v>
      </c>
    </row>
    <row r="735" spans="1:14">
      <c r="A735" s="121" t="s">
        <v>2586</v>
      </c>
      <c r="B735" s="121" t="s">
        <v>2587</v>
      </c>
      <c r="C735" s="121">
        <v>1</v>
      </c>
      <c r="D735" s="121" t="s">
        <v>1412</v>
      </c>
      <c r="E735" s="125">
        <v>44825</v>
      </c>
      <c r="F735" s="121" t="s">
        <v>1154</v>
      </c>
      <c r="G735" s="121" t="s">
        <v>1155</v>
      </c>
      <c r="H735" s="121">
        <v>0.1462</v>
      </c>
      <c r="I735" s="121" t="s">
        <v>1174</v>
      </c>
      <c r="J735" s="121" t="s">
        <v>96</v>
      </c>
      <c r="K735" s="121">
        <v>6036</v>
      </c>
      <c r="L735" s="122">
        <v>40</v>
      </c>
      <c r="M735" s="126">
        <v>0.1462</v>
      </c>
      <c r="N735" s="127">
        <f t="shared" si="11"/>
        <v>5.8479999999999999</v>
      </c>
    </row>
    <row r="736" spans="1:14">
      <c r="A736" s="121" t="s">
        <v>2588</v>
      </c>
      <c r="B736" s="121" t="s">
        <v>2589</v>
      </c>
      <c r="C736" s="121">
        <v>1</v>
      </c>
      <c r="D736" s="121" t="s">
        <v>1220</v>
      </c>
      <c r="E736" s="125">
        <v>44781</v>
      </c>
      <c r="F736" s="121" t="s">
        <v>1154</v>
      </c>
      <c r="G736" s="121" t="s">
        <v>1155</v>
      </c>
      <c r="H736" s="121">
        <v>0.2172</v>
      </c>
      <c r="I736" s="121" t="s">
        <v>1174</v>
      </c>
      <c r="J736" s="121" t="s">
        <v>96</v>
      </c>
      <c r="K736" s="121">
        <v>5052</v>
      </c>
      <c r="L736" s="122">
        <v>42</v>
      </c>
      <c r="M736" s="126">
        <v>0.2172</v>
      </c>
      <c r="N736" s="127">
        <f t="shared" si="11"/>
        <v>9.1224000000000007</v>
      </c>
    </row>
    <row r="737" spans="1:14">
      <c r="A737" s="121" t="s">
        <v>2590</v>
      </c>
      <c r="B737" s="121" t="s">
        <v>2591</v>
      </c>
      <c r="C737" s="121">
        <v>1</v>
      </c>
      <c r="D737" s="121" t="s">
        <v>1117</v>
      </c>
      <c r="E737" s="125">
        <v>44795</v>
      </c>
      <c r="F737" s="121" t="s">
        <v>1118</v>
      </c>
      <c r="G737" s="121" t="s">
        <v>1325</v>
      </c>
      <c r="H737" s="121">
        <v>3.1099999999999999E-2</v>
      </c>
      <c r="I737" s="121" t="s">
        <v>1174</v>
      </c>
      <c r="J737" s="121" t="s">
        <v>96</v>
      </c>
      <c r="K737" s="121">
        <v>23497</v>
      </c>
      <c r="L737" s="122">
        <v>51</v>
      </c>
      <c r="M737" s="126">
        <v>3.1099999999999999E-2</v>
      </c>
      <c r="N737" s="127">
        <f t="shared" si="11"/>
        <v>1.5861000000000001</v>
      </c>
    </row>
    <row r="738" spans="1:14">
      <c r="A738" s="121" t="s">
        <v>2592</v>
      </c>
      <c r="B738" s="121" t="s">
        <v>2593</v>
      </c>
      <c r="C738" s="121">
        <v>1</v>
      </c>
      <c r="D738" s="121" t="s">
        <v>1130</v>
      </c>
      <c r="E738" s="125">
        <v>44795</v>
      </c>
      <c r="F738" s="121" t="s">
        <v>1118</v>
      </c>
      <c r="G738" s="121" t="s">
        <v>1325</v>
      </c>
      <c r="H738" s="121">
        <v>0.10059999999999999</v>
      </c>
      <c r="I738" s="121" t="s">
        <v>1174</v>
      </c>
      <c r="J738" s="121" t="s">
        <v>96</v>
      </c>
      <c r="K738" s="121">
        <v>23496</v>
      </c>
      <c r="L738" s="122">
        <v>47</v>
      </c>
      <c r="M738" s="126">
        <v>0.10059999999999999</v>
      </c>
      <c r="N738" s="127">
        <f t="shared" si="11"/>
        <v>4.7282000000000002</v>
      </c>
    </row>
    <row r="739" spans="1:14">
      <c r="A739" s="121" t="s">
        <v>2594</v>
      </c>
      <c r="B739" s="121" t="s">
        <v>2595</v>
      </c>
      <c r="C739" s="121">
        <v>1</v>
      </c>
      <c r="D739" s="121" t="s">
        <v>2089</v>
      </c>
      <c r="E739" s="125">
        <v>44693</v>
      </c>
      <c r="F739" s="121" t="s">
        <v>1118</v>
      </c>
      <c r="G739" s="121" t="s">
        <v>1143</v>
      </c>
      <c r="H739" s="121">
        <v>6.3E-3</v>
      </c>
      <c r="I739" s="121" t="s">
        <v>1174</v>
      </c>
      <c r="J739" s="121" t="s">
        <v>96</v>
      </c>
      <c r="K739" s="121">
        <v>13956</v>
      </c>
      <c r="L739" s="122">
        <v>44</v>
      </c>
      <c r="M739" s="126">
        <v>6.1000000000000004E-3</v>
      </c>
      <c r="N739" s="127">
        <f t="shared" si="11"/>
        <v>0.26840000000000003</v>
      </c>
    </row>
    <row r="740" spans="1:14">
      <c r="A740" s="121" t="s">
        <v>2596</v>
      </c>
      <c r="B740" s="121" t="s">
        <v>2597</v>
      </c>
      <c r="C740" s="121">
        <v>1</v>
      </c>
      <c r="D740" s="121" t="s">
        <v>1160</v>
      </c>
      <c r="E740" s="125">
        <v>44841</v>
      </c>
      <c r="F740" s="121" t="s">
        <v>1118</v>
      </c>
      <c r="G740" s="121" t="s">
        <v>1325</v>
      </c>
      <c r="H740" s="121">
        <v>0.11849999999999999</v>
      </c>
      <c r="I740" s="121" t="s">
        <v>1174</v>
      </c>
      <c r="J740" s="121" t="s">
        <v>96</v>
      </c>
      <c r="K740" s="121">
        <v>22554</v>
      </c>
      <c r="L740" s="122">
        <v>43</v>
      </c>
      <c r="M740" s="126">
        <v>0.11849999999999999</v>
      </c>
      <c r="N740" s="127">
        <f t="shared" si="11"/>
        <v>5.0954999999999995</v>
      </c>
    </row>
    <row r="741" spans="1:14">
      <c r="A741" s="121" t="s">
        <v>2598</v>
      </c>
      <c r="B741" s="121" t="s">
        <v>2599</v>
      </c>
      <c r="C741" s="121">
        <v>1</v>
      </c>
      <c r="D741" s="121" t="s">
        <v>1203</v>
      </c>
      <c r="E741" s="125">
        <v>44688</v>
      </c>
      <c r="F741" s="121" t="s">
        <v>1118</v>
      </c>
      <c r="G741" s="121" t="s">
        <v>1325</v>
      </c>
      <c r="H741" s="121">
        <v>0.20530000000000001</v>
      </c>
      <c r="I741" s="121" t="s">
        <v>1174</v>
      </c>
      <c r="J741" s="121" t="s">
        <v>96</v>
      </c>
      <c r="K741" s="121">
        <v>22554</v>
      </c>
      <c r="L741" s="122">
        <v>43</v>
      </c>
      <c r="M741" s="126">
        <v>0.20530000000000001</v>
      </c>
      <c r="N741" s="127">
        <f t="shared" si="11"/>
        <v>8.8278999999999996</v>
      </c>
    </row>
    <row r="742" spans="1:14">
      <c r="A742" s="121" t="s">
        <v>2600</v>
      </c>
      <c r="B742" s="121" t="s">
        <v>2601</v>
      </c>
      <c r="C742" s="121">
        <v>1</v>
      </c>
      <c r="D742" s="121" t="s">
        <v>1123</v>
      </c>
      <c r="E742" s="125">
        <v>44709</v>
      </c>
      <c r="F742" s="121" t="s">
        <v>1118</v>
      </c>
      <c r="G742" s="121" t="s">
        <v>1265</v>
      </c>
      <c r="H742" s="121">
        <v>3.7199999999999997E-2</v>
      </c>
      <c r="I742" s="121" t="s">
        <v>1174</v>
      </c>
      <c r="J742" s="121" t="s">
        <v>96</v>
      </c>
      <c r="K742" s="121">
        <v>18443</v>
      </c>
      <c r="L742" s="122">
        <v>43</v>
      </c>
      <c r="M742" s="126">
        <v>3.7199999999999997E-2</v>
      </c>
      <c r="N742" s="127">
        <f t="shared" si="11"/>
        <v>1.5995999999999999</v>
      </c>
    </row>
    <row r="743" spans="1:14">
      <c r="A743" s="121" t="s">
        <v>2602</v>
      </c>
      <c r="B743" s="121" t="s">
        <v>2603</v>
      </c>
      <c r="C743" s="121">
        <v>1</v>
      </c>
      <c r="D743" s="121" t="s">
        <v>1123</v>
      </c>
      <c r="E743" s="125">
        <v>44795</v>
      </c>
      <c r="F743" s="121" t="s">
        <v>1118</v>
      </c>
      <c r="G743" s="121" t="s">
        <v>1265</v>
      </c>
      <c r="H743" s="121">
        <v>0.12640000000000001</v>
      </c>
      <c r="I743" s="121" t="s">
        <v>1174</v>
      </c>
      <c r="J743" s="121" t="s">
        <v>96</v>
      </c>
      <c r="K743" s="121">
        <v>22346</v>
      </c>
      <c r="L743" s="122">
        <v>39</v>
      </c>
      <c r="M743" s="126">
        <v>0.12640000000000001</v>
      </c>
      <c r="N743" s="127">
        <f t="shared" si="11"/>
        <v>4.9296000000000006</v>
      </c>
    </row>
    <row r="744" spans="1:14">
      <c r="A744" s="121" t="s">
        <v>2604</v>
      </c>
      <c r="B744" s="121" t="s">
        <v>2605</v>
      </c>
      <c r="C744" s="121">
        <v>1</v>
      </c>
      <c r="D744" s="121" t="s">
        <v>1123</v>
      </c>
      <c r="E744" s="125">
        <v>44795</v>
      </c>
      <c r="F744" s="121" t="s">
        <v>1118</v>
      </c>
      <c r="G744" s="121" t="s">
        <v>1177</v>
      </c>
      <c r="H744" s="121">
        <v>0.27500000000000002</v>
      </c>
      <c r="I744" s="121" t="s">
        <v>1174</v>
      </c>
      <c r="J744" s="121" t="s">
        <v>96</v>
      </c>
      <c r="K744" s="121">
        <v>21547</v>
      </c>
      <c r="L744" s="122">
        <v>40</v>
      </c>
      <c r="M744" s="126">
        <v>0.27500000000000002</v>
      </c>
      <c r="N744" s="127">
        <f t="shared" si="11"/>
        <v>11</v>
      </c>
    </row>
    <row r="745" spans="1:14">
      <c r="A745" s="121" t="s">
        <v>2606</v>
      </c>
      <c r="B745" s="121" t="s">
        <v>2607</v>
      </c>
      <c r="C745" s="121">
        <v>1</v>
      </c>
      <c r="D745" s="121" t="s">
        <v>1314</v>
      </c>
      <c r="E745" s="125">
        <v>44795</v>
      </c>
      <c r="F745" s="121" t="s">
        <v>1118</v>
      </c>
      <c r="G745" s="121" t="s">
        <v>1119</v>
      </c>
      <c r="H745" s="121">
        <v>0.35149999999999998</v>
      </c>
      <c r="I745" s="121" t="s">
        <v>1174</v>
      </c>
      <c r="J745" s="121" t="s">
        <v>96</v>
      </c>
      <c r="K745" s="121">
        <v>17308</v>
      </c>
      <c r="L745" s="122">
        <v>43</v>
      </c>
      <c r="M745" s="126">
        <v>0.35149999999999998</v>
      </c>
      <c r="N745" s="127">
        <f t="shared" si="11"/>
        <v>15.1145</v>
      </c>
    </row>
    <row r="746" spans="1:14">
      <c r="A746" s="121" t="s">
        <v>2608</v>
      </c>
      <c r="B746" s="121" t="s">
        <v>2607</v>
      </c>
      <c r="C746" s="121">
        <v>1</v>
      </c>
      <c r="D746" s="121" t="s">
        <v>1166</v>
      </c>
      <c r="E746" s="125">
        <v>44795</v>
      </c>
      <c r="F746" s="121" t="s">
        <v>1124</v>
      </c>
      <c r="G746" s="121" t="s">
        <v>1124</v>
      </c>
      <c r="H746" s="121">
        <v>3.2899999999999999E-2</v>
      </c>
      <c r="I746" s="121" t="s">
        <v>1174</v>
      </c>
      <c r="J746" s="121" t="s">
        <v>96</v>
      </c>
      <c r="K746" s="121">
        <v>17263</v>
      </c>
      <c r="L746" s="122">
        <v>42</v>
      </c>
      <c r="M746" s="126">
        <v>3.2899999999999999E-2</v>
      </c>
      <c r="N746" s="127">
        <f t="shared" si="11"/>
        <v>1.3817999999999999</v>
      </c>
    </row>
    <row r="747" spans="1:14">
      <c r="A747" s="121" t="s">
        <v>2609</v>
      </c>
      <c r="B747" s="121" t="s">
        <v>2610</v>
      </c>
      <c r="C747" s="121">
        <v>1</v>
      </c>
      <c r="D747" s="121" t="s">
        <v>1220</v>
      </c>
      <c r="E747" s="125">
        <v>44729</v>
      </c>
      <c r="F747" s="121" t="s">
        <v>1118</v>
      </c>
      <c r="G747" s="121" t="s">
        <v>1119</v>
      </c>
      <c r="H747" s="121">
        <v>9.0999999999999998E-2</v>
      </c>
      <c r="I747" s="121" t="s">
        <v>1174</v>
      </c>
      <c r="J747" s="121" t="s">
        <v>96</v>
      </c>
      <c r="K747" s="121">
        <v>16142</v>
      </c>
      <c r="L747" s="122">
        <v>46</v>
      </c>
      <c r="M747" s="126">
        <v>9.0999999999999998E-2</v>
      </c>
      <c r="N747" s="127">
        <f t="shared" si="11"/>
        <v>4.1859999999999999</v>
      </c>
    </row>
    <row r="748" spans="1:14">
      <c r="A748" s="121" t="s">
        <v>2611</v>
      </c>
      <c r="B748" s="121" t="s">
        <v>2612</v>
      </c>
      <c r="C748" s="121">
        <v>1</v>
      </c>
      <c r="D748" s="121" t="s">
        <v>1123</v>
      </c>
      <c r="E748" s="125">
        <v>44793</v>
      </c>
      <c r="F748" s="121" t="s">
        <v>1154</v>
      </c>
      <c r="G748" s="121" t="s">
        <v>1155</v>
      </c>
      <c r="H748" s="121">
        <v>0.75970000000000004</v>
      </c>
      <c r="I748" s="121" t="s">
        <v>1174</v>
      </c>
      <c r="J748" s="121" t="s">
        <v>96</v>
      </c>
      <c r="K748" s="121">
        <v>4499</v>
      </c>
      <c r="L748" s="122">
        <v>40</v>
      </c>
      <c r="M748" s="126">
        <v>0.75970000000000004</v>
      </c>
      <c r="N748" s="127">
        <f t="shared" si="11"/>
        <v>30.388000000000002</v>
      </c>
    </row>
    <row r="749" spans="1:14">
      <c r="A749" s="121" t="s">
        <v>2613</v>
      </c>
      <c r="B749" s="121" t="s">
        <v>2614</v>
      </c>
      <c r="C749" s="121">
        <v>1</v>
      </c>
      <c r="D749" s="121" t="s">
        <v>1117</v>
      </c>
      <c r="E749" s="125">
        <v>44666</v>
      </c>
      <c r="F749" s="121" t="s">
        <v>1118</v>
      </c>
      <c r="G749" s="121" t="s">
        <v>1265</v>
      </c>
      <c r="H749" s="121">
        <v>4.87E-2</v>
      </c>
      <c r="I749" s="121" t="s">
        <v>1174</v>
      </c>
      <c r="J749" s="121" t="s">
        <v>96</v>
      </c>
      <c r="K749" s="121">
        <v>18812</v>
      </c>
      <c r="L749" s="122">
        <v>40</v>
      </c>
      <c r="M749" s="126">
        <v>4.87E-2</v>
      </c>
      <c r="N749" s="127">
        <f t="shared" si="11"/>
        <v>1.948</v>
      </c>
    </row>
    <row r="750" spans="1:14">
      <c r="A750" s="121" t="s">
        <v>2615</v>
      </c>
      <c r="B750" s="121" t="s">
        <v>2616</v>
      </c>
      <c r="C750" s="121">
        <v>1</v>
      </c>
      <c r="D750" s="121" t="s">
        <v>1123</v>
      </c>
      <c r="E750" s="125">
        <v>44709</v>
      </c>
      <c r="F750" s="121" t="s">
        <v>1118</v>
      </c>
      <c r="G750" s="121" t="s">
        <v>1131</v>
      </c>
      <c r="H750" s="121">
        <v>2.5999999999999999E-2</v>
      </c>
      <c r="I750" s="121" t="s">
        <v>1174</v>
      </c>
      <c r="J750" s="121" t="s">
        <v>96</v>
      </c>
      <c r="K750" s="121">
        <v>14115</v>
      </c>
      <c r="L750" s="122">
        <v>39</v>
      </c>
      <c r="M750" s="126">
        <v>2.5899999999999999E-2</v>
      </c>
      <c r="N750" s="127">
        <f t="shared" si="11"/>
        <v>1.0101</v>
      </c>
    </row>
    <row r="751" spans="1:14">
      <c r="A751" s="121" t="s">
        <v>2617</v>
      </c>
      <c r="B751" s="121" t="s">
        <v>2618</v>
      </c>
      <c r="C751" s="121">
        <v>1</v>
      </c>
      <c r="D751" s="121" t="s">
        <v>1235</v>
      </c>
      <c r="E751" s="125">
        <v>44795</v>
      </c>
      <c r="F751" s="121" t="s">
        <v>1118</v>
      </c>
      <c r="G751" s="121" t="s">
        <v>1265</v>
      </c>
      <c r="H751" s="121">
        <v>0.1207</v>
      </c>
      <c r="I751" s="121" t="s">
        <v>1174</v>
      </c>
      <c r="J751" s="121" t="s">
        <v>96</v>
      </c>
      <c r="K751" s="121">
        <v>19235</v>
      </c>
      <c r="L751" s="122">
        <v>45</v>
      </c>
      <c r="M751" s="126">
        <v>0.1207</v>
      </c>
      <c r="N751" s="127">
        <f t="shared" si="11"/>
        <v>5.4314999999999998</v>
      </c>
    </row>
    <row r="752" spans="1:14">
      <c r="A752" s="121" t="s">
        <v>2619</v>
      </c>
      <c r="B752" s="121" t="s">
        <v>2620</v>
      </c>
      <c r="C752" s="121">
        <v>1</v>
      </c>
      <c r="D752" s="121" t="s">
        <v>1412</v>
      </c>
      <c r="E752" s="125">
        <v>44827</v>
      </c>
      <c r="F752" s="121" t="s">
        <v>1154</v>
      </c>
      <c r="G752" s="121" t="s">
        <v>1155</v>
      </c>
      <c r="H752" s="121">
        <v>0.57520000000000004</v>
      </c>
      <c r="I752" s="121" t="s">
        <v>1174</v>
      </c>
      <c r="J752" s="121" t="s">
        <v>96</v>
      </c>
      <c r="K752" s="121">
        <v>6231</v>
      </c>
      <c r="L752" s="122">
        <v>41</v>
      </c>
      <c r="M752" s="126">
        <v>0.57520000000000004</v>
      </c>
      <c r="N752" s="127">
        <f t="shared" si="11"/>
        <v>23.583200000000001</v>
      </c>
    </row>
    <row r="753" spans="1:14">
      <c r="A753" s="121" t="s">
        <v>2621</v>
      </c>
      <c r="B753" s="121" t="s">
        <v>2622</v>
      </c>
      <c r="C753" s="121">
        <v>1</v>
      </c>
      <c r="D753" s="121" t="s">
        <v>1123</v>
      </c>
      <c r="E753" s="125">
        <v>44815</v>
      </c>
      <c r="F753" s="121" t="s">
        <v>1118</v>
      </c>
      <c r="G753" s="121" t="s">
        <v>1143</v>
      </c>
      <c r="H753" s="121">
        <v>0.1278</v>
      </c>
      <c r="I753" s="121" t="s">
        <v>1174</v>
      </c>
      <c r="J753" s="121" t="s">
        <v>96</v>
      </c>
      <c r="K753" s="121">
        <v>14832</v>
      </c>
      <c r="L753" s="122">
        <v>45</v>
      </c>
      <c r="M753" s="126">
        <v>0.1278</v>
      </c>
      <c r="N753" s="127">
        <f t="shared" si="11"/>
        <v>5.7509999999999994</v>
      </c>
    </row>
    <row r="754" spans="1:14">
      <c r="A754" s="121" t="s">
        <v>2623</v>
      </c>
      <c r="B754" s="121" t="s">
        <v>2624</v>
      </c>
      <c r="C754" s="121">
        <v>1</v>
      </c>
      <c r="D754" s="121" t="s">
        <v>1123</v>
      </c>
      <c r="E754" s="125">
        <v>44821</v>
      </c>
      <c r="F754" s="121" t="s">
        <v>1118</v>
      </c>
      <c r="G754" s="121" t="s">
        <v>1119</v>
      </c>
      <c r="H754" s="121">
        <v>2.06E-2</v>
      </c>
      <c r="I754" s="121" t="s">
        <v>1174</v>
      </c>
      <c r="J754" s="121" t="s">
        <v>96</v>
      </c>
      <c r="K754" s="121">
        <v>16712</v>
      </c>
      <c r="L754" s="122">
        <v>41</v>
      </c>
      <c r="M754" s="126">
        <v>2.06E-2</v>
      </c>
      <c r="N754" s="127">
        <f t="shared" si="11"/>
        <v>0.84460000000000002</v>
      </c>
    </row>
    <row r="755" spans="1:14">
      <c r="A755" s="121" t="s">
        <v>2625</v>
      </c>
      <c r="B755" s="121" t="s">
        <v>2626</v>
      </c>
      <c r="C755" s="121">
        <v>1</v>
      </c>
      <c r="D755" s="121" t="s">
        <v>1123</v>
      </c>
      <c r="E755" s="125">
        <v>44785</v>
      </c>
      <c r="F755" s="121" t="s">
        <v>1118</v>
      </c>
      <c r="G755" s="121" t="s">
        <v>1131</v>
      </c>
      <c r="H755" s="121">
        <v>0.04</v>
      </c>
      <c r="I755" s="121" t="s">
        <v>1174</v>
      </c>
      <c r="J755" s="121" t="s">
        <v>96</v>
      </c>
      <c r="K755" s="121">
        <v>16103</v>
      </c>
      <c r="L755" s="122">
        <v>46</v>
      </c>
      <c r="M755" s="126">
        <v>4.02E-2</v>
      </c>
      <c r="N755" s="127">
        <f t="shared" si="11"/>
        <v>1.8492</v>
      </c>
    </row>
    <row r="756" spans="1:14">
      <c r="A756" s="121" t="s">
        <v>2627</v>
      </c>
      <c r="B756" s="121" t="s">
        <v>2628</v>
      </c>
      <c r="C756" s="121">
        <v>1</v>
      </c>
      <c r="D756" s="121" t="s">
        <v>1235</v>
      </c>
      <c r="E756" s="125">
        <v>44798</v>
      </c>
      <c r="F756" s="121" t="s">
        <v>1118</v>
      </c>
      <c r="G756" s="121" t="s">
        <v>1131</v>
      </c>
      <c r="H756" s="121">
        <v>0.10059999999999999</v>
      </c>
      <c r="I756" s="121" t="s">
        <v>1174</v>
      </c>
      <c r="J756" s="121" t="s">
        <v>96</v>
      </c>
      <c r="K756" s="121">
        <v>14829</v>
      </c>
      <c r="L756" s="122">
        <v>47</v>
      </c>
      <c r="M756" s="126">
        <v>0.10059999999999999</v>
      </c>
      <c r="N756" s="127">
        <f t="shared" si="11"/>
        <v>4.7282000000000002</v>
      </c>
    </row>
    <row r="757" spans="1:14">
      <c r="A757" s="121" t="s">
        <v>2629</v>
      </c>
      <c r="B757" s="121" t="s">
        <v>2630</v>
      </c>
      <c r="C757" s="121">
        <v>1</v>
      </c>
      <c r="D757" s="121" t="s">
        <v>1123</v>
      </c>
      <c r="E757" s="125">
        <v>44856</v>
      </c>
      <c r="F757" s="121" t="s">
        <v>1118</v>
      </c>
      <c r="G757" s="121" t="s">
        <v>1131</v>
      </c>
      <c r="H757" s="121">
        <v>0.1087</v>
      </c>
      <c r="I757" s="121" t="s">
        <v>1174</v>
      </c>
      <c r="J757" s="121" t="s">
        <v>96</v>
      </c>
      <c r="K757" s="121">
        <v>33873</v>
      </c>
      <c r="L757" s="122">
        <v>43</v>
      </c>
      <c r="M757" s="126">
        <v>0.1087</v>
      </c>
      <c r="N757" s="127">
        <f t="shared" si="11"/>
        <v>4.6741000000000001</v>
      </c>
    </row>
    <row r="758" spans="1:14">
      <c r="A758" s="121" t="s">
        <v>2631</v>
      </c>
      <c r="B758" s="121" t="s">
        <v>2632</v>
      </c>
      <c r="C758" s="121">
        <v>1</v>
      </c>
      <c r="D758" s="121" t="s">
        <v>1117</v>
      </c>
      <c r="E758" s="125">
        <v>44750</v>
      </c>
      <c r="F758" s="121" t="s">
        <v>1118</v>
      </c>
      <c r="G758" s="121" t="s">
        <v>1131</v>
      </c>
      <c r="H758" s="121">
        <v>1.9800000000000002E-2</v>
      </c>
      <c r="I758" s="121" t="s">
        <v>1174</v>
      </c>
      <c r="J758" s="121" t="s">
        <v>96</v>
      </c>
      <c r="K758" s="121">
        <v>15010</v>
      </c>
      <c r="L758" s="122">
        <v>42</v>
      </c>
      <c r="M758" s="126">
        <v>1.9800000000000002E-2</v>
      </c>
      <c r="N758" s="127">
        <f t="shared" si="11"/>
        <v>0.83160000000000012</v>
      </c>
    </row>
    <row r="759" spans="1:14">
      <c r="A759" s="121" t="s">
        <v>2633</v>
      </c>
      <c r="B759" s="121" t="s">
        <v>2634</v>
      </c>
      <c r="C759" s="121">
        <v>1</v>
      </c>
      <c r="D759" s="121" t="s">
        <v>1203</v>
      </c>
      <c r="E759" s="125">
        <v>44790</v>
      </c>
      <c r="F759" s="121" t="s">
        <v>1118</v>
      </c>
      <c r="G759" s="121" t="s">
        <v>1131</v>
      </c>
      <c r="H759" s="121">
        <v>6.6299999999999998E-2</v>
      </c>
      <c r="I759" s="121" t="s">
        <v>1174</v>
      </c>
      <c r="J759" s="121" t="s">
        <v>96</v>
      </c>
      <c r="K759" s="121">
        <v>29208</v>
      </c>
      <c r="L759" s="122">
        <v>45</v>
      </c>
      <c r="M759" s="126">
        <v>6.6299999999999998E-2</v>
      </c>
      <c r="N759" s="127">
        <f t="shared" si="11"/>
        <v>2.9834999999999998</v>
      </c>
    </row>
    <row r="760" spans="1:14">
      <c r="A760" s="121" t="s">
        <v>2635</v>
      </c>
      <c r="B760" s="121" t="s">
        <v>2636</v>
      </c>
      <c r="C760" s="121">
        <v>1</v>
      </c>
      <c r="D760" s="121" t="s">
        <v>1160</v>
      </c>
      <c r="E760" s="125">
        <v>44819</v>
      </c>
      <c r="F760" s="121" t="s">
        <v>1118</v>
      </c>
      <c r="G760" s="121" t="s">
        <v>1325</v>
      </c>
      <c r="H760" s="121">
        <v>0.40350000000000003</v>
      </c>
      <c r="I760" s="121" t="s">
        <v>1174</v>
      </c>
      <c r="J760" s="121" t="s">
        <v>96</v>
      </c>
      <c r="K760" s="121">
        <v>23132</v>
      </c>
      <c r="L760" s="122">
        <v>39</v>
      </c>
      <c r="M760" s="126">
        <v>0.40350000000000003</v>
      </c>
      <c r="N760" s="127">
        <f t="shared" si="11"/>
        <v>15.736500000000001</v>
      </c>
    </row>
    <row r="761" spans="1:14">
      <c r="A761" s="121" t="s">
        <v>2637</v>
      </c>
      <c r="B761" s="121" t="s">
        <v>2638</v>
      </c>
      <c r="C761" s="121">
        <v>1</v>
      </c>
      <c r="D761" s="121" t="s">
        <v>1160</v>
      </c>
      <c r="E761" s="125">
        <v>16564</v>
      </c>
      <c r="F761" s="121" t="s">
        <v>1118</v>
      </c>
      <c r="G761" s="121" t="s">
        <v>1143</v>
      </c>
      <c r="H761" s="121">
        <v>2.8799999999999999E-2</v>
      </c>
      <c r="I761" s="121" t="s">
        <v>1174</v>
      </c>
      <c r="J761" s="121" t="s">
        <v>96</v>
      </c>
      <c r="K761" s="121">
        <v>30546</v>
      </c>
      <c r="L761" s="122">
        <v>47</v>
      </c>
      <c r="M761" s="126">
        <v>2.8799999999999999E-2</v>
      </c>
      <c r="N761" s="127">
        <f t="shared" si="11"/>
        <v>1.3535999999999999</v>
      </c>
    </row>
    <row r="762" spans="1:14">
      <c r="A762" s="121" t="s">
        <v>2639</v>
      </c>
      <c r="B762" s="121" t="s">
        <v>2640</v>
      </c>
      <c r="C762" s="121">
        <v>1</v>
      </c>
      <c r="D762" s="121" t="s">
        <v>1123</v>
      </c>
      <c r="E762" s="125">
        <v>44764</v>
      </c>
      <c r="F762" s="121" t="s">
        <v>1118</v>
      </c>
      <c r="G762" s="121" t="s">
        <v>2041</v>
      </c>
      <c r="H762" s="121">
        <v>0.36509999999999998</v>
      </c>
      <c r="I762" s="121" t="s">
        <v>1174</v>
      </c>
      <c r="J762" s="121" t="s">
        <v>96</v>
      </c>
      <c r="K762" s="121">
        <v>22144</v>
      </c>
      <c r="L762" s="122">
        <v>41</v>
      </c>
      <c r="M762" s="126">
        <v>0.36509999999999998</v>
      </c>
      <c r="N762" s="127">
        <f t="shared" si="11"/>
        <v>14.969099999999999</v>
      </c>
    </row>
    <row r="763" spans="1:14">
      <c r="A763" s="121" t="s">
        <v>2641</v>
      </c>
      <c r="B763" s="121" t="s">
        <v>2642</v>
      </c>
      <c r="C763" s="121">
        <v>1</v>
      </c>
      <c r="D763" s="121" t="s">
        <v>1187</v>
      </c>
      <c r="E763" s="125">
        <v>44798</v>
      </c>
      <c r="F763" s="121" t="s">
        <v>1118</v>
      </c>
      <c r="G763" s="121" t="s">
        <v>1265</v>
      </c>
      <c r="H763" s="121">
        <v>9.7900000000000001E-2</v>
      </c>
      <c r="I763" s="121" t="s">
        <v>1174</v>
      </c>
      <c r="J763" s="121" t="s">
        <v>96</v>
      </c>
      <c r="K763" s="121">
        <v>18247</v>
      </c>
      <c r="L763" s="122">
        <v>44</v>
      </c>
      <c r="M763" s="126">
        <v>9.7900000000000001E-2</v>
      </c>
      <c r="N763" s="127">
        <f t="shared" si="11"/>
        <v>4.3075999999999999</v>
      </c>
    </row>
    <row r="764" spans="1:14">
      <c r="A764" s="121" t="s">
        <v>2643</v>
      </c>
      <c r="B764" s="121" t="s">
        <v>2644</v>
      </c>
      <c r="C764" s="121">
        <v>1</v>
      </c>
      <c r="D764" s="121" t="s">
        <v>1160</v>
      </c>
      <c r="E764" s="125">
        <v>44686</v>
      </c>
      <c r="F764" s="121" t="s">
        <v>1118</v>
      </c>
      <c r="G764" s="121" t="s">
        <v>1325</v>
      </c>
      <c r="H764" s="121">
        <v>0.74280000000000002</v>
      </c>
      <c r="I764" s="121" t="s">
        <v>1174</v>
      </c>
      <c r="J764" s="121" t="s">
        <v>96</v>
      </c>
      <c r="K764" s="121">
        <v>23133</v>
      </c>
      <c r="L764" s="122">
        <v>41</v>
      </c>
      <c r="M764" s="126">
        <v>0.31830000000000003</v>
      </c>
      <c r="N764" s="127">
        <f t="shared" si="11"/>
        <v>13.050300000000002</v>
      </c>
    </row>
    <row r="765" spans="1:14">
      <c r="A765" s="121" t="s">
        <v>2643</v>
      </c>
      <c r="B765" s="121" t="s">
        <v>2644</v>
      </c>
      <c r="C765" s="121">
        <v>1</v>
      </c>
      <c r="D765" s="121" t="s">
        <v>1160</v>
      </c>
      <c r="E765" s="125">
        <v>44686</v>
      </c>
      <c r="F765" s="121" t="s">
        <v>1118</v>
      </c>
      <c r="G765" s="121" t="s">
        <v>1325</v>
      </c>
      <c r="H765" s="121">
        <v>0.74280000000000002</v>
      </c>
      <c r="I765" s="121" t="s">
        <v>1174</v>
      </c>
      <c r="J765" s="121" t="s">
        <v>96</v>
      </c>
      <c r="K765" s="121">
        <v>23326</v>
      </c>
      <c r="L765" s="122">
        <v>46</v>
      </c>
      <c r="M765" s="126">
        <v>0.42449999999999999</v>
      </c>
      <c r="N765" s="127">
        <f t="shared" si="11"/>
        <v>19.527000000000001</v>
      </c>
    </row>
    <row r="766" spans="1:14">
      <c r="A766" s="121" t="s">
        <v>2645</v>
      </c>
      <c r="B766" s="121" t="s">
        <v>2646</v>
      </c>
      <c r="C766" s="121">
        <v>1</v>
      </c>
      <c r="D766" s="121" t="s">
        <v>1123</v>
      </c>
      <c r="E766" s="125">
        <v>44795</v>
      </c>
      <c r="F766" s="121" t="s">
        <v>1118</v>
      </c>
      <c r="G766" s="121" t="s">
        <v>1124</v>
      </c>
      <c r="H766" s="121">
        <v>0.70340000000000003</v>
      </c>
      <c r="I766" s="121" t="s">
        <v>1174</v>
      </c>
      <c r="J766" s="121" t="s">
        <v>96</v>
      </c>
      <c r="K766" s="121">
        <v>22722</v>
      </c>
      <c r="L766" s="122">
        <v>39</v>
      </c>
      <c r="M766" s="126">
        <v>0.70030000000000003</v>
      </c>
      <c r="N766" s="127">
        <f t="shared" si="11"/>
        <v>27.311700000000002</v>
      </c>
    </row>
    <row r="767" spans="1:14">
      <c r="A767" s="121" t="s">
        <v>2645</v>
      </c>
      <c r="B767" s="121" t="s">
        <v>2646</v>
      </c>
      <c r="C767" s="121">
        <v>1</v>
      </c>
      <c r="D767" s="121" t="s">
        <v>1123</v>
      </c>
      <c r="E767" s="125">
        <v>44795</v>
      </c>
      <c r="F767" s="121" t="s">
        <v>1118</v>
      </c>
      <c r="G767" s="121" t="s">
        <v>1124</v>
      </c>
      <c r="H767" s="121">
        <v>0.70340000000000003</v>
      </c>
      <c r="I767" s="121" t="s">
        <v>1174</v>
      </c>
      <c r="J767" s="121" t="s">
        <v>96</v>
      </c>
      <c r="K767" s="121">
        <v>22915</v>
      </c>
      <c r="L767" s="122">
        <v>35</v>
      </c>
      <c r="M767" s="126">
        <v>3.0999999999999999E-3</v>
      </c>
      <c r="N767" s="127">
        <f t="shared" si="11"/>
        <v>0.1085</v>
      </c>
    </row>
    <row r="768" spans="1:14">
      <c r="A768" s="121" t="s">
        <v>2647</v>
      </c>
      <c r="B768" s="121" t="s">
        <v>2648</v>
      </c>
      <c r="C768" s="121">
        <v>1</v>
      </c>
      <c r="D768" s="121" t="s">
        <v>1203</v>
      </c>
      <c r="E768" s="125">
        <v>44824</v>
      </c>
      <c r="F768" s="121" t="s">
        <v>1118</v>
      </c>
      <c r="G768" s="121" t="s">
        <v>1325</v>
      </c>
      <c r="H768" s="121">
        <v>5.8200000000000002E-2</v>
      </c>
      <c r="I768" s="121" t="s">
        <v>1174</v>
      </c>
      <c r="J768" s="121" t="s">
        <v>96</v>
      </c>
      <c r="K768" s="121">
        <v>23499</v>
      </c>
      <c r="L768" s="122">
        <v>45</v>
      </c>
      <c r="M768" s="126">
        <v>5.8200000000000002E-2</v>
      </c>
      <c r="N768" s="127">
        <f t="shared" si="11"/>
        <v>2.6190000000000002</v>
      </c>
    </row>
    <row r="769" spans="1:14">
      <c r="A769" s="121" t="s">
        <v>2649</v>
      </c>
      <c r="B769" s="121" t="s">
        <v>2650</v>
      </c>
      <c r="C769" s="121">
        <v>1</v>
      </c>
      <c r="D769" s="121" t="s">
        <v>1220</v>
      </c>
      <c r="E769" s="125">
        <v>44768</v>
      </c>
      <c r="F769" s="121" t="s">
        <v>1118</v>
      </c>
      <c r="G769" s="121" t="s">
        <v>1265</v>
      </c>
      <c r="H769" s="121">
        <v>6.8199999999999997E-2</v>
      </c>
      <c r="I769" s="121" t="s">
        <v>1174</v>
      </c>
      <c r="J769" s="121" t="s">
        <v>96</v>
      </c>
      <c r="K769" s="121">
        <v>18634</v>
      </c>
      <c r="L769" s="122">
        <v>47</v>
      </c>
      <c r="M769" s="126">
        <v>6.8199999999999997E-2</v>
      </c>
      <c r="N769" s="127">
        <f t="shared" si="11"/>
        <v>3.2054</v>
      </c>
    </row>
    <row r="770" spans="1:14">
      <c r="A770" s="121" t="s">
        <v>2651</v>
      </c>
      <c r="B770" s="121" t="s">
        <v>2652</v>
      </c>
      <c r="C770" s="121">
        <v>1</v>
      </c>
      <c r="D770" s="121" t="s">
        <v>1203</v>
      </c>
      <c r="E770" s="125">
        <v>44731</v>
      </c>
      <c r="F770" s="121" t="s">
        <v>1154</v>
      </c>
      <c r="G770" s="121" t="s">
        <v>1155</v>
      </c>
      <c r="H770" s="121">
        <v>0.42499999999999999</v>
      </c>
      <c r="I770" s="121" t="s">
        <v>1174</v>
      </c>
      <c r="J770" s="121" t="s">
        <v>96</v>
      </c>
      <c r="K770" s="121">
        <v>5053</v>
      </c>
      <c r="L770" s="122">
        <v>41</v>
      </c>
      <c r="M770" s="126">
        <v>0.28710000000000002</v>
      </c>
      <c r="N770" s="127">
        <f t="shared" ref="N770:N833" si="12">+M770*L770</f>
        <v>11.771100000000001</v>
      </c>
    </row>
    <row r="771" spans="1:14">
      <c r="A771" s="121" t="s">
        <v>2651</v>
      </c>
      <c r="B771" s="121" t="s">
        <v>2652</v>
      </c>
      <c r="C771" s="121">
        <v>1</v>
      </c>
      <c r="D771" s="121" t="s">
        <v>1203</v>
      </c>
      <c r="E771" s="125">
        <v>44731</v>
      </c>
      <c r="F771" s="121" t="s">
        <v>1154</v>
      </c>
      <c r="G771" s="121" t="s">
        <v>1155</v>
      </c>
      <c r="H771" s="121">
        <v>0.42499999999999999</v>
      </c>
      <c r="I771" s="121" t="s">
        <v>1174</v>
      </c>
      <c r="J771" s="121" t="s">
        <v>96</v>
      </c>
      <c r="K771" s="121">
        <v>5228</v>
      </c>
      <c r="L771" s="122">
        <v>39</v>
      </c>
      <c r="M771" s="126">
        <v>0.13789999999999999</v>
      </c>
      <c r="N771" s="127">
        <f t="shared" si="12"/>
        <v>5.3780999999999999</v>
      </c>
    </row>
    <row r="772" spans="1:14">
      <c r="A772" s="121" t="s">
        <v>2653</v>
      </c>
      <c r="B772" s="121" t="s">
        <v>2654</v>
      </c>
      <c r="C772" s="121">
        <v>1</v>
      </c>
      <c r="D772" s="121" t="s">
        <v>2070</v>
      </c>
      <c r="E772" s="125">
        <v>44798</v>
      </c>
      <c r="F772" s="121" t="s">
        <v>1124</v>
      </c>
      <c r="G772" s="121" t="s">
        <v>1124</v>
      </c>
      <c r="H772" s="121">
        <v>0.49430000000000002</v>
      </c>
      <c r="I772" s="121" t="s">
        <v>1174</v>
      </c>
      <c r="J772" s="121" t="s">
        <v>96</v>
      </c>
      <c r="K772" s="121">
        <v>4870</v>
      </c>
      <c r="L772" s="122">
        <v>47</v>
      </c>
      <c r="M772" s="126">
        <v>0.49430000000000002</v>
      </c>
      <c r="N772" s="127">
        <f t="shared" si="12"/>
        <v>23.232099999999999</v>
      </c>
    </row>
    <row r="773" spans="1:14">
      <c r="A773" s="121" t="s">
        <v>2655</v>
      </c>
      <c r="B773" s="121" t="s">
        <v>2656</v>
      </c>
      <c r="C773" s="121">
        <v>1</v>
      </c>
      <c r="D773" s="121" t="s">
        <v>1130</v>
      </c>
      <c r="E773" s="125">
        <v>44728</v>
      </c>
      <c r="F773" s="121" t="s">
        <v>1118</v>
      </c>
      <c r="G773" s="121" t="s">
        <v>1265</v>
      </c>
      <c r="H773" s="121">
        <v>0.38929999999999998</v>
      </c>
      <c r="I773" s="121" t="s">
        <v>1174</v>
      </c>
      <c r="J773" s="121" t="s">
        <v>96</v>
      </c>
      <c r="K773" s="121">
        <v>19036</v>
      </c>
      <c r="L773" s="122">
        <v>48</v>
      </c>
      <c r="M773" s="126">
        <v>0.38929999999999998</v>
      </c>
      <c r="N773" s="127">
        <f t="shared" si="12"/>
        <v>18.686399999999999</v>
      </c>
    </row>
    <row r="774" spans="1:14">
      <c r="A774" s="121" t="s">
        <v>2657</v>
      </c>
      <c r="B774" s="121" t="s">
        <v>2658</v>
      </c>
      <c r="C774" s="121">
        <v>1</v>
      </c>
      <c r="D774" s="121" t="s">
        <v>1117</v>
      </c>
      <c r="E774" s="125">
        <v>44787</v>
      </c>
      <c r="F774" s="121" t="s">
        <v>1118</v>
      </c>
      <c r="G774" s="121" t="s">
        <v>1119</v>
      </c>
      <c r="H774" s="121">
        <v>0.1434</v>
      </c>
      <c r="I774" s="121" t="s">
        <v>1174</v>
      </c>
      <c r="J774" s="121" t="s">
        <v>96</v>
      </c>
      <c r="K774" s="121">
        <v>17077</v>
      </c>
      <c r="L774" s="122">
        <v>36</v>
      </c>
      <c r="M774" s="126">
        <v>0.1434</v>
      </c>
      <c r="N774" s="127">
        <f t="shared" si="12"/>
        <v>5.1623999999999999</v>
      </c>
    </row>
    <row r="775" spans="1:14">
      <c r="A775" s="121" t="s">
        <v>2659</v>
      </c>
      <c r="B775" s="121" t="s">
        <v>2660</v>
      </c>
      <c r="C775" s="121">
        <v>1</v>
      </c>
      <c r="D775" s="121" t="s">
        <v>1160</v>
      </c>
      <c r="E775" s="125">
        <v>44784</v>
      </c>
      <c r="F775" s="121" t="s">
        <v>1118</v>
      </c>
      <c r="G775" s="121" t="s">
        <v>1119</v>
      </c>
      <c r="H775" s="121">
        <v>0.45479999999999998</v>
      </c>
      <c r="I775" s="121" t="s">
        <v>1174</v>
      </c>
      <c r="J775" s="121" t="s">
        <v>96</v>
      </c>
      <c r="K775" s="121">
        <v>17077</v>
      </c>
      <c r="L775" s="122">
        <v>36</v>
      </c>
      <c r="M775" s="126">
        <v>0.45479999999999998</v>
      </c>
      <c r="N775" s="127">
        <f t="shared" si="12"/>
        <v>16.372799999999998</v>
      </c>
    </row>
    <row r="776" spans="1:14">
      <c r="A776" s="121" t="s">
        <v>2661</v>
      </c>
      <c r="B776" s="121" t="s">
        <v>2662</v>
      </c>
      <c r="C776" s="121">
        <v>1</v>
      </c>
      <c r="D776" s="121" t="s">
        <v>1117</v>
      </c>
      <c r="E776" s="125">
        <v>44691</v>
      </c>
      <c r="F776" s="121" t="s">
        <v>1118</v>
      </c>
      <c r="G776" s="121" t="s">
        <v>2041</v>
      </c>
      <c r="H776" s="121">
        <v>6.6400000000000001E-2</v>
      </c>
      <c r="I776" s="121" t="s">
        <v>1174</v>
      </c>
      <c r="J776" s="121" t="s">
        <v>96</v>
      </c>
      <c r="K776" s="121">
        <v>22923</v>
      </c>
      <c r="L776" s="122">
        <v>37</v>
      </c>
      <c r="M776" s="126">
        <v>6.6400000000000001E-2</v>
      </c>
      <c r="N776" s="127">
        <f t="shared" si="12"/>
        <v>2.4567999999999999</v>
      </c>
    </row>
    <row r="777" spans="1:14">
      <c r="A777" s="121" t="s">
        <v>2663</v>
      </c>
      <c r="B777" s="121" t="s">
        <v>2664</v>
      </c>
      <c r="C777" s="121">
        <v>1</v>
      </c>
      <c r="D777" s="121" t="s">
        <v>1255</v>
      </c>
      <c r="E777" s="125">
        <v>44691</v>
      </c>
      <c r="F777" s="121" t="s">
        <v>1118</v>
      </c>
      <c r="G777" s="121" t="s">
        <v>1124</v>
      </c>
      <c r="H777" s="121">
        <v>0.24160000000000001</v>
      </c>
      <c r="I777" s="121" t="s">
        <v>1174</v>
      </c>
      <c r="J777" s="121" t="s">
        <v>96</v>
      </c>
      <c r="K777" s="121">
        <v>23111</v>
      </c>
      <c r="L777" s="122">
        <v>39</v>
      </c>
      <c r="M777" s="126">
        <v>0.24160000000000001</v>
      </c>
      <c r="N777" s="127">
        <f t="shared" si="12"/>
        <v>9.4223999999999997</v>
      </c>
    </row>
    <row r="778" spans="1:14">
      <c r="A778" s="121" t="s">
        <v>2665</v>
      </c>
      <c r="B778" s="121" t="s">
        <v>2666</v>
      </c>
      <c r="C778" s="121">
        <v>1</v>
      </c>
      <c r="D778" s="121" t="s">
        <v>1220</v>
      </c>
      <c r="E778" s="125">
        <v>44795</v>
      </c>
      <c r="F778" s="121" t="s">
        <v>1124</v>
      </c>
      <c r="G778" s="121" t="s">
        <v>1124</v>
      </c>
      <c r="H778" s="121">
        <v>2.1700000000000001E-2</v>
      </c>
      <c r="I778" s="121" t="s">
        <v>1174</v>
      </c>
      <c r="J778" s="121" t="s">
        <v>96</v>
      </c>
      <c r="K778" s="121">
        <v>4308</v>
      </c>
      <c r="L778" s="122">
        <v>37</v>
      </c>
      <c r="M778" s="126">
        <v>2.1700000000000001E-2</v>
      </c>
      <c r="N778" s="127">
        <f t="shared" si="12"/>
        <v>0.80290000000000006</v>
      </c>
    </row>
    <row r="779" spans="1:14">
      <c r="A779" s="121" t="s">
        <v>2667</v>
      </c>
      <c r="B779" s="121" t="s">
        <v>2668</v>
      </c>
      <c r="C779" s="121">
        <v>1</v>
      </c>
      <c r="D779" s="121" t="s">
        <v>1123</v>
      </c>
      <c r="E779" s="125">
        <v>44800</v>
      </c>
      <c r="F779" s="121" t="s">
        <v>1118</v>
      </c>
      <c r="G779" s="121" t="s">
        <v>1131</v>
      </c>
      <c r="H779" s="121">
        <v>3.7199999999999997E-2</v>
      </c>
      <c r="I779" s="121" t="s">
        <v>1174</v>
      </c>
      <c r="J779" s="121" t="s">
        <v>96</v>
      </c>
      <c r="K779" s="121">
        <v>14828</v>
      </c>
      <c r="L779" s="122">
        <v>45</v>
      </c>
      <c r="M779" s="126">
        <v>3.7199999999999997E-2</v>
      </c>
      <c r="N779" s="127">
        <f t="shared" si="12"/>
        <v>1.6739999999999999</v>
      </c>
    </row>
    <row r="780" spans="1:14">
      <c r="A780" s="121" t="s">
        <v>2669</v>
      </c>
      <c r="B780" s="121" t="s">
        <v>2670</v>
      </c>
      <c r="C780" s="121">
        <v>1</v>
      </c>
      <c r="D780" s="121" t="s">
        <v>2470</v>
      </c>
      <c r="E780" s="125">
        <v>44797</v>
      </c>
      <c r="F780" s="121" t="s">
        <v>1118</v>
      </c>
      <c r="G780" s="121" t="s">
        <v>1119</v>
      </c>
      <c r="H780" s="121">
        <v>0.27239999999999998</v>
      </c>
      <c r="I780" s="121" t="s">
        <v>1174</v>
      </c>
      <c r="J780" s="121" t="s">
        <v>96</v>
      </c>
      <c r="K780" s="121">
        <v>17265</v>
      </c>
      <c r="L780" s="122">
        <v>33</v>
      </c>
      <c r="M780" s="126">
        <v>0.27239999999999998</v>
      </c>
      <c r="N780" s="127">
        <f t="shared" si="12"/>
        <v>8.9891999999999985</v>
      </c>
    </row>
    <row r="781" spans="1:14">
      <c r="A781" s="121" t="s">
        <v>2671</v>
      </c>
      <c r="B781" s="121" t="s">
        <v>2672</v>
      </c>
      <c r="C781" s="121">
        <v>1</v>
      </c>
      <c r="D781" s="121" t="s">
        <v>1261</v>
      </c>
      <c r="E781" s="125">
        <v>44795</v>
      </c>
      <c r="F781" s="121" t="s">
        <v>1118</v>
      </c>
      <c r="G781" s="121" t="s">
        <v>1177</v>
      </c>
      <c r="H781" s="121">
        <v>0.18959999999999999</v>
      </c>
      <c r="I781" s="121" t="s">
        <v>1174</v>
      </c>
      <c r="J781" s="121" t="s">
        <v>96</v>
      </c>
      <c r="K781" s="121">
        <v>21730</v>
      </c>
      <c r="L781" s="122">
        <v>41</v>
      </c>
      <c r="M781" s="126">
        <v>0.18959999999999999</v>
      </c>
      <c r="N781" s="127">
        <f t="shared" si="12"/>
        <v>7.7736000000000001</v>
      </c>
    </row>
    <row r="782" spans="1:14">
      <c r="A782" s="121" t="s">
        <v>2673</v>
      </c>
      <c r="B782" s="121" t="s">
        <v>2674</v>
      </c>
      <c r="C782" s="121">
        <v>1</v>
      </c>
      <c r="D782" s="121" t="s">
        <v>1220</v>
      </c>
      <c r="E782" s="125">
        <v>44823</v>
      </c>
      <c r="F782" s="121" t="s">
        <v>1124</v>
      </c>
      <c r="G782" s="121" t="s">
        <v>1124</v>
      </c>
      <c r="H782" s="121">
        <v>0.1187</v>
      </c>
      <c r="I782" s="121" t="s">
        <v>1174</v>
      </c>
      <c r="J782" s="121" t="s">
        <v>96</v>
      </c>
      <c r="K782" s="121">
        <v>4688</v>
      </c>
      <c r="L782" s="122">
        <v>37</v>
      </c>
      <c r="M782" s="126">
        <v>0.1187</v>
      </c>
      <c r="N782" s="127">
        <f t="shared" si="12"/>
        <v>4.3918999999999997</v>
      </c>
    </row>
    <row r="783" spans="1:14">
      <c r="A783" s="121" t="s">
        <v>2675</v>
      </c>
      <c r="B783" s="121" t="s">
        <v>2676</v>
      </c>
      <c r="C783" s="121">
        <v>1</v>
      </c>
      <c r="D783" s="121" t="s">
        <v>1397</v>
      </c>
      <c r="E783" s="125">
        <v>44762</v>
      </c>
      <c r="F783" s="121" t="s">
        <v>1118</v>
      </c>
      <c r="G783" s="121" t="s">
        <v>1131</v>
      </c>
      <c r="H783" s="121">
        <v>4.0000000000000001E-3</v>
      </c>
      <c r="I783" s="121" t="s">
        <v>1174</v>
      </c>
      <c r="J783" s="121" t="s">
        <v>96</v>
      </c>
      <c r="K783" s="121">
        <v>23545</v>
      </c>
      <c r="L783" s="122">
        <v>40</v>
      </c>
      <c r="M783" s="126">
        <v>4.0000000000000001E-3</v>
      </c>
      <c r="N783" s="127">
        <f t="shared" si="12"/>
        <v>0.16</v>
      </c>
    </row>
    <row r="784" spans="1:14">
      <c r="A784" s="121" t="s">
        <v>2677</v>
      </c>
      <c r="B784" s="121" t="s">
        <v>2678</v>
      </c>
      <c r="C784" s="121">
        <v>1</v>
      </c>
      <c r="D784" s="121" t="s">
        <v>1163</v>
      </c>
      <c r="E784" s="125">
        <v>44832</v>
      </c>
      <c r="F784" s="121" t="s">
        <v>1118</v>
      </c>
      <c r="G784" s="121" t="s">
        <v>1124</v>
      </c>
      <c r="H784" s="121">
        <v>3.7999999999999999E-2</v>
      </c>
      <c r="I784" s="121" t="s">
        <v>1174</v>
      </c>
      <c r="J784" s="121" t="s">
        <v>96</v>
      </c>
      <c r="K784" s="121">
        <v>14117</v>
      </c>
      <c r="L784" s="122">
        <v>41</v>
      </c>
      <c r="M784" s="126">
        <v>3.7999999999999999E-2</v>
      </c>
      <c r="N784" s="127">
        <f t="shared" si="12"/>
        <v>1.5580000000000001</v>
      </c>
    </row>
    <row r="785" spans="1:14">
      <c r="A785" s="121" t="s">
        <v>2679</v>
      </c>
      <c r="B785" s="121" t="s">
        <v>2680</v>
      </c>
      <c r="C785" s="121">
        <v>1</v>
      </c>
      <c r="D785" s="121" t="s">
        <v>1160</v>
      </c>
      <c r="E785" s="125">
        <v>44795</v>
      </c>
      <c r="F785" s="121" t="s">
        <v>1124</v>
      </c>
      <c r="G785" s="121" t="s">
        <v>1124</v>
      </c>
      <c r="H785" s="121">
        <v>1.6446000000000001</v>
      </c>
      <c r="I785" s="121" t="s">
        <v>1174</v>
      </c>
      <c r="J785" s="121" t="s">
        <v>96</v>
      </c>
      <c r="K785" s="121">
        <v>5052</v>
      </c>
      <c r="L785" s="122">
        <v>42</v>
      </c>
      <c r="M785" s="126">
        <v>0.2127</v>
      </c>
      <c r="N785" s="127">
        <f t="shared" si="12"/>
        <v>8.9334000000000007</v>
      </c>
    </row>
    <row r="786" spans="1:14">
      <c r="A786" s="121" t="s">
        <v>2679</v>
      </c>
      <c r="B786" s="121" t="s">
        <v>2680</v>
      </c>
      <c r="C786" s="121">
        <v>1</v>
      </c>
      <c r="D786" s="121" t="s">
        <v>1160</v>
      </c>
      <c r="E786" s="125">
        <v>44795</v>
      </c>
      <c r="F786" s="121" t="s">
        <v>1124</v>
      </c>
      <c r="G786" s="121" t="s">
        <v>1124</v>
      </c>
      <c r="H786" s="121">
        <v>1.6446000000000001</v>
      </c>
      <c r="I786" s="121" t="s">
        <v>1174</v>
      </c>
      <c r="J786" s="121" t="s">
        <v>96</v>
      </c>
      <c r="K786" s="121">
        <v>5226</v>
      </c>
      <c r="L786" s="122">
        <v>39</v>
      </c>
      <c r="M786" s="126">
        <v>1.4318</v>
      </c>
      <c r="N786" s="127">
        <f t="shared" si="12"/>
        <v>55.840199999999996</v>
      </c>
    </row>
    <row r="787" spans="1:14">
      <c r="A787" s="121" t="s">
        <v>2681</v>
      </c>
      <c r="B787" s="121" t="s">
        <v>2682</v>
      </c>
      <c r="C787" s="121">
        <v>1</v>
      </c>
      <c r="D787" s="121" t="s">
        <v>1117</v>
      </c>
      <c r="E787" s="125">
        <v>44795</v>
      </c>
      <c r="F787" s="121" t="s">
        <v>1124</v>
      </c>
      <c r="G787" s="121" t="s">
        <v>1124</v>
      </c>
      <c r="H787" s="121">
        <v>0.12870000000000001</v>
      </c>
      <c r="I787" s="121" t="s">
        <v>1174</v>
      </c>
      <c r="J787" s="121" t="s">
        <v>96</v>
      </c>
      <c r="K787" s="121">
        <v>17265</v>
      </c>
      <c r="L787" s="122">
        <v>33</v>
      </c>
      <c r="M787" s="126">
        <v>0.1288</v>
      </c>
      <c r="N787" s="127">
        <f t="shared" si="12"/>
        <v>4.2504</v>
      </c>
    </row>
    <row r="788" spans="1:14">
      <c r="A788" s="121" t="s">
        <v>2683</v>
      </c>
      <c r="B788" s="121" t="s">
        <v>2684</v>
      </c>
      <c r="C788" s="121">
        <v>1</v>
      </c>
      <c r="D788" s="121" t="s">
        <v>1561</v>
      </c>
      <c r="E788" s="125">
        <v>44793</v>
      </c>
      <c r="F788" s="121" t="s">
        <v>1118</v>
      </c>
      <c r="G788" s="121" t="s">
        <v>1143</v>
      </c>
      <c r="H788" s="121">
        <v>3.5200000000000002E-2</v>
      </c>
      <c r="I788" s="121" t="s">
        <v>1174</v>
      </c>
      <c r="J788" s="121" t="s">
        <v>96</v>
      </c>
      <c r="K788" s="121">
        <v>13961</v>
      </c>
      <c r="L788" s="122">
        <v>37</v>
      </c>
      <c r="M788" s="126">
        <v>3.5200000000000002E-2</v>
      </c>
      <c r="N788" s="127">
        <f t="shared" si="12"/>
        <v>1.3024</v>
      </c>
    </row>
    <row r="789" spans="1:14">
      <c r="A789" s="121" t="s">
        <v>2685</v>
      </c>
      <c r="B789" s="121" t="s">
        <v>2686</v>
      </c>
      <c r="C789" s="121">
        <v>1</v>
      </c>
      <c r="D789" s="121" t="s">
        <v>1117</v>
      </c>
      <c r="E789" s="125">
        <v>44795</v>
      </c>
      <c r="F789" s="121" t="s">
        <v>1118</v>
      </c>
      <c r="G789" s="121" t="s">
        <v>1119</v>
      </c>
      <c r="H789" s="121">
        <v>3.2399999999999998E-2</v>
      </c>
      <c r="I789" s="121" t="s">
        <v>1174</v>
      </c>
      <c r="J789" s="121" t="s">
        <v>96</v>
      </c>
      <c r="K789" s="121">
        <v>16895</v>
      </c>
      <c r="L789" s="122">
        <v>41</v>
      </c>
      <c r="M789" s="126">
        <v>3.2399999999999998E-2</v>
      </c>
      <c r="N789" s="127">
        <f t="shared" si="12"/>
        <v>1.3284</v>
      </c>
    </row>
    <row r="790" spans="1:14">
      <c r="A790" s="121" t="s">
        <v>2687</v>
      </c>
      <c r="B790" s="121" t="s">
        <v>2688</v>
      </c>
      <c r="C790" s="121">
        <v>1</v>
      </c>
      <c r="D790" s="121" t="s">
        <v>1123</v>
      </c>
      <c r="E790" s="125">
        <v>44795</v>
      </c>
      <c r="F790" s="121" t="s">
        <v>1118</v>
      </c>
      <c r="G790" s="121" t="s">
        <v>1177</v>
      </c>
      <c r="H790" s="121">
        <v>0.17150000000000001</v>
      </c>
      <c r="I790" s="121" t="s">
        <v>1174</v>
      </c>
      <c r="J790" s="121" t="s">
        <v>96</v>
      </c>
      <c r="K790" s="121">
        <v>22345</v>
      </c>
      <c r="L790" s="122">
        <v>39</v>
      </c>
      <c r="M790" s="126">
        <v>0.17150000000000001</v>
      </c>
      <c r="N790" s="127">
        <f t="shared" si="12"/>
        <v>6.6885000000000003</v>
      </c>
    </row>
    <row r="791" spans="1:14">
      <c r="A791" s="121" t="s">
        <v>2689</v>
      </c>
      <c r="B791" s="121" t="s">
        <v>2690</v>
      </c>
      <c r="C791" s="121">
        <v>1</v>
      </c>
      <c r="D791" s="121" t="s">
        <v>1166</v>
      </c>
      <c r="E791" s="125">
        <v>44765</v>
      </c>
      <c r="F791" s="121" t="s">
        <v>1118</v>
      </c>
      <c r="G791" s="121" t="s">
        <v>1265</v>
      </c>
      <c r="H791" s="121">
        <v>0.23899999999999999</v>
      </c>
      <c r="I791" s="121" t="s">
        <v>1174</v>
      </c>
      <c r="J791" s="121" t="s">
        <v>96</v>
      </c>
      <c r="K791" s="121">
        <v>18249</v>
      </c>
      <c r="L791" s="122">
        <v>37</v>
      </c>
      <c r="M791" s="126">
        <v>0.1736</v>
      </c>
      <c r="N791" s="127">
        <f t="shared" si="12"/>
        <v>6.4232000000000005</v>
      </c>
    </row>
    <row r="792" spans="1:14">
      <c r="A792" s="121" t="s">
        <v>2689</v>
      </c>
      <c r="B792" s="121" t="s">
        <v>2690</v>
      </c>
      <c r="C792" s="121">
        <v>1</v>
      </c>
      <c r="D792" s="121" t="s">
        <v>1166</v>
      </c>
      <c r="E792" s="125">
        <v>44765</v>
      </c>
      <c r="F792" s="121" t="s">
        <v>1118</v>
      </c>
      <c r="G792" s="121" t="s">
        <v>1265</v>
      </c>
      <c r="H792" s="121">
        <v>0.23899999999999999</v>
      </c>
      <c r="I792" s="121" t="s">
        <v>1174</v>
      </c>
      <c r="J792" s="121" t="s">
        <v>96</v>
      </c>
      <c r="K792" s="121">
        <v>18250</v>
      </c>
      <c r="L792" s="122">
        <v>43</v>
      </c>
      <c r="M792" s="126">
        <v>6.5299999999999997E-2</v>
      </c>
      <c r="N792" s="127">
        <f t="shared" si="12"/>
        <v>2.8079000000000001</v>
      </c>
    </row>
    <row r="793" spans="1:14">
      <c r="A793" s="121" t="s">
        <v>2691</v>
      </c>
      <c r="B793" s="121" t="s">
        <v>2690</v>
      </c>
      <c r="C793" s="121">
        <v>1</v>
      </c>
      <c r="D793" s="121" t="s">
        <v>1490</v>
      </c>
      <c r="E793" s="125">
        <v>44795</v>
      </c>
      <c r="F793" s="121" t="s">
        <v>1118</v>
      </c>
      <c r="G793" s="121" t="s">
        <v>1265</v>
      </c>
      <c r="H793" s="121">
        <v>0.26950000000000002</v>
      </c>
      <c r="I793" s="121" t="s">
        <v>1174</v>
      </c>
      <c r="J793" s="121" t="s">
        <v>96</v>
      </c>
      <c r="K793" s="121">
        <v>18249</v>
      </c>
      <c r="L793" s="122">
        <v>37</v>
      </c>
      <c r="M793" s="126">
        <v>0.26950000000000002</v>
      </c>
      <c r="N793" s="127">
        <f t="shared" si="12"/>
        <v>9.9715000000000007</v>
      </c>
    </row>
    <row r="794" spans="1:14">
      <c r="A794" s="121" t="s">
        <v>2692</v>
      </c>
      <c r="B794" s="121" t="s">
        <v>2693</v>
      </c>
      <c r="C794" s="121">
        <v>1</v>
      </c>
      <c r="D794" s="121" t="s">
        <v>1123</v>
      </c>
      <c r="E794" s="125">
        <v>44878</v>
      </c>
      <c r="F794" s="121" t="s">
        <v>1118</v>
      </c>
      <c r="G794" s="121" t="s">
        <v>1143</v>
      </c>
      <c r="H794" s="121">
        <v>0.41880000000000001</v>
      </c>
      <c r="I794" s="121" t="s">
        <v>1174</v>
      </c>
      <c r="J794" s="121" t="s">
        <v>96</v>
      </c>
      <c r="K794" s="121">
        <v>14492</v>
      </c>
      <c r="L794" s="122">
        <v>42</v>
      </c>
      <c r="M794" s="126">
        <v>0.41880000000000001</v>
      </c>
      <c r="N794" s="127">
        <f t="shared" si="12"/>
        <v>17.589600000000001</v>
      </c>
    </row>
    <row r="795" spans="1:14">
      <c r="A795" s="121" t="s">
        <v>2694</v>
      </c>
      <c r="B795" s="121" t="s">
        <v>2695</v>
      </c>
      <c r="C795" s="121">
        <v>1</v>
      </c>
      <c r="D795" s="121" t="s">
        <v>1123</v>
      </c>
      <c r="E795" s="125">
        <v>44824</v>
      </c>
      <c r="F795" s="121" t="s">
        <v>1118</v>
      </c>
      <c r="G795" s="121" t="s">
        <v>1131</v>
      </c>
      <c r="H795" s="121">
        <v>7.5899999999999995E-2</v>
      </c>
      <c r="I795" s="121" t="s">
        <v>1174</v>
      </c>
      <c r="J795" s="121" t="s">
        <v>96</v>
      </c>
      <c r="K795" s="121">
        <v>34306</v>
      </c>
      <c r="L795" s="122">
        <v>42</v>
      </c>
      <c r="M795" s="126">
        <v>7.5899999999999995E-2</v>
      </c>
      <c r="N795" s="127">
        <f t="shared" si="12"/>
        <v>3.1877999999999997</v>
      </c>
    </row>
    <row r="796" spans="1:14">
      <c r="A796" s="121" t="s">
        <v>2696</v>
      </c>
      <c r="B796" s="121" t="s">
        <v>2697</v>
      </c>
      <c r="C796" s="121">
        <v>1</v>
      </c>
      <c r="D796" s="121" t="s">
        <v>1937</v>
      </c>
      <c r="E796" s="125">
        <v>44762</v>
      </c>
      <c r="F796" s="121" t="s">
        <v>1118</v>
      </c>
      <c r="G796" s="121" t="s">
        <v>1177</v>
      </c>
      <c r="H796" s="121">
        <v>0.247</v>
      </c>
      <c r="I796" s="121" t="s">
        <v>1174</v>
      </c>
      <c r="J796" s="121" t="s">
        <v>96</v>
      </c>
      <c r="K796" s="121">
        <v>21547</v>
      </c>
      <c r="L796" s="122">
        <v>40</v>
      </c>
      <c r="M796" s="126">
        <v>0.247</v>
      </c>
      <c r="N796" s="127">
        <f t="shared" si="12"/>
        <v>9.879999999999999</v>
      </c>
    </row>
    <row r="797" spans="1:14">
      <c r="A797" s="121" t="s">
        <v>2698</v>
      </c>
      <c r="B797" s="121" t="s">
        <v>2699</v>
      </c>
      <c r="C797" s="121">
        <v>1</v>
      </c>
      <c r="D797" s="121" t="s">
        <v>1203</v>
      </c>
      <c r="E797" s="125">
        <v>44795</v>
      </c>
      <c r="F797" s="121" t="s">
        <v>1118</v>
      </c>
      <c r="G797" s="121" t="s">
        <v>1119</v>
      </c>
      <c r="H797" s="121">
        <v>0.37309999999999999</v>
      </c>
      <c r="I797" s="121" t="s">
        <v>1174</v>
      </c>
      <c r="J797" s="121" t="s">
        <v>96</v>
      </c>
      <c r="K797" s="121">
        <v>16718</v>
      </c>
      <c r="L797" s="122">
        <v>50</v>
      </c>
      <c r="M797" s="126">
        <v>0.1303</v>
      </c>
      <c r="N797" s="127">
        <f t="shared" si="12"/>
        <v>6.5149999999999997</v>
      </c>
    </row>
    <row r="798" spans="1:14">
      <c r="A798" s="121" t="s">
        <v>2698</v>
      </c>
      <c r="B798" s="121" t="s">
        <v>2699</v>
      </c>
      <c r="C798" s="121">
        <v>1</v>
      </c>
      <c r="D798" s="121" t="s">
        <v>1203</v>
      </c>
      <c r="E798" s="125">
        <v>44795</v>
      </c>
      <c r="F798" s="121" t="s">
        <v>1118</v>
      </c>
      <c r="G798" s="121" t="s">
        <v>1119</v>
      </c>
      <c r="H798" s="121">
        <v>0.37309999999999999</v>
      </c>
      <c r="I798" s="121" t="s">
        <v>1174</v>
      </c>
      <c r="J798" s="121" t="s">
        <v>96</v>
      </c>
      <c r="K798" s="121">
        <v>16901</v>
      </c>
      <c r="L798" s="122">
        <v>43</v>
      </c>
      <c r="M798" s="126">
        <v>0.24249999999999999</v>
      </c>
      <c r="N798" s="127">
        <f t="shared" si="12"/>
        <v>10.4275</v>
      </c>
    </row>
    <row r="799" spans="1:14">
      <c r="A799" s="121" t="s">
        <v>2700</v>
      </c>
      <c r="B799" s="121" t="s">
        <v>2701</v>
      </c>
      <c r="C799" s="121">
        <v>1</v>
      </c>
      <c r="D799" s="121" t="s">
        <v>2702</v>
      </c>
      <c r="E799" s="125">
        <v>44795</v>
      </c>
      <c r="F799" s="121" t="s">
        <v>1118</v>
      </c>
      <c r="G799" s="121" t="s">
        <v>1124</v>
      </c>
      <c r="H799" s="121">
        <v>0.6391</v>
      </c>
      <c r="I799" s="121" t="s">
        <v>1174</v>
      </c>
      <c r="J799" s="121" t="s">
        <v>96</v>
      </c>
      <c r="K799" s="121">
        <v>22341</v>
      </c>
      <c r="L799" s="122">
        <v>38</v>
      </c>
      <c r="M799" s="126">
        <v>0.12790000000000001</v>
      </c>
      <c r="N799" s="127">
        <f t="shared" si="12"/>
        <v>4.8602000000000007</v>
      </c>
    </row>
    <row r="800" spans="1:14">
      <c r="A800" s="121" t="s">
        <v>2700</v>
      </c>
      <c r="B800" s="121" t="s">
        <v>2701</v>
      </c>
      <c r="C800" s="121">
        <v>1</v>
      </c>
      <c r="D800" s="121" t="s">
        <v>2702</v>
      </c>
      <c r="E800" s="125">
        <v>44795</v>
      </c>
      <c r="F800" s="121" t="s">
        <v>1118</v>
      </c>
      <c r="G800" s="121" t="s">
        <v>1124</v>
      </c>
      <c r="H800" s="121">
        <v>0.6391</v>
      </c>
      <c r="I800" s="121" t="s">
        <v>1174</v>
      </c>
      <c r="J800" s="121" t="s">
        <v>96</v>
      </c>
      <c r="K800" s="121">
        <v>22722</v>
      </c>
      <c r="L800" s="122">
        <v>39</v>
      </c>
      <c r="M800" s="126">
        <v>0.51119999999999999</v>
      </c>
      <c r="N800" s="127">
        <f t="shared" si="12"/>
        <v>19.936799999999998</v>
      </c>
    </row>
    <row r="801" spans="1:14">
      <c r="A801" s="121" t="s">
        <v>2703</v>
      </c>
      <c r="B801" s="121" t="s">
        <v>2704</v>
      </c>
      <c r="C801" s="121">
        <v>1</v>
      </c>
      <c r="D801" s="121" t="s">
        <v>1166</v>
      </c>
      <c r="E801" s="125">
        <v>44700</v>
      </c>
      <c r="F801" s="121" t="s">
        <v>1118</v>
      </c>
      <c r="G801" s="121" t="s">
        <v>1143</v>
      </c>
      <c r="H801" s="121">
        <v>1.2200000000000001E-2</v>
      </c>
      <c r="I801" s="121" t="s">
        <v>1174</v>
      </c>
      <c r="J801" s="121" t="s">
        <v>96</v>
      </c>
      <c r="K801" s="121">
        <v>13772</v>
      </c>
      <c r="L801" s="122">
        <v>38</v>
      </c>
      <c r="M801" s="126">
        <v>1.2200000000000001E-2</v>
      </c>
      <c r="N801" s="127">
        <f t="shared" si="12"/>
        <v>0.46360000000000001</v>
      </c>
    </row>
    <row r="802" spans="1:14">
      <c r="A802" s="121" t="s">
        <v>2705</v>
      </c>
      <c r="B802" s="121" t="s">
        <v>2706</v>
      </c>
      <c r="C802" s="121">
        <v>1</v>
      </c>
      <c r="D802" s="121" t="s">
        <v>1117</v>
      </c>
      <c r="E802" s="125">
        <v>44795</v>
      </c>
      <c r="F802" s="121" t="s">
        <v>1124</v>
      </c>
      <c r="G802" s="121" t="s">
        <v>1124</v>
      </c>
      <c r="H802" s="121">
        <v>3.5900000000000001E-2</v>
      </c>
      <c r="I802" s="121" t="s">
        <v>1174</v>
      </c>
      <c r="J802" s="121" t="s">
        <v>96</v>
      </c>
      <c r="K802" s="121">
        <v>17308</v>
      </c>
      <c r="L802" s="122">
        <v>43</v>
      </c>
      <c r="M802" s="126">
        <v>3.5900000000000001E-2</v>
      </c>
      <c r="N802" s="127">
        <f t="shared" si="12"/>
        <v>1.5437000000000001</v>
      </c>
    </row>
    <row r="803" spans="1:14">
      <c r="A803" s="121" t="s">
        <v>2707</v>
      </c>
      <c r="B803" s="121" t="s">
        <v>2708</v>
      </c>
      <c r="C803" s="121">
        <v>1</v>
      </c>
      <c r="D803" s="121" t="s">
        <v>1117</v>
      </c>
      <c r="E803" s="125">
        <v>44772</v>
      </c>
      <c r="F803" s="121" t="s">
        <v>1118</v>
      </c>
      <c r="G803" s="121" t="s">
        <v>1119</v>
      </c>
      <c r="H803" s="121">
        <v>1.5599999999999999E-2</v>
      </c>
      <c r="I803" s="121" t="s">
        <v>1174</v>
      </c>
      <c r="J803" s="121" t="s">
        <v>96</v>
      </c>
      <c r="K803" s="121">
        <v>17308</v>
      </c>
      <c r="L803" s="122">
        <v>43</v>
      </c>
      <c r="M803" s="126">
        <v>1.5800000000000002E-2</v>
      </c>
      <c r="N803" s="127">
        <f t="shared" si="12"/>
        <v>0.67940000000000011</v>
      </c>
    </row>
    <row r="804" spans="1:14">
      <c r="A804" s="121" t="s">
        <v>2709</v>
      </c>
      <c r="B804" s="121" t="s">
        <v>2710</v>
      </c>
      <c r="C804" s="121">
        <v>1</v>
      </c>
      <c r="D804" s="121" t="s">
        <v>1274</v>
      </c>
      <c r="E804" s="125">
        <v>44795</v>
      </c>
      <c r="F804" s="121" t="s">
        <v>1124</v>
      </c>
      <c r="G804" s="121" t="s">
        <v>1124</v>
      </c>
      <c r="H804" s="121">
        <v>0.26879999999999998</v>
      </c>
      <c r="I804" s="121" t="s">
        <v>1174</v>
      </c>
      <c r="J804" s="121" t="s">
        <v>96</v>
      </c>
      <c r="K804" s="121">
        <v>4870</v>
      </c>
      <c r="L804" s="122">
        <v>47</v>
      </c>
      <c r="M804" s="126">
        <v>0.151</v>
      </c>
      <c r="N804" s="127">
        <f t="shared" si="12"/>
        <v>7.0969999999999995</v>
      </c>
    </row>
    <row r="805" spans="1:14">
      <c r="A805" s="121" t="s">
        <v>2709</v>
      </c>
      <c r="B805" s="121" t="s">
        <v>2710</v>
      </c>
      <c r="C805" s="121">
        <v>1</v>
      </c>
      <c r="D805" s="121" t="s">
        <v>1274</v>
      </c>
      <c r="E805" s="125">
        <v>44795</v>
      </c>
      <c r="F805" s="121" t="s">
        <v>1124</v>
      </c>
      <c r="G805" s="121" t="s">
        <v>1124</v>
      </c>
      <c r="H805" s="121">
        <v>0.26879999999999998</v>
      </c>
      <c r="I805" s="121" t="s">
        <v>1174</v>
      </c>
      <c r="J805" s="121" t="s">
        <v>96</v>
      </c>
      <c r="K805" s="121">
        <v>4871</v>
      </c>
      <c r="L805" s="122">
        <v>42</v>
      </c>
      <c r="M805" s="126">
        <v>0.1178</v>
      </c>
      <c r="N805" s="127">
        <f t="shared" si="12"/>
        <v>4.9476000000000004</v>
      </c>
    </row>
    <row r="806" spans="1:14">
      <c r="A806" s="121" t="s">
        <v>2711</v>
      </c>
      <c r="B806" s="121" t="s">
        <v>2712</v>
      </c>
      <c r="C806" s="121">
        <v>1</v>
      </c>
      <c r="D806" s="121" t="s">
        <v>1225</v>
      </c>
      <c r="E806" s="125">
        <v>44815</v>
      </c>
      <c r="F806" s="121" t="s">
        <v>1154</v>
      </c>
      <c r="G806" s="121" t="s">
        <v>1155</v>
      </c>
      <c r="H806" s="121">
        <v>0.1145</v>
      </c>
      <c r="I806" s="121" t="s">
        <v>1174</v>
      </c>
      <c r="J806" s="121" t="s">
        <v>96</v>
      </c>
      <c r="K806" s="121">
        <v>4870</v>
      </c>
      <c r="L806" s="122">
        <v>47</v>
      </c>
      <c r="M806" s="126">
        <v>0.1145</v>
      </c>
      <c r="N806" s="127">
        <f t="shared" si="12"/>
        <v>5.3815</v>
      </c>
    </row>
    <row r="807" spans="1:14">
      <c r="A807" s="121" t="s">
        <v>2713</v>
      </c>
      <c r="B807" s="121" t="s">
        <v>2714</v>
      </c>
      <c r="C807" s="121">
        <v>1</v>
      </c>
      <c r="D807" s="121" t="s">
        <v>1261</v>
      </c>
      <c r="E807" s="125">
        <v>44728</v>
      </c>
      <c r="F807" s="121" t="s">
        <v>1118</v>
      </c>
      <c r="G807" s="121" t="s">
        <v>1177</v>
      </c>
      <c r="H807" s="121">
        <v>0.1646</v>
      </c>
      <c r="I807" s="121" t="s">
        <v>1174</v>
      </c>
      <c r="J807" s="121" t="s">
        <v>96</v>
      </c>
      <c r="K807" s="121">
        <v>21730</v>
      </c>
      <c r="L807" s="122">
        <v>41</v>
      </c>
      <c r="M807" s="126">
        <v>0.1646</v>
      </c>
      <c r="N807" s="127">
        <f t="shared" si="12"/>
        <v>6.7485999999999997</v>
      </c>
    </row>
    <row r="808" spans="1:14">
      <c r="A808" s="121" t="s">
        <v>2715</v>
      </c>
      <c r="B808" s="121" t="s">
        <v>2716</v>
      </c>
      <c r="C808" s="121">
        <v>1</v>
      </c>
      <c r="D808" s="121" t="s">
        <v>1235</v>
      </c>
      <c r="E808" s="125">
        <v>44797</v>
      </c>
      <c r="F808" s="121" t="s">
        <v>1118</v>
      </c>
      <c r="G808" s="121" t="s">
        <v>1131</v>
      </c>
      <c r="H808" s="121">
        <v>2.4500000000000001E-2</v>
      </c>
      <c r="I808" s="121" t="s">
        <v>1174</v>
      </c>
      <c r="J808" s="121" t="s">
        <v>96</v>
      </c>
      <c r="K808" s="121">
        <v>15192</v>
      </c>
      <c r="L808" s="122">
        <v>43</v>
      </c>
      <c r="M808" s="126">
        <v>2.4500000000000001E-2</v>
      </c>
      <c r="N808" s="127">
        <f t="shared" si="12"/>
        <v>1.0535000000000001</v>
      </c>
    </row>
    <row r="809" spans="1:14">
      <c r="A809" s="121" t="s">
        <v>2717</v>
      </c>
      <c r="B809" s="121" t="s">
        <v>2718</v>
      </c>
      <c r="C809" s="121">
        <v>1</v>
      </c>
      <c r="D809" s="121" t="s">
        <v>1235</v>
      </c>
      <c r="E809" s="125">
        <v>44795</v>
      </c>
      <c r="F809" s="121" t="s">
        <v>1124</v>
      </c>
      <c r="G809" s="121" t="s">
        <v>1124</v>
      </c>
      <c r="H809" s="121">
        <v>8.6999999999999994E-3</v>
      </c>
      <c r="I809" s="121" t="s">
        <v>1174</v>
      </c>
      <c r="J809" s="121" t="s">
        <v>96</v>
      </c>
      <c r="K809" s="121">
        <v>4871</v>
      </c>
      <c r="L809" s="122">
        <v>42</v>
      </c>
      <c r="M809" s="126">
        <v>8.6999999999999994E-3</v>
      </c>
      <c r="N809" s="127">
        <f t="shared" si="12"/>
        <v>0.36539999999999995</v>
      </c>
    </row>
    <row r="810" spans="1:14">
      <c r="A810" s="121" t="s">
        <v>2719</v>
      </c>
      <c r="B810" s="121" t="s">
        <v>2720</v>
      </c>
      <c r="C810" s="121">
        <v>1</v>
      </c>
      <c r="D810" s="121" t="s">
        <v>1123</v>
      </c>
      <c r="E810" s="125">
        <v>44737</v>
      </c>
      <c r="F810" s="121" t="s">
        <v>1118</v>
      </c>
      <c r="G810" s="121" t="s">
        <v>1131</v>
      </c>
      <c r="H810" s="121">
        <v>2.5700000000000001E-2</v>
      </c>
      <c r="I810" s="121" t="s">
        <v>1174</v>
      </c>
      <c r="J810" s="121" t="s">
        <v>96</v>
      </c>
      <c r="K810" s="121">
        <v>15915</v>
      </c>
      <c r="L810" s="122">
        <v>47</v>
      </c>
      <c r="M810" s="126">
        <v>2.5700000000000001E-2</v>
      </c>
      <c r="N810" s="127">
        <f t="shared" si="12"/>
        <v>1.2079</v>
      </c>
    </row>
    <row r="811" spans="1:14">
      <c r="A811" s="121" t="s">
        <v>2721</v>
      </c>
      <c r="B811" s="121" t="s">
        <v>2722</v>
      </c>
      <c r="C811" s="121">
        <v>1</v>
      </c>
      <c r="D811" s="121" t="s">
        <v>1166</v>
      </c>
      <c r="E811" s="125">
        <v>44694</v>
      </c>
      <c r="F811" s="121" t="s">
        <v>1118</v>
      </c>
      <c r="G811" s="121" t="s">
        <v>1143</v>
      </c>
      <c r="H811" s="121">
        <v>1.8100000000000002E-2</v>
      </c>
      <c r="I811" s="121" t="s">
        <v>1174</v>
      </c>
      <c r="J811" s="121" t="s">
        <v>96</v>
      </c>
      <c r="K811" s="121">
        <v>13772</v>
      </c>
      <c r="L811" s="122">
        <v>38</v>
      </c>
      <c r="M811" s="126">
        <v>1.8100000000000002E-2</v>
      </c>
      <c r="N811" s="127">
        <f t="shared" si="12"/>
        <v>0.68780000000000008</v>
      </c>
    </row>
    <row r="812" spans="1:14">
      <c r="A812" s="121" t="s">
        <v>2723</v>
      </c>
      <c r="B812" s="121" t="s">
        <v>2724</v>
      </c>
      <c r="C812" s="121">
        <v>1</v>
      </c>
      <c r="D812" s="121" t="s">
        <v>1261</v>
      </c>
      <c r="E812" s="125">
        <v>44784</v>
      </c>
      <c r="F812" s="121" t="s">
        <v>1118</v>
      </c>
      <c r="G812" s="121" t="s">
        <v>1265</v>
      </c>
      <c r="H812" s="121">
        <v>0.37009999999999998</v>
      </c>
      <c r="I812" s="121" t="s">
        <v>1174</v>
      </c>
      <c r="J812" s="121" t="s">
        <v>96</v>
      </c>
      <c r="K812" s="121">
        <v>18812</v>
      </c>
      <c r="L812" s="122">
        <v>40</v>
      </c>
      <c r="M812" s="126">
        <v>0.37009999999999998</v>
      </c>
      <c r="N812" s="127">
        <f t="shared" si="12"/>
        <v>14.803999999999998</v>
      </c>
    </row>
    <row r="813" spans="1:14">
      <c r="A813" s="121" t="s">
        <v>2725</v>
      </c>
      <c r="B813" s="121" t="s">
        <v>2726</v>
      </c>
      <c r="C813" s="121">
        <v>1</v>
      </c>
      <c r="D813" s="121" t="s">
        <v>1552</v>
      </c>
      <c r="E813" s="125">
        <v>44700</v>
      </c>
      <c r="F813" s="121" t="s">
        <v>1118</v>
      </c>
      <c r="G813" s="121" t="s">
        <v>1265</v>
      </c>
      <c r="H813" s="121">
        <v>0.47760000000000002</v>
      </c>
      <c r="I813" s="121" t="s">
        <v>1174</v>
      </c>
      <c r="J813" s="121" t="s">
        <v>96</v>
      </c>
      <c r="K813" s="121">
        <v>18443</v>
      </c>
      <c r="L813" s="122">
        <v>43</v>
      </c>
      <c r="M813" s="126">
        <v>0.47760000000000002</v>
      </c>
      <c r="N813" s="127">
        <f t="shared" si="12"/>
        <v>20.536799999999999</v>
      </c>
    </row>
    <row r="814" spans="1:14">
      <c r="A814" s="121" t="s">
        <v>2727</v>
      </c>
      <c r="B814" s="121" t="s">
        <v>2728</v>
      </c>
      <c r="C814" s="121">
        <v>1</v>
      </c>
      <c r="D814" s="121" t="s">
        <v>1552</v>
      </c>
      <c r="E814" s="125">
        <v>16496</v>
      </c>
      <c r="F814" s="121" t="s">
        <v>1118</v>
      </c>
      <c r="G814" s="121" t="s">
        <v>1131</v>
      </c>
      <c r="H814" s="121">
        <v>0.71540000000000004</v>
      </c>
      <c r="I814" s="121" t="s">
        <v>1174</v>
      </c>
      <c r="J814" s="121" t="s">
        <v>96</v>
      </c>
      <c r="K814" s="121">
        <v>14832</v>
      </c>
      <c r="L814" s="122">
        <v>45</v>
      </c>
      <c r="M814" s="126">
        <v>0.71540000000000004</v>
      </c>
      <c r="N814" s="127">
        <f t="shared" si="12"/>
        <v>32.193000000000005</v>
      </c>
    </row>
    <row r="815" spans="1:14">
      <c r="A815" s="121" t="s">
        <v>2729</v>
      </c>
      <c r="B815" s="121" t="s">
        <v>2730</v>
      </c>
      <c r="C815" s="121">
        <v>1</v>
      </c>
      <c r="D815" s="121" t="s">
        <v>1220</v>
      </c>
      <c r="E815" s="125">
        <v>44826</v>
      </c>
      <c r="F815" s="121" t="s">
        <v>1118</v>
      </c>
      <c r="G815" s="121" t="s">
        <v>1265</v>
      </c>
      <c r="H815" s="121">
        <v>0.13869999999999999</v>
      </c>
      <c r="I815" s="121" t="s">
        <v>1174</v>
      </c>
      <c r="J815" s="121" t="s">
        <v>96</v>
      </c>
      <c r="K815" s="121">
        <v>18249</v>
      </c>
      <c r="L815" s="122">
        <v>37</v>
      </c>
      <c r="M815" s="126">
        <v>0.13869999999999999</v>
      </c>
      <c r="N815" s="127">
        <f t="shared" si="12"/>
        <v>5.1318999999999999</v>
      </c>
    </row>
    <row r="816" spans="1:14">
      <c r="A816" s="121" t="s">
        <v>2731</v>
      </c>
      <c r="B816" s="121" t="s">
        <v>2732</v>
      </c>
      <c r="C816" s="121">
        <v>1</v>
      </c>
      <c r="D816" s="121" t="s">
        <v>1123</v>
      </c>
      <c r="E816" s="125">
        <v>44828</v>
      </c>
      <c r="F816" s="121" t="s">
        <v>1118</v>
      </c>
      <c r="G816" s="121" t="s">
        <v>1265</v>
      </c>
      <c r="H816" s="121">
        <v>0.14119999999999999</v>
      </c>
      <c r="I816" s="121" t="s">
        <v>1174</v>
      </c>
      <c r="J816" s="121" t="s">
        <v>96</v>
      </c>
      <c r="K816" s="121">
        <v>18049</v>
      </c>
      <c r="L816" s="122">
        <v>46</v>
      </c>
      <c r="M816" s="126">
        <v>5.0599999999999999E-2</v>
      </c>
      <c r="N816" s="127">
        <f t="shared" si="12"/>
        <v>2.3275999999999999</v>
      </c>
    </row>
    <row r="817" spans="1:14">
      <c r="A817" s="121" t="s">
        <v>2731</v>
      </c>
      <c r="B817" s="121" t="s">
        <v>2732</v>
      </c>
      <c r="C817" s="121">
        <v>1</v>
      </c>
      <c r="D817" s="121" t="s">
        <v>1123</v>
      </c>
      <c r="E817" s="125">
        <v>44828</v>
      </c>
      <c r="F817" s="121" t="s">
        <v>1118</v>
      </c>
      <c r="G817" s="121" t="s">
        <v>1265</v>
      </c>
      <c r="H817" s="121">
        <v>0.14119999999999999</v>
      </c>
      <c r="I817" s="121" t="s">
        <v>1174</v>
      </c>
      <c r="J817" s="121" t="s">
        <v>96</v>
      </c>
      <c r="K817" s="121">
        <v>18249</v>
      </c>
      <c r="L817" s="122">
        <v>37</v>
      </c>
      <c r="M817" s="126">
        <v>9.0700000000000003E-2</v>
      </c>
      <c r="N817" s="127">
        <f t="shared" si="12"/>
        <v>3.3559000000000001</v>
      </c>
    </row>
    <row r="818" spans="1:14">
      <c r="A818" s="121" t="s">
        <v>2733</v>
      </c>
      <c r="B818" s="121" t="s">
        <v>2734</v>
      </c>
      <c r="C818" s="121">
        <v>1</v>
      </c>
      <c r="D818" s="121" t="s">
        <v>1123</v>
      </c>
      <c r="E818" s="125">
        <v>44795</v>
      </c>
      <c r="F818" s="121" t="s">
        <v>1118</v>
      </c>
      <c r="G818" s="121" t="s">
        <v>1265</v>
      </c>
      <c r="H818" s="121">
        <v>0.36120000000000002</v>
      </c>
      <c r="I818" s="121" t="s">
        <v>1174</v>
      </c>
      <c r="J818" s="121" t="s">
        <v>96</v>
      </c>
      <c r="K818" s="121">
        <v>19038</v>
      </c>
      <c r="L818" s="122">
        <v>37</v>
      </c>
      <c r="M818" s="126">
        <v>0.23419999999999999</v>
      </c>
      <c r="N818" s="127">
        <f t="shared" si="12"/>
        <v>8.6654</v>
      </c>
    </row>
    <row r="819" spans="1:14">
      <c r="A819" s="121" t="s">
        <v>2733</v>
      </c>
      <c r="B819" s="121" t="s">
        <v>2734</v>
      </c>
      <c r="C819" s="121">
        <v>1</v>
      </c>
      <c r="D819" s="121" t="s">
        <v>1123</v>
      </c>
      <c r="E819" s="125">
        <v>44795</v>
      </c>
      <c r="F819" s="121" t="s">
        <v>1118</v>
      </c>
      <c r="G819" s="121" t="s">
        <v>1265</v>
      </c>
      <c r="H819" s="121">
        <v>0.36120000000000002</v>
      </c>
      <c r="I819" s="121" t="s">
        <v>1174</v>
      </c>
      <c r="J819" s="121" t="s">
        <v>96</v>
      </c>
      <c r="K819" s="121">
        <v>19235</v>
      </c>
      <c r="L819" s="122">
        <v>45</v>
      </c>
      <c r="M819" s="126">
        <v>0.127</v>
      </c>
      <c r="N819" s="127">
        <f t="shared" si="12"/>
        <v>5.7149999999999999</v>
      </c>
    </row>
    <row r="820" spans="1:14">
      <c r="A820" s="121" t="s">
        <v>2735</v>
      </c>
      <c r="B820" s="121" t="s">
        <v>2736</v>
      </c>
      <c r="C820" s="121">
        <v>1</v>
      </c>
      <c r="D820" s="121" t="s">
        <v>1264</v>
      </c>
      <c r="E820" s="125">
        <v>44732</v>
      </c>
      <c r="F820" s="121" t="s">
        <v>1118</v>
      </c>
      <c r="G820" s="121" t="s">
        <v>2041</v>
      </c>
      <c r="H820" s="121">
        <v>0.71579999999999999</v>
      </c>
      <c r="I820" s="121" t="s">
        <v>1174</v>
      </c>
      <c r="J820" s="121" t="s">
        <v>96</v>
      </c>
      <c r="K820" s="121">
        <v>22923</v>
      </c>
      <c r="L820" s="122">
        <v>37</v>
      </c>
      <c r="M820" s="126">
        <v>0.71579999999999999</v>
      </c>
      <c r="N820" s="127">
        <f t="shared" si="12"/>
        <v>26.4846</v>
      </c>
    </row>
    <row r="821" spans="1:14">
      <c r="A821" s="121" t="s">
        <v>2737</v>
      </c>
      <c r="B821" s="121" t="s">
        <v>2738</v>
      </c>
      <c r="C821" s="121">
        <v>1</v>
      </c>
      <c r="D821" s="121" t="s">
        <v>1117</v>
      </c>
      <c r="E821" s="125">
        <v>44795</v>
      </c>
      <c r="F821" s="121" t="s">
        <v>1124</v>
      </c>
      <c r="G821" s="121" t="s">
        <v>1124</v>
      </c>
      <c r="H821" s="121">
        <v>5.5599999999999997E-2</v>
      </c>
      <c r="I821" s="121" t="s">
        <v>1174</v>
      </c>
      <c r="J821" s="121" t="s">
        <v>96</v>
      </c>
      <c r="K821" s="121">
        <v>17077</v>
      </c>
      <c r="L821" s="122">
        <v>36</v>
      </c>
      <c r="M821" s="126">
        <v>5.57E-2</v>
      </c>
      <c r="N821" s="127">
        <f t="shared" si="12"/>
        <v>2.0051999999999999</v>
      </c>
    </row>
    <row r="822" spans="1:14">
      <c r="A822" s="121" t="s">
        <v>2739</v>
      </c>
      <c r="B822" s="121" t="s">
        <v>2740</v>
      </c>
      <c r="C822" s="121">
        <v>1</v>
      </c>
      <c r="D822" s="121" t="s">
        <v>1203</v>
      </c>
      <c r="E822" s="125">
        <v>44797</v>
      </c>
      <c r="F822" s="121" t="s">
        <v>1118</v>
      </c>
      <c r="G822" s="121" t="s">
        <v>1131</v>
      </c>
      <c r="H822" s="121">
        <v>1.7999999999999999E-2</v>
      </c>
      <c r="I822" s="121" t="s">
        <v>1174</v>
      </c>
      <c r="J822" s="121" t="s">
        <v>96</v>
      </c>
      <c r="K822" s="121">
        <v>14115</v>
      </c>
      <c r="L822" s="122">
        <v>39</v>
      </c>
      <c r="M822" s="126">
        <v>1.7999999999999999E-2</v>
      </c>
      <c r="N822" s="127">
        <f t="shared" si="12"/>
        <v>0.70199999999999996</v>
      </c>
    </row>
    <row r="823" spans="1:14">
      <c r="A823" s="121" t="s">
        <v>2741</v>
      </c>
      <c r="B823" s="121" t="s">
        <v>2742</v>
      </c>
      <c r="C823" s="121">
        <v>1</v>
      </c>
      <c r="D823" s="121" t="s">
        <v>1123</v>
      </c>
      <c r="E823" s="125">
        <v>44828</v>
      </c>
      <c r="F823" s="121" t="s">
        <v>1118</v>
      </c>
      <c r="G823" s="121" t="s">
        <v>1131</v>
      </c>
      <c r="H823" s="121">
        <v>1.06E-2</v>
      </c>
      <c r="I823" s="121" t="s">
        <v>1174</v>
      </c>
      <c r="J823" s="121" t="s">
        <v>96</v>
      </c>
      <c r="K823" s="121">
        <v>14115</v>
      </c>
      <c r="L823" s="122">
        <v>39</v>
      </c>
      <c r="M823" s="126">
        <v>1.06E-2</v>
      </c>
      <c r="N823" s="127">
        <f t="shared" si="12"/>
        <v>0.41339999999999999</v>
      </c>
    </row>
    <row r="824" spans="1:14">
      <c r="A824" s="121" t="s">
        <v>2743</v>
      </c>
      <c r="B824" s="121" t="s">
        <v>2744</v>
      </c>
      <c r="C824" s="121">
        <v>1</v>
      </c>
      <c r="D824" s="121" t="s">
        <v>1123</v>
      </c>
      <c r="E824" s="125">
        <v>44836</v>
      </c>
      <c r="F824" s="121" t="s">
        <v>1118</v>
      </c>
      <c r="G824" s="121" t="s">
        <v>1131</v>
      </c>
      <c r="H824" s="121">
        <v>1.84E-2</v>
      </c>
      <c r="I824" s="121" t="s">
        <v>1174</v>
      </c>
      <c r="J824" s="121" t="s">
        <v>96</v>
      </c>
      <c r="K824" s="121">
        <v>14272</v>
      </c>
      <c r="L824" s="122">
        <v>43</v>
      </c>
      <c r="M824" s="126">
        <v>1.83E-2</v>
      </c>
      <c r="N824" s="127">
        <f t="shared" si="12"/>
        <v>0.78690000000000004</v>
      </c>
    </row>
    <row r="825" spans="1:14">
      <c r="A825" s="121" t="s">
        <v>2745</v>
      </c>
      <c r="B825" s="121" t="s">
        <v>2746</v>
      </c>
      <c r="C825" s="121">
        <v>1</v>
      </c>
      <c r="D825" s="121" t="s">
        <v>1203</v>
      </c>
      <c r="E825" s="125">
        <v>44798</v>
      </c>
      <c r="F825" s="121" t="s">
        <v>1118</v>
      </c>
      <c r="G825" s="121" t="s">
        <v>1143</v>
      </c>
      <c r="H825" s="121">
        <v>0.23699999999999999</v>
      </c>
      <c r="I825" s="121" t="s">
        <v>1174</v>
      </c>
      <c r="J825" s="121" t="s">
        <v>96</v>
      </c>
      <c r="K825" s="121">
        <v>13961</v>
      </c>
      <c r="L825" s="122">
        <v>37</v>
      </c>
      <c r="M825" s="126">
        <v>0.23699999999999999</v>
      </c>
      <c r="N825" s="127">
        <f t="shared" si="12"/>
        <v>8.7690000000000001</v>
      </c>
    </row>
    <row r="826" spans="1:14">
      <c r="A826" s="121" t="s">
        <v>2747</v>
      </c>
      <c r="B826" s="121" t="s">
        <v>2748</v>
      </c>
      <c r="C826" s="121">
        <v>1</v>
      </c>
      <c r="D826" s="121" t="s">
        <v>1160</v>
      </c>
      <c r="E826" s="125">
        <v>44754</v>
      </c>
      <c r="F826" s="121" t="s">
        <v>1118</v>
      </c>
      <c r="G826" s="121" t="s">
        <v>1131</v>
      </c>
      <c r="H826" s="121">
        <v>1.7100000000000001E-2</v>
      </c>
      <c r="I826" s="121" t="s">
        <v>1174</v>
      </c>
      <c r="J826" s="121" t="s">
        <v>96</v>
      </c>
      <c r="K826" s="121">
        <v>16103</v>
      </c>
      <c r="L826" s="122">
        <v>46</v>
      </c>
      <c r="M826" s="126">
        <v>1.7100000000000001E-2</v>
      </c>
      <c r="N826" s="127">
        <f t="shared" si="12"/>
        <v>0.78660000000000008</v>
      </c>
    </row>
    <row r="827" spans="1:14">
      <c r="A827" s="121" t="s">
        <v>2749</v>
      </c>
      <c r="B827" s="121" t="s">
        <v>2750</v>
      </c>
      <c r="C827" s="121">
        <v>1</v>
      </c>
      <c r="D827" s="121" t="s">
        <v>1203</v>
      </c>
      <c r="E827" s="125">
        <v>44822</v>
      </c>
      <c r="F827" s="121" t="s">
        <v>1118</v>
      </c>
      <c r="G827" s="121" t="s">
        <v>1143</v>
      </c>
      <c r="H827" s="121">
        <v>0.40239999999999998</v>
      </c>
      <c r="I827" s="121" t="s">
        <v>1174</v>
      </c>
      <c r="J827" s="121" t="s">
        <v>96</v>
      </c>
      <c r="K827" s="121">
        <v>13961</v>
      </c>
      <c r="L827" s="122">
        <v>37</v>
      </c>
      <c r="M827" s="126">
        <v>0.40239999999999998</v>
      </c>
      <c r="N827" s="127">
        <f t="shared" si="12"/>
        <v>14.8888</v>
      </c>
    </row>
    <row r="828" spans="1:14">
      <c r="A828" s="121" t="s">
        <v>2751</v>
      </c>
      <c r="B828" s="121" t="s">
        <v>2752</v>
      </c>
      <c r="C828" s="121">
        <v>1</v>
      </c>
      <c r="D828" s="121" t="s">
        <v>1123</v>
      </c>
      <c r="E828" s="125">
        <v>44796</v>
      </c>
      <c r="F828" s="121" t="s">
        <v>1118</v>
      </c>
      <c r="G828" s="121" t="s">
        <v>1143</v>
      </c>
      <c r="H828" s="121">
        <v>0.22450000000000001</v>
      </c>
      <c r="I828" s="121" t="s">
        <v>1174</v>
      </c>
      <c r="J828" s="121" t="s">
        <v>96</v>
      </c>
      <c r="K828" s="121">
        <v>14282</v>
      </c>
      <c r="L828" s="122">
        <v>38</v>
      </c>
      <c r="M828" s="126">
        <v>0.22450000000000001</v>
      </c>
      <c r="N828" s="127">
        <f t="shared" si="12"/>
        <v>8.5310000000000006</v>
      </c>
    </row>
    <row r="829" spans="1:14">
      <c r="A829" s="121" t="s">
        <v>2753</v>
      </c>
      <c r="B829" s="121" t="s">
        <v>2754</v>
      </c>
      <c r="C829" s="121">
        <v>1</v>
      </c>
      <c r="D829" s="121" t="s">
        <v>1160</v>
      </c>
      <c r="E829" s="125">
        <v>45066</v>
      </c>
      <c r="F829" s="121" t="s">
        <v>1118</v>
      </c>
      <c r="G829" s="121" t="s">
        <v>1143</v>
      </c>
      <c r="H829" s="121">
        <v>0.15840000000000001</v>
      </c>
      <c r="I829" s="121" t="s">
        <v>1174</v>
      </c>
      <c r="J829" s="121" t="s">
        <v>96</v>
      </c>
      <c r="K829" s="121">
        <v>30387</v>
      </c>
      <c r="L829" s="122">
        <v>39</v>
      </c>
      <c r="M829" s="126">
        <v>0.15840000000000001</v>
      </c>
      <c r="N829" s="127">
        <f t="shared" si="12"/>
        <v>6.1776000000000009</v>
      </c>
    </row>
    <row r="830" spans="1:14">
      <c r="A830" s="121" t="s">
        <v>2755</v>
      </c>
      <c r="B830" s="121" t="s">
        <v>2756</v>
      </c>
      <c r="C830" s="121">
        <v>1</v>
      </c>
      <c r="D830" s="121" t="s">
        <v>1123</v>
      </c>
      <c r="E830" s="125">
        <v>44795</v>
      </c>
      <c r="F830" s="121" t="s">
        <v>1118</v>
      </c>
      <c r="G830" s="121" t="s">
        <v>1325</v>
      </c>
      <c r="H830" s="121">
        <v>4.6899999999999997E-2</v>
      </c>
      <c r="I830" s="121" t="s">
        <v>1174</v>
      </c>
      <c r="J830" s="121" t="s">
        <v>96</v>
      </c>
      <c r="K830" s="121">
        <v>23496</v>
      </c>
      <c r="L830" s="122">
        <v>47</v>
      </c>
      <c r="M830" s="126">
        <v>4.6899999999999997E-2</v>
      </c>
      <c r="N830" s="127">
        <f t="shared" si="12"/>
        <v>2.2042999999999999</v>
      </c>
    </row>
    <row r="831" spans="1:14">
      <c r="A831" s="121" t="s">
        <v>2757</v>
      </c>
      <c r="B831" s="121" t="s">
        <v>2758</v>
      </c>
      <c r="C831" s="121">
        <v>1</v>
      </c>
      <c r="D831" s="121" t="s">
        <v>1552</v>
      </c>
      <c r="E831" s="125">
        <v>44795</v>
      </c>
      <c r="F831" s="121" t="s">
        <v>1118</v>
      </c>
      <c r="G831" s="121" t="s">
        <v>1119</v>
      </c>
      <c r="H831" s="121">
        <v>0.37140000000000001</v>
      </c>
      <c r="I831" s="121" t="s">
        <v>1174</v>
      </c>
      <c r="J831" s="121" t="s">
        <v>96</v>
      </c>
      <c r="K831" s="121">
        <v>15948</v>
      </c>
      <c r="L831" s="122">
        <v>41</v>
      </c>
      <c r="M831" s="126">
        <v>4.9500000000000002E-2</v>
      </c>
      <c r="N831" s="127">
        <f t="shared" si="12"/>
        <v>2.0295000000000001</v>
      </c>
    </row>
    <row r="832" spans="1:14">
      <c r="A832" s="121" t="s">
        <v>2757</v>
      </c>
      <c r="B832" s="121" t="s">
        <v>2758</v>
      </c>
      <c r="C832" s="121">
        <v>1</v>
      </c>
      <c r="D832" s="121" t="s">
        <v>1552</v>
      </c>
      <c r="E832" s="125">
        <v>44795</v>
      </c>
      <c r="F832" s="121" t="s">
        <v>1118</v>
      </c>
      <c r="G832" s="121" t="s">
        <v>1119</v>
      </c>
      <c r="H832" s="121">
        <v>0.37140000000000001</v>
      </c>
      <c r="I832" s="121" t="s">
        <v>1174</v>
      </c>
      <c r="J832" s="121" t="s">
        <v>96</v>
      </c>
      <c r="K832" s="121">
        <v>16142</v>
      </c>
      <c r="L832" s="122">
        <v>46</v>
      </c>
      <c r="M832" s="126">
        <v>0.32179999999999997</v>
      </c>
      <c r="N832" s="127">
        <f t="shared" si="12"/>
        <v>14.8028</v>
      </c>
    </row>
    <row r="833" spans="1:14">
      <c r="A833" s="121" t="s">
        <v>2759</v>
      </c>
      <c r="B833" s="121" t="s">
        <v>2760</v>
      </c>
      <c r="C833" s="121">
        <v>1</v>
      </c>
      <c r="D833" s="121" t="s">
        <v>1203</v>
      </c>
      <c r="E833" s="125">
        <v>44748</v>
      </c>
      <c r="F833" s="121" t="s">
        <v>1118</v>
      </c>
      <c r="G833" s="121" t="s">
        <v>1119</v>
      </c>
      <c r="H833" s="121">
        <v>9.6500000000000002E-2</v>
      </c>
      <c r="I833" s="121" t="s">
        <v>1174</v>
      </c>
      <c r="J833" s="121" t="s">
        <v>96</v>
      </c>
      <c r="K833" s="121">
        <v>17265</v>
      </c>
      <c r="L833" s="122">
        <v>33</v>
      </c>
      <c r="M833" s="126">
        <v>9.6500000000000002E-2</v>
      </c>
      <c r="N833" s="127">
        <f t="shared" si="12"/>
        <v>3.1844999999999999</v>
      </c>
    </row>
    <row r="834" spans="1:14">
      <c r="A834" s="121" t="s">
        <v>2761</v>
      </c>
      <c r="B834" s="121" t="s">
        <v>2762</v>
      </c>
      <c r="C834" s="121">
        <v>1</v>
      </c>
      <c r="D834" s="121" t="s">
        <v>1203</v>
      </c>
      <c r="E834" s="125">
        <v>44863</v>
      </c>
      <c r="F834" s="121" t="s">
        <v>1118</v>
      </c>
      <c r="G834" s="121" t="s">
        <v>1119</v>
      </c>
      <c r="H834" s="121">
        <v>2.3E-2</v>
      </c>
      <c r="I834" s="121" t="s">
        <v>1174</v>
      </c>
      <c r="J834" s="121" t="s">
        <v>96</v>
      </c>
      <c r="K834" s="121">
        <v>14489</v>
      </c>
      <c r="L834" s="122">
        <v>35</v>
      </c>
      <c r="M834" s="126">
        <v>2.3E-2</v>
      </c>
      <c r="N834" s="127">
        <f t="shared" ref="N834:N842" si="13">+M834*L834</f>
        <v>0.80499999999999994</v>
      </c>
    </row>
    <row r="835" spans="1:14">
      <c r="A835" s="121" t="s">
        <v>2763</v>
      </c>
      <c r="B835" s="121" t="s">
        <v>2764</v>
      </c>
      <c r="C835" s="121">
        <v>1</v>
      </c>
      <c r="D835" s="121" t="s">
        <v>1397</v>
      </c>
      <c r="E835" s="125">
        <v>44728</v>
      </c>
      <c r="F835" s="121" t="s">
        <v>1118</v>
      </c>
      <c r="G835" s="121" t="s">
        <v>1265</v>
      </c>
      <c r="H835" s="121">
        <v>2.5700000000000001E-2</v>
      </c>
      <c r="I835" s="121" t="s">
        <v>1174</v>
      </c>
      <c r="J835" s="121" t="s">
        <v>96</v>
      </c>
      <c r="K835" s="121">
        <v>18634</v>
      </c>
      <c r="L835" s="122">
        <v>47</v>
      </c>
      <c r="M835" s="126">
        <v>2.5700000000000001E-2</v>
      </c>
      <c r="N835" s="127">
        <f t="shared" si="13"/>
        <v>1.2079</v>
      </c>
    </row>
    <row r="836" spans="1:14">
      <c r="A836" s="121" t="s">
        <v>2765</v>
      </c>
      <c r="B836" s="121" t="s">
        <v>2766</v>
      </c>
      <c r="C836" s="121">
        <v>1</v>
      </c>
      <c r="D836" s="121" t="s">
        <v>1252</v>
      </c>
      <c r="E836" s="125">
        <v>44789</v>
      </c>
      <c r="F836" s="121" t="s">
        <v>1118</v>
      </c>
      <c r="G836" s="121" t="s">
        <v>1131</v>
      </c>
      <c r="H836" s="121">
        <v>0.2031</v>
      </c>
      <c r="I836" s="121" t="s">
        <v>1174</v>
      </c>
      <c r="J836" s="121" t="s">
        <v>96</v>
      </c>
      <c r="K836" s="121">
        <v>14646</v>
      </c>
      <c r="L836" s="122">
        <v>41</v>
      </c>
      <c r="M836" s="126">
        <v>0.2031</v>
      </c>
      <c r="N836" s="127">
        <f t="shared" si="13"/>
        <v>8.3270999999999997</v>
      </c>
    </row>
    <row r="837" spans="1:14">
      <c r="A837" s="121" t="s">
        <v>2767</v>
      </c>
      <c r="B837" s="121" t="s">
        <v>2768</v>
      </c>
      <c r="C837" s="121">
        <v>1</v>
      </c>
      <c r="D837" s="121" t="s">
        <v>1264</v>
      </c>
      <c r="E837" s="125">
        <v>44848</v>
      </c>
      <c r="F837" s="121" t="s">
        <v>1118</v>
      </c>
      <c r="G837" s="121" t="s">
        <v>1325</v>
      </c>
      <c r="H837" s="121">
        <v>0.43990000000000001</v>
      </c>
      <c r="I837" s="121" t="s">
        <v>1174</v>
      </c>
      <c r="J837" s="121" t="s">
        <v>96</v>
      </c>
      <c r="K837" s="121">
        <v>23132</v>
      </c>
      <c r="L837" s="122">
        <v>39</v>
      </c>
      <c r="M837" s="126">
        <v>0.43990000000000001</v>
      </c>
      <c r="N837" s="127">
        <f t="shared" si="13"/>
        <v>17.156100000000002</v>
      </c>
    </row>
    <row r="838" spans="1:14">
      <c r="A838" s="121" t="s">
        <v>2769</v>
      </c>
      <c r="B838" s="121" t="s">
        <v>2770</v>
      </c>
      <c r="C838" s="121">
        <v>1</v>
      </c>
      <c r="D838" s="121" t="s">
        <v>1123</v>
      </c>
      <c r="E838" s="125">
        <v>44851</v>
      </c>
      <c r="F838" s="121" t="s">
        <v>1118</v>
      </c>
      <c r="G838" s="121" t="s">
        <v>1124</v>
      </c>
      <c r="H838" s="121">
        <v>4.2700000000000002E-2</v>
      </c>
      <c r="I838" s="121" t="s">
        <v>1174</v>
      </c>
      <c r="J838" s="121" t="s">
        <v>96</v>
      </c>
      <c r="K838" s="121">
        <v>28019</v>
      </c>
      <c r="L838" s="122">
        <v>48</v>
      </c>
      <c r="M838" s="126">
        <v>4.2700000000000002E-2</v>
      </c>
      <c r="N838" s="127">
        <f t="shared" si="13"/>
        <v>2.0495999999999999</v>
      </c>
    </row>
    <row r="839" spans="1:14">
      <c r="A839" s="121" t="s">
        <v>2771</v>
      </c>
      <c r="B839" s="121" t="s">
        <v>2772</v>
      </c>
      <c r="C839" s="121">
        <v>1</v>
      </c>
      <c r="D839" s="121" t="s">
        <v>1160</v>
      </c>
      <c r="E839" s="125">
        <v>44767</v>
      </c>
      <c r="F839" s="121" t="s">
        <v>1118</v>
      </c>
      <c r="G839" s="121" t="s">
        <v>1119</v>
      </c>
      <c r="H839" s="121">
        <v>2.1100000000000001E-2</v>
      </c>
      <c r="I839" s="121" t="s">
        <v>1174</v>
      </c>
      <c r="J839" s="121" t="s">
        <v>96</v>
      </c>
      <c r="K839" s="121">
        <v>17265</v>
      </c>
      <c r="L839" s="122">
        <v>33</v>
      </c>
      <c r="M839" s="126">
        <v>2.1100000000000001E-2</v>
      </c>
      <c r="N839" s="127">
        <f t="shared" si="13"/>
        <v>0.69630000000000003</v>
      </c>
    </row>
    <row r="840" spans="1:14">
      <c r="A840" s="121" t="s">
        <v>2773</v>
      </c>
      <c r="B840" s="121" t="s">
        <v>2774</v>
      </c>
      <c r="C840" s="121">
        <v>1</v>
      </c>
      <c r="D840" s="121" t="s">
        <v>1123</v>
      </c>
      <c r="E840" s="125">
        <v>44863</v>
      </c>
      <c r="F840" s="121" t="s">
        <v>1118</v>
      </c>
      <c r="G840" s="121" t="s">
        <v>1124</v>
      </c>
      <c r="H840" s="121">
        <v>2.8000000000000001E-2</v>
      </c>
      <c r="I840" s="121" t="s">
        <v>1174</v>
      </c>
      <c r="J840" s="121" t="s">
        <v>96</v>
      </c>
      <c r="K840" s="121">
        <v>22925</v>
      </c>
      <c r="L840" s="122">
        <v>38</v>
      </c>
      <c r="M840" s="126">
        <v>2.8000000000000001E-2</v>
      </c>
      <c r="N840" s="127">
        <f t="shared" si="13"/>
        <v>1.0640000000000001</v>
      </c>
    </row>
    <row r="841" spans="1:14">
      <c r="A841" s="121" t="s">
        <v>2775</v>
      </c>
      <c r="B841" s="121" t="s">
        <v>2776</v>
      </c>
      <c r="C841" s="121">
        <v>1</v>
      </c>
      <c r="D841" s="121" t="s">
        <v>1117</v>
      </c>
      <c r="E841" s="125">
        <v>44795</v>
      </c>
      <c r="F841" s="121" t="s">
        <v>1124</v>
      </c>
      <c r="G841" s="121" t="s">
        <v>1124</v>
      </c>
      <c r="H841" s="121">
        <v>8.0399999999999999E-2</v>
      </c>
      <c r="I841" s="121" t="s">
        <v>1174</v>
      </c>
      <c r="J841" s="121" t="s">
        <v>96</v>
      </c>
      <c r="K841" s="121">
        <v>17266</v>
      </c>
      <c r="L841" s="122">
        <v>37</v>
      </c>
      <c r="M841" s="126">
        <v>8.0399999999999999E-2</v>
      </c>
      <c r="N841" s="127">
        <f t="shared" si="13"/>
        <v>2.9748000000000001</v>
      </c>
    </row>
    <row r="842" spans="1:14">
      <c r="A842" s="121" t="s">
        <v>2777</v>
      </c>
      <c r="B842" s="121" t="s">
        <v>2778</v>
      </c>
      <c r="C842" s="121">
        <v>1</v>
      </c>
      <c r="D842" s="121" t="s">
        <v>1123</v>
      </c>
      <c r="E842" s="125">
        <v>44784</v>
      </c>
      <c r="F842" s="121" t="s">
        <v>1118</v>
      </c>
      <c r="G842" s="121" t="s">
        <v>1143</v>
      </c>
      <c r="H842" s="121">
        <v>0.1888</v>
      </c>
      <c r="I842" s="121" t="s">
        <v>1174</v>
      </c>
      <c r="J842" s="121" t="s">
        <v>96</v>
      </c>
      <c r="K842" s="121">
        <v>13962</v>
      </c>
      <c r="L842" s="122">
        <v>41</v>
      </c>
      <c r="M842" s="126">
        <v>0.1888</v>
      </c>
      <c r="N842" s="127">
        <f t="shared" si="13"/>
        <v>7.7408000000000001</v>
      </c>
    </row>
  </sheetData>
  <autoFilter ref="A1:N1" xr:uid="{D1E871AC-D5AB-47C3-91B1-10F7E4152B32}"/>
  <pageMargins left="0.7" right="0.7" top="0.75" bottom="0.75" header="0.3" footer="0.3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97512-C722-064F-8C02-DFE1B89FD2DF}">
  <dimension ref="B1:BB87"/>
  <sheetViews>
    <sheetView workbookViewId="0"/>
  </sheetViews>
  <sheetFormatPr defaultColWidth="11.5546875" defaultRowHeight="19.5"/>
  <cols>
    <col min="3" max="3" width="15.33203125" customWidth="1"/>
    <col min="4" max="4" width="14.44140625" customWidth="1"/>
    <col min="5" max="6" width="9.44140625" customWidth="1"/>
    <col min="7" max="13" width="9.6640625" customWidth="1"/>
    <col min="14" max="14" width="11.5546875" customWidth="1"/>
    <col min="15" max="15" width="12.109375" customWidth="1"/>
    <col min="16" max="21" width="9.6640625" customWidth="1"/>
    <col min="22" max="22" width="12.33203125" style="450" customWidth="1"/>
    <col min="23" max="23" width="12.44140625" style="450" customWidth="1"/>
    <col min="24" max="24" width="9.6640625" customWidth="1"/>
    <col min="25" max="25" width="11.6640625" customWidth="1"/>
    <col min="26" max="27" width="9.6640625" customWidth="1"/>
    <col min="28" max="29" width="10.6640625" customWidth="1"/>
    <col min="30" max="30" width="12.33203125" customWidth="1"/>
    <col min="31" max="35" width="10.6640625" customWidth="1"/>
    <col min="40" max="41" width="10.6640625" customWidth="1"/>
    <col min="42" max="44" width="16.88671875" customWidth="1"/>
    <col min="45" max="49" width="10.6640625" customWidth="1"/>
    <col min="50" max="50" width="16.88671875" customWidth="1"/>
  </cols>
  <sheetData>
    <row r="1" spans="2:54">
      <c r="AJ1" s="451"/>
      <c r="AS1" s="451"/>
      <c r="AY1" s="451"/>
    </row>
    <row r="2" spans="2:54" s="15" customFormat="1" ht="18" customHeight="1">
      <c r="G2" s="452" t="s">
        <v>2779</v>
      </c>
      <c r="H2" s="453"/>
      <c r="I2" s="453"/>
      <c r="J2" s="453"/>
      <c r="K2" s="454"/>
      <c r="L2" s="453" t="s">
        <v>2780</v>
      </c>
      <c r="M2" s="453"/>
      <c r="N2" s="453"/>
      <c r="O2" s="453"/>
      <c r="R2" s="455" t="s">
        <v>2781</v>
      </c>
      <c r="S2" s="456"/>
      <c r="T2" s="456"/>
      <c r="U2" s="456"/>
      <c r="V2" s="456"/>
      <c r="W2" s="457"/>
      <c r="X2" s="455"/>
      <c r="Y2" s="456"/>
      <c r="Z2" s="456"/>
      <c r="AA2" s="458"/>
      <c r="AB2" s="482"/>
      <c r="AC2" s="483"/>
      <c r="AD2" s="483"/>
      <c r="AE2" s="483" t="s">
        <v>2782</v>
      </c>
      <c r="AF2" s="484"/>
      <c r="AG2" s="496"/>
      <c r="AH2" s="497"/>
      <c r="AI2"/>
      <c r="AJ2" s="453" t="s">
        <v>909</v>
      </c>
      <c r="AK2" s="496"/>
      <c r="AL2" s="497"/>
      <c r="AM2" s="452"/>
      <c r="AO2" s="458"/>
      <c r="AP2" s="458"/>
      <c r="AQ2" s="458"/>
      <c r="AR2" s="458"/>
      <c r="AS2" s="458" t="s">
        <v>2782</v>
      </c>
      <c r="AT2" s="458"/>
      <c r="AU2" s="458"/>
      <c r="AV2" s="458"/>
      <c r="AX2" s="458"/>
      <c r="AY2" s="458" t="s">
        <v>909</v>
      </c>
      <c r="AZ2" s="458"/>
      <c r="BA2" s="458"/>
      <c r="BB2" s="458"/>
    </row>
    <row r="3" spans="2:54" s="15" customFormat="1" ht="56.1" customHeight="1">
      <c r="B3" s="459" t="s">
        <v>2783</v>
      </c>
      <c r="C3" s="459" t="s">
        <v>2784</v>
      </c>
      <c r="D3" s="459" t="s">
        <v>2785</v>
      </c>
      <c r="E3" s="459" t="s">
        <v>274</v>
      </c>
      <c r="F3" s="459"/>
      <c r="G3" s="460" t="s">
        <v>2786</v>
      </c>
      <c r="H3" s="459" t="s">
        <v>2787</v>
      </c>
      <c r="I3" s="459" t="s">
        <v>2788</v>
      </c>
      <c r="J3" s="459" t="s">
        <v>2789</v>
      </c>
      <c r="K3" s="461" t="s">
        <v>2790</v>
      </c>
      <c r="L3" s="461" t="s">
        <v>2791</v>
      </c>
      <c r="M3" s="459" t="s">
        <v>2792</v>
      </c>
      <c r="N3" s="459" t="s">
        <v>2793</v>
      </c>
      <c r="O3" s="459" t="s">
        <v>2794</v>
      </c>
      <c r="R3" s="462" t="s">
        <v>2786</v>
      </c>
      <c r="S3" s="15" t="s">
        <v>2787</v>
      </c>
      <c r="T3" s="15" t="s">
        <v>2788</v>
      </c>
      <c r="U3" s="15" t="s">
        <v>2789</v>
      </c>
      <c r="V3" s="463" t="s">
        <v>2790</v>
      </c>
      <c r="W3" s="463" t="s">
        <v>2791</v>
      </c>
      <c r="X3" s="15" t="s">
        <v>2795</v>
      </c>
      <c r="Y3" s="15" t="s">
        <v>2793</v>
      </c>
      <c r="Z3" s="15" t="s">
        <v>2794</v>
      </c>
      <c r="AB3" s="464" t="s">
        <v>2796</v>
      </c>
      <c r="AC3" s="464" t="s">
        <v>2788</v>
      </c>
      <c r="AD3" s="464" t="s">
        <v>2797</v>
      </c>
      <c r="AE3" s="464" t="s">
        <v>232</v>
      </c>
      <c r="AF3" s="464" t="s">
        <v>242</v>
      </c>
      <c r="AG3" s="464" t="s">
        <v>228</v>
      </c>
      <c r="AH3" s="464" t="s">
        <v>231</v>
      </c>
      <c r="AI3" s="464"/>
      <c r="AJ3" s="464" t="s">
        <v>232</v>
      </c>
      <c r="AK3" s="464" t="s">
        <v>242</v>
      </c>
      <c r="AL3" s="464" t="s">
        <v>228</v>
      </c>
      <c r="AM3" s="464" t="s">
        <v>231</v>
      </c>
      <c r="AO3" s="464" t="s">
        <v>2796</v>
      </c>
      <c r="AP3" s="464" t="s">
        <v>2788</v>
      </c>
      <c r="AQ3" s="464" t="s">
        <v>2798</v>
      </c>
      <c r="AR3" s="464"/>
      <c r="AS3" s="464" t="s">
        <v>232</v>
      </c>
      <c r="AT3" s="464" t="s">
        <v>242</v>
      </c>
      <c r="AU3" s="464" t="s">
        <v>228</v>
      </c>
      <c r="AV3" s="464" t="s">
        <v>231</v>
      </c>
      <c r="AX3" s="464" t="s">
        <v>2798</v>
      </c>
      <c r="AY3" s="464" t="s">
        <v>232</v>
      </c>
      <c r="AZ3" s="464" t="s">
        <v>242</v>
      </c>
      <c r="BA3" s="464" t="s">
        <v>228</v>
      </c>
      <c r="BB3" s="464" t="s">
        <v>231</v>
      </c>
    </row>
    <row r="4" spans="2:54">
      <c r="B4" t="s">
        <v>232</v>
      </c>
      <c r="C4" t="s">
        <v>2799</v>
      </c>
      <c r="D4">
        <f>1</f>
        <v>1</v>
      </c>
      <c r="E4">
        <f>_xlfn.XLOOKUP(B4,$B$84:$B$87,$C$84:$C$87)</f>
        <v>0.61499999999999999</v>
      </c>
      <c r="G4" s="465">
        <v>2</v>
      </c>
      <c r="H4">
        <v>1.9</v>
      </c>
      <c r="I4" s="1">
        <f t="shared" ref="I4:I67" si="0">AVERAGE(G4:H4)^2</f>
        <v>3.8024999999999998</v>
      </c>
      <c r="J4">
        <v>2</v>
      </c>
      <c r="K4" s="466">
        <f t="shared" ref="K4:K67" si="1">IFERROR(0.1054*AVERAGE(G4:H4)^2.4809,"")</f>
        <v>0.55257022342127238</v>
      </c>
      <c r="L4" s="467">
        <f>IFERROR(0.0673*(E4*(I4)*J4^0.976),"")</f>
        <v>0.30957414240157594</v>
      </c>
      <c r="M4" s="1">
        <f t="shared" ref="M4:M67" si="2">EXP(-1.085+0.9256*LN(K4))/K4</f>
        <v>0.3531480875953838</v>
      </c>
      <c r="N4" s="1">
        <f>L4+L4*(M4)</f>
        <v>0.4188996587596735</v>
      </c>
      <c r="O4" s="19">
        <f>N4*47%*3.67</f>
        <v>0.72256002139456077</v>
      </c>
      <c r="P4" s="1"/>
      <c r="Q4" s="1"/>
      <c r="R4" s="465">
        <v>5</v>
      </c>
      <c r="S4">
        <v>4.9000000000000004</v>
      </c>
      <c r="T4">
        <f>AVERAGE(R4:S4)^2</f>
        <v>24.502500000000001</v>
      </c>
      <c r="U4">
        <v>4.3</v>
      </c>
      <c r="V4" s="466">
        <f t="shared" ref="V4:V67" si="3">IFERROR(0.1054*AVERAGE(R4:S4)^2.4809,"")</f>
        <v>5.5729692776768029</v>
      </c>
      <c r="W4" s="466">
        <f>IFERROR(0.0673*(E4*(T4)*U4^0.976),"")</f>
        <v>4.210811404604355</v>
      </c>
      <c r="X4" s="1">
        <f t="shared" ref="X4:X67" si="4">EXP(-1.085+0.9256*LN(W4))/W4</f>
        <v>0.30362510102857032</v>
      </c>
      <c r="Y4" s="1">
        <f>W4+W4*(X4)</f>
        <v>5.4893194427396086</v>
      </c>
      <c r="Z4" s="19">
        <f>Y4*47%*3.67</f>
        <v>9.4685271067815506</v>
      </c>
      <c r="AA4" s="1"/>
      <c r="AB4">
        <f t="shared" ref="AB4:AB67" si="5">AVERAGE(G4:H4)</f>
        <v>1.95</v>
      </c>
      <c r="AC4">
        <f>AB4^2</f>
        <v>3.8024999999999998</v>
      </c>
      <c r="AD4" s="468">
        <f>N4/1000</f>
        <v>4.1889965875967352E-4</v>
      </c>
      <c r="AE4" s="468">
        <f>IF($B4=AE$3,$AC4,0)</f>
        <v>3.8024999999999998</v>
      </c>
      <c r="AF4" s="468"/>
      <c r="AG4" s="468"/>
      <c r="AH4" s="468"/>
      <c r="AI4" s="468"/>
      <c r="AJ4" s="470">
        <f>IF($B4=AJ$3,$AD4,"")</f>
        <v>4.1889965875967352E-4</v>
      </c>
      <c r="AK4" s="470" t="str">
        <f t="shared" ref="AK4:AM19" si="6">IF($B4=AK$3,$AD4,"")</f>
        <v/>
      </c>
      <c r="AL4" s="470" t="str">
        <f t="shared" si="6"/>
        <v/>
      </c>
      <c r="AM4" s="470" t="str">
        <f t="shared" si="6"/>
        <v/>
      </c>
      <c r="AN4" s="469"/>
      <c r="AO4">
        <f t="shared" ref="AO4:AO35" si="7">AVERAGE(R4:S4)</f>
        <v>4.95</v>
      </c>
      <c r="AP4" s="470">
        <f>AO4^2</f>
        <v>24.502500000000001</v>
      </c>
      <c r="AQ4" s="470">
        <f t="shared" ref="AQ4:AQ35" si="8">Y4/1000</f>
        <v>5.4893194427396083E-3</v>
      </c>
      <c r="AR4" s="470"/>
      <c r="AS4" s="470">
        <f>IF($B4=AS$3,$AP4,"")</f>
        <v>24.502500000000001</v>
      </c>
      <c r="AT4" s="470" t="str">
        <f t="shared" ref="AT4:AV8" si="9">IF($B4=AT$3,$AQ4,"")</f>
        <v/>
      </c>
      <c r="AU4" s="470" t="str">
        <f t="shared" si="9"/>
        <v/>
      </c>
      <c r="AV4" s="470" t="str">
        <f t="shared" si="9"/>
        <v/>
      </c>
      <c r="AX4" s="480">
        <f>AQ4</f>
        <v>5.4893194427396083E-3</v>
      </c>
      <c r="AY4" s="470">
        <f>IF($B4=AY$3,$AX4,"")</f>
        <v>5.4893194427396083E-3</v>
      </c>
      <c r="AZ4" s="470" t="str">
        <f t="shared" ref="AZ4:BB8" si="10">IF($B4=AZ$3,$AQ4,"")</f>
        <v/>
      </c>
      <c r="BA4" s="470" t="str">
        <f t="shared" si="10"/>
        <v/>
      </c>
      <c r="BB4" s="470" t="str">
        <f t="shared" si="10"/>
        <v/>
      </c>
    </row>
    <row r="5" spans="2:54">
      <c r="B5" t="s">
        <v>232</v>
      </c>
      <c r="C5" t="s">
        <v>2799</v>
      </c>
      <c r="D5">
        <f>2</f>
        <v>2</v>
      </c>
      <c r="E5">
        <f t="shared" ref="E5:E68" si="11">_xlfn.XLOOKUP(B5,$B$84:$B$87,$C$84:$C$87)</f>
        <v>0.61499999999999999</v>
      </c>
      <c r="G5" s="465">
        <v>2.2999999999999998</v>
      </c>
      <c r="H5">
        <v>2.2999999999999998</v>
      </c>
      <c r="I5" s="1">
        <f t="shared" si="0"/>
        <v>5.2899999999999991</v>
      </c>
      <c r="J5">
        <v>2.2000000000000002</v>
      </c>
      <c r="K5" s="466">
        <f t="shared" si="1"/>
        <v>0.83224500879685204</v>
      </c>
      <c r="L5" s="467">
        <f t="shared" ref="L5:L68" si="12">IFERROR(0.0673*(E5*(I5)*J5^0.976),"")</f>
        <v>0.47266167374338197</v>
      </c>
      <c r="M5" s="1">
        <f t="shared" si="2"/>
        <v>0.34254986280095812</v>
      </c>
      <c r="N5" s="1">
        <f t="shared" ref="N5:N68" si="13">L5+L5*(M5)</f>
        <v>0.63457186523544873</v>
      </c>
      <c r="O5" s="19">
        <f t="shared" ref="O5:O68" si="14">N5*47%*3.67</f>
        <v>1.0945730103446256</v>
      </c>
      <c r="P5" s="1"/>
      <c r="Q5" s="1"/>
      <c r="R5" s="465">
        <v>5.6</v>
      </c>
      <c r="S5">
        <v>5.4</v>
      </c>
      <c r="T5">
        <f t="shared" ref="T5:T68" si="15">AVERAGE(R5:S5)^2</f>
        <v>30.25</v>
      </c>
      <c r="U5">
        <v>4.45</v>
      </c>
      <c r="V5" s="466">
        <f t="shared" si="3"/>
        <v>7.2377971507839813</v>
      </c>
      <c r="W5" s="466">
        <f t="shared" ref="W5:W68" si="16">IFERROR(0.0673*(E5*(T5)*U5^0.976),"")</f>
        <v>5.375451276132476</v>
      </c>
      <c r="X5" s="1">
        <f t="shared" si="4"/>
        <v>0.29815878937311252</v>
      </c>
      <c r="Y5" s="1">
        <f>W5+W5*(X5)</f>
        <v>6.9781893209582879</v>
      </c>
      <c r="Z5" s="19">
        <f t="shared" ref="Z5:Z68" si="17">Y5*47%*3.67</f>
        <v>12.036678759720949</v>
      </c>
      <c r="AA5" s="1"/>
      <c r="AB5">
        <f t="shared" si="5"/>
        <v>2.2999999999999998</v>
      </c>
      <c r="AC5">
        <f t="shared" ref="AC5:AC68" si="18">AB5^2</f>
        <v>5.2899999999999991</v>
      </c>
      <c r="AD5" s="468">
        <f t="shared" ref="AD5:AD68" si="19">N5/1000</f>
        <v>6.3457186523544872E-4</v>
      </c>
      <c r="AE5" s="468">
        <f t="shared" ref="AE5:AE36" si="20">IF($B5=AE$3,$AC5,0)</f>
        <v>5.2899999999999991</v>
      </c>
      <c r="AF5" s="468"/>
      <c r="AG5" s="468"/>
      <c r="AH5" s="468"/>
      <c r="AI5" s="468"/>
      <c r="AJ5" s="470">
        <f t="shared" ref="AJ5:AM36" si="21">IF($B5=AJ$3,$AD5,"")</f>
        <v>6.3457186523544872E-4</v>
      </c>
      <c r="AK5" s="470" t="str">
        <f t="shared" si="6"/>
        <v/>
      </c>
      <c r="AL5" s="470" t="str">
        <f t="shared" si="6"/>
        <v/>
      </c>
      <c r="AM5" s="470" t="str">
        <f t="shared" si="6"/>
        <v/>
      </c>
      <c r="AN5" s="469"/>
      <c r="AO5">
        <f t="shared" si="7"/>
        <v>5.5</v>
      </c>
      <c r="AP5" s="470">
        <f t="shared" ref="AP5:AP68" si="22">AO5^2</f>
        <v>30.25</v>
      </c>
      <c r="AQ5" s="470">
        <f t="shared" si="8"/>
        <v>6.9781893209582878E-3</v>
      </c>
      <c r="AR5" s="470"/>
      <c r="AS5" s="470">
        <f>IF($B5=AS$3,$AP5,"")</f>
        <v>30.25</v>
      </c>
      <c r="AT5" s="470" t="str">
        <f t="shared" si="9"/>
        <v/>
      </c>
      <c r="AU5" s="470" t="str">
        <f t="shared" si="9"/>
        <v/>
      </c>
      <c r="AV5" s="470" t="str">
        <f t="shared" si="9"/>
        <v/>
      </c>
      <c r="AX5" s="480">
        <f t="shared" ref="AX5:AX68" si="23">AQ5</f>
        <v>6.9781893209582878E-3</v>
      </c>
      <c r="AY5" s="470">
        <f>IF($B5=AY$3,$AX5,"")</f>
        <v>6.9781893209582878E-3</v>
      </c>
      <c r="AZ5" s="470" t="str">
        <f t="shared" si="10"/>
        <v/>
      </c>
      <c r="BA5" s="470" t="str">
        <f t="shared" si="10"/>
        <v/>
      </c>
      <c r="BB5" s="470" t="str">
        <f t="shared" si="10"/>
        <v/>
      </c>
    </row>
    <row r="6" spans="2:54">
      <c r="B6" t="s">
        <v>232</v>
      </c>
      <c r="C6" t="s">
        <v>2799</v>
      </c>
      <c r="D6">
        <f>3</f>
        <v>3</v>
      </c>
      <c r="E6">
        <f t="shared" si="11"/>
        <v>0.61499999999999999</v>
      </c>
      <c r="G6" s="465">
        <v>2.5</v>
      </c>
      <c r="H6">
        <v>2.4</v>
      </c>
      <c r="I6" s="1">
        <f t="shared" si="0"/>
        <v>6.0025000000000013</v>
      </c>
      <c r="J6">
        <v>2.2999999999999998</v>
      </c>
      <c r="K6" s="466">
        <f t="shared" si="1"/>
        <v>0.97347039769508426</v>
      </c>
      <c r="L6" s="467">
        <f t="shared" si="12"/>
        <v>0.56010405477864977</v>
      </c>
      <c r="M6" s="1">
        <f t="shared" si="2"/>
        <v>0.33857842044733671</v>
      </c>
      <c r="N6" s="1">
        <f t="shared" si="13"/>
        <v>0.74974320093175351</v>
      </c>
      <c r="O6" s="19">
        <f t="shared" si="14"/>
        <v>1.2932320472871817</v>
      </c>
      <c r="P6" s="1"/>
      <c r="Q6" s="1"/>
      <c r="R6" s="465">
        <v>4.2</v>
      </c>
      <c r="S6">
        <v>4.0999999999999996</v>
      </c>
      <c r="T6">
        <f t="shared" si="15"/>
        <v>17.222500000000004</v>
      </c>
      <c r="U6">
        <v>3.7</v>
      </c>
      <c r="V6" s="466">
        <f t="shared" si="3"/>
        <v>3.5987869255357805</v>
      </c>
      <c r="W6" s="466">
        <f t="shared" si="16"/>
        <v>2.5559435397118793</v>
      </c>
      <c r="X6" s="1">
        <f t="shared" si="4"/>
        <v>0.31511470749876541</v>
      </c>
      <c r="Y6" s="1">
        <f t="shared" ref="Y6:Y69" si="24">W6+W6*(X6)</f>
        <v>3.3613589406115469</v>
      </c>
      <c r="Z6" s="19">
        <f t="shared" si="17"/>
        <v>5.7980080366608568</v>
      </c>
      <c r="AA6" s="1"/>
      <c r="AB6">
        <f t="shared" si="5"/>
        <v>2.4500000000000002</v>
      </c>
      <c r="AC6">
        <f t="shared" si="18"/>
        <v>6.0025000000000013</v>
      </c>
      <c r="AD6" s="468">
        <f t="shared" si="19"/>
        <v>7.4974320093175353E-4</v>
      </c>
      <c r="AE6" s="468">
        <f t="shared" si="20"/>
        <v>6.0025000000000013</v>
      </c>
      <c r="AF6" s="468"/>
      <c r="AG6" s="468"/>
      <c r="AH6" s="468"/>
      <c r="AI6" s="468"/>
      <c r="AJ6" s="470">
        <f t="shared" si="21"/>
        <v>7.4974320093175353E-4</v>
      </c>
      <c r="AK6" s="470" t="str">
        <f t="shared" si="6"/>
        <v/>
      </c>
      <c r="AL6" s="470" t="str">
        <f t="shared" si="6"/>
        <v/>
      </c>
      <c r="AM6" s="470" t="str">
        <f t="shared" si="6"/>
        <v/>
      </c>
      <c r="AN6" s="469"/>
      <c r="AO6">
        <f t="shared" si="7"/>
        <v>4.1500000000000004</v>
      </c>
      <c r="AP6" s="470">
        <f t="shared" si="22"/>
        <v>17.222500000000004</v>
      </c>
      <c r="AQ6" s="470">
        <f t="shared" si="8"/>
        <v>3.361358940611547E-3</v>
      </c>
      <c r="AR6" s="470"/>
      <c r="AS6" s="470">
        <f>IF($B6=AS$3,$AP6,"")</f>
        <v>17.222500000000004</v>
      </c>
      <c r="AT6" s="470" t="str">
        <f t="shared" si="9"/>
        <v/>
      </c>
      <c r="AU6" s="470" t="str">
        <f t="shared" si="9"/>
        <v/>
      </c>
      <c r="AV6" s="470" t="str">
        <f t="shared" si="9"/>
        <v/>
      </c>
      <c r="AX6" s="480">
        <f t="shared" si="23"/>
        <v>3.361358940611547E-3</v>
      </c>
      <c r="AY6" s="470">
        <f>IF($B6=AY$3,$AX6,"")</f>
        <v>3.361358940611547E-3</v>
      </c>
      <c r="AZ6" s="470" t="str">
        <f t="shared" si="10"/>
        <v/>
      </c>
      <c r="BA6" s="470" t="str">
        <f t="shared" si="10"/>
        <v/>
      </c>
      <c r="BB6" s="470" t="str">
        <f t="shared" si="10"/>
        <v/>
      </c>
    </row>
    <row r="7" spans="2:54">
      <c r="B7" t="s">
        <v>232</v>
      </c>
      <c r="C7" t="s">
        <v>2799</v>
      </c>
      <c r="D7">
        <f>4</f>
        <v>4</v>
      </c>
      <c r="E7">
        <f t="shared" si="11"/>
        <v>0.61499999999999999</v>
      </c>
      <c r="G7" s="465">
        <v>1.9</v>
      </c>
      <c r="H7">
        <v>1.8</v>
      </c>
      <c r="I7" s="1">
        <f t="shared" si="0"/>
        <v>3.4225000000000003</v>
      </c>
      <c r="J7">
        <v>2</v>
      </c>
      <c r="K7" s="466">
        <f t="shared" si="1"/>
        <v>0.4849164888271742</v>
      </c>
      <c r="L7" s="467">
        <f t="shared" si="12"/>
        <v>0.27863708149096489</v>
      </c>
      <c r="M7" s="1">
        <f t="shared" si="2"/>
        <v>0.35659632729308949</v>
      </c>
      <c r="N7" s="1">
        <f t="shared" si="13"/>
        <v>0.37799804139830828</v>
      </c>
      <c r="O7" s="19">
        <f t="shared" si="14"/>
        <v>0.65200882160794194</v>
      </c>
      <c r="P7" s="1"/>
      <c r="Q7" s="1"/>
      <c r="R7" s="465">
        <v>4.9000000000000004</v>
      </c>
      <c r="S7">
        <v>5.2</v>
      </c>
      <c r="T7">
        <f t="shared" si="15"/>
        <v>25.502500000000008</v>
      </c>
      <c r="U7">
        <v>4.8</v>
      </c>
      <c r="V7" s="466">
        <f t="shared" si="3"/>
        <v>5.8564736128298414</v>
      </c>
      <c r="W7" s="466">
        <f t="shared" si="16"/>
        <v>4.8793771032987552</v>
      </c>
      <c r="X7" s="1">
        <f t="shared" si="4"/>
        <v>0.30031441380382584</v>
      </c>
      <c r="Y7" s="1">
        <f t="shared" si="24"/>
        <v>6.3447243778037308</v>
      </c>
      <c r="Z7" s="19">
        <f t="shared" si="17"/>
        <v>10.944015079273655</v>
      </c>
      <c r="AA7" s="1"/>
      <c r="AB7">
        <f t="shared" si="5"/>
        <v>1.85</v>
      </c>
      <c r="AC7">
        <f t="shared" si="18"/>
        <v>3.4225000000000003</v>
      </c>
      <c r="AD7" s="468">
        <f t="shared" si="19"/>
        <v>3.7799804139830828E-4</v>
      </c>
      <c r="AE7" s="468">
        <f t="shared" si="20"/>
        <v>3.4225000000000003</v>
      </c>
      <c r="AF7" s="468"/>
      <c r="AG7" s="468"/>
      <c r="AH7" s="468"/>
      <c r="AI7" s="468"/>
      <c r="AJ7" s="470">
        <f t="shared" si="21"/>
        <v>3.7799804139830828E-4</v>
      </c>
      <c r="AK7" s="470" t="str">
        <f t="shared" si="6"/>
        <v/>
      </c>
      <c r="AL7" s="470" t="str">
        <f t="shared" si="6"/>
        <v/>
      </c>
      <c r="AM7" s="470" t="str">
        <f t="shared" si="6"/>
        <v/>
      </c>
      <c r="AN7" s="469"/>
      <c r="AO7">
        <f t="shared" si="7"/>
        <v>5.0500000000000007</v>
      </c>
      <c r="AP7" s="470">
        <f t="shared" si="22"/>
        <v>25.502500000000008</v>
      </c>
      <c r="AQ7" s="470">
        <f t="shared" si="8"/>
        <v>6.3447243778037305E-3</v>
      </c>
      <c r="AR7" s="470"/>
      <c r="AS7" s="470">
        <f>IF($B7=AS$3,$AP7,"")</f>
        <v>25.502500000000008</v>
      </c>
      <c r="AT7" s="470" t="str">
        <f t="shared" si="9"/>
        <v/>
      </c>
      <c r="AU7" s="470" t="str">
        <f t="shared" si="9"/>
        <v/>
      </c>
      <c r="AV7" s="470" t="str">
        <f t="shared" si="9"/>
        <v/>
      </c>
      <c r="AX7" s="480">
        <f t="shared" si="23"/>
        <v>6.3447243778037305E-3</v>
      </c>
      <c r="AY7" s="470">
        <f>IF($B7=AY$3,$AX7,"")</f>
        <v>6.3447243778037305E-3</v>
      </c>
      <c r="AZ7" s="470" t="str">
        <f t="shared" si="10"/>
        <v/>
      </c>
      <c r="BA7" s="470" t="str">
        <f t="shared" si="10"/>
        <v/>
      </c>
      <c r="BB7" s="470" t="str">
        <f t="shared" si="10"/>
        <v/>
      </c>
    </row>
    <row r="8" spans="2:54">
      <c r="B8" t="s">
        <v>232</v>
      </c>
      <c r="C8" t="s">
        <v>2799</v>
      </c>
      <c r="D8">
        <f>5</f>
        <v>5</v>
      </c>
      <c r="E8">
        <f t="shared" si="11"/>
        <v>0.61499999999999999</v>
      </c>
      <c r="G8" s="465">
        <v>2.5</v>
      </c>
      <c r="H8">
        <v>2.5</v>
      </c>
      <c r="I8" s="1">
        <f t="shared" si="0"/>
        <v>6.25</v>
      </c>
      <c r="J8">
        <v>2.1</v>
      </c>
      <c r="K8" s="466">
        <f t="shared" si="1"/>
        <v>1.0235050230560792</v>
      </c>
      <c r="L8" s="467">
        <f t="shared" si="12"/>
        <v>0.53364965009609389</v>
      </c>
      <c r="M8" s="1">
        <f t="shared" si="2"/>
        <v>0.33731821442107851</v>
      </c>
      <c r="N8" s="1">
        <f t="shared" si="13"/>
        <v>0.71365939719294158</v>
      </c>
      <c r="O8" s="19">
        <f t="shared" si="14"/>
        <v>1.230991094218105</v>
      </c>
      <c r="P8" s="1"/>
      <c r="Q8" s="1"/>
      <c r="R8" s="465">
        <v>4.7</v>
      </c>
      <c r="S8">
        <v>4.5999999999999996</v>
      </c>
      <c r="T8">
        <f t="shared" si="15"/>
        <v>21.622500000000002</v>
      </c>
      <c r="U8">
        <v>3.65</v>
      </c>
      <c r="V8" s="466">
        <f t="shared" si="3"/>
        <v>4.7722659891166739</v>
      </c>
      <c r="W8" s="466">
        <f t="shared" si="16"/>
        <v>3.1666052064595815</v>
      </c>
      <c r="X8" s="1">
        <f t="shared" si="4"/>
        <v>0.31013179970043231</v>
      </c>
      <c r="Y8" s="1">
        <f t="shared" si="24"/>
        <v>4.1486701780796507</v>
      </c>
      <c r="Z8" s="19">
        <f t="shared" si="17"/>
        <v>7.1560411901695886</v>
      </c>
      <c r="AA8" s="1"/>
      <c r="AB8">
        <f t="shared" si="5"/>
        <v>2.5</v>
      </c>
      <c r="AC8">
        <f t="shared" si="18"/>
        <v>6.25</v>
      </c>
      <c r="AD8" s="468">
        <f t="shared" si="19"/>
        <v>7.1365939719294157E-4</v>
      </c>
      <c r="AE8" s="468">
        <f t="shared" si="20"/>
        <v>6.25</v>
      </c>
      <c r="AF8" s="468"/>
      <c r="AG8" s="468"/>
      <c r="AH8" s="468"/>
      <c r="AI8" s="468"/>
      <c r="AJ8" s="470">
        <f t="shared" si="21"/>
        <v>7.1365939719294157E-4</v>
      </c>
      <c r="AK8" s="470" t="str">
        <f t="shared" si="6"/>
        <v/>
      </c>
      <c r="AL8" s="470" t="str">
        <f t="shared" si="6"/>
        <v/>
      </c>
      <c r="AM8" s="470" t="str">
        <f t="shared" si="6"/>
        <v/>
      </c>
      <c r="AN8" s="469"/>
      <c r="AO8">
        <f t="shared" si="7"/>
        <v>4.6500000000000004</v>
      </c>
      <c r="AP8" s="470">
        <f t="shared" si="22"/>
        <v>21.622500000000002</v>
      </c>
      <c r="AQ8" s="470">
        <f t="shared" si="8"/>
        <v>4.148670178079651E-3</v>
      </c>
      <c r="AR8" s="470"/>
      <c r="AS8" s="470">
        <f>IF($B8=AS$3,$AP8,"")</f>
        <v>21.622500000000002</v>
      </c>
      <c r="AT8" s="470" t="str">
        <f t="shared" si="9"/>
        <v/>
      </c>
      <c r="AU8" s="470" t="str">
        <f t="shared" si="9"/>
        <v/>
      </c>
      <c r="AV8" s="470" t="str">
        <f t="shared" si="9"/>
        <v/>
      </c>
      <c r="AX8" s="480">
        <f t="shared" si="23"/>
        <v>4.148670178079651E-3</v>
      </c>
      <c r="AY8" s="470">
        <f>IF($B8=AY$3,$AX8,"")</f>
        <v>4.148670178079651E-3</v>
      </c>
      <c r="AZ8" s="470" t="str">
        <f t="shared" si="10"/>
        <v/>
      </c>
      <c r="BA8" s="470" t="str">
        <f t="shared" si="10"/>
        <v/>
      </c>
      <c r="BB8" s="470" t="str">
        <f t="shared" si="10"/>
        <v/>
      </c>
    </row>
    <row r="9" spans="2:54">
      <c r="B9" t="s">
        <v>242</v>
      </c>
      <c r="C9" t="s">
        <v>2800</v>
      </c>
      <c r="D9">
        <f>1</f>
        <v>1</v>
      </c>
      <c r="E9">
        <f t="shared" si="11"/>
        <v>0.68230000000000002</v>
      </c>
      <c r="G9" s="465">
        <v>2.5</v>
      </c>
      <c r="H9">
        <v>3.1</v>
      </c>
      <c r="I9" s="1">
        <f t="shared" si="0"/>
        <v>7.839999999999999</v>
      </c>
      <c r="J9">
        <v>2.6</v>
      </c>
      <c r="K9" s="466">
        <f t="shared" si="1"/>
        <v>1.3557979435175196</v>
      </c>
      <c r="L9" s="467">
        <f t="shared" si="12"/>
        <v>0.91478805649526496</v>
      </c>
      <c r="M9" s="1">
        <f t="shared" si="2"/>
        <v>0.33033544903626383</v>
      </c>
      <c r="N9" s="1">
        <f t="shared" si="13"/>
        <v>1.2169749799106393</v>
      </c>
      <c r="O9" s="19">
        <f t="shared" si="14"/>
        <v>2.0991601428478615</v>
      </c>
      <c r="P9" s="1"/>
      <c r="Q9" s="1"/>
      <c r="R9" s="465">
        <v>2.9</v>
      </c>
      <c r="S9">
        <v>2.9</v>
      </c>
      <c r="T9">
        <f t="shared" si="15"/>
        <v>8.41</v>
      </c>
      <c r="U9">
        <v>3.13</v>
      </c>
      <c r="V9" s="466">
        <f t="shared" si="3"/>
        <v>1.4791213433221295</v>
      </c>
      <c r="W9" s="466">
        <f t="shared" si="16"/>
        <v>1.1760822752017379</v>
      </c>
      <c r="X9" s="1">
        <f t="shared" si="4"/>
        <v>0.33384887869770513</v>
      </c>
      <c r="Y9" s="1">
        <f t="shared" si="24"/>
        <v>1.5687160240340841</v>
      </c>
      <c r="Z9" s="19">
        <f t="shared" si="17"/>
        <v>2.7058782698563912</v>
      </c>
      <c r="AA9" s="1"/>
      <c r="AB9">
        <f t="shared" si="5"/>
        <v>2.8</v>
      </c>
      <c r="AC9">
        <f t="shared" si="18"/>
        <v>7.839999999999999</v>
      </c>
      <c r="AD9" s="468">
        <f t="shared" si="19"/>
        <v>1.2169749799106394E-3</v>
      </c>
      <c r="AE9" s="468"/>
      <c r="AF9" s="468">
        <f t="shared" ref="AF9:AG18" si="25">IF($B9=AF$3,$AC9,0)</f>
        <v>7.839999999999999</v>
      </c>
      <c r="AG9" s="468"/>
      <c r="AH9" s="468"/>
      <c r="AI9" s="468"/>
      <c r="AJ9" s="470" t="str">
        <f t="shared" si="21"/>
        <v/>
      </c>
      <c r="AK9" s="470">
        <f t="shared" si="6"/>
        <v>1.2169749799106394E-3</v>
      </c>
      <c r="AL9" s="470" t="str">
        <f t="shared" si="6"/>
        <v/>
      </c>
      <c r="AM9" s="470" t="str">
        <f t="shared" si="6"/>
        <v/>
      </c>
      <c r="AN9" s="469"/>
      <c r="AO9">
        <f t="shared" si="7"/>
        <v>2.9</v>
      </c>
      <c r="AP9" s="470">
        <f t="shared" si="22"/>
        <v>8.41</v>
      </c>
      <c r="AQ9" s="470">
        <f t="shared" si="8"/>
        <v>1.5687160240340841E-3</v>
      </c>
      <c r="AR9" s="470"/>
      <c r="AS9" s="470"/>
      <c r="AT9" s="470">
        <f>IF($B9=AT$3,$AP9,"")</f>
        <v>8.41</v>
      </c>
      <c r="AU9" s="470" t="str">
        <f t="shared" ref="AU9:AV13" si="26">IF($B9=AU$3,$AQ9,"")</f>
        <v/>
      </c>
      <c r="AV9" s="470" t="str">
        <f t="shared" si="26"/>
        <v/>
      </c>
      <c r="AX9" s="480">
        <f t="shared" si="23"/>
        <v>1.5687160240340841E-3</v>
      </c>
      <c r="AY9" s="470"/>
      <c r="AZ9" s="470">
        <f>IF($B9=AZ$3,$AX9,"")</f>
        <v>1.5687160240340841E-3</v>
      </c>
      <c r="BA9" s="470" t="str">
        <f t="shared" ref="BA9:BB13" si="27">IF($B9=BA$3,$AQ9,"")</f>
        <v/>
      </c>
      <c r="BB9" s="470" t="str">
        <f t="shared" si="27"/>
        <v/>
      </c>
    </row>
    <row r="10" spans="2:54">
      <c r="B10" t="s">
        <v>242</v>
      </c>
      <c r="C10" t="s">
        <v>2800</v>
      </c>
      <c r="D10">
        <f>2</f>
        <v>2</v>
      </c>
      <c r="E10">
        <f t="shared" si="11"/>
        <v>0.68230000000000002</v>
      </c>
      <c r="G10" s="465">
        <v>2.4</v>
      </c>
      <c r="H10">
        <v>2.5</v>
      </c>
      <c r="I10" s="1">
        <f t="shared" si="0"/>
        <v>6.0025000000000013</v>
      </c>
      <c r="J10">
        <v>3.1</v>
      </c>
      <c r="K10" s="466">
        <f t="shared" si="1"/>
        <v>0.97347039769508426</v>
      </c>
      <c r="L10" s="467">
        <f t="shared" si="12"/>
        <v>0.83155622193180445</v>
      </c>
      <c r="M10" s="1">
        <f t="shared" si="2"/>
        <v>0.33857842044733671</v>
      </c>
      <c r="N10" s="1">
        <f t="shared" si="13"/>
        <v>1.1131032140666297</v>
      </c>
      <c r="O10" s="19">
        <f t="shared" si="14"/>
        <v>1.9199917339435293</v>
      </c>
      <c r="P10" s="1"/>
      <c r="Q10" s="1"/>
      <c r="R10" s="465">
        <v>2.9</v>
      </c>
      <c r="S10">
        <v>2.7</v>
      </c>
      <c r="T10">
        <f t="shared" si="15"/>
        <v>7.839999999999999</v>
      </c>
      <c r="U10">
        <v>3.75</v>
      </c>
      <c r="V10" s="466">
        <f t="shared" si="3"/>
        <v>1.3557979435175196</v>
      </c>
      <c r="W10" s="466">
        <f t="shared" si="16"/>
        <v>1.3078592715555224</v>
      </c>
      <c r="X10" s="1">
        <f t="shared" si="4"/>
        <v>0.33122136879029368</v>
      </c>
      <c r="Y10" s="1">
        <f t="shared" si="24"/>
        <v>1.741050209665219</v>
      </c>
      <c r="Z10" s="19">
        <f t="shared" si="17"/>
        <v>3.003137506651536</v>
      </c>
      <c r="AA10" s="1"/>
      <c r="AB10">
        <f t="shared" si="5"/>
        <v>2.4500000000000002</v>
      </c>
      <c r="AC10">
        <f t="shared" si="18"/>
        <v>6.0025000000000013</v>
      </c>
      <c r="AD10" s="468">
        <f t="shared" si="19"/>
        <v>1.1131032140666297E-3</v>
      </c>
      <c r="AE10" s="468"/>
      <c r="AF10" s="468">
        <f t="shared" si="25"/>
        <v>6.0025000000000013</v>
      </c>
      <c r="AG10" s="468"/>
      <c r="AH10" s="468"/>
      <c r="AI10" s="468"/>
      <c r="AJ10" s="470" t="str">
        <f t="shared" si="21"/>
        <v/>
      </c>
      <c r="AK10" s="470">
        <f t="shared" si="6"/>
        <v>1.1131032140666297E-3</v>
      </c>
      <c r="AL10" s="470" t="str">
        <f t="shared" si="6"/>
        <v/>
      </c>
      <c r="AM10" s="470" t="str">
        <f t="shared" si="6"/>
        <v/>
      </c>
      <c r="AN10" s="469"/>
      <c r="AO10">
        <f t="shared" si="7"/>
        <v>2.8</v>
      </c>
      <c r="AP10" s="470">
        <f t="shared" si="22"/>
        <v>7.839999999999999</v>
      </c>
      <c r="AQ10" s="470">
        <f t="shared" si="8"/>
        <v>1.7410502096652188E-3</v>
      </c>
      <c r="AR10" s="470"/>
      <c r="AS10" s="470"/>
      <c r="AT10" s="470">
        <f>IF($B10=AT$3,$AP10,"")</f>
        <v>7.839999999999999</v>
      </c>
      <c r="AU10" s="470" t="str">
        <f t="shared" si="26"/>
        <v/>
      </c>
      <c r="AV10" s="470" t="str">
        <f t="shared" si="26"/>
        <v/>
      </c>
      <c r="AX10" s="480">
        <f t="shared" si="23"/>
        <v>1.7410502096652188E-3</v>
      </c>
      <c r="AY10" s="470"/>
      <c r="AZ10" s="470">
        <f>IF($B10=AZ$3,$AX10,"")</f>
        <v>1.7410502096652188E-3</v>
      </c>
      <c r="BA10" s="470" t="str">
        <f t="shared" si="27"/>
        <v/>
      </c>
      <c r="BB10" s="470" t="str">
        <f t="shared" si="27"/>
        <v/>
      </c>
    </row>
    <row r="11" spans="2:54">
      <c r="B11" t="s">
        <v>242</v>
      </c>
      <c r="C11" t="s">
        <v>2800</v>
      </c>
      <c r="D11">
        <f>3</f>
        <v>3</v>
      </c>
      <c r="E11">
        <f t="shared" si="11"/>
        <v>0.68230000000000002</v>
      </c>
      <c r="G11" s="465">
        <v>2.1</v>
      </c>
      <c r="H11">
        <v>2.2000000000000002</v>
      </c>
      <c r="I11" s="1">
        <f t="shared" si="0"/>
        <v>4.6225000000000014</v>
      </c>
      <c r="J11">
        <v>2.5</v>
      </c>
      <c r="K11" s="466">
        <f t="shared" si="1"/>
        <v>0.70402354885119778</v>
      </c>
      <c r="L11" s="467">
        <f t="shared" si="12"/>
        <v>0.51910690264580273</v>
      </c>
      <c r="M11" s="1">
        <f t="shared" si="2"/>
        <v>0.34684065722340379</v>
      </c>
      <c r="N11" s="1">
        <f t="shared" si="13"/>
        <v>0.69915428192867846</v>
      </c>
      <c r="O11" s="19">
        <f t="shared" si="14"/>
        <v>1.2059712208987774</v>
      </c>
      <c r="P11" s="1"/>
      <c r="Q11" s="1"/>
      <c r="R11" s="465">
        <v>1.9</v>
      </c>
      <c r="S11">
        <v>2</v>
      </c>
      <c r="T11">
        <f t="shared" si="15"/>
        <v>3.8024999999999998</v>
      </c>
      <c r="U11">
        <v>2.9</v>
      </c>
      <c r="V11" s="466">
        <f t="shared" si="3"/>
        <v>0.55257022342127238</v>
      </c>
      <c r="W11" s="466">
        <f t="shared" si="16"/>
        <v>0.4935828987121158</v>
      </c>
      <c r="X11" s="1">
        <f t="shared" si="4"/>
        <v>0.35612666719239372</v>
      </c>
      <c r="Y11" s="1">
        <f t="shared" si="24"/>
        <v>0.66936093141362241</v>
      </c>
      <c r="Z11" s="19">
        <f t="shared" si="17"/>
        <v>1.1545806705953572</v>
      </c>
      <c r="AA11" s="1"/>
      <c r="AB11">
        <f t="shared" si="5"/>
        <v>2.1500000000000004</v>
      </c>
      <c r="AC11">
        <f t="shared" si="18"/>
        <v>4.6225000000000014</v>
      </c>
      <c r="AD11" s="468">
        <f t="shared" si="19"/>
        <v>6.9915428192867844E-4</v>
      </c>
      <c r="AE11" s="468"/>
      <c r="AF11" s="468">
        <f t="shared" si="25"/>
        <v>4.6225000000000014</v>
      </c>
      <c r="AG11" s="468"/>
      <c r="AH11" s="468"/>
      <c r="AI11" s="468"/>
      <c r="AJ11" s="470" t="str">
        <f t="shared" si="21"/>
        <v/>
      </c>
      <c r="AK11" s="470">
        <f t="shared" si="6"/>
        <v>6.9915428192867844E-4</v>
      </c>
      <c r="AL11" s="470" t="str">
        <f t="shared" si="6"/>
        <v/>
      </c>
      <c r="AM11" s="470" t="str">
        <f t="shared" si="6"/>
        <v/>
      </c>
      <c r="AN11" s="469"/>
      <c r="AO11">
        <f t="shared" si="7"/>
        <v>1.95</v>
      </c>
      <c r="AP11" s="470">
        <f t="shared" si="22"/>
        <v>3.8024999999999998</v>
      </c>
      <c r="AQ11" s="470">
        <f t="shared" si="8"/>
        <v>6.6936093141362236E-4</v>
      </c>
      <c r="AR11" s="470"/>
      <c r="AS11" s="470"/>
      <c r="AT11" s="470">
        <f>IF($B11=AT$3,$AP11,"")</f>
        <v>3.8024999999999998</v>
      </c>
      <c r="AU11" s="470" t="str">
        <f t="shared" si="26"/>
        <v/>
      </c>
      <c r="AV11" s="470" t="str">
        <f t="shared" si="26"/>
        <v/>
      </c>
      <c r="AX11" s="480">
        <f t="shared" si="23"/>
        <v>6.6936093141362236E-4</v>
      </c>
      <c r="AY11" s="470"/>
      <c r="AZ11" s="470">
        <f>IF($B11=AZ$3,$AX11,"")</f>
        <v>6.6936093141362236E-4</v>
      </c>
      <c r="BA11" s="470" t="str">
        <f t="shared" si="27"/>
        <v/>
      </c>
      <c r="BB11" s="470" t="str">
        <f t="shared" si="27"/>
        <v/>
      </c>
    </row>
    <row r="12" spans="2:54">
      <c r="B12" t="s">
        <v>242</v>
      </c>
      <c r="C12" t="s">
        <v>2800</v>
      </c>
      <c r="D12">
        <f>4</f>
        <v>4</v>
      </c>
      <c r="E12">
        <f t="shared" si="11"/>
        <v>0.68230000000000002</v>
      </c>
      <c r="G12" s="465">
        <v>1.9</v>
      </c>
      <c r="H12">
        <v>2.1</v>
      </c>
      <c r="I12" s="1">
        <f t="shared" si="0"/>
        <v>4</v>
      </c>
      <c r="J12">
        <v>2.2000000000000002</v>
      </c>
      <c r="K12" s="466">
        <f t="shared" si="1"/>
        <v>0.58839087259296141</v>
      </c>
      <c r="L12" s="467">
        <f t="shared" si="12"/>
        <v>0.39651074737745345</v>
      </c>
      <c r="M12" s="1">
        <f t="shared" si="2"/>
        <v>0.35150162908206245</v>
      </c>
      <c r="N12" s="1">
        <f t="shared" si="13"/>
        <v>0.53588492102917451</v>
      </c>
      <c r="O12" s="19">
        <f t="shared" si="14"/>
        <v>0.92434790028322311</v>
      </c>
      <c r="P12" s="1"/>
      <c r="Q12" s="1"/>
      <c r="R12" s="465">
        <v>2.4</v>
      </c>
      <c r="S12">
        <v>2.5</v>
      </c>
      <c r="T12">
        <f t="shared" si="15"/>
        <v>6.0025000000000013</v>
      </c>
      <c r="U12">
        <v>2.9</v>
      </c>
      <c r="V12" s="466">
        <f t="shared" si="3"/>
        <v>0.97347039769508426</v>
      </c>
      <c r="W12" s="466">
        <f t="shared" si="16"/>
        <v>0.77915354359486555</v>
      </c>
      <c r="X12" s="1">
        <f t="shared" si="4"/>
        <v>0.34423397528228933</v>
      </c>
      <c r="Y12" s="1">
        <f t="shared" si="24"/>
        <v>1.0473646652618087</v>
      </c>
      <c r="Z12" s="19">
        <f t="shared" si="17"/>
        <v>1.8065993111100938</v>
      </c>
      <c r="AA12" s="1"/>
      <c r="AB12">
        <f t="shared" si="5"/>
        <v>2</v>
      </c>
      <c r="AC12">
        <f t="shared" si="18"/>
        <v>4</v>
      </c>
      <c r="AD12" s="468">
        <f t="shared" si="19"/>
        <v>5.3588492102917451E-4</v>
      </c>
      <c r="AE12" s="468"/>
      <c r="AF12" s="468">
        <f t="shared" si="25"/>
        <v>4</v>
      </c>
      <c r="AG12" s="468"/>
      <c r="AH12" s="468"/>
      <c r="AI12" s="468"/>
      <c r="AJ12" s="470" t="str">
        <f t="shared" si="21"/>
        <v/>
      </c>
      <c r="AK12" s="470">
        <f t="shared" si="6"/>
        <v>5.3588492102917451E-4</v>
      </c>
      <c r="AL12" s="470" t="str">
        <f t="shared" si="6"/>
        <v/>
      </c>
      <c r="AM12" s="470" t="str">
        <f t="shared" si="6"/>
        <v/>
      </c>
      <c r="AN12" s="469"/>
      <c r="AO12">
        <f t="shared" si="7"/>
        <v>2.4500000000000002</v>
      </c>
      <c r="AP12" s="470">
        <f t="shared" si="22"/>
        <v>6.0025000000000013</v>
      </c>
      <c r="AQ12" s="470">
        <f t="shared" si="8"/>
        <v>1.0473646652618088E-3</v>
      </c>
      <c r="AR12" s="470"/>
      <c r="AS12" s="470"/>
      <c r="AT12" s="470">
        <f>IF($B12=AT$3,$AP12,"")</f>
        <v>6.0025000000000013</v>
      </c>
      <c r="AU12" s="470" t="str">
        <f t="shared" si="26"/>
        <v/>
      </c>
      <c r="AV12" s="470" t="str">
        <f t="shared" si="26"/>
        <v/>
      </c>
      <c r="AX12" s="480">
        <f t="shared" si="23"/>
        <v>1.0473646652618088E-3</v>
      </c>
      <c r="AY12" s="470"/>
      <c r="AZ12" s="470">
        <f>IF($B12=AZ$3,$AX12,"")</f>
        <v>1.0473646652618088E-3</v>
      </c>
      <c r="BA12" s="470" t="str">
        <f t="shared" si="27"/>
        <v/>
      </c>
      <c r="BB12" s="470" t="str">
        <f t="shared" si="27"/>
        <v/>
      </c>
    </row>
    <row r="13" spans="2:54">
      <c r="B13" t="s">
        <v>242</v>
      </c>
      <c r="C13" t="s">
        <v>2800</v>
      </c>
      <c r="D13">
        <f>5</f>
        <v>5</v>
      </c>
      <c r="E13">
        <f t="shared" si="11"/>
        <v>0.68230000000000002</v>
      </c>
      <c r="G13" s="465">
        <v>1.3</v>
      </c>
      <c r="H13">
        <v>1.4</v>
      </c>
      <c r="I13" s="1">
        <f t="shared" si="0"/>
        <v>1.8225000000000002</v>
      </c>
      <c r="J13">
        <v>2.4</v>
      </c>
      <c r="K13" s="466">
        <f t="shared" si="1"/>
        <v>0.2219144882304864</v>
      </c>
      <c r="L13" s="467">
        <f t="shared" si="12"/>
        <v>0.19667272917065587</v>
      </c>
      <c r="M13" s="1">
        <f t="shared" si="2"/>
        <v>0.37794993435316526</v>
      </c>
      <c r="N13" s="1">
        <f t="shared" si="13"/>
        <v>0.27100517424976311</v>
      </c>
      <c r="O13" s="19">
        <f t="shared" si="14"/>
        <v>0.46745682506341629</v>
      </c>
      <c r="P13" s="1"/>
      <c r="Q13" s="1"/>
      <c r="R13" s="465">
        <v>2</v>
      </c>
      <c r="S13">
        <v>2.1</v>
      </c>
      <c r="T13">
        <f t="shared" si="15"/>
        <v>4.2024999999999997</v>
      </c>
      <c r="U13">
        <v>3.15</v>
      </c>
      <c r="V13" s="466">
        <f t="shared" si="3"/>
        <v>0.62556258379700835</v>
      </c>
      <c r="W13" s="466">
        <f t="shared" si="16"/>
        <v>0.59135634111722701</v>
      </c>
      <c r="X13" s="1">
        <f t="shared" si="4"/>
        <v>0.35137018097719458</v>
      </c>
      <c r="Y13" s="1">
        <f t="shared" si="24"/>
        <v>0.79914132571759866</v>
      </c>
      <c r="Z13" s="19">
        <f t="shared" si="17"/>
        <v>1.3784388727302859</v>
      </c>
      <c r="AA13" s="1"/>
      <c r="AB13">
        <f t="shared" si="5"/>
        <v>1.35</v>
      </c>
      <c r="AC13">
        <f t="shared" si="18"/>
        <v>1.8225000000000002</v>
      </c>
      <c r="AD13" s="468">
        <f t="shared" si="19"/>
        <v>2.7100517424976311E-4</v>
      </c>
      <c r="AE13" s="468"/>
      <c r="AF13" s="468">
        <f t="shared" si="25"/>
        <v>1.8225000000000002</v>
      </c>
      <c r="AG13" s="468"/>
      <c r="AH13" s="468"/>
      <c r="AI13" s="468"/>
      <c r="AJ13" s="470" t="str">
        <f t="shared" si="21"/>
        <v/>
      </c>
      <c r="AK13" s="470">
        <f t="shared" si="6"/>
        <v>2.7100517424976311E-4</v>
      </c>
      <c r="AL13" s="470" t="str">
        <f t="shared" si="6"/>
        <v/>
      </c>
      <c r="AM13" s="470" t="str">
        <f t="shared" si="6"/>
        <v/>
      </c>
      <c r="AN13" s="469"/>
      <c r="AO13">
        <f t="shared" si="7"/>
        <v>2.0499999999999998</v>
      </c>
      <c r="AP13" s="470">
        <f t="shared" si="22"/>
        <v>4.2024999999999997</v>
      </c>
      <c r="AQ13" s="470">
        <f t="shared" si="8"/>
        <v>7.9914132571759868E-4</v>
      </c>
      <c r="AR13" s="470"/>
      <c r="AS13" s="470"/>
      <c r="AT13" s="470">
        <f>IF($B13=AT$3,$AP13,"")</f>
        <v>4.2024999999999997</v>
      </c>
      <c r="AU13" s="470" t="str">
        <f t="shared" si="26"/>
        <v/>
      </c>
      <c r="AV13" s="470" t="str">
        <f t="shared" si="26"/>
        <v/>
      </c>
      <c r="AX13" s="480">
        <f t="shared" si="23"/>
        <v>7.9914132571759868E-4</v>
      </c>
      <c r="AY13" s="470"/>
      <c r="AZ13" s="470">
        <f>IF($B13=AZ$3,$AX13,"")</f>
        <v>7.9914132571759868E-4</v>
      </c>
      <c r="BA13" s="470" t="str">
        <f t="shared" si="27"/>
        <v/>
      </c>
      <c r="BB13" s="470" t="str">
        <f t="shared" si="27"/>
        <v/>
      </c>
    </row>
    <row r="14" spans="2:54">
      <c r="B14" t="s">
        <v>228</v>
      </c>
      <c r="C14" t="s">
        <v>2800</v>
      </c>
      <c r="D14">
        <f>1</f>
        <v>1</v>
      </c>
      <c r="E14">
        <f t="shared" si="11"/>
        <v>0.61499999999999999</v>
      </c>
      <c r="G14" s="465">
        <v>2.8</v>
      </c>
      <c r="H14">
        <v>3</v>
      </c>
      <c r="I14" s="1">
        <f t="shared" si="0"/>
        <v>8.41</v>
      </c>
      <c r="J14">
        <v>2.6</v>
      </c>
      <c r="K14" s="466">
        <f t="shared" si="1"/>
        <v>1.4791213433221295</v>
      </c>
      <c r="L14" s="467">
        <f t="shared" si="12"/>
        <v>0.88450473757765324</v>
      </c>
      <c r="M14" s="1">
        <f t="shared" si="2"/>
        <v>0.32820274127606669</v>
      </c>
      <c r="N14" s="1">
        <f t="shared" si="13"/>
        <v>1.174801617122307</v>
      </c>
      <c r="O14" s="19">
        <f t="shared" si="14"/>
        <v>2.0264153093742672</v>
      </c>
      <c r="P14" s="1"/>
      <c r="Q14" s="1"/>
      <c r="R14" s="465">
        <v>4.9000000000000004</v>
      </c>
      <c r="S14">
        <v>5.3</v>
      </c>
      <c r="T14">
        <f t="shared" si="15"/>
        <v>26.009999999999998</v>
      </c>
      <c r="U14">
        <v>3.9</v>
      </c>
      <c r="V14" s="466">
        <f t="shared" si="3"/>
        <v>6.0013846172226941</v>
      </c>
      <c r="W14" s="466">
        <f t="shared" si="16"/>
        <v>4.0635872467307284</v>
      </c>
      <c r="X14" s="1">
        <f t="shared" si="4"/>
        <v>0.30443011640380341</v>
      </c>
      <c r="Y14" s="1">
        <f t="shared" si="24"/>
        <v>5.3006655852699751</v>
      </c>
      <c r="Z14" s="19">
        <f t="shared" si="17"/>
        <v>9.1431180680321802</v>
      </c>
      <c r="AA14" s="1"/>
      <c r="AB14">
        <f t="shared" si="5"/>
        <v>2.9</v>
      </c>
      <c r="AC14">
        <f t="shared" si="18"/>
        <v>8.41</v>
      </c>
      <c r="AD14" s="468">
        <f t="shared" si="19"/>
        <v>1.1748016171223071E-3</v>
      </c>
      <c r="AE14" s="468"/>
      <c r="AF14" s="468"/>
      <c r="AG14" s="468">
        <f t="shared" si="25"/>
        <v>8.41</v>
      </c>
      <c r="AH14" s="468"/>
      <c r="AI14" s="468"/>
      <c r="AJ14" s="470" t="str">
        <f t="shared" si="21"/>
        <v/>
      </c>
      <c r="AK14" s="470" t="str">
        <f t="shared" si="6"/>
        <v/>
      </c>
      <c r="AL14" s="470">
        <f t="shared" si="6"/>
        <v>1.1748016171223071E-3</v>
      </c>
      <c r="AM14" s="470" t="str">
        <f t="shared" si="6"/>
        <v/>
      </c>
      <c r="AN14" s="469"/>
      <c r="AO14">
        <f t="shared" si="7"/>
        <v>5.0999999999999996</v>
      </c>
      <c r="AP14" s="470">
        <f t="shared" si="22"/>
        <v>26.009999999999998</v>
      </c>
      <c r="AQ14" s="470">
        <f t="shared" si="8"/>
        <v>5.3006655852699753E-3</v>
      </c>
      <c r="AR14" s="470"/>
      <c r="AS14" s="470"/>
      <c r="AT14" s="470" t="str">
        <f t="shared" ref="AT14:AT48" si="28">IF($B14=AT$3,$AQ14,"")</f>
        <v/>
      </c>
      <c r="AU14" s="470">
        <f>IF($B14=AU$3,$AP14,"")</f>
        <v>26.009999999999998</v>
      </c>
      <c r="AV14" s="470" t="str">
        <f t="shared" ref="AV14:AV38" si="29">IF($B14=AV$3,$AQ14,"")</f>
        <v/>
      </c>
      <c r="AX14" s="480">
        <f t="shared" si="23"/>
        <v>5.3006655852699753E-3</v>
      </c>
      <c r="AY14" s="470"/>
      <c r="AZ14" s="470" t="str">
        <f t="shared" ref="AZ14:AZ48" si="30">IF($B14=AZ$3,$AQ14,"")</f>
        <v/>
      </c>
      <c r="BA14" s="470">
        <f>IF($B14=BA$3,$AX14,"")</f>
        <v>5.3006655852699753E-3</v>
      </c>
      <c r="BB14" s="470" t="str">
        <f t="shared" ref="BB14:BB38" si="31">IF($B14=BB$3,$AQ14,"")</f>
        <v/>
      </c>
    </row>
    <row r="15" spans="2:54">
      <c r="B15" t="s">
        <v>228</v>
      </c>
      <c r="C15" t="s">
        <v>2800</v>
      </c>
      <c r="D15">
        <f>2</f>
        <v>2</v>
      </c>
      <c r="E15">
        <f t="shared" si="11"/>
        <v>0.61499999999999999</v>
      </c>
      <c r="G15" s="465">
        <v>2.6</v>
      </c>
      <c r="H15">
        <v>2.7</v>
      </c>
      <c r="I15" s="1">
        <f t="shared" si="0"/>
        <v>7.0225000000000017</v>
      </c>
      <c r="J15">
        <v>3.1</v>
      </c>
      <c r="K15" s="466">
        <f t="shared" si="1"/>
        <v>1.1826910206463686</v>
      </c>
      <c r="L15" s="467">
        <f t="shared" si="12"/>
        <v>0.87690175862587894</v>
      </c>
      <c r="M15" s="1">
        <f t="shared" si="2"/>
        <v>0.33370972450869729</v>
      </c>
      <c r="N15" s="1">
        <f t="shared" si="13"/>
        <v>1.1695324029181131</v>
      </c>
      <c r="O15" s="19">
        <f t="shared" si="14"/>
        <v>2.0173264417934531</v>
      </c>
      <c r="P15" s="1"/>
      <c r="Q15" s="1"/>
      <c r="R15" s="465">
        <v>7.7</v>
      </c>
      <c r="S15">
        <v>7.5</v>
      </c>
      <c r="T15">
        <f t="shared" si="15"/>
        <v>57.76</v>
      </c>
      <c r="U15">
        <v>4.7</v>
      </c>
      <c r="V15" s="466">
        <f t="shared" si="3"/>
        <v>16.145483382438414</v>
      </c>
      <c r="W15" s="466">
        <f t="shared" si="16"/>
        <v>10.82642007004403</v>
      </c>
      <c r="X15" s="1">
        <f t="shared" si="4"/>
        <v>0.28302500876497028</v>
      </c>
      <c r="Y15" s="1">
        <f t="shared" si="24"/>
        <v>13.890567705261491</v>
      </c>
      <c r="Z15" s="19">
        <f t="shared" si="17"/>
        <v>23.959840234805544</v>
      </c>
      <c r="AA15" s="1"/>
      <c r="AB15">
        <f t="shared" si="5"/>
        <v>2.6500000000000004</v>
      </c>
      <c r="AC15">
        <f t="shared" si="18"/>
        <v>7.0225000000000017</v>
      </c>
      <c r="AD15" s="468">
        <f t="shared" si="19"/>
        <v>1.1695324029181132E-3</v>
      </c>
      <c r="AE15" s="468"/>
      <c r="AF15" s="468"/>
      <c r="AG15" s="468">
        <f t="shared" si="25"/>
        <v>7.0225000000000017</v>
      </c>
      <c r="AH15" s="468"/>
      <c r="AI15" s="468"/>
      <c r="AJ15" s="470" t="str">
        <f t="shared" si="21"/>
        <v/>
      </c>
      <c r="AK15" s="470" t="str">
        <f t="shared" si="6"/>
        <v/>
      </c>
      <c r="AL15" s="470">
        <f t="shared" si="6"/>
        <v>1.1695324029181132E-3</v>
      </c>
      <c r="AM15" s="470" t="str">
        <f t="shared" si="6"/>
        <v/>
      </c>
      <c r="AN15" s="469"/>
      <c r="AO15">
        <f t="shared" si="7"/>
        <v>7.6</v>
      </c>
      <c r="AP15" s="470">
        <f t="shared" si="22"/>
        <v>57.76</v>
      </c>
      <c r="AQ15" s="470">
        <f t="shared" si="8"/>
        <v>1.3890567705261491E-2</v>
      </c>
      <c r="AR15" s="470"/>
      <c r="AS15" s="470"/>
      <c r="AT15" s="470" t="str">
        <f t="shared" si="28"/>
        <v/>
      </c>
      <c r="AU15" s="470">
        <f>IF($B15=AU$3,$AP15,"")</f>
        <v>57.76</v>
      </c>
      <c r="AV15" s="470" t="str">
        <f t="shared" si="29"/>
        <v/>
      </c>
      <c r="AX15" s="480">
        <f t="shared" si="23"/>
        <v>1.3890567705261491E-2</v>
      </c>
      <c r="AY15" s="470"/>
      <c r="AZ15" s="470" t="str">
        <f t="shared" si="30"/>
        <v/>
      </c>
      <c r="BA15" s="470">
        <f>IF($B15=BA$3,$AX15,"")</f>
        <v>1.3890567705261491E-2</v>
      </c>
      <c r="BB15" s="470" t="str">
        <f t="shared" si="31"/>
        <v/>
      </c>
    </row>
    <row r="16" spans="2:54">
      <c r="B16" t="s">
        <v>228</v>
      </c>
      <c r="C16" t="s">
        <v>2800</v>
      </c>
      <c r="D16">
        <f>3</f>
        <v>3</v>
      </c>
      <c r="E16">
        <f t="shared" si="11"/>
        <v>0.61499999999999999</v>
      </c>
      <c r="G16" s="465">
        <v>3.4</v>
      </c>
      <c r="H16">
        <v>3.5</v>
      </c>
      <c r="I16" s="1">
        <f t="shared" si="0"/>
        <v>11.902500000000002</v>
      </c>
      <c r="J16">
        <v>2.4</v>
      </c>
      <c r="K16" s="466">
        <f t="shared" si="1"/>
        <v>2.2757052103060746</v>
      </c>
      <c r="L16" s="467">
        <f t="shared" si="12"/>
        <v>1.1577493399184551</v>
      </c>
      <c r="M16" s="1">
        <f t="shared" si="2"/>
        <v>0.31784915152371085</v>
      </c>
      <c r="N16" s="1">
        <f t="shared" si="13"/>
        <v>1.5257389852886722</v>
      </c>
      <c r="O16" s="19">
        <f t="shared" si="14"/>
        <v>2.6317471757244304</v>
      </c>
      <c r="P16" s="1"/>
      <c r="Q16" s="1"/>
      <c r="R16" s="465">
        <v>4.5</v>
      </c>
      <c r="S16">
        <v>4.4000000000000004</v>
      </c>
      <c r="T16">
        <f t="shared" si="15"/>
        <v>19.802500000000002</v>
      </c>
      <c r="U16">
        <v>3.1</v>
      </c>
      <c r="V16" s="466">
        <f t="shared" si="3"/>
        <v>4.2791445979781333</v>
      </c>
      <c r="W16" s="466">
        <f t="shared" si="16"/>
        <v>2.4727443325295786</v>
      </c>
      <c r="X16" s="1">
        <f t="shared" si="4"/>
        <v>0.3158915097832205</v>
      </c>
      <c r="Y16" s="1">
        <f t="shared" si="24"/>
        <v>3.253863273040249</v>
      </c>
      <c r="Z16" s="19">
        <f t="shared" si="17"/>
        <v>5.6125887596671244</v>
      </c>
      <c r="AA16" s="1"/>
      <c r="AB16">
        <f t="shared" si="5"/>
        <v>3.45</v>
      </c>
      <c r="AC16">
        <f t="shared" si="18"/>
        <v>11.902500000000002</v>
      </c>
      <c r="AD16" s="468">
        <f t="shared" si="19"/>
        <v>1.5257389852886723E-3</v>
      </c>
      <c r="AE16" s="468"/>
      <c r="AF16" s="468"/>
      <c r="AG16" s="468">
        <f t="shared" si="25"/>
        <v>11.902500000000002</v>
      </c>
      <c r="AH16" s="468"/>
      <c r="AI16" s="468"/>
      <c r="AJ16" s="470" t="str">
        <f t="shared" si="21"/>
        <v/>
      </c>
      <c r="AK16" s="470" t="str">
        <f t="shared" si="6"/>
        <v/>
      </c>
      <c r="AL16" s="470">
        <f t="shared" si="6"/>
        <v>1.5257389852886723E-3</v>
      </c>
      <c r="AM16" s="470" t="str">
        <f t="shared" si="6"/>
        <v/>
      </c>
      <c r="AN16" s="469"/>
      <c r="AO16">
        <f t="shared" si="7"/>
        <v>4.45</v>
      </c>
      <c r="AP16" s="470">
        <f t="shared" si="22"/>
        <v>19.802500000000002</v>
      </c>
      <c r="AQ16" s="470">
        <f t="shared" si="8"/>
        <v>3.2538632730402489E-3</v>
      </c>
      <c r="AR16" s="470"/>
      <c r="AS16" s="470"/>
      <c r="AT16" s="470" t="str">
        <f t="shared" si="28"/>
        <v/>
      </c>
      <c r="AU16" s="470">
        <f>IF($B16=AU$3,$AP16,"")</f>
        <v>19.802500000000002</v>
      </c>
      <c r="AV16" s="470" t="str">
        <f t="shared" si="29"/>
        <v/>
      </c>
      <c r="AX16" s="480">
        <f t="shared" si="23"/>
        <v>3.2538632730402489E-3</v>
      </c>
      <c r="AY16" s="470"/>
      <c r="AZ16" s="470" t="str">
        <f t="shared" si="30"/>
        <v/>
      </c>
      <c r="BA16" s="470">
        <f>IF($B16=BA$3,$AX16,"")</f>
        <v>3.2538632730402489E-3</v>
      </c>
      <c r="BB16" s="470" t="str">
        <f t="shared" si="31"/>
        <v/>
      </c>
    </row>
    <row r="17" spans="2:54">
      <c r="B17" t="s">
        <v>228</v>
      </c>
      <c r="C17" t="s">
        <v>2800</v>
      </c>
      <c r="D17">
        <f>4</f>
        <v>4</v>
      </c>
      <c r="E17">
        <f t="shared" si="11"/>
        <v>0.61499999999999999</v>
      </c>
      <c r="G17" s="465">
        <v>1.7</v>
      </c>
      <c r="H17">
        <v>1.7</v>
      </c>
      <c r="I17" s="1">
        <f t="shared" si="0"/>
        <v>2.8899999999999997</v>
      </c>
      <c r="J17">
        <v>2.8</v>
      </c>
      <c r="K17" s="466">
        <f t="shared" si="1"/>
        <v>0.393152770038459</v>
      </c>
      <c r="L17" s="467">
        <f t="shared" si="12"/>
        <v>0.32674899565826721</v>
      </c>
      <c r="M17" s="1">
        <f t="shared" si="2"/>
        <v>0.3622055690253847</v>
      </c>
      <c r="N17" s="1">
        <f t="shared" si="13"/>
        <v>0.44509930155914285</v>
      </c>
      <c r="O17" s="19">
        <f t="shared" si="14"/>
        <v>0.76775178525936549</v>
      </c>
      <c r="P17" s="1"/>
      <c r="Q17" s="1"/>
      <c r="R17" s="465">
        <v>4.9000000000000004</v>
      </c>
      <c r="S17">
        <v>4.8</v>
      </c>
      <c r="T17">
        <f t="shared" si="15"/>
        <v>23.522499999999997</v>
      </c>
      <c r="U17">
        <v>3.88</v>
      </c>
      <c r="V17" s="466">
        <f t="shared" si="3"/>
        <v>5.2978211180854125</v>
      </c>
      <c r="W17" s="466">
        <f t="shared" si="16"/>
        <v>3.6565660392196624</v>
      </c>
      <c r="X17" s="1">
        <f t="shared" si="4"/>
        <v>0.30683000319149478</v>
      </c>
      <c r="Y17" s="1">
        <f t="shared" si="24"/>
        <v>4.7785102087033433</v>
      </c>
      <c r="Z17" s="19">
        <f t="shared" si="17"/>
        <v>8.2424522589923956</v>
      </c>
      <c r="AA17" s="1"/>
      <c r="AB17">
        <f t="shared" si="5"/>
        <v>1.7</v>
      </c>
      <c r="AC17">
        <f t="shared" si="18"/>
        <v>2.8899999999999997</v>
      </c>
      <c r="AD17" s="468">
        <f t="shared" si="19"/>
        <v>4.4509930155914285E-4</v>
      </c>
      <c r="AE17" s="468"/>
      <c r="AF17" s="468"/>
      <c r="AG17" s="468">
        <f t="shared" si="25"/>
        <v>2.8899999999999997</v>
      </c>
      <c r="AH17" s="468"/>
      <c r="AI17" s="468"/>
      <c r="AJ17" s="470" t="str">
        <f t="shared" si="21"/>
        <v/>
      </c>
      <c r="AK17" s="470" t="str">
        <f t="shared" si="6"/>
        <v/>
      </c>
      <c r="AL17" s="470">
        <f t="shared" si="6"/>
        <v>4.4509930155914285E-4</v>
      </c>
      <c r="AM17" s="470" t="str">
        <f t="shared" si="6"/>
        <v/>
      </c>
      <c r="AN17" s="469"/>
      <c r="AO17">
        <f t="shared" si="7"/>
        <v>4.8499999999999996</v>
      </c>
      <c r="AP17" s="470">
        <f t="shared" si="22"/>
        <v>23.522499999999997</v>
      </c>
      <c r="AQ17" s="470">
        <f t="shared" si="8"/>
        <v>4.7785102087033434E-3</v>
      </c>
      <c r="AR17" s="470"/>
      <c r="AS17" s="470"/>
      <c r="AT17" s="470" t="str">
        <f t="shared" si="28"/>
        <v/>
      </c>
      <c r="AU17" s="470">
        <f>IF($B17=AU$3,$AP17,"")</f>
        <v>23.522499999999997</v>
      </c>
      <c r="AV17" s="470" t="str">
        <f t="shared" si="29"/>
        <v/>
      </c>
      <c r="AX17" s="480">
        <f t="shared" si="23"/>
        <v>4.7785102087033434E-3</v>
      </c>
      <c r="AY17" s="470"/>
      <c r="AZ17" s="470" t="str">
        <f t="shared" si="30"/>
        <v/>
      </c>
      <c r="BA17" s="470">
        <f>IF($B17=BA$3,$AX17,"")</f>
        <v>4.7785102087033434E-3</v>
      </c>
      <c r="BB17" s="470" t="str">
        <f t="shared" si="31"/>
        <v/>
      </c>
    </row>
    <row r="18" spans="2:54">
      <c r="B18" t="s">
        <v>228</v>
      </c>
      <c r="C18" t="s">
        <v>2800</v>
      </c>
      <c r="D18">
        <f>5</f>
        <v>5</v>
      </c>
      <c r="E18">
        <f t="shared" si="11"/>
        <v>0.61499999999999999</v>
      </c>
      <c r="G18" s="465">
        <v>2.2999999999999998</v>
      </c>
      <c r="H18">
        <v>2.1</v>
      </c>
      <c r="I18" s="1">
        <f t="shared" si="0"/>
        <v>4.8400000000000007</v>
      </c>
      <c r="J18">
        <v>2.2999999999999998</v>
      </c>
      <c r="K18" s="466">
        <f t="shared" si="1"/>
        <v>0.74534448049390112</v>
      </c>
      <c r="L18" s="467">
        <f t="shared" si="12"/>
        <v>0.45162909206641649</v>
      </c>
      <c r="M18" s="1">
        <f t="shared" si="2"/>
        <v>0.34537199828572224</v>
      </c>
      <c r="N18" s="1">
        <f t="shared" si="13"/>
        <v>0.60760913407736117</v>
      </c>
      <c r="O18" s="19">
        <f t="shared" si="14"/>
        <v>1.0480649953700403</v>
      </c>
      <c r="P18" s="1"/>
      <c r="Q18" s="1"/>
      <c r="R18" s="465">
        <v>2.2000000000000002</v>
      </c>
      <c r="S18">
        <v>2.4</v>
      </c>
      <c r="T18">
        <f t="shared" si="15"/>
        <v>5.2899999999999991</v>
      </c>
      <c r="U18">
        <v>3.5</v>
      </c>
      <c r="V18" s="466">
        <f t="shared" si="3"/>
        <v>0.83224500879685204</v>
      </c>
      <c r="W18" s="466">
        <f t="shared" si="16"/>
        <v>0.7436289063383299</v>
      </c>
      <c r="X18" s="1">
        <f t="shared" si="4"/>
        <v>0.34543121578124292</v>
      </c>
      <c r="Y18" s="1">
        <f t="shared" si="24"/>
        <v>1.0005015435448552</v>
      </c>
      <c r="Z18" s="19">
        <f t="shared" si="17"/>
        <v>1.7257651124605207</v>
      </c>
      <c r="AA18" s="1"/>
      <c r="AB18">
        <f t="shared" si="5"/>
        <v>2.2000000000000002</v>
      </c>
      <c r="AC18">
        <f t="shared" si="18"/>
        <v>4.8400000000000007</v>
      </c>
      <c r="AD18" s="468">
        <f t="shared" si="19"/>
        <v>6.0760913407736114E-4</v>
      </c>
      <c r="AE18" s="468"/>
      <c r="AF18" s="468"/>
      <c r="AG18" s="468">
        <f t="shared" si="25"/>
        <v>4.8400000000000007</v>
      </c>
      <c r="AH18" s="468"/>
      <c r="AI18" s="468"/>
      <c r="AJ18" s="470" t="str">
        <f t="shared" si="21"/>
        <v/>
      </c>
      <c r="AK18" s="470" t="str">
        <f t="shared" si="6"/>
        <v/>
      </c>
      <c r="AL18" s="470">
        <f t="shared" si="6"/>
        <v>6.0760913407736114E-4</v>
      </c>
      <c r="AM18" s="470" t="str">
        <f t="shared" si="6"/>
        <v/>
      </c>
      <c r="AN18" s="469"/>
      <c r="AO18">
        <f t="shared" si="7"/>
        <v>2.2999999999999998</v>
      </c>
      <c r="AP18" s="470">
        <f t="shared" si="22"/>
        <v>5.2899999999999991</v>
      </c>
      <c r="AQ18" s="470">
        <f t="shared" si="8"/>
        <v>1.0005015435448552E-3</v>
      </c>
      <c r="AR18" s="470"/>
      <c r="AS18" s="470"/>
      <c r="AT18" s="470" t="str">
        <f t="shared" si="28"/>
        <v/>
      </c>
      <c r="AU18" s="470">
        <f>IF($B18=AU$3,$AP18,"")</f>
        <v>5.2899999999999991</v>
      </c>
      <c r="AV18" s="470" t="str">
        <f t="shared" si="29"/>
        <v/>
      </c>
      <c r="AX18" s="480">
        <f t="shared" si="23"/>
        <v>1.0005015435448552E-3</v>
      </c>
      <c r="AY18" s="470"/>
      <c r="AZ18" s="470" t="str">
        <f t="shared" si="30"/>
        <v/>
      </c>
      <c r="BA18" s="470">
        <f>IF($B18=BA$3,$AX18,"")</f>
        <v>1.0005015435448552E-3</v>
      </c>
      <c r="BB18" s="470" t="str">
        <f t="shared" si="31"/>
        <v/>
      </c>
    </row>
    <row r="19" spans="2:54">
      <c r="B19" t="s">
        <v>232</v>
      </c>
      <c r="C19" t="s">
        <v>2800</v>
      </c>
      <c r="D19">
        <f>1</f>
        <v>1</v>
      </c>
      <c r="E19">
        <f t="shared" si="11"/>
        <v>0.61499999999999999</v>
      </c>
      <c r="G19" s="465">
        <v>2.1</v>
      </c>
      <c r="H19">
        <v>2.1</v>
      </c>
      <c r="I19" s="1">
        <f t="shared" si="0"/>
        <v>4.41</v>
      </c>
      <c r="J19">
        <v>2.2000000000000002</v>
      </c>
      <c r="K19" s="466">
        <f t="shared" si="1"/>
        <v>0.66410149694930198</v>
      </c>
      <c r="L19" s="467">
        <f t="shared" si="12"/>
        <v>0.39403364484089126</v>
      </c>
      <c r="M19" s="1">
        <f t="shared" si="2"/>
        <v>0.34835034370338602</v>
      </c>
      <c r="N19" s="1">
        <f t="shared" si="13"/>
        <v>0.5312954004519137</v>
      </c>
      <c r="O19" s="19">
        <f t="shared" si="14"/>
        <v>0.91643143623950585</v>
      </c>
      <c r="P19" s="1"/>
      <c r="Q19" s="1"/>
      <c r="R19" s="465">
        <v>3.1</v>
      </c>
      <c r="S19">
        <v>3.2</v>
      </c>
      <c r="T19">
        <f t="shared" si="15"/>
        <v>9.922500000000003</v>
      </c>
      <c r="U19">
        <v>4.05</v>
      </c>
      <c r="V19" s="466">
        <f t="shared" si="3"/>
        <v>1.8159306704217106</v>
      </c>
      <c r="W19" s="466">
        <f t="shared" si="16"/>
        <v>1.6083752824573696</v>
      </c>
      <c r="X19" s="1">
        <f t="shared" si="4"/>
        <v>0.3261634297788073</v>
      </c>
      <c r="Y19" s="1">
        <f t="shared" si="24"/>
        <v>2.1329684809551233</v>
      </c>
      <c r="Z19" s="19">
        <f t="shared" si="17"/>
        <v>3.679157332799492</v>
      </c>
      <c r="AA19" s="1"/>
      <c r="AB19">
        <f t="shared" si="5"/>
        <v>2.1</v>
      </c>
      <c r="AC19">
        <f t="shared" si="18"/>
        <v>4.41</v>
      </c>
      <c r="AD19" s="468">
        <f t="shared" si="19"/>
        <v>5.312954004519137E-4</v>
      </c>
      <c r="AE19" s="468">
        <f t="shared" si="20"/>
        <v>4.41</v>
      </c>
      <c r="AF19" s="468"/>
      <c r="AG19" s="468"/>
      <c r="AH19" s="468"/>
      <c r="AI19" s="468"/>
      <c r="AJ19" s="470">
        <f t="shared" si="21"/>
        <v>5.312954004519137E-4</v>
      </c>
      <c r="AK19" s="470" t="str">
        <f t="shared" si="6"/>
        <v/>
      </c>
      <c r="AL19" s="470" t="str">
        <f t="shared" si="6"/>
        <v/>
      </c>
      <c r="AM19" s="470" t="str">
        <f t="shared" si="6"/>
        <v/>
      </c>
      <c r="AN19" s="469"/>
      <c r="AO19">
        <f t="shared" si="7"/>
        <v>3.1500000000000004</v>
      </c>
      <c r="AP19" s="470">
        <f t="shared" si="22"/>
        <v>9.922500000000003</v>
      </c>
      <c r="AQ19" s="470">
        <f t="shared" si="8"/>
        <v>2.1329684809551232E-3</v>
      </c>
      <c r="AR19" s="470"/>
      <c r="AS19" s="470">
        <f t="shared" ref="AS19:AS38" si="32">IF($B19=AS$3,$AP19,"")</f>
        <v>9.922500000000003</v>
      </c>
      <c r="AT19" s="470" t="str">
        <f t="shared" si="28"/>
        <v/>
      </c>
      <c r="AU19" s="470" t="str">
        <f t="shared" ref="AU19:AU58" si="33">IF($B19=AU$3,$AQ19,"")</f>
        <v/>
      </c>
      <c r="AV19" s="470" t="str">
        <f t="shared" si="29"/>
        <v/>
      </c>
      <c r="AX19" s="480">
        <f t="shared" si="23"/>
        <v>2.1329684809551232E-3</v>
      </c>
      <c r="AY19" s="470">
        <f t="shared" ref="AY19:AY38" si="34">IF($B19=AY$3,$AX19,"")</f>
        <v>2.1329684809551232E-3</v>
      </c>
      <c r="AZ19" s="470" t="str">
        <f t="shared" si="30"/>
        <v/>
      </c>
      <c r="BA19" s="470"/>
      <c r="BB19" s="470" t="str">
        <f t="shared" si="31"/>
        <v/>
      </c>
    </row>
    <row r="20" spans="2:54">
      <c r="B20" t="s">
        <v>232</v>
      </c>
      <c r="C20" t="s">
        <v>2800</v>
      </c>
      <c r="D20">
        <f>2</f>
        <v>2</v>
      </c>
      <c r="E20">
        <f t="shared" si="11"/>
        <v>0.61499999999999999</v>
      </c>
      <c r="G20" s="465">
        <v>2</v>
      </c>
      <c r="H20">
        <v>2</v>
      </c>
      <c r="I20" s="1">
        <f t="shared" si="0"/>
        <v>4</v>
      </c>
      <c r="J20">
        <v>2</v>
      </c>
      <c r="K20" s="466">
        <f t="shared" si="1"/>
        <v>0.58839087259296141</v>
      </c>
      <c r="L20" s="467">
        <f t="shared" si="12"/>
        <v>0.32565327274327516</v>
      </c>
      <c r="M20" s="1">
        <f t="shared" si="2"/>
        <v>0.35150162908206245</v>
      </c>
      <c r="N20" s="1">
        <f t="shared" si="13"/>
        <v>0.4401209286284416</v>
      </c>
      <c r="O20" s="19">
        <f t="shared" si="14"/>
        <v>0.75916458979119883</v>
      </c>
      <c r="P20" s="1"/>
      <c r="Q20" s="1"/>
      <c r="R20" s="465">
        <v>3.7</v>
      </c>
      <c r="S20">
        <v>3.6</v>
      </c>
      <c r="T20">
        <f t="shared" si="15"/>
        <v>13.322500000000003</v>
      </c>
      <c r="U20">
        <v>4.25</v>
      </c>
      <c r="V20" s="466">
        <f t="shared" si="3"/>
        <v>2.6171762966415479</v>
      </c>
      <c r="W20" s="466">
        <f t="shared" si="16"/>
        <v>2.2635156660403517</v>
      </c>
      <c r="X20" s="1">
        <f t="shared" si="4"/>
        <v>0.31797618493379948</v>
      </c>
      <c r="Y20" s="1">
        <f t="shared" si="24"/>
        <v>2.983259742065751</v>
      </c>
      <c r="Z20" s="19">
        <f t="shared" si="17"/>
        <v>5.1458247290892132</v>
      </c>
      <c r="AA20" s="1"/>
      <c r="AB20">
        <f t="shared" si="5"/>
        <v>2</v>
      </c>
      <c r="AC20">
        <f t="shared" si="18"/>
        <v>4</v>
      </c>
      <c r="AD20" s="468">
        <f t="shared" si="19"/>
        <v>4.4012092862844162E-4</v>
      </c>
      <c r="AE20" s="468">
        <f t="shared" si="20"/>
        <v>4</v>
      </c>
      <c r="AF20" s="468"/>
      <c r="AG20" s="468"/>
      <c r="AH20" s="468"/>
      <c r="AI20" s="468"/>
      <c r="AJ20" s="470">
        <f t="shared" si="21"/>
        <v>4.4012092862844162E-4</v>
      </c>
      <c r="AK20" s="470" t="str">
        <f t="shared" si="21"/>
        <v/>
      </c>
      <c r="AL20" s="470" t="str">
        <f t="shared" si="21"/>
        <v/>
      </c>
      <c r="AM20" s="470" t="str">
        <f t="shared" si="21"/>
        <v/>
      </c>
      <c r="AN20" s="469"/>
      <c r="AO20">
        <f t="shared" si="7"/>
        <v>3.6500000000000004</v>
      </c>
      <c r="AP20" s="470">
        <f t="shared" si="22"/>
        <v>13.322500000000003</v>
      </c>
      <c r="AQ20" s="470">
        <f t="shared" si="8"/>
        <v>2.9832597420657511E-3</v>
      </c>
      <c r="AR20" s="470"/>
      <c r="AS20" s="470">
        <f t="shared" si="32"/>
        <v>13.322500000000003</v>
      </c>
      <c r="AT20" s="470" t="str">
        <f t="shared" si="28"/>
        <v/>
      </c>
      <c r="AU20" s="470" t="str">
        <f t="shared" si="33"/>
        <v/>
      </c>
      <c r="AV20" s="470" t="str">
        <f t="shared" si="29"/>
        <v/>
      </c>
      <c r="AX20" s="480">
        <f t="shared" si="23"/>
        <v>2.9832597420657511E-3</v>
      </c>
      <c r="AY20" s="470">
        <f t="shared" si="34"/>
        <v>2.9832597420657511E-3</v>
      </c>
      <c r="AZ20" s="470" t="str">
        <f t="shared" si="30"/>
        <v/>
      </c>
      <c r="BA20" s="470"/>
      <c r="BB20" s="470" t="str">
        <f t="shared" si="31"/>
        <v/>
      </c>
    </row>
    <row r="21" spans="2:54">
      <c r="B21" t="s">
        <v>232</v>
      </c>
      <c r="C21" t="s">
        <v>2800</v>
      </c>
      <c r="D21">
        <f>3</f>
        <v>3</v>
      </c>
      <c r="E21">
        <f t="shared" si="11"/>
        <v>0.61499999999999999</v>
      </c>
      <c r="G21" s="465">
        <v>1.7</v>
      </c>
      <c r="H21">
        <v>1.6</v>
      </c>
      <c r="I21" s="1">
        <f t="shared" si="0"/>
        <v>2.7224999999999997</v>
      </c>
      <c r="J21">
        <v>1.8</v>
      </c>
      <c r="K21" s="466">
        <f t="shared" si="1"/>
        <v>0.36508713382076541</v>
      </c>
      <c r="L21" s="467">
        <f t="shared" si="12"/>
        <v>0.1999880442966559</v>
      </c>
      <c r="M21" s="1">
        <f t="shared" si="2"/>
        <v>0.36420691348553713</v>
      </c>
      <c r="N21" s="1">
        <f t="shared" si="13"/>
        <v>0.27282507264394984</v>
      </c>
      <c r="O21" s="19">
        <f t="shared" si="14"/>
        <v>0.47059596780354906</v>
      </c>
      <c r="P21" s="1"/>
      <c r="Q21" s="1"/>
      <c r="R21" s="465">
        <v>3.4</v>
      </c>
      <c r="S21">
        <v>3.4</v>
      </c>
      <c r="T21">
        <f t="shared" si="15"/>
        <v>11.559999999999999</v>
      </c>
      <c r="U21">
        <v>3.8</v>
      </c>
      <c r="V21" s="466">
        <f t="shared" si="3"/>
        <v>2.1947580780386025</v>
      </c>
      <c r="W21" s="466">
        <f t="shared" si="16"/>
        <v>1.7608274680564941</v>
      </c>
      <c r="X21" s="1">
        <f t="shared" si="4"/>
        <v>0.32397325318207709</v>
      </c>
      <c r="Y21" s="1">
        <f t="shared" si="24"/>
        <v>2.3312884711751165</v>
      </c>
      <c r="Z21" s="19">
        <f t="shared" si="17"/>
        <v>4.0212394839299579</v>
      </c>
      <c r="AA21" s="1"/>
      <c r="AB21">
        <f t="shared" si="5"/>
        <v>1.65</v>
      </c>
      <c r="AC21">
        <f t="shared" si="18"/>
        <v>2.7224999999999997</v>
      </c>
      <c r="AD21" s="468">
        <f t="shared" si="19"/>
        <v>2.7282507264394986E-4</v>
      </c>
      <c r="AE21" s="468">
        <f t="shared" si="20"/>
        <v>2.7224999999999997</v>
      </c>
      <c r="AF21" s="468"/>
      <c r="AG21" s="468"/>
      <c r="AH21" s="468"/>
      <c r="AI21" s="468"/>
      <c r="AJ21" s="470">
        <f t="shared" si="21"/>
        <v>2.7282507264394986E-4</v>
      </c>
      <c r="AK21" s="470" t="str">
        <f t="shared" si="21"/>
        <v/>
      </c>
      <c r="AL21" s="470" t="str">
        <f t="shared" si="21"/>
        <v/>
      </c>
      <c r="AM21" s="470" t="str">
        <f t="shared" si="21"/>
        <v/>
      </c>
      <c r="AN21" s="469"/>
      <c r="AO21">
        <f t="shared" si="7"/>
        <v>3.4</v>
      </c>
      <c r="AP21" s="470">
        <f t="shared" si="22"/>
        <v>11.559999999999999</v>
      </c>
      <c r="AQ21" s="470">
        <f t="shared" si="8"/>
        <v>2.3312884711751167E-3</v>
      </c>
      <c r="AR21" s="470"/>
      <c r="AS21" s="470">
        <f t="shared" si="32"/>
        <v>11.559999999999999</v>
      </c>
      <c r="AT21" s="470" t="str">
        <f t="shared" si="28"/>
        <v/>
      </c>
      <c r="AU21" s="470" t="str">
        <f t="shared" si="33"/>
        <v/>
      </c>
      <c r="AV21" s="470" t="str">
        <f t="shared" si="29"/>
        <v/>
      </c>
      <c r="AX21" s="480">
        <f t="shared" si="23"/>
        <v>2.3312884711751167E-3</v>
      </c>
      <c r="AY21" s="470">
        <f t="shared" si="34"/>
        <v>2.3312884711751167E-3</v>
      </c>
      <c r="AZ21" s="470" t="str">
        <f t="shared" si="30"/>
        <v/>
      </c>
      <c r="BA21" s="470"/>
      <c r="BB21" s="470" t="str">
        <f t="shared" si="31"/>
        <v/>
      </c>
    </row>
    <row r="22" spans="2:54">
      <c r="B22" t="s">
        <v>232</v>
      </c>
      <c r="C22" t="s">
        <v>2800</v>
      </c>
      <c r="D22">
        <f>4</f>
        <v>4</v>
      </c>
      <c r="E22">
        <f t="shared" si="11"/>
        <v>0.61499999999999999</v>
      </c>
      <c r="G22" s="465">
        <v>0.5</v>
      </c>
      <c r="H22">
        <v>0.5</v>
      </c>
      <c r="I22" s="1">
        <f t="shared" si="0"/>
        <v>0.25</v>
      </c>
      <c r="J22">
        <v>1.5</v>
      </c>
      <c r="K22" s="466">
        <f t="shared" si="1"/>
        <v>1.8880578400279034E-2</v>
      </c>
      <c r="L22" s="467">
        <f t="shared" si="12"/>
        <v>1.5370757026773799E-2</v>
      </c>
      <c r="M22" s="1">
        <f t="shared" si="2"/>
        <v>0.4539990553565395</v>
      </c>
      <c r="N22" s="1">
        <f t="shared" si="13"/>
        <v>2.2349066197043996E-2</v>
      </c>
      <c r="O22" s="19">
        <f t="shared" si="14"/>
        <v>3.8549904283281186E-2</v>
      </c>
      <c r="P22" s="1"/>
      <c r="Q22" s="1"/>
      <c r="R22" s="465">
        <v>3.2</v>
      </c>
      <c r="S22">
        <v>3.2</v>
      </c>
      <c r="T22">
        <f t="shared" si="15"/>
        <v>10.240000000000002</v>
      </c>
      <c r="U22">
        <v>3.5</v>
      </c>
      <c r="V22" s="466">
        <f t="shared" si="3"/>
        <v>1.8882834732300762</v>
      </c>
      <c r="W22" s="466">
        <f t="shared" si="16"/>
        <v>1.4394631381672025</v>
      </c>
      <c r="X22" s="1">
        <f t="shared" si="4"/>
        <v>0.32886705283296619</v>
      </c>
      <c r="Y22" s="1">
        <f t="shared" si="24"/>
        <v>1.9128551380779433</v>
      </c>
      <c r="Z22" s="19">
        <f t="shared" si="17"/>
        <v>3.2994838276706444</v>
      </c>
      <c r="AA22" s="1"/>
      <c r="AB22">
        <f t="shared" si="5"/>
        <v>0.5</v>
      </c>
      <c r="AC22">
        <f t="shared" si="18"/>
        <v>0.25</v>
      </c>
      <c r="AD22" s="468">
        <f t="shared" si="19"/>
        <v>2.2349066197043997E-5</v>
      </c>
      <c r="AE22" s="468">
        <f t="shared" si="20"/>
        <v>0.25</v>
      </c>
      <c r="AF22" s="468"/>
      <c r="AG22" s="468"/>
      <c r="AH22" s="468"/>
      <c r="AI22" s="468"/>
      <c r="AJ22" s="470">
        <f t="shared" si="21"/>
        <v>2.2349066197043997E-5</v>
      </c>
      <c r="AK22" s="470" t="str">
        <f t="shared" si="21"/>
        <v/>
      </c>
      <c r="AL22" s="470" t="str">
        <f t="shared" si="21"/>
        <v/>
      </c>
      <c r="AM22" s="470" t="str">
        <f t="shared" si="21"/>
        <v/>
      </c>
      <c r="AN22" s="469"/>
      <c r="AO22">
        <f t="shared" si="7"/>
        <v>3.2</v>
      </c>
      <c r="AP22" s="470">
        <f t="shared" si="22"/>
        <v>10.240000000000002</v>
      </c>
      <c r="AQ22" s="470">
        <f t="shared" si="8"/>
        <v>1.9128551380779434E-3</v>
      </c>
      <c r="AR22" s="470"/>
      <c r="AS22" s="470">
        <f t="shared" si="32"/>
        <v>10.240000000000002</v>
      </c>
      <c r="AT22" s="470" t="str">
        <f t="shared" si="28"/>
        <v/>
      </c>
      <c r="AU22" s="470" t="str">
        <f t="shared" si="33"/>
        <v/>
      </c>
      <c r="AV22" s="470" t="str">
        <f t="shared" si="29"/>
        <v/>
      </c>
      <c r="AX22" s="480">
        <f t="shared" si="23"/>
        <v>1.9128551380779434E-3</v>
      </c>
      <c r="AY22" s="470">
        <f t="shared" si="34"/>
        <v>1.9128551380779434E-3</v>
      </c>
      <c r="AZ22" s="470" t="str">
        <f t="shared" si="30"/>
        <v/>
      </c>
      <c r="BA22" s="470"/>
      <c r="BB22" s="470" t="str">
        <f t="shared" si="31"/>
        <v/>
      </c>
    </row>
    <row r="23" spans="2:54">
      <c r="B23" t="s">
        <v>232</v>
      </c>
      <c r="C23" t="s">
        <v>2800</v>
      </c>
      <c r="D23">
        <f>5</f>
        <v>5</v>
      </c>
      <c r="E23">
        <f t="shared" si="11"/>
        <v>0.61499999999999999</v>
      </c>
      <c r="G23" s="465">
        <v>2.5</v>
      </c>
      <c r="H23">
        <v>2.2999999999999998</v>
      </c>
      <c r="I23" s="1">
        <f t="shared" si="0"/>
        <v>5.76</v>
      </c>
      <c r="J23">
        <v>2.2999999999999998</v>
      </c>
      <c r="K23" s="466">
        <f t="shared" si="1"/>
        <v>0.92492534542667693</v>
      </c>
      <c r="L23" s="467">
        <f t="shared" si="12"/>
        <v>0.5374759442773881</v>
      </c>
      <c r="M23" s="1">
        <f t="shared" si="2"/>
        <v>0.33986946674616419</v>
      </c>
      <c r="N23" s="1">
        <f t="shared" si="13"/>
        <v>0.72014760684783508</v>
      </c>
      <c r="O23" s="19">
        <f t="shared" si="14"/>
        <v>1.2421826070518307</v>
      </c>
      <c r="P23" s="1"/>
      <c r="Q23" s="1"/>
      <c r="R23" s="465">
        <v>4.4000000000000004</v>
      </c>
      <c r="S23">
        <v>4.5</v>
      </c>
      <c r="T23">
        <f t="shared" si="15"/>
        <v>19.802500000000002</v>
      </c>
      <c r="U23">
        <v>4.22</v>
      </c>
      <c r="V23" s="466">
        <f t="shared" si="3"/>
        <v>4.2791445979781333</v>
      </c>
      <c r="W23" s="466">
        <f t="shared" si="16"/>
        <v>3.3412975642117644</v>
      </c>
      <c r="X23" s="1">
        <f t="shared" si="4"/>
        <v>0.30889522839834821</v>
      </c>
      <c r="Y23" s="1">
        <f t="shared" si="24"/>
        <v>4.3734084384558018</v>
      </c>
      <c r="Z23" s="19">
        <f t="shared" si="17"/>
        <v>7.5436922154924124</v>
      </c>
      <c r="AA23" s="1"/>
      <c r="AB23">
        <f t="shared" si="5"/>
        <v>2.4</v>
      </c>
      <c r="AC23">
        <f t="shared" si="18"/>
        <v>5.76</v>
      </c>
      <c r="AD23" s="468">
        <f t="shared" si="19"/>
        <v>7.2014760684783509E-4</v>
      </c>
      <c r="AE23" s="468">
        <f t="shared" si="20"/>
        <v>5.76</v>
      </c>
      <c r="AF23" s="468"/>
      <c r="AG23" s="468"/>
      <c r="AH23" s="468"/>
      <c r="AI23" s="468"/>
      <c r="AJ23" s="470">
        <f t="shared" si="21"/>
        <v>7.2014760684783509E-4</v>
      </c>
      <c r="AK23" s="470" t="str">
        <f t="shared" si="21"/>
        <v/>
      </c>
      <c r="AL23" s="470" t="str">
        <f t="shared" si="21"/>
        <v/>
      </c>
      <c r="AM23" s="470" t="str">
        <f t="shared" si="21"/>
        <v/>
      </c>
      <c r="AN23" s="469"/>
      <c r="AO23">
        <f t="shared" si="7"/>
        <v>4.45</v>
      </c>
      <c r="AP23" s="470">
        <f t="shared" si="22"/>
        <v>19.802500000000002</v>
      </c>
      <c r="AQ23" s="470">
        <f t="shared" si="8"/>
        <v>4.3734084384558017E-3</v>
      </c>
      <c r="AR23" s="470"/>
      <c r="AS23" s="470">
        <f t="shared" si="32"/>
        <v>19.802500000000002</v>
      </c>
      <c r="AT23" s="470" t="str">
        <f t="shared" si="28"/>
        <v/>
      </c>
      <c r="AU23" s="470" t="str">
        <f t="shared" si="33"/>
        <v/>
      </c>
      <c r="AV23" s="470" t="str">
        <f t="shared" si="29"/>
        <v/>
      </c>
      <c r="AX23" s="480">
        <f t="shared" si="23"/>
        <v>4.3734084384558017E-3</v>
      </c>
      <c r="AY23" s="470">
        <f t="shared" si="34"/>
        <v>4.3734084384558017E-3</v>
      </c>
      <c r="AZ23" s="470" t="str">
        <f t="shared" si="30"/>
        <v/>
      </c>
      <c r="BA23" s="470"/>
      <c r="BB23" s="470" t="str">
        <f t="shared" si="31"/>
        <v/>
      </c>
    </row>
    <row r="24" spans="2:54">
      <c r="B24" t="s">
        <v>232</v>
      </c>
      <c r="C24" t="s">
        <v>2801</v>
      </c>
      <c r="D24">
        <f>1</f>
        <v>1</v>
      </c>
      <c r="E24">
        <f t="shared" si="11"/>
        <v>0.61499999999999999</v>
      </c>
      <c r="G24" s="465">
        <v>2.8</v>
      </c>
      <c r="H24">
        <v>2.8</v>
      </c>
      <c r="I24" s="1">
        <f t="shared" si="0"/>
        <v>7.839999999999999</v>
      </c>
      <c r="J24">
        <v>2.9</v>
      </c>
      <c r="K24" s="466">
        <f t="shared" si="1"/>
        <v>1.3557979435175196</v>
      </c>
      <c r="L24" s="467">
        <f t="shared" si="12"/>
        <v>0.91729006260020562</v>
      </c>
      <c r="M24" s="1">
        <f t="shared" si="2"/>
        <v>0.33033544903626383</v>
      </c>
      <c r="N24" s="1">
        <f t="shared" si="13"/>
        <v>1.2203034873257472</v>
      </c>
      <c r="O24" s="19">
        <f t="shared" si="14"/>
        <v>2.1049014852881816</v>
      </c>
      <c r="P24" s="1"/>
      <c r="Q24" s="1"/>
      <c r="R24" s="465">
        <v>5.3</v>
      </c>
      <c r="S24">
        <v>5.4</v>
      </c>
      <c r="T24">
        <f t="shared" si="15"/>
        <v>28.622499999999995</v>
      </c>
      <c r="U24">
        <v>5.4</v>
      </c>
      <c r="V24" s="466">
        <f t="shared" si="3"/>
        <v>6.7579271950354345</v>
      </c>
      <c r="W24" s="466">
        <f t="shared" si="16"/>
        <v>6.1434744103349885</v>
      </c>
      <c r="X24" s="1">
        <f t="shared" si="4"/>
        <v>0.29521096304582378</v>
      </c>
      <c r="Y24" s="1">
        <f t="shared" si="24"/>
        <v>7.9570954074573548</v>
      </c>
      <c r="Z24" s="19">
        <f t="shared" si="17"/>
        <v>13.72519386832319</v>
      </c>
      <c r="AA24" s="1"/>
      <c r="AB24">
        <f t="shared" si="5"/>
        <v>2.8</v>
      </c>
      <c r="AC24">
        <f t="shared" si="18"/>
        <v>7.839999999999999</v>
      </c>
      <c r="AD24" s="468">
        <f t="shared" si="19"/>
        <v>1.2203034873257473E-3</v>
      </c>
      <c r="AE24" s="468">
        <f t="shared" si="20"/>
        <v>7.839999999999999</v>
      </c>
      <c r="AF24" s="468"/>
      <c r="AG24" s="468"/>
      <c r="AH24" s="468"/>
      <c r="AI24" s="468"/>
      <c r="AJ24" s="470">
        <f t="shared" si="21"/>
        <v>1.2203034873257473E-3</v>
      </c>
      <c r="AK24" s="470" t="str">
        <f t="shared" si="21"/>
        <v/>
      </c>
      <c r="AL24" s="470" t="str">
        <f t="shared" si="21"/>
        <v/>
      </c>
      <c r="AM24" s="470" t="str">
        <f t="shared" si="21"/>
        <v/>
      </c>
      <c r="AN24" s="469"/>
      <c r="AO24">
        <f t="shared" si="7"/>
        <v>5.35</v>
      </c>
      <c r="AP24" s="470">
        <f t="shared" si="22"/>
        <v>28.622499999999995</v>
      </c>
      <c r="AQ24" s="470">
        <f t="shared" si="8"/>
        <v>7.9570954074573551E-3</v>
      </c>
      <c r="AR24" s="470"/>
      <c r="AS24" s="470">
        <f t="shared" si="32"/>
        <v>28.622499999999995</v>
      </c>
      <c r="AT24" s="470" t="str">
        <f t="shared" si="28"/>
        <v/>
      </c>
      <c r="AU24" s="470" t="str">
        <f t="shared" si="33"/>
        <v/>
      </c>
      <c r="AV24" s="470" t="str">
        <f t="shared" si="29"/>
        <v/>
      </c>
      <c r="AX24" s="480">
        <f t="shared" si="23"/>
        <v>7.9570954074573551E-3</v>
      </c>
      <c r="AY24" s="470">
        <f t="shared" si="34"/>
        <v>7.9570954074573551E-3</v>
      </c>
      <c r="AZ24" s="470" t="str">
        <f t="shared" si="30"/>
        <v/>
      </c>
      <c r="BA24" s="470"/>
      <c r="BB24" s="470" t="str">
        <f t="shared" si="31"/>
        <v/>
      </c>
    </row>
    <row r="25" spans="2:54">
      <c r="B25" t="s">
        <v>232</v>
      </c>
      <c r="C25" t="s">
        <v>2801</v>
      </c>
      <c r="D25">
        <f>2</f>
        <v>2</v>
      </c>
      <c r="E25">
        <f t="shared" si="11"/>
        <v>0.61499999999999999</v>
      </c>
      <c r="G25" s="465">
        <v>2.5</v>
      </c>
      <c r="H25">
        <v>2.4</v>
      </c>
      <c r="I25" s="1">
        <f t="shared" si="0"/>
        <v>6.0025000000000013</v>
      </c>
      <c r="J25">
        <v>2.9</v>
      </c>
      <c r="K25" s="466">
        <f t="shared" si="1"/>
        <v>0.97347039769508426</v>
      </c>
      <c r="L25" s="467">
        <f t="shared" si="12"/>
        <v>0.70230020417828276</v>
      </c>
      <c r="M25" s="1">
        <f t="shared" si="2"/>
        <v>0.33857842044733671</v>
      </c>
      <c r="N25" s="1">
        <f t="shared" si="13"/>
        <v>0.94008389798880776</v>
      </c>
      <c r="O25" s="19">
        <f t="shared" si="14"/>
        <v>1.6215507156408944</v>
      </c>
      <c r="P25" s="1"/>
      <c r="Q25" s="1"/>
      <c r="R25" s="465">
        <v>4.3</v>
      </c>
      <c r="S25">
        <v>4.7</v>
      </c>
      <c r="T25">
        <f t="shared" si="15"/>
        <v>20.25</v>
      </c>
      <c r="U25">
        <v>5.7</v>
      </c>
      <c r="V25" s="466">
        <f t="shared" si="3"/>
        <v>4.399421129479812</v>
      </c>
      <c r="W25" s="466">
        <f t="shared" si="16"/>
        <v>4.5819365061011883</v>
      </c>
      <c r="X25" s="1">
        <f t="shared" si="4"/>
        <v>0.30172301345289732</v>
      </c>
      <c r="Y25" s="1">
        <f t="shared" si="24"/>
        <v>5.9644121961718781</v>
      </c>
      <c r="Z25" s="19">
        <f t="shared" si="17"/>
        <v>10.288014597176872</v>
      </c>
      <c r="AA25" s="1"/>
      <c r="AB25">
        <f t="shared" si="5"/>
        <v>2.4500000000000002</v>
      </c>
      <c r="AC25">
        <f t="shared" si="18"/>
        <v>6.0025000000000013</v>
      </c>
      <c r="AD25" s="468">
        <f t="shared" si="19"/>
        <v>9.4008389798880775E-4</v>
      </c>
      <c r="AE25" s="468">
        <f t="shared" si="20"/>
        <v>6.0025000000000013</v>
      </c>
      <c r="AF25" s="468"/>
      <c r="AG25" s="468"/>
      <c r="AH25" s="468"/>
      <c r="AI25" s="468"/>
      <c r="AJ25" s="470">
        <f t="shared" si="21"/>
        <v>9.4008389798880775E-4</v>
      </c>
      <c r="AK25" s="470" t="str">
        <f t="shared" si="21"/>
        <v/>
      </c>
      <c r="AL25" s="470" t="str">
        <f t="shared" si="21"/>
        <v/>
      </c>
      <c r="AM25" s="470" t="str">
        <f t="shared" si="21"/>
        <v/>
      </c>
      <c r="AN25" s="469"/>
      <c r="AO25">
        <f t="shared" si="7"/>
        <v>4.5</v>
      </c>
      <c r="AP25" s="470">
        <f t="shared" si="22"/>
        <v>20.25</v>
      </c>
      <c r="AQ25" s="470">
        <f t="shared" si="8"/>
        <v>5.9644121961718779E-3</v>
      </c>
      <c r="AR25" s="470"/>
      <c r="AS25" s="470">
        <f t="shared" si="32"/>
        <v>20.25</v>
      </c>
      <c r="AT25" s="470" t="str">
        <f t="shared" si="28"/>
        <v/>
      </c>
      <c r="AU25" s="470" t="str">
        <f t="shared" si="33"/>
        <v/>
      </c>
      <c r="AV25" s="470" t="str">
        <f t="shared" si="29"/>
        <v/>
      </c>
      <c r="AX25" s="480">
        <f t="shared" si="23"/>
        <v>5.9644121961718779E-3</v>
      </c>
      <c r="AY25" s="470">
        <f t="shared" si="34"/>
        <v>5.9644121961718779E-3</v>
      </c>
      <c r="AZ25" s="470" t="str">
        <f t="shared" si="30"/>
        <v/>
      </c>
      <c r="BA25" s="470"/>
      <c r="BB25" s="470" t="str">
        <f t="shared" si="31"/>
        <v/>
      </c>
    </row>
    <row r="26" spans="2:54">
      <c r="B26" t="s">
        <v>232</v>
      </c>
      <c r="C26" t="s">
        <v>2801</v>
      </c>
      <c r="D26">
        <f>3</f>
        <v>3</v>
      </c>
      <c r="E26">
        <f t="shared" si="11"/>
        <v>0.61499999999999999</v>
      </c>
      <c r="G26" s="465">
        <v>3.9</v>
      </c>
      <c r="H26">
        <v>3.8</v>
      </c>
      <c r="I26" s="1">
        <f t="shared" si="0"/>
        <v>14.822499999999998</v>
      </c>
      <c r="J26">
        <v>3</v>
      </c>
      <c r="K26" s="466">
        <f t="shared" si="1"/>
        <v>2.9875152765731166</v>
      </c>
      <c r="L26" s="467">
        <f t="shared" si="12"/>
        <v>1.792594186412704</v>
      </c>
      <c r="M26" s="1">
        <f t="shared" si="2"/>
        <v>0.31147802559252263</v>
      </c>
      <c r="N26" s="1">
        <f t="shared" si="13"/>
        <v>2.3509478842851674</v>
      </c>
      <c r="O26" s="19">
        <f t="shared" si="14"/>
        <v>4.055150005603485</v>
      </c>
      <c r="P26" s="1"/>
      <c r="Q26" s="1"/>
      <c r="R26" s="465">
        <v>5</v>
      </c>
      <c r="S26">
        <v>5.0999999999999996</v>
      </c>
      <c r="T26">
        <f t="shared" si="15"/>
        <v>25.502499999999998</v>
      </c>
      <c r="U26">
        <v>5.0999999999999996</v>
      </c>
      <c r="V26" s="466">
        <f t="shared" si="3"/>
        <v>5.856473612829836</v>
      </c>
      <c r="W26" s="466">
        <f t="shared" si="16"/>
        <v>5.1768004922272342</v>
      </c>
      <c r="X26" s="1">
        <f t="shared" si="4"/>
        <v>0.29899526923641462</v>
      </c>
      <c r="Y26" s="1">
        <f t="shared" si="24"/>
        <v>6.7246393491839198</v>
      </c>
      <c r="Z26" s="19">
        <f t="shared" si="17"/>
        <v>11.599330413407342</v>
      </c>
      <c r="AA26" s="1"/>
      <c r="AB26">
        <f t="shared" si="5"/>
        <v>3.8499999999999996</v>
      </c>
      <c r="AC26">
        <f t="shared" si="18"/>
        <v>14.822499999999998</v>
      </c>
      <c r="AD26" s="468">
        <f t="shared" si="19"/>
        <v>2.3509478842851676E-3</v>
      </c>
      <c r="AE26" s="468">
        <f t="shared" si="20"/>
        <v>14.822499999999998</v>
      </c>
      <c r="AF26" s="468"/>
      <c r="AG26" s="468"/>
      <c r="AH26" s="468"/>
      <c r="AI26" s="468"/>
      <c r="AJ26" s="470">
        <f t="shared" si="21"/>
        <v>2.3509478842851676E-3</v>
      </c>
      <c r="AK26" s="470" t="str">
        <f t="shared" si="21"/>
        <v/>
      </c>
      <c r="AL26" s="470" t="str">
        <f t="shared" si="21"/>
        <v/>
      </c>
      <c r="AM26" s="470" t="str">
        <f t="shared" si="21"/>
        <v/>
      </c>
      <c r="AN26" s="469"/>
      <c r="AO26">
        <f t="shared" si="7"/>
        <v>5.05</v>
      </c>
      <c r="AP26" s="470">
        <f t="shared" si="22"/>
        <v>25.502499999999998</v>
      </c>
      <c r="AQ26" s="470">
        <f t="shared" si="8"/>
        <v>6.7246393491839198E-3</v>
      </c>
      <c r="AR26" s="470"/>
      <c r="AS26" s="470">
        <f t="shared" si="32"/>
        <v>25.502499999999998</v>
      </c>
      <c r="AT26" s="470" t="str">
        <f t="shared" si="28"/>
        <v/>
      </c>
      <c r="AU26" s="470" t="str">
        <f t="shared" si="33"/>
        <v/>
      </c>
      <c r="AV26" s="470" t="str">
        <f t="shared" si="29"/>
        <v/>
      </c>
      <c r="AX26" s="480">
        <f t="shared" si="23"/>
        <v>6.7246393491839198E-3</v>
      </c>
      <c r="AY26" s="470">
        <f t="shared" si="34"/>
        <v>6.7246393491839198E-3</v>
      </c>
      <c r="AZ26" s="470" t="str">
        <f t="shared" si="30"/>
        <v/>
      </c>
      <c r="BA26" s="470"/>
      <c r="BB26" s="470" t="str">
        <f t="shared" si="31"/>
        <v/>
      </c>
    </row>
    <row r="27" spans="2:54">
      <c r="B27" t="s">
        <v>232</v>
      </c>
      <c r="C27" t="s">
        <v>2801</v>
      </c>
      <c r="D27">
        <f>4</f>
        <v>4</v>
      </c>
      <c r="E27">
        <f t="shared" si="11"/>
        <v>0.61499999999999999</v>
      </c>
      <c r="G27" s="465">
        <v>3.4</v>
      </c>
      <c r="H27">
        <v>2.9</v>
      </c>
      <c r="I27" s="1">
        <f t="shared" si="0"/>
        <v>9.9224999999999994</v>
      </c>
      <c r="J27">
        <v>3</v>
      </c>
      <c r="K27" s="466">
        <f t="shared" si="1"/>
        <v>1.8159306704217106</v>
      </c>
      <c r="L27" s="467">
        <f t="shared" si="12"/>
        <v>1.2000010669374301</v>
      </c>
      <c r="M27" s="1">
        <f t="shared" si="2"/>
        <v>0.3232313692195255</v>
      </c>
      <c r="N27" s="1">
        <f t="shared" si="13"/>
        <v>1.5878790548685071</v>
      </c>
      <c r="O27" s="19">
        <f t="shared" si="14"/>
        <v>2.7389325817426875</v>
      </c>
      <c r="P27" s="1"/>
      <c r="Q27" s="1"/>
      <c r="R27" s="465">
        <v>5.4</v>
      </c>
      <c r="S27">
        <v>5.5</v>
      </c>
      <c r="T27">
        <f t="shared" si="15"/>
        <v>29.702500000000001</v>
      </c>
      <c r="U27">
        <v>5.0999999999999996</v>
      </c>
      <c r="V27" s="466">
        <f t="shared" si="3"/>
        <v>7.0756557212776467</v>
      </c>
      <c r="W27" s="466">
        <f t="shared" si="16"/>
        <v>6.0293664001717255</v>
      </c>
      <c r="X27" s="1">
        <f t="shared" si="4"/>
        <v>0.29562303708543269</v>
      </c>
      <c r="Y27" s="1">
        <f t="shared" si="24"/>
        <v>7.811786007091353</v>
      </c>
      <c r="Z27" s="19">
        <f t="shared" si="17"/>
        <v>13.474549683631873</v>
      </c>
      <c r="AA27" s="1"/>
      <c r="AB27">
        <f t="shared" si="5"/>
        <v>3.15</v>
      </c>
      <c r="AC27">
        <f t="shared" si="18"/>
        <v>9.9224999999999994</v>
      </c>
      <c r="AD27" s="468">
        <f t="shared" si="19"/>
        <v>1.587879054868507E-3</v>
      </c>
      <c r="AE27" s="468">
        <f t="shared" si="20"/>
        <v>9.9224999999999994</v>
      </c>
      <c r="AF27" s="468"/>
      <c r="AG27" s="468"/>
      <c r="AH27" s="468"/>
      <c r="AI27" s="468"/>
      <c r="AJ27" s="470">
        <f t="shared" si="21"/>
        <v>1.587879054868507E-3</v>
      </c>
      <c r="AK27" s="470" t="str">
        <f t="shared" si="21"/>
        <v/>
      </c>
      <c r="AL27" s="470" t="str">
        <f t="shared" si="21"/>
        <v/>
      </c>
      <c r="AM27" s="470" t="str">
        <f t="shared" si="21"/>
        <v/>
      </c>
      <c r="AN27" s="469"/>
      <c r="AO27">
        <f t="shared" si="7"/>
        <v>5.45</v>
      </c>
      <c r="AP27" s="470">
        <f t="shared" si="22"/>
        <v>29.702500000000001</v>
      </c>
      <c r="AQ27" s="470">
        <f t="shared" si="8"/>
        <v>7.8117860070913529E-3</v>
      </c>
      <c r="AR27" s="470"/>
      <c r="AS27" s="470">
        <f t="shared" si="32"/>
        <v>29.702500000000001</v>
      </c>
      <c r="AT27" s="470" t="str">
        <f t="shared" si="28"/>
        <v/>
      </c>
      <c r="AU27" s="470" t="str">
        <f t="shared" si="33"/>
        <v/>
      </c>
      <c r="AV27" s="470" t="str">
        <f t="shared" si="29"/>
        <v/>
      </c>
      <c r="AX27" s="480">
        <f t="shared" si="23"/>
        <v>7.8117860070913529E-3</v>
      </c>
      <c r="AY27" s="470">
        <f t="shared" si="34"/>
        <v>7.8117860070913529E-3</v>
      </c>
      <c r="AZ27" s="470" t="str">
        <f t="shared" si="30"/>
        <v/>
      </c>
      <c r="BA27" s="470"/>
      <c r="BB27" s="470" t="str">
        <f t="shared" si="31"/>
        <v/>
      </c>
    </row>
    <row r="28" spans="2:54">
      <c r="B28" t="s">
        <v>232</v>
      </c>
      <c r="C28" t="s">
        <v>2801</v>
      </c>
      <c r="D28">
        <f>5</f>
        <v>5</v>
      </c>
      <c r="E28">
        <f t="shared" si="11"/>
        <v>0.61499999999999999</v>
      </c>
      <c r="G28" s="465">
        <v>4</v>
      </c>
      <c r="H28">
        <v>4</v>
      </c>
      <c r="I28" s="1">
        <f t="shared" si="0"/>
        <v>16</v>
      </c>
      <c r="J28">
        <v>3</v>
      </c>
      <c r="K28" s="466">
        <f t="shared" si="1"/>
        <v>3.2846662139535723</v>
      </c>
      <c r="L28" s="467">
        <f t="shared" si="12"/>
        <v>1.9349979411437523</v>
      </c>
      <c r="M28" s="1">
        <f t="shared" si="2"/>
        <v>0.30928833357608843</v>
      </c>
      <c r="N28" s="1">
        <f t="shared" si="13"/>
        <v>2.5334702298332656</v>
      </c>
      <c r="O28" s="19">
        <f t="shared" si="14"/>
        <v>4.3699827994393994</v>
      </c>
      <c r="P28" s="1"/>
      <c r="Q28" s="1"/>
      <c r="R28" s="465">
        <v>5.0999999999999996</v>
      </c>
      <c r="S28">
        <v>5.3</v>
      </c>
      <c r="T28">
        <f t="shared" si="15"/>
        <v>27.039999999999992</v>
      </c>
      <c r="U28">
        <v>5</v>
      </c>
      <c r="V28" s="466">
        <f t="shared" si="3"/>
        <v>6.2975743871405427</v>
      </c>
      <c r="W28" s="466">
        <f t="shared" si="16"/>
        <v>5.3838331409089966</v>
      </c>
      <c r="X28" s="1">
        <f t="shared" si="4"/>
        <v>0.2981242286575348</v>
      </c>
      <c r="Y28" s="1">
        <f t="shared" si="24"/>
        <v>6.9888842432633638</v>
      </c>
      <c r="Z28" s="19">
        <f t="shared" si="17"/>
        <v>12.055126431204975</v>
      </c>
      <c r="AA28" s="1"/>
      <c r="AB28">
        <f t="shared" si="5"/>
        <v>4</v>
      </c>
      <c r="AC28">
        <f t="shared" si="18"/>
        <v>16</v>
      </c>
      <c r="AD28" s="468">
        <f t="shared" si="19"/>
        <v>2.5334702298332656E-3</v>
      </c>
      <c r="AE28" s="468">
        <f t="shared" si="20"/>
        <v>16</v>
      </c>
      <c r="AF28" s="468"/>
      <c r="AG28" s="468"/>
      <c r="AH28" s="468"/>
      <c r="AI28" s="468"/>
      <c r="AJ28" s="470">
        <f t="shared" si="21"/>
        <v>2.5334702298332656E-3</v>
      </c>
      <c r="AK28" s="470" t="str">
        <f t="shared" si="21"/>
        <v/>
      </c>
      <c r="AL28" s="470" t="str">
        <f t="shared" si="21"/>
        <v/>
      </c>
      <c r="AM28" s="470" t="str">
        <f t="shared" si="21"/>
        <v/>
      </c>
      <c r="AN28" s="469"/>
      <c r="AO28">
        <f t="shared" si="7"/>
        <v>5.1999999999999993</v>
      </c>
      <c r="AP28" s="470">
        <f t="shared" si="22"/>
        <v>27.039999999999992</v>
      </c>
      <c r="AQ28" s="470">
        <f t="shared" si="8"/>
        <v>6.9888842432633633E-3</v>
      </c>
      <c r="AR28" s="470"/>
      <c r="AS28" s="470">
        <f t="shared" si="32"/>
        <v>27.039999999999992</v>
      </c>
      <c r="AT28" s="470" t="str">
        <f t="shared" si="28"/>
        <v/>
      </c>
      <c r="AU28" s="470" t="str">
        <f t="shared" si="33"/>
        <v/>
      </c>
      <c r="AV28" s="470" t="str">
        <f t="shared" si="29"/>
        <v/>
      </c>
      <c r="AX28" s="480">
        <f t="shared" si="23"/>
        <v>6.9888842432633633E-3</v>
      </c>
      <c r="AY28" s="470">
        <f t="shared" si="34"/>
        <v>6.9888842432633633E-3</v>
      </c>
      <c r="AZ28" s="470" t="str">
        <f t="shared" si="30"/>
        <v/>
      </c>
      <c r="BA28" s="470"/>
      <c r="BB28" s="470" t="str">
        <f t="shared" si="31"/>
        <v/>
      </c>
    </row>
    <row r="29" spans="2:54">
      <c r="B29" t="s">
        <v>232</v>
      </c>
      <c r="C29" t="s">
        <v>2802</v>
      </c>
      <c r="D29">
        <f>1</f>
        <v>1</v>
      </c>
      <c r="E29">
        <f t="shared" si="11"/>
        <v>0.61499999999999999</v>
      </c>
      <c r="G29" s="465">
        <v>2.1</v>
      </c>
      <c r="H29">
        <v>2.2000000000000002</v>
      </c>
      <c r="I29" s="1">
        <f t="shared" si="0"/>
        <v>4.6225000000000014</v>
      </c>
      <c r="J29">
        <v>2</v>
      </c>
      <c r="K29" s="466">
        <f t="shared" si="1"/>
        <v>0.70402354885119778</v>
      </c>
      <c r="L29" s="467">
        <f t="shared" si="12"/>
        <v>0.37633306331394756</v>
      </c>
      <c r="M29" s="1">
        <f t="shared" si="2"/>
        <v>0.34684065722340379</v>
      </c>
      <c r="N29" s="1">
        <f t="shared" si="13"/>
        <v>0.50686067032865401</v>
      </c>
      <c r="O29" s="19">
        <f t="shared" si="14"/>
        <v>0.87428397024989524</v>
      </c>
      <c r="P29" s="1"/>
      <c r="Q29" s="1"/>
      <c r="R29" s="465">
        <v>4.9000000000000004</v>
      </c>
      <c r="S29">
        <v>4.8</v>
      </c>
      <c r="T29">
        <f t="shared" si="15"/>
        <v>23.522499999999997</v>
      </c>
      <c r="U29">
        <v>4.3</v>
      </c>
      <c r="V29" s="466">
        <f t="shared" si="3"/>
        <v>5.2978211180854125</v>
      </c>
      <c r="W29" s="466">
        <f t="shared" si="16"/>
        <v>4.0423961336519101</v>
      </c>
      <c r="X29" s="1">
        <f t="shared" si="4"/>
        <v>0.30454856340442782</v>
      </c>
      <c r="Y29" s="1">
        <f t="shared" si="24"/>
        <v>5.273502068867213</v>
      </c>
      <c r="Z29" s="19">
        <f t="shared" si="17"/>
        <v>9.0962637185890554</v>
      </c>
      <c r="AA29" s="1"/>
      <c r="AB29">
        <f t="shared" si="5"/>
        <v>2.1500000000000004</v>
      </c>
      <c r="AC29">
        <f t="shared" si="18"/>
        <v>4.6225000000000014</v>
      </c>
      <c r="AD29" s="468">
        <f t="shared" si="19"/>
        <v>5.0686067032865406E-4</v>
      </c>
      <c r="AE29" s="468">
        <f t="shared" si="20"/>
        <v>4.6225000000000014</v>
      </c>
      <c r="AF29" s="468"/>
      <c r="AG29" s="468"/>
      <c r="AH29" s="468"/>
      <c r="AI29" s="468"/>
      <c r="AJ29" s="470">
        <f t="shared" si="21"/>
        <v>5.0686067032865406E-4</v>
      </c>
      <c r="AK29" s="470" t="str">
        <f t="shared" si="21"/>
        <v/>
      </c>
      <c r="AL29" s="470" t="str">
        <f t="shared" si="21"/>
        <v/>
      </c>
      <c r="AM29" s="470" t="str">
        <f t="shared" si="21"/>
        <v/>
      </c>
      <c r="AN29" s="469"/>
      <c r="AO29">
        <f t="shared" si="7"/>
        <v>4.8499999999999996</v>
      </c>
      <c r="AP29" s="470">
        <f t="shared" si="22"/>
        <v>23.522499999999997</v>
      </c>
      <c r="AQ29" s="470">
        <f t="shared" si="8"/>
        <v>5.2735020688672134E-3</v>
      </c>
      <c r="AR29" s="470"/>
      <c r="AS29" s="470">
        <f t="shared" si="32"/>
        <v>23.522499999999997</v>
      </c>
      <c r="AT29" s="470" t="str">
        <f t="shared" si="28"/>
        <v/>
      </c>
      <c r="AU29" s="470" t="str">
        <f t="shared" si="33"/>
        <v/>
      </c>
      <c r="AV29" s="470" t="str">
        <f t="shared" si="29"/>
        <v/>
      </c>
      <c r="AX29" s="480">
        <f t="shared" si="23"/>
        <v>5.2735020688672134E-3</v>
      </c>
      <c r="AY29" s="470">
        <f t="shared" si="34"/>
        <v>5.2735020688672134E-3</v>
      </c>
      <c r="AZ29" s="470" t="str">
        <f t="shared" si="30"/>
        <v/>
      </c>
      <c r="BA29" s="470"/>
      <c r="BB29" s="470" t="str">
        <f t="shared" si="31"/>
        <v/>
      </c>
    </row>
    <row r="30" spans="2:54">
      <c r="B30" t="s">
        <v>232</v>
      </c>
      <c r="C30" t="s">
        <v>2802</v>
      </c>
      <c r="D30">
        <f>2</f>
        <v>2</v>
      </c>
      <c r="E30">
        <f t="shared" si="11"/>
        <v>0.61499999999999999</v>
      </c>
      <c r="G30" s="465">
        <v>4</v>
      </c>
      <c r="H30">
        <v>3.9</v>
      </c>
      <c r="I30" s="1">
        <f t="shared" si="0"/>
        <v>15.602500000000001</v>
      </c>
      <c r="J30">
        <v>3.7</v>
      </c>
      <c r="K30" s="466">
        <f t="shared" si="1"/>
        <v>3.1837455094477449</v>
      </c>
      <c r="L30" s="467">
        <f t="shared" si="12"/>
        <v>2.315523825133087</v>
      </c>
      <c r="M30" s="1">
        <f t="shared" si="2"/>
        <v>0.31000726686996583</v>
      </c>
      <c r="N30" s="1">
        <f t="shared" si="13"/>
        <v>3.0333530375348841</v>
      </c>
      <c r="O30" s="19">
        <f t="shared" si="14"/>
        <v>5.2322306544439217</v>
      </c>
      <c r="P30" s="1"/>
      <c r="Q30" s="1"/>
      <c r="R30" s="465">
        <v>8.5</v>
      </c>
      <c r="S30">
        <v>7.7</v>
      </c>
      <c r="T30">
        <f t="shared" si="15"/>
        <v>65.61</v>
      </c>
      <c r="U30">
        <v>4.9000000000000004</v>
      </c>
      <c r="V30" s="466">
        <f t="shared" si="3"/>
        <v>18.910416498711164</v>
      </c>
      <c r="W30" s="466">
        <f t="shared" si="16"/>
        <v>12.808302968486281</v>
      </c>
      <c r="X30" s="1">
        <f t="shared" si="4"/>
        <v>0.27950727277175286</v>
      </c>
      <c r="Y30" s="1">
        <f t="shared" si="24"/>
        <v>16.388316800042226</v>
      </c>
      <c r="Z30" s="19">
        <f t="shared" si="17"/>
        <v>28.268207648392835</v>
      </c>
      <c r="AA30" s="1"/>
      <c r="AB30">
        <f t="shared" si="5"/>
        <v>3.95</v>
      </c>
      <c r="AC30">
        <f t="shared" si="18"/>
        <v>15.602500000000001</v>
      </c>
      <c r="AD30" s="468">
        <f t="shared" si="19"/>
        <v>3.033353037534884E-3</v>
      </c>
      <c r="AE30" s="468">
        <f t="shared" si="20"/>
        <v>15.602500000000001</v>
      </c>
      <c r="AF30" s="468"/>
      <c r="AG30" s="468"/>
      <c r="AH30" s="468"/>
      <c r="AI30" s="468"/>
      <c r="AJ30" s="470">
        <f t="shared" si="21"/>
        <v>3.033353037534884E-3</v>
      </c>
      <c r="AK30" s="470" t="str">
        <f t="shared" si="21"/>
        <v/>
      </c>
      <c r="AL30" s="470" t="str">
        <f t="shared" si="21"/>
        <v/>
      </c>
      <c r="AM30" s="470" t="str">
        <f t="shared" si="21"/>
        <v/>
      </c>
      <c r="AN30" s="469"/>
      <c r="AO30">
        <f t="shared" si="7"/>
        <v>8.1</v>
      </c>
      <c r="AP30" s="470">
        <f t="shared" si="22"/>
        <v>65.61</v>
      </c>
      <c r="AQ30" s="470">
        <f t="shared" si="8"/>
        <v>1.6388316800042227E-2</v>
      </c>
      <c r="AR30" s="470"/>
      <c r="AS30" s="470">
        <f t="shared" si="32"/>
        <v>65.61</v>
      </c>
      <c r="AT30" s="470" t="str">
        <f t="shared" si="28"/>
        <v/>
      </c>
      <c r="AU30" s="470" t="str">
        <f t="shared" si="33"/>
        <v/>
      </c>
      <c r="AV30" s="470" t="str">
        <f t="shared" si="29"/>
        <v/>
      </c>
      <c r="AX30" s="480">
        <f t="shared" si="23"/>
        <v>1.6388316800042227E-2</v>
      </c>
      <c r="AY30" s="470">
        <f t="shared" si="34"/>
        <v>1.6388316800042227E-2</v>
      </c>
      <c r="AZ30" s="470" t="str">
        <f t="shared" si="30"/>
        <v/>
      </c>
      <c r="BA30" s="470"/>
      <c r="BB30" s="470" t="str">
        <f t="shared" si="31"/>
        <v/>
      </c>
    </row>
    <row r="31" spans="2:54">
      <c r="B31" t="s">
        <v>232</v>
      </c>
      <c r="C31" t="s">
        <v>2802</v>
      </c>
      <c r="D31">
        <f>3</f>
        <v>3</v>
      </c>
      <c r="E31">
        <f t="shared" si="11"/>
        <v>0.61499999999999999</v>
      </c>
      <c r="G31" s="465">
        <v>3.8</v>
      </c>
      <c r="H31">
        <v>3.7</v>
      </c>
      <c r="I31" s="1">
        <f t="shared" si="0"/>
        <v>14.0625</v>
      </c>
      <c r="J31">
        <v>3.7</v>
      </c>
      <c r="K31" s="466">
        <f t="shared" si="1"/>
        <v>2.7986899159784624</v>
      </c>
      <c r="L31" s="467">
        <f t="shared" si="12"/>
        <v>2.0869766890520127</v>
      </c>
      <c r="M31" s="1">
        <f t="shared" si="2"/>
        <v>0.31299474876605637</v>
      </c>
      <c r="N31" s="1">
        <f t="shared" si="13"/>
        <v>2.7401894335224637</v>
      </c>
      <c r="O31" s="19">
        <f t="shared" si="14"/>
        <v>4.7265527538828973</v>
      </c>
      <c r="P31" s="1"/>
      <c r="Q31" s="1"/>
      <c r="R31" s="465">
        <v>6.5</v>
      </c>
      <c r="S31">
        <v>6.7</v>
      </c>
      <c r="T31">
        <f t="shared" si="15"/>
        <v>43.559999999999995</v>
      </c>
      <c r="U31">
        <v>5.0999999999999996</v>
      </c>
      <c r="V31" s="466">
        <f t="shared" si="3"/>
        <v>11.377508288521962</v>
      </c>
      <c r="W31" s="466">
        <f t="shared" si="16"/>
        <v>8.8423264166814342</v>
      </c>
      <c r="X31" s="1">
        <f t="shared" si="4"/>
        <v>0.28732005198545996</v>
      </c>
      <c r="Y31" s="1">
        <f t="shared" si="24"/>
        <v>11.38290410239475</v>
      </c>
      <c r="Z31" s="19">
        <f t="shared" si="17"/>
        <v>19.634371286220702</v>
      </c>
      <c r="AA31" s="1"/>
      <c r="AB31">
        <f t="shared" si="5"/>
        <v>3.75</v>
      </c>
      <c r="AC31">
        <f t="shared" si="18"/>
        <v>14.0625</v>
      </c>
      <c r="AD31" s="468">
        <f t="shared" si="19"/>
        <v>2.7401894335224637E-3</v>
      </c>
      <c r="AE31" s="468">
        <f t="shared" si="20"/>
        <v>14.0625</v>
      </c>
      <c r="AF31" s="468"/>
      <c r="AG31" s="468"/>
      <c r="AH31" s="468"/>
      <c r="AI31" s="468"/>
      <c r="AJ31" s="470">
        <f t="shared" si="21"/>
        <v>2.7401894335224637E-3</v>
      </c>
      <c r="AK31" s="470" t="str">
        <f t="shared" si="21"/>
        <v/>
      </c>
      <c r="AL31" s="470" t="str">
        <f t="shared" si="21"/>
        <v/>
      </c>
      <c r="AM31" s="470" t="str">
        <f t="shared" si="21"/>
        <v/>
      </c>
      <c r="AN31" s="469"/>
      <c r="AO31">
        <f t="shared" si="7"/>
        <v>6.6</v>
      </c>
      <c r="AP31" s="470">
        <f t="shared" si="22"/>
        <v>43.559999999999995</v>
      </c>
      <c r="AQ31" s="470">
        <f t="shared" si="8"/>
        <v>1.138290410239475E-2</v>
      </c>
      <c r="AR31" s="470"/>
      <c r="AS31" s="470">
        <f t="shared" si="32"/>
        <v>43.559999999999995</v>
      </c>
      <c r="AT31" s="470" t="str">
        <f t="shared" si="28"/>
        <v/>
      </c>
      <c r="AU31" s="470" t="str">
        <f t="shared" si="33"/>
        <v/>
      </c>
      <c r="AV31" s="470" t="str">
        <f t="shared" si="29"/>
        <v/>
      </c>
      <c r="AX31" s="480">
        <f t="shared" si="23"/>
        <v>1.138290410239475E-2</v>
      </c>
      <c r="AY31" s="470">
        <f t="shared" si="34"/>
        <v>1.138290410239475E-2</v>
      </c>
      <c r="AZ31" s="470" t="str">
        <f t="shared" si="30"/>
        <v/>
      </c>
      <c r="BA31" s="470"/>
      <c r="BB31" s="470" t="str">
        <f t="shared" si="31"/>
        <v/>
      </c>
    </row>
    <row r="32" spans="2:54">
      <c r="B32" t="s">
        <v>232</v>
      </c>
      <c r="C32" t="s">
        <v>2802</v>
      </c>
      <c r="D32">
        <f>4</f>
        <v>4</v>
      </c>
      <c r="E32">
        <f t="shared" si="11"/>
        <v>0.61499999999999999</v>
      </c>
      <c r="G32" s="465">
        <v>4</v>
      </c>
      <c r="H32">
        <v>3.9</v>
      </c>
      <c r="I32" s="1">
        <f t="shared" si="0"/>
        <v>15.602500000000001</v>
      </c>
      <c r="J32">
        <v>3.1</v>
      </c>
      <c r="K32" s="466">
        <f t="shared" si="1"/>
        <v>3.1837455094477449</v>
      </c>
      <c r="L32" s="467">
        <f t="shared" si="12"/>
        <v>1.9482890265518371</v>
      </c>
      <c r="M32" s="1">
        <f t="shared" si="2"/>
        <v>0.31000726686996583</v>
      </c>
      <c r="N32" s="1">
        <f t="shared" si="13"/>
        <v>2.5522727827459182</v>
      </c>
      <c r="O32" s="19">
        <f t="shared" si="14"/>
        <v>4.4024153229584337</v>
      </c>
      <c r="P32" s="1"/>
      <c r="Q32" s="1"/>
      <c r="R32" s="465">
        <v>5.5</v>
      </c>
      <c r="S32">
        <v>5.7</v>
      </c>
      <c r="T32">
        <f t="shared" si="15"/>
        <v>31.359999999999996</v>
      </c>
      <c r="U32">
        <v>5.15</v>
      </c>
      <c r="V32" s="466">
        <f t="shared" si="3"/>
        <v>7.5686824956927552</v>
      </c>
      <c r="W32" s="466">
        <f t="shared" si="16"/>
        <v>6.426730515816093</v>
      </c>
      <c r="X32" s="1">
        <f t="shared" si="4"/>
        <v>0.29422259696164371</v>
      </c>
      <c r="Y32" s="1">
        <f t="shared" si="24"/>
        <v>8.3176198581521472</v>
      </c>
      <c r="Z32" s="19">
        <f t="shared" si="17"/>
        <v>14.347062493326638</v>
      </c>
      <c r="AA32" s="1"/>
      <c r="AB32">
        <f t="shared" si="5"/>
        <v>3.95</v>
      </c>
      <c r="AC32">
        <f t="shared" si="18"/>
        <v>15.602500000000001</v>
      </c>
      <c r="AD32" s="468">
        <f t="shared" si="19"/>
        <v>2.5522727827459184E-3</v>
      </c>
      <c r="AE32" s="468">
        <f t="shared" si="20"/>
        <v>15.602500000000001</v>
      </c>
      <c r="AF32" s="468"/>
      <c r="AG32" s="468"/>
      <c r="AH32" s="468"/>
      <c r="AI32" s="468"/>
      <c r="AJ32" s="470">
        <f t="shared" si="21"/>
        <v>2.5522727827459184E-3</v>
      </c>
      <c r="AK32" s="470" t="str">
        <f t="shared" si="21"/>
        <v/>
      </c>
      <c r="AL32" s="470" t="str">
        <f t="shared" si="21"/>
        <v/>
      </c>
      <c r="AM32" s="470" t="str">
        <f t="shared" si="21"/>
        <v/>
      </c>
      <c r="AN32" s="469"/>
      <c r="AO32">
        <f t="shared" si="7"/>
        <v>5.6</v>
      </c>
      <c r="AP32" s="470">
        <f t="shared" si="22"/>
        <v>31.359999999999996</v>
      </c>
      <c r="AQ32" s="470">
        <f t="shared" si="8"/>
        <v>8.3176198581521466E-3</v>
      </c>
      <c r="AR32" s="470"/>
      <c r="AS32" s="470">
        <f t="shared" si="32"/>
        <v>31.359999999999996</v>
      </c>
      <c r="AT32" s="470" t="str">
        <f t="shared" si="28"/>
        <v/>
      </c>
      <c r="AU32" s="470" t="str">
        <f t="shared" si="33"/>
        <v/>
      </c>
      <c r="AV32" s="470" t="str">
        <f t="shared" si="29"/>
        <v/>
      </c>
      <c r="AX32" s="480">
        <f t="shared" si="23"/>
        <v>8.3176198581521466E-3</v>
      </c>
      <c r="AY32" s="470">
        <f t="shared" si="34"/>
        <v>8.3176198581521466E-3</v>
      </c>
      <c r="AZ32" s="470" t="str">
        <f t="shared" si="30"/>
        <v/>
      </c>
      <c r="BA32" s="470"/>
      <c r="BB32" s="470" t="str">
        <f t="shared" si="31"/>
        <v/>
      </c>
    </row>
    <row r="33" spans="2:54">
      <c r="B33" t="s">
        <v>232</v>
      </c>
      <c r="C33" t="s">
        <v>2802</v>
      </c>
      <c r="D33">
        <f>5</f>
        <v>5</v>
      </c>
      <c r="E33">
        <f t="shared" si="11"/>
        <v>0.61499999999999999</v>
      </c>
      <c r="G33" s="465">
        <v>4.3</v>
      </c>
      <c r="H33">
        <v>4.2</v>
      </c>
      <c r="I33" s="1">
        <f t="shared" si="0"/>
        <v>18.0625</v>
      </c>
      <c r="J33">
        <v>3.7</v>
      </c>
      <c r="K33" s="466">
        <f t="shared" si="1"/>
        <v>3.8177783203299249</v>
      </c>
      <c r="L33" s="467">
        <f t="shared" si="12"/>
        <v>2.6806056139379186</v>
      </c>
      <c r="M33" s="1">
        <f t="shared" si="2"/>
        <v>0.30584667997002807</v>
      </c>
      <c r="N33" s="1">
        <f t="shared" si="13"/>
        <v>3.5004599412698498</v>
      </c>
      <c r="O33" s="19">
        <f t="shared" si="14"/>
        <v>6.0379433526963631</v>
      </c>
      <c r="P33" s="1"/>
      <c r="Q33" s="1"/>
      <c r="R33" s="465">
        <v>6</v>
      </c>
      <c r="S33">
        <v>5.8</v>
      </c>
      <c r="T33">
        <f t="shared" si="15"/>
        <v>34.81</v>
      </c>
      <c r="U33">
        <v>5.2</v>
      </c>
      <c r="V33" s="466">
        <f t="shared" si="3"/>
        <v>8.6148429889378697</v>
      </c>
      <c r="W33" s="466">
        <f t="shared" si="16"/>
        <v>7.2013424993908348</v>
      </c>
      <c r="X33" s="1">
        <f t="shared" si="4"/>
        <v>0.2917419794006163</v>
      </c>
      <c r="Y33" s="1">
        <f t="shared" si="24"/>
        <v>9.3022764145048988</v>
      </c>
      <c r="Z33" s="19">
        <f t="shared" si="17"/>
        <v>16.0454965873795</v>
      </c>
      <c r="AA33" s="1"/>
      <c r="AB33">
        <f t="shared" si="5"/>
        <v>4.25</v>
      </c>
      <c r="AC33">
        <f t="shared" si="18"/>
        <v>18.0625</v>
      </c>
      <c r="AD33" s="468">
        <f t="shared" si="19"/>
        <v>3.5004599412698499E-3</v>
      </c>
      <c r="AE33" s="468">
        <f t="shared" si="20"/>
        <v>18.0625</v>
      </c>
      <c r="AF33" s="468"/>
      <c r="AG33" s="468"/>
      <c r="AH33" s="468"/>
      <c r="AI33" s="468"/>
      <c r="AJ33" s="470">
        <f t="shared" si="21"/>
        <v>3.5004599412698499E-3</v>
      </c>
      <c r="AK33" s="470" t="str">
        <f t="shared" si="21"/>
        <v/>
      </c>
      <c r="AL33" s="470" t="str">
        <f t="shared" si="21"/>
        <v/>
      </c>
      <c r="AM33" s="470" t="str">
        <f t="shared" si="21"/>
        <v/>
      </c>
      <c r="AN33" s="469"/>
      <c r="AO33">
        <f t="shared" si="7"/>
        <v>5.9</v>
      </c>
      <c r="AP33" s="470">
        <f t="shared" si="22"/>
        <v>34.81</v>
      </c>
      <c r="AQ33" s="470">
        <f t="shared" si="8"/>
        <v>9.3022764145048991E-3</v>
      </c>
      <c r="AR33" s="470"/>
      <c r="AS33" s="470">
        <f t="shared" si="32"/>
        <v>34.81</v>
      </c>
      <c r="AT33" s="470" t="str">
        <f t="shared" si="28"/>
        <v/>
      </c>
      <c r="AU33" s="470" t="str">
        <f t="shared" si="33"/>
        <v/>
      </c>
      <c r="AV33" s="470" t="str">
        <f t="shared" si="29"/>
        <v/>
      </c>
      <c r="AX33" s="480">
        <f t="shared" si="23"/>
        <v>9.3022764145048991E-3</v>
      </c>
      <c r="AY33" s="470">
        <f t="shared" si="34"/>
        <v>9.3022764145048991E-3</v>
      </c>
      <c r="AZ33" s="470" t="str">
        <f t="shared" si="30"/>
        <v/>
      </c>
      <c r="BA33" s="470"/>
      <c r="BB33" s="470" t="str">
        <f t="shared" si="31"/>
        <v/>
      </c>
    </row>
    <row r="34" spans="2:54">
      <c r="B34" t="s">
        <v>232</v>
      </c>
      <c r="C34" t="s">
        <v>2803</v>
      </c>
      <c r="D34">
        <f>1</f>
        <v>1</v>
      </c>
      <c r="E34">
        <f t="shared" si="11"/>
        <v>0.61499999999999999</v>
      </c>
      <c r="G34" s="465">
        <v>2.5</v>
      </c>
      <c r="H34">
        <v>2.8</v>
      </c>
      <c r="I34" s="1">
        <f t="shared" si="0"/>
        <v>7.0225</v>
      </c>
      <c r="J34">
        <v>2.6</v>
      </c>
      <c r="K34" s="466">
        <f t="shared" si="1"/>
        <v>1.1826910206463683</v>
      </c>
      <c r="L34" s="467">
        <f t="shared" si="12"/>
        <v>0.73857723182390844</v>
      </c>
      <c r="M34" s="1">
        <f t="shared" si="2"/>
        <v>0.33370972450869735</v>
      </c>
      <c r="N34" s="1">
        <f t="shared" si="13"/>
        <v>0.98504763638426118</v>
      </c>
      <c r="O34" s="19">
        <f t="shared" si="14"/>
        <v>1.699108667999212</v>
      </c>
      <c r="P34" s="1"/>
      <c r="Q34" s="1"/>
      <c r="R34" s="465">
        <v>6.1</v>
      </c>
      <c r="S34">
        <v>5.7</v>
      </c>
      <c r="T34">
        <f t="shared" si="15"/>
        <v>34.81</v>
      </c>
      <c r="U34">
        <v>5.0999999999999996</v>
      </c>
      <c r="V34" s="466">
        <f t="shared" si="3"/>
        <v>8.6148429889378697</v>
      </c>
      <c r="W34" s="466">
        <f t="shared" si="16"/>
        <v>7.0661474417970807</v>
      </c>
      <c r="X34" s="1">
        <f t="shared" si="4"/>
        <v>0.29215363527392257</v>
      </c>
      <c r="Y34" s="1">
        <f t="shared" si="24"/>
        <v>9.1305481042996259</v>
      </c>
      <c r="Z34" s="19">
        <f t="shared" si="17"/>
        <v>15.749282425106422</v>
      </c>
      <c r="AA34" s="1"/>
      <c r="AB34">
        <f t="shared" si="5"/>
        <v>2.65</v>
      </c>
      <c r="AC34">
        <f t="shared" si="18"/>
        <v>7.0225</v>
      </c>
      <c r="AD34" s="468">
        <f t="shared" si="19"/>
        <v>9.8504763638426122E-4</v>
      </c>
      <c r="AE34" s="468">
        <f t="shared" si="20"/>
        <v>7.0225</v>
      </c>
      <c r="AF34" s="468"/>
      <c r="AG34" s="468"/>
      <c r="AH34" s="468"/>
      <c r="AI34" s="468"/>
      <c r="AJ34" s="470">
        <f t="shared" si="21"/>
        <v>9.8504763638426122E-4</v>
      </c>
      <c r="AK34" s="470" t="str">
        <f t="shared" si="21"/>
        <v/>
      </c>
      <c r="AL34" s="470" t="str">
        <f t="shared" si="21"/>
        <v/>
      </c>
      <c r="AM34" s="470" t="str">
        <f t="shared" si="21"/>
        <v/>
      </c>
      <c r="AN34" s="469"/>
      <c r="AO34">
        <f t="shared" si="7"/>
        <v>5.9</v>
      </c>
      <c r="AP34" s="470">
        <f t="shared" si="22"/>
        <v>34.81</v>
      </c>
      <c r="AQ34" s="470">
        <f t="shared" si="8"/>
        <v>9.1305481042996267E-3</v>
      </c>
      <c r="AR34" s="470"/>
      <c r="AS34" s="470">
        <f t="shared" si="32"/>
        <v>34.81</v>
      </c>
      <c r="AT34" s="470" t="str">
        <f t="shared" si="28"/>
        <v/>
      </c>
      <c r="AU34" s="470" t="str">
        <f t="shared" si="33"/>
        <v/>
      </c>
      <c r="AV34" s="470" t="str">
        <f t="shared" si="29"/>
        <v/>
      </c>
      <c r="AX34" s="480">
        <f t="shared" si="23"/>
        <v>9.1305481042996267E-3</v>
      </c>
      <c r="AY34" s="470">
        <f t="shared" si="34"/>
        <v>9.1305481042996267E-3</v>
      </c>
      <c r="AZ34" s="470" t="str">
        <f t="shared" si="30"/>
        <v/>
      </c>
      <c r="BA34" s="470"/>
      <c r="BB34" s="470" t="str">
        <f t="shared" si="31"/>
        <v/>
      </c>
    </row>
    <row r="35" spans="2:54">
      <c r="B35" t="s">
        <v>232</v>
      </c>
      <c r="C35" t="s">
        <v>2803</v>
      </c>
      <c r="D35">
        <f>2</f>
        <v>2</v>
      </c>
      <c r="E35">
        <f t="shared" si="11"/>
        <v>0.61499999999999999</v>
      </c>
      <c r="G35" s="465">
        <v>2.2999999999999998</v>
      </c>
      <c r="H35">
        <v>2.4</v>
      </c>
      <c r="I35" s="1">
        <f t="shared" si="0"/>
        <v>5.5224999999999982</v>
      </c>
      <c r="J35">
        <v>2.8</v>
      </c>
      <c r="K35" s="466">
        <f t="shared" si="1"/>
        <v>0.87785516836975885</v>
      </c>
      <c r="L35" s="467">
        <f t="shared" si="12"/>
        <v>0.62438454274144628</v>
      </c>
      <c r="M35" s="1">
        <f t="shared" si="2"/>
        <v>0.34119277459171921</v>
      </c>
      <c r="N35" s="1">
        <f t="shared" si="13"/>
        <v>0.83742003729158221</v>
      </c>
      <c r="O35" s="19">
        <f t="shared" si="14"/>
        <v>1.4444658223242501</v>
      </c>
      <c r="P35" s="1"/>
      <c r="Q35" s="1"/>
      <c r="R35" s="465">
        <v>5.3</v>
      </c>
      <c r="S35">
        <v>5.3</v>
      </c>
      <c r="T35">
        <f t="shared" si="15"/>
        <v>28.09</v>
      </c>
      <c r="U35">
        <v>4.66</v>
      </c>
      <c r="V35" s="466">
        <f t="shared" si="3"/>
        <v>6.6023206987284322</v>
      </c>
      <c r="W35" s="466">
        <f t="shared" si="16"/>
        <v>5.2213952998129809</v>
      </c>
      <c r="X35" s="1">
        <f t="shared" si="4"/>
        <v>0.29880452226707954</v>
      </c>
      <c r="Y35" s="1">
        <f t="shared" si="24"/>
        <v>6.781571827941173</v>
      </c>
      <c r="Z35" s="19">
        <f t="shared" si="17"/>
        <v>11.697533246015729</v>
      </c>
      <c r="AA35" s="1"/>
      <c r="AB35">
        <f t="shared" si="5"/>
        <v>2.3499999999999996</v>
      </c>
      <c r="AC35">
        <f t="shared" si="18"/>
        <v>5.5224999999999982</v>
      </c>
      <c r="AD35" s="468">
        <f t="shared" si="19"/>
        <v>8.3742003729158222E-4</v>
      </c>
      <c r="AE35" s="468">
        <f t="shared" si="20"/>
        <v>5.5224999999999982</v>
      </c>
      <c r="AF35" s="468"/>
      <c r="AG35" s="468"/>
      <c r="AH35" s="468"/>
      <c r="AI35" s="468"/>
      <c r="AJ35" s="470">
        <f t="shared" si="21"/>
        <v>8.3742003729158222E-4</v>
      </c>
      <c r="AK35" s="470" t="str">
        <f t="shared" si="21"/>
        <v/>
      </c>
      <c r="AL35" s="470" t="str">
        <f t="shared" si="21"/>
        <v/>
      </c>
      <c r="AM35" s="470" t="str">
        <f t="shared" si="21"/>
        <v/>
      </c>
      <c r="AN35" s="469"/>
      <c r="AO35">
        <f t="shared" si="7"/>
        <v>5.3</v>
      </c>
      <c r="AP35" s="470">
        <f t="shared" si="22"/>
        <v>28.09</v>
      </c>
      <c r="AQ35" s="470">
        <f t="shared" si="8"/>
        <v>6.7815718279411732E-3</v>
      </c>
      <c r="AR35" s="470"/>
      <c r="AS35" s="470">
        <f t="shared" si="32"/>
        <v>28.09</v>
      </c>
      <c r="AT35" s="470" t="str">
        <f t="shared" si="28"/>
        <v/>
      </c>
      <c r="AU35" s="470" t="str">
        <f t="shared" si="33"/>
        <v/>
      </c>
      <c r="AV35" s="470" t="str">
        <f t="shared" si="29"/>
        <v/>
      </c>
      <c r="AX35" s="480">
        <f t="shared" si="23"/>
        <v>6.7815718279411732E-3</v>
      </c>
      <c r="AY35" s="470">
        <f t="shared" si="34"/>
        <v>6.7815718279411732E-3</v>
      </c>
      <c r="AZ35" s="470" t="str">
        <f t="shared" si="30"/>
        <v/>
      </c>
      <c r="BA35" s="470"/>
      <c r="BB35" s="470" t="str">
        <f t="shared" si="31"/>
        <v/>
      </c>
    </row>
    <row r="36" spans="2:54">
      <c r="B36" t="s">
        <v>232</v>
      </c>
      <c r="C36" t="s">
        <v>2803</v>
      </c>
      <c r="D36">
        <f>3</f>
        <v>3</v>
      </c>
      <c r="E36">
        <f t="shared" si="11"/>
        <v>0.61499999999999999</v>
      </c>
      <c r="G36" s="465">
        <v>2.5</v>
      </c>
      <c r="H36">
        <v>2.4</v>
      </c>
      <c r="I36" s="1">
        <f t="shared" si="0"/>
        <v>6.0025000000000013</v>
      </c>
      <c r="J36">
        <v>3</v>
      </c>
      <c r="K36" s="466">
        <f t="shared" si="1"/>
        <v>0.97347039769508426</v>
      </c>
      <c r="L36" s="467">
        <f t="shared" si="12"/>
        <v>0.72592657135721106</v>
      </c>
      <c r="M36" s="1">
        <f t="shared" si="2"/>
        <v>0.33857842044733671</v>
      </c>
      <c r="N36" s="1">
        <f t="shared" si="13"/>
        <v>0.97170964324808651</v>
      </c>
      <c r="O36" s="19">
        <f t="shared" si="14"/>
        <v>1.6761019636386243</v>
      </c>
      <c r="P36" s="1"/>
      <c r="Q36" s="1"/>
      <c r="R36" s="465">
        <v>4.8</v>
      </c>
      <c r="S36">
        <v>4.8</v>
      </c>
      <c r="T36">
        <f t="shared" si="15"/>
        <v>23.04</v>
      </c>
      <c r="U36">
        <v>4.5</v>
      </c>
      <c r="V36" s="466">
        <f t="shared" si="3"/>
        <v>5.1633551335763661</v>
      </c>
      <c r="W36" s="466">
        <f t="shared" si="16"/>
        <v>4.1391204831084751</v>
      </c>
      <c r="X36" s="1">
        <f t="shared" si="4"/>
        <v>0.30401326029823506</v>
      </c>
      <c r="Y36" s="1">
        <f t="shared" si="24"/>
        <v>5.3974679959454885</v>
      </c>
      <c r="Z36" s="19">
        <f t="shared" si="17"/>
        <v>9.3100925462063717</v>
      </c>
      <c r="AA36" s="1"/>
      <c r="AB36">
        <f t="shared" si="5"/>
        <v>2.4500000000000002</v>
      </c>
      <c r="AC36">
        <f t="shared" si="18"/>
        <v>6.0025000000000013</v>
      </c>
      <c r="AD36" s="468">
        <f t="shared" si="19"/>
        <v>9.7170964324808649E-4</v>
      </c>
      <c r="AE36" s="468">
        <f t="shared" si="20"/>
        <v>6.0025000000000013</v>
      </c>
      <c r="AF36" s="468"/>
      <c r="AG36" s="468"/>
      <c r="AH36" s="468"/>
      <c r="AI36" s="468"/>
      <c r="AJ36" s="470">
        <f t="shared" si="21"/>
        <v>9.7170964324808649E-4</v>
      </c>
      <c r="AK36" s="470" t="str">
        <f t="shared" si="21"/>
        <v/>
      </c>
      <c r="AL36" s="470" t="str">
        <f t="shared" si="21"/>
        <v/>
      </c>
      <c r="AM36" s="470" t="str">
        <f t="shared" si="21"/>
        <v/>
      </c>
      <c r="AN36" s="469"/>
      <c r="AO36">
        <f t="shared" ref="AO36:AO67" si="35">AVERAGE(R36:S36)</f>
        <v>4.8</v>
      </c>
      <c r="AP36" s="470">
        <f t="shared" si="22"/>
        <v>23.04</v>
      </c>
      <c r="AQ36" s="470">
        <f t="shared" ref="AQ36:AQ67" si="36">Y36/1000</f>
        <v>5.3974679959454888E-3</v>
      </c>
      <c r="AR36" s="470"/>
      <c r="AS36" s="470">
        <f t="shared" si="32"/>
        <v>23.04</v>
      </c>
      <c r="AT36" s="470" t="str">
        <f t="shared" si="28"/>
        <v/>
      </c>
      <c r="AU36" s="470" t="str">
        <f t="shared" si="33"/>
        <v/>
      </c>
      <c r="AV36" s="470" t="str">
        <f t="shared" si="29"/>
        <v/>
      </c>
      <c r="AX36" s="480">
        <f t="shared" si="23"/>
        <v>5.3974679959454888E-3</v>
      </c>
      <c r="AY36" s="470">
        <f t="shared" si="34"/>
        <v>5.3974679959454888E-3</v>
      </c>
      <c r="AZ36" s="470" t="str">
        <f t="shared" si="30"/>
        <v/>
      </c>
      <c r="BA36" s="470"/>
      <c r="BB36" s="470" t="str">
        <f t="shared" si="31"/>
        <v/>
      </c>
    </row>
    <row r="37" spans="2:54">
      <c r="B37" t="s">
        <v>232</v>
      </c>
      <c r="C37" t="s">
        <v>2803</v>
      </c>
      <c r="D37">
        <f>4</f>
        <v>4</v>
      </c>
      <c r="E37">
        <f t="shared" si="11"/>
        <v>0.61499999999999999</v>
      </c>
      <c r="G37" s="465">
        <v>3.4</v>
      </c>
      <c r="H37">
        <v>3.2</v>
      </c>
      <c r="I37" s="1">
        <f t="shared" si="0"/>
        <v>10.889999999999999</v>
      </c>
      <c r="J37">
        <v>3</v>
      </c>
      <c r="K37" s="466">
        <f t="shared" si="1"/>
        <v>2.0380828960271686</v>
      </c>
      <c r="L37" s="467">
        <f t="shared" si="12"/>
        <v>1.3170079736909661</v>
      </c>
      <c r="M37" s="1">
        <f t="shared" si="2"/>
        <v>0.32046778742676607</v>
      </c>
      <c r="N37" s="1">
        <f t="shared" si="13"/>
        <v>1.7390666050431185</v>
      </c>
      <c r="O37" s="19">
        <f t="shared" si="14"/>
        <v>2.9997159870388748</v>
      </c>
      <c r="P37" s="1"/>
      <c r="Q37" s="1"/>
      <c r="R37" s="465">
        <v>4.5999999999999996</v>
      </c>
      <c r="S37">
        <v>4.3</v>
      </c>
      <c r="T37">
        <f t="shared" si="15"/>
        <v>19.802499999999995</v>
      </c>
      <c r="U37">
        <v>4.45</v>
      </c>
      <c r="V37" s="466">
        <f t="shared" si="3"/>
        <v>4.2791445979781333</v>
      </c>
      <c r="W37" s="466">
        <f t="shared" si="16"/>
        <v>3.5189214510946556</v>
      </c>
      <c r="X37" s="1">
        <f t="shared" si="4"/>
        <v>0.30770716922343128</v>
      </c>
      <c r="Y37" s="1">
        <f t="shared" si="24"/>
        <v>4.6017188095306008</v>
      </c>
      <c r="Z37" s="19">
        <f t="shared" si="17"/>
        <v>7.9375047745593319</v>
      </c>
      <c r="AA37" s="1"/>
      <c r="AB37">
        <f t="shared" si="5"/>
        <v>3.3</v>
      </c>
      <c r="AC37">
        <f t="shared" si="18"/>
        <v>10.889999999999999</v>
      </c>
      <c r="AD37" s="468">
        <f t="shared" si="19"/>
        <v>1.7390666050431185E-3</v>
      </c>
      <c r="AE37" s="468">
        <f t="shared" ref="AE37:AH73" si="37">IF($B37=AE$3,$AC37,0)</f>
        <v>10.889999999999999</v>
      </c>
      <c r="AF37" s="468"/>
      <c r="AG37" s="468"/>
      <c r="AH37" s="468"/>
      <c r="AI37" s="468"/>
      <c r="AJ37" s="470">
        <f t="shared" ref="AJ37:AM73" si="38">IF($B37=AJ$3,$AD37,"")</f>
        <v>1.7390666050431185E-3</v>
      </c>
      <c r="AK37" s="470" t="str">
        <f t="shared" si="38"/>
        <v/>
      </c>
      <c r="AL37" s="470" t="str">
        <f t="shared" si="38"/>
        <v/>
      </c>
      <c r="AM37" s="470" t="str">
        <f t="shared" si="38"/>
        <v/>
      </c>
      <c r="AN37" s="469"/>
      <c r="AO37">
        <f t="shared" si="35"/>
        <v>4.4499999999999993</v>
      </c>
      <c r="AP37" s="470">
        <f t="shared" si="22"/>
        <v>19.802499999999995</v>
      </c>
      <c r="AQ37" s="470">
        <f t="shared" si="36"/>
        <v>4.6017188095306008E-3</v>
      </c>
      <c r="AR37" s="470"/>
      <c r="AS37" s="470">
        <f t="shared" si="32"/>
        <v>19.802499999999995</v>
      </c>
      <c r="AT37" s="470" t="str">
        <f t="shared" si="28"/>
        <v/>
      </c>
      <c r="AU37" s="470" t="str">
        <f t="shared" si="33"/>
        <v/>
      </c>
      <c r="AV37" s="470" t="str">
        <f t="shared" si="29"/>
        <v/>
      </c>
      <c r="AX37" s="480">
        <f t="shared" si="23"/>
        <v>4.6017188095306008E-3</v>
      </c>
      <c r="AY37" s="470">
        <f t="shared" si="34"/>
        <v>4.6017188095306008E-3</v>
      </c>
      <c r="AZ37" s="470" t="str">
        <f t="shared" si="30"/>
        <v/>
      </c>
      <c r="BA37" s="470"/>
      <c r="BB37" s="470" t="str">
        <f t="shared" si="31"/>
        <v/>
      </c>
    </row>
    <row r="38" spans="2:54">
      <c r="B38" t="s">
        <v>232</v>
      </c>
      <c r="C38" t="s">
        <v>2803</v>
      </c>
      <c r="D38">
        <f>5</f>
        <v>5</v>
      </c>
      <c r="E38">
        <f t="shared" si="11"/>
        <v>0.61499999999999999</v>
      </c>
      <c r="G38" s="465">
        <v>3.1</v>
      </c>
      <c r="H38">
        <v>3.1</v>
      </c>
      <c r="I38" s="1">
        <f t="shared" si="0"/>
        <v>9.6100000000000012</v>
      </c>
      <c r="J38">
        <v>3</v>
      </c>
      <c r="K38" s="466">
        <f t="shared" si="1"/>
        <v>1.7452588024611264</v>
      </c>
      <c r="L38" s="467">
        <f t="shared" si="12"/>
        <v>1.1622081383994665</v>
      </c>
      <c r="M38" s="1">
        <f t="shared" si="2"/>
        <v>0.32418738796716617</v>
      </c>
      <c r="N38" s="1">
        <f t="shared" si="13"/>
        <v>1.5389813590613723</v>
      </c>
      <c r="O38" s="19">
        <f t="shared" si="14"/>
        <v>2.6545889462449606</v>
      </c>
      <c r="P38" s="1"/>
      <c r="Q38" s="1"/>
      <c r="R38" s="465">
        <v>5.3</v>
      </c>
      <c r="S38">
        <v>5.4</v>
      </c>
      <c r="T38">
        <f t="shared" si="15"/>
        <v>28.622499999999995</v>
      </c>
      <c r="U38">
        <v>4.8</v>
      </c>
      <c r="V38" s="466">
        <f t="shared" si="3"/>
        <v>6.7579271950354345</v>
      </c>
      <c r="W38" s="466">
        <f t="shared" si="16"/>
        <v>5.4763247187204609</v>
      </c>
      <c r="X38" s="1">
        <f t="shared" si="4"/>
        <v>0.29774665508182813</v>
      </c>
      <c r="Y38" s="1">
        <f t="shared" si="24"/>
        <v>7.106882085861411</v>
      </c>
      <c r="Z38" s="19">
        <f t="shared" si="17"/>
        <v>12.258660909902346</v>
      </c>
      <c r="AA38" s="1"/>
      <c r="AB38">
        <f t="shared" si="5"/>
        <v>3.1</v>
      </c>
      <c r="AC38">
        <f t="shared" si="18"/>
        <v>9.6100000000000012</v>
      </c>
      <c r="AD38" s="468">
        <f t="shared" si="19"/>
        <v>1.5389813590613722E-3</v>
      </c>
      <c r="AE38" s="468">
        <f t="shared" si="37"/>
        <v>9.6100000000000012</v>
      </c>
      <c r="AF38" s="468"/>
      <c r="AG38" s="468"/>
      <c r="AH38" s="468"/>
      <c r="AI38" s="468"/>
      <c r="AJ38" s="470">
        <f t="shared" si="38"/>
        <v>1.5389813590613722E-3</v>
      </c>
      <c r="AK38" s="470" t="str">
        <f t="shared" si="38"/>
        <v/>
      </c>
      <c r="AL38" s="470" t="str">
        <f t="shared" si="38"/>
        <v/>
      </c>
      <c r="AM38" s="470" t="str">
        <f t="shared" si="38"/>
        <v/>
      </c>
      <c r="AN38" s="469"/>
      <c r="AO38">
        <f t="shared" si="35"/>
        <v>5.35</v>
      </c>
      <c r="AP38" s="470">
        <f t="shared" si="22"/>
        <v>28.622499999999995</v>
      </c>
      <c r="AQ38" s="470">
        <f t="shared" si="36"/>
        <v>7.106882085861411E-3</v>
      </c>
      <c r="AR38" s="470"/>
      <c r="AS38" s="470">
        <f t="shared" si="32"/>
        <v>28.622499999999995</v>
      </c>
      <c r="AT38" s="470" t="str">
        <f t="shared" si="28"/>
        <v/>
      </c>
      <c r="AU38" s="470" t="str">
        <f t="shared" si="33"/>
        <v/>
      </c>
      <c r="AV38" s="470" t="str">
        <f t="shared" si="29"/>
        <v/>
      </c>
      <c r="AX38" s="480">
        <f t="shared" si="23"/>
        <v>7.106882085861411E-3</v>
      </c>
      <c r="AY38" s="470">
        <f t="shared" si="34"/>
        <v>7.106882085861411E-3</v>
      </c>
      <c r="AZ38" s="470" t="str">
        <f t="shared" si="30"/>
        <v/>
      </c>
      <c r="BA38" s="470"/>
      <c r="BB38" s="470" t="str">
        <f t="shared" si="31"/>
        <v/>
      </c>
    </row>
    <row r="39" spans="2:54">
      <c r="B39" t="s">
        <v>231</v>
      </c>
      <c r="C39" t="s">
        <v>2804</v>
      </c>
      <c r="D39">
        <f>1</f>
        <v>1</v>
      </c>
      <c r="E39">
        <f t="shared" si="11"/>
        <v>0.48</v>
      </c>
      <c r="G39" s="465">
        <v>2.9</v>
      </c>
      <c r="H39">
        <v>2.9</v>
      </c>
      <c r="I39" s="1">
        <f t="shared" si="0"/>
        <v>8.41</v>
      </c>
      <c r="J39">
        <v>2.8</v>
      </c>
      <c r="K39" s="466">
        <f t="shared" si="1"/>
        <v>1.4791213433221295</v>
      </c>
      <c r="L39" s="467">
        <f t="shared" si="12"/>
        <v>0.74212751887545669</v>
      </c>
      <c r="M39" s="1">
        <f t="shared" si="2"/>
        <v>0.32820274127606669</v>
      </c>
      <c r="N39" s="1">
        <f t="shared" si="13"/>
        <v>0.98569580494678755</v>
      </c>
      <c r="O39" s="19">
        <f t="shared" si="14"/>
        <v>1.7002266939527138</v>
      </c>
      <c r="P39" s="1"/>
      <c r="Q39" s="1"/>
      <c r="R39" s="465">
        <v>4.5</v>
      </c>
      <c r="S39">
        <v>4.9000000000000004</v>
      </c>
      <c r="T39">
        <f t="shared" si="15"/>
        <v>22.090000000000003</v>
      </c>
      <c r="U39">
        <v>3.8</v>
      </c>
      <c r="V39" s="466">
        <f t="shared" si="3"/>
        <v>4.9005879366918759</v>
      </c>
      <c r="W39" s="466">
        <f t="shared" si="16"/>
        <v>2.6261577361375958</v>
      </c>
      <c r="X39" s="1">
        <f t="shared" si="4"/>
        <v>0.31447999147346856</v>
      </c>
      <c r="Y39" s="1">
        <f t="shared" si="24"/>
        <v>3.4520317986061304</v>
      </c>
      <c r="Z39" s="19">
        <f t="shared" si="17"/>
        <v>5.9544096494157133</v>
      </c>
      <c r="AA39" s="1"/>
      <c r="AB39">
        <f t="shared" si="5"/>
        <v>2.9</v>
      </c>
      <c r="AC39">
        <f t="shared" si="18"/>
        <v>8.41</v>
      </c>
      <c r="AD39" s="468">
        <f t="shared" si="19"/>
        <v>9.8569580494678758E-4</v>
      </c>
      <c r="AE39" s="468"/>
      <c r="AF39" s="468"/>
      <c r="AG39" s="468"/>
      <c r="AH39" s="468">
        <f t="shared" si="37"/>
        <v>8.41</v>
      </c>
      <c r="AI39" s="468"/>
      <c r="AJ39" s="470" t="str">
        <f t="shared" si="38"/>
        <v/>
      </c>
      <c r="AK39" s="470" t="str">
        <f t="shared" si="38"/>
        <v/>
      </c>
      <c r="AL39" s="470" t="str">
        <f t="shared" si="38"/>
        <v/>
      </c>
      <c r="AM39" s="470">
        <f t="shared" si="38"/>
        <v>9.8569580494678758E-4</v>
      </c>
      <c r="AN39" s="469"/>
      <c r="AO39">
        <f t="shared" si="35"/>
        <v>4.7</v>
      </c>
      <c r="AP39" s="470">
        <f t="shared" si="22"/>
        <v>22.090000000000003</v>
      </c>
      <c r="AQ39" s="470">
        <f t="shared" si="36"/>
        <v>3.4520317986061304E-3</v>
      </c>
      <c r="AR39" s="470"/>
      <c r="AS39" s="470"/>
      <c r="AT39" s="470" t="str">
        <f t="shared" si="28"/>
        <v/>
      </c>
      <c r="AU39" s="470" t="str">
        <f t="shared" si="33"/>
        <v/>
      </c>
      <c r="AV39" s="470">
        <f>IF($B39=AV$3,$AP39,"")</f>
        <v>22.090000000000003</v>
      </c>
      <c r="AX39" s="480">
        <f t="shared" si="23"/>
        <v>3.4520317986061304E-3</v>
      </c>
      <c r="AY39" s="470"/>
      <c r="AZ39" s="470" t="str">
        <f t="shared" si="30"/>
        <v/>
      </c>
      <c r="BA39" s="470"/>
      <c r="BB39" s="470">
        <f>IF($B39=BB$3,$AX39,"")</f>
        <v>3.4520317986061304E-3</v>
      </c>
    </row>
    <row r="40" spans="2:54">
      <c r="B40" t="s">
        <v>231</v>
      </c>
      <c r="C40" t="s">
        <v>2804</v>
      </c>
      <c r="D40">
        <f>2</f>
        <v>2</v>
      </c>
      <c r="E40">
        <f t="shared" si="11"/>
        <v>0.48</v>
      </c>
      <c r="G40" s="465">
        <v>1.7</v>
      </c>
      <c r="H40">
        <v>1.9</v>
      </c>
      <c r="I40" s="1">
        <f t="shared" si="0"/>
        <v>3.2399999999999993</v>
      </c>
      <c r="J40">
        <v>2.5</v>
      </c>
      <c r="K40" s="466">
        <f t="shared" si="1"/>
        <v>0.45305003551679235</v>
      </c>
      <c r="L40" s="467">
        <f t="shared" si="12"/>
        <v>0.25597099715133403</v>
      </c>
      <c r="M40" s="1">
        <f t="shared" si="2"/>
        <v>0.35840430053970901</v>
      </c>
      <c r="N40" s="1">
        <f t="shared" si="13"/>
        <v>0.34771210334380975</v>
      </c>
      <c r="O40" s="19">
        <f t="shared" si="14"/>
        <v>0.59976860705773738</v>
      </c>
      <c r="P40" s="1"/>
      <c r="Q40" s="1"/>
      <c r="R40" s="465">
        <v>2.2000000000000002</v>
      </c>
      <c r="S40">
        <v>2.4</v>
      </c>
      <c r="T40">
        <f t="shared" si="15"/>
        <v>5.2899999999999991</v>
      </c>
      <c r="U40">
        <v>2.4</v>
      </c>
      <c r="V40" s="466">
        <f t="shared" si="3"/>
        <v>0.83224500879685204</v>
      </c>
      <c r="W40" s="466">
        <f t="shared" si="16"/>
        <v>0.40160410707198435</v>
      </c>
      <c r="X40" s="1">
        <f t="shared" si="4"/>
        <v>0.36163287587570647</v>
      </c>
      <c r="Y40" s="1">
        <f t="shared" si="24"/>
        <v>0.54683735527592114</v>
      </c>
      <c r="Z40" s="19">
        <f t="shared" si="17"/>
        <v>0.94323975411543626</v>
      </c>
      <c r="AA40" s="1"/>
      <c r="AB40">
        <f t="shared" si="5"/>
        <v>1.7999999999999998</v>
      </c>
      <c r="AC40">
        <f t="shared" si="18"/>
        <v>3.2399999999999993</v>
      </c>
      <c r="AD40" s="468">
        <f t="shared" si="19"/>
        <v>3.4771210334380977E-4</v>
      </c>
      <c r="AE40" s="468"/>
      <c r="AF40" s="468"/>
      <c r="AG40" s="468"/>
      <c r="AH40" s="468">
        <f t="shared" si="37"/>
        <v>3.2399999999999993</v>
      </c>
      <c r="AI40" s="468"/>
      <c r="AJ40" s="470" t="str">
        <f t="shared" si="38"/>
        <v/>
      </c>
      <c r="AK40" s="470" t="str">
        <f t="shared" si="38"/>
        <v/>
      </c>
      <c r="AL40" s="470" t="str">
        <f t="shared" si="38"/>
        <v/>
      </c>
      <c r="AM40" s="470">
        <f t="shared" si="38"/>
        <v>3.4771210334380977E-4</v>
      </c>
      <c r="AN40" s="469"/>
      <c r="AO40">
        <f t="shared" si="35"/>
        <v>2.2999999999999998</v>
      </c>
      <c r="AP40" s="470">
        <f t="shared" si="22"/>
        <v>5.2899999999999991</v>
      </c>
      <c r="AQ40" s="470">
        <f t="shared" si="36"/>
        <v>5.4683735527592109E-4</v>
      </c>
      <c r="AR40" s="470"/>
      <c r="AS40" s="470"/>
      <c r="AT40" s="470" t="str">
        <f t="shared" si="28"/>
        <v/>
      </c>
      <c r="AU40" s="470" t="str">
        <f t="shared" si="33"/>
        <v/>
      </c>
      <c r="AV40" s="470">
        <f>IF($B40=AV$3,$AP40,"")</f>
        <v>5.2899999999999991</v>
      </c>
      <c r="AX40" s="480">
        <f t="shared" si="23"/>
        <v>5.4683735527592109E-4</v>
      </c>
      <c r="AY40" s="470"/>
      <c r="AZ40" s="470" t="str">
        <f t="shared" si="30"/>
        <v/>
      </c>
      <c r="BA40" s="470"/>
      <c r="BB40" s="470">
        <f>IF($B40=BB$3,$AX40,"")</f>
        <v>5.4683735527592109E-4</v>
      </c>
    </row>
    <row r="41" spans="2:54">
      <c r="B41" t="s">
        <v>231</v>
      </c>
      <c r="C41" t="s">
        <v>2804</v>
      </c>
      <c r="D41">
        <f>3</f>
        <v>3</v>
      </c>
      <c r="E41">
        <f t="shared" si="11"/>
        <v>0.48</v>
      </c>
      <c r="G41" s="465">
        <v>3</v>
      </c>
      <c r="H41">
        <v>3.1</v>
      </c>
      <c r="I41" s="1">
        <f t="shared" si="0"/>
        <v>9.3024999999999984</v>
      </c>
      <c r="J41">
        <v>2.9</v>
      </c>
      <c r="K41" s="466">
        <f t="shared" si="1"/>
        <v>1.6762549846365762</v>
      </c>
      <c r="L41" s="467">
        <f t="shared" si="12"/>
        <v>0.84948639196997644</v>
      </c>
      <c r="M41" s="1">
        <f t="shared" si="2"/>
        <v>0.32516184941271775</v>
      </c>
      <c r="N41" s="1">
        <f t="shared" si="13"/>
        <v>1.1257069582338708</v>
      </c>
      <c r="O41" s="19">
        <f t="shared" si="14"/>
        <v>1.9417319322576037</v>
      </c>
      <c r="P41" s="1"/>
      <c r="Q41" s="1"/>
      <c r="R41" s="465">
        <v>4.5999999999999996</v>
      </c>
      <c r="S41">
        <v>4.4000000000000004</v>
      </c>
      <c r="T41">
        <f t="shared" si="15"/>
        <v>20.25</v>
      </c>
      <c r="U41">
        <v>3.8</v>
      </c>
      <c r="V41" s="466">
        <f t="shared" si="3"/>
        <v>4.399421129479812</v>
      </c>
      <c r="W41" s="466">
        <f t="shared" si="16"/>
        <v>2.4074103285100183</v>
      </c>
      <c r="X41" s="1">
        <f t="shared" si="4"/>
        <v>0.31652145850097479</v>
      </c>
      <c r="Y41" s="1">
        <f t="shared" si="24"/>
        <v>3.1694073569003205</v>
      </c>
      <c r="Z41" s="19">
        <f t="shared" si="17"/>
        <v>5.4669107499173624</v>
      </c>
      <c r="AA41" s="1"/>
      <c r="AB41">
        <f t="shared" si="5"/>
        <v>3.05</v>
      </c>
      <c r="AC41">
        <f t="shared" si="18"/>
        <v>9.3024999999999984</v>
      </c>
      <c r="AD41" s="468">
        <f t="shared" si="19"/>
        <v>1.1257069582338707E-3</v>
      </c>
      <c r="AE41" s="468"/>
      <c r="AF41" s="468"/>
      <c r="AG41" s="468"/>
      <c r="AH41" s="468">
        <f t="shared" si="37"/>
        <v>9.3024999999999984</v>
      </c>
      <c r="AI41" s="468"/>
      <c r="AJ41" s="470" t="str">
        <f t="shared" si="38"/>
        <v/>
      </c>
      <c r="AK41" s="470" t="str">
        <f t="shared" si="38"/>
        <v/>
      </c>
      <c r="AL41" s="470" t="str">
        <f t="shared" si="38"/>
        <v/>
      </c>
      <c r="AM41" s="470">
        <f t="shared" si="38"/>
        <v>1.1257069582338707E-3</v>
      </c>
      <c r="AN41" s="469"/>
      <c r="AO41">
        <f t="shared" si="35"/>
        <v>4.5</v>
      </c>
      <c r="AP41" s="470">
        <f t="shared" si="22"/>
        <v>20.25</v>
      </c>
      <c r="AQ41" s="470">
        <f t="shared" si="36"/>
        <v>3.1694073569003204E-3</v>
      </c>
      <c r="AR41" s="470"/>
      <c r="AS41" s="470"/>
      <c r="AT41" s="470" t="str">
        <f t="shared" si="28"/>
        <v/>
      </c>
      <c r="AU41" s="470" t="str">
        <f t="shared" si="33"/>
        <v/>
      </c>
      <c r="AV41" s="470">
        <f>IF($B41=AV$3,$AP41,"")</f>
        <v>20.25</v>
      </c>
      <c r="AX41" s="480">
        <f t="shared" si="23"/>
        <v>3.1694073569003204E-3</v>
      </c>
      <c r="AY41" s="470"/>
      <c r="AZ41" s="470" t="str">
        <f t="shared" si="30"/>
        <v/>
      </c>
      <c r="BA41" s="470"/>
      <c r="BB41" s="470">
        <f>IF($B41=BB$3,$AX41,"")</f>
        <v>3.1694073569003204E-3</v>
      </c>
    </row>
    <row r="42" spans="2:54">
      <c r="B42" t="s">
        <v>231</v>
      </c>
      <c r="C42" t="s">
        <v>2804</v>
      </c>
      <c r="D42">
        <f>4</f>
        <v>4</v>
      </c>
      <c r="E42">
        <f t="shared" si="11"/>
        <v>0.48</v>
      </c>
      <c r="G42" s="465">
        <v>2.5</v>
      </c>
      <c r="H42">
        <v>2.5</v>
      </c>
      <c r="I42" s="1">
        <f t="shared" si="0"/>
        <v>6.25</v>
      </c>
      <c r="J42">
        <v>2.8</v>
      </c>
      <c r="K42" s="466">
        <f t="shared" si="1"/>
        <v>1.0235050230560792</v>
      </c>
      <c r="L42" s="467">
        <f t="shared" si="12"/>
        <v>0.55152164006796733</v>
      </c>
      <c r="M42" s="1">
        <f t="shared" si="2"/>
        <v>0.33731821442107851</v>
      </c>
      <c r="N42" s="1">
        <f t="shared" si="13"/>
        <v>0.73755993491027882</v>
      </c>
      <c r="O42" s="19">
        <f t="shared" si="14"/>
        <v>1.2722171317267399</v>
      </c>
      <c r="P42" s="1"/>
      <c r="Q42" s="1"/>
      <c r="R42" s="465">
        <v>3.3</v>
      </c>
      <c r="S42">
        <v>3.4</v>
      </c>
      <c r="T42">
        <f t="shared" si="15"/>
        <v>11.222499999999998</v>
      </c>
      <c r="U42">
        <v>3</v>
      </c>
      <c r="V42" s="466">
        <f t="shared" si="3"/>
        <v>2.1155547666334633</v>
      </c>
      <c r="W42" s="466">
        <f t="shared" si="16"/>
        <v>1.0592933850968662</v>
      </c>
      <c r="X42" s="1">
        <f t="shared" si="4"/>
        <v>0.33645677465328877</v>
      </c>
      <c r="Y42" s="1">
        <f t="shared" si="24"/>
        <v>1.415699820858122</v>
      </c>
      <c r="Z42" s="19">
        <f t="shared" si="17"/>
        <v>2.4419406209981744</v>
      </c>
      <c r="AA42" s="1"/>
      <c r="AB42">
        <f t="shared" si="5"/>
        <v>2.5</v>
      </c>
      <c r="AC42">
        <f t="shared" si="18"/>
        <v>6.25</v>
      </c>
      <c r="AD42" s="468">
        <f t="shared" si="19"/>
        <v>7.375599349102788E-4</v>
      </c>
      <c r="AE42" s="468"/>
      <c r="AF42" s="468"/>
      <c r="AG42" s="468"/>
      <c r="AH42" s="468">
        <f t="shared" si="37"/>
        <v>6.25</v>
      </c>
      <c r="AI42" s="468"/>
      <c r="AJ42" s="470" t="str">
        <f t="shared" si="38"/>
        <v/>
      </c>
      <c r="AK42" s="470" t="str">
        <f t="shared" si="38"/>
        <v/>
      </c>
      <c r="AL42" s="470" t="str">
        <f t="shared" si="38"/>
        <v/>
      </c>
      <c r="AM42" s="470">
        <f t="shared" si="38"/>
        <v>7.375599349102788E-4</v>
      </c>
      <c r="AN42" s="469"/>
      <c r="AO42">
        <f t="shared" si="35"/>
        <v>3.3499999999999996</v>
      </c>
      <c r="AP42" s="470">
        <f t="shared" si="22"/>
        <v>11.222499999999998</v>
      </c>
      <c r="AQ42" s="470">
        <f t="shared" si="36"/>
        <v>1.415699820858122E-3</v>
      </c>
      <c r="AR42" s="470"/>
      <c r="AS42" s="470"/>
      <c r="AT42" s="470" t="str">
        <f t="shared" si="28"/>
        <v/>
      </c>
      <c r="AU42" s="470" t="str">
        <f t="shared" si="33"/>
        <v/>
      </c>
      <c r="AV42" s="470">
        <f>IF($B42=AV$3,$AP42,"")</f>
        <v>11.222499999999998</v>
      </c>
      <c r="AX42" s="480">
        <f t="shared" si="23"/>
        <v>1.415699820858122E-3</v>
      </c>
      <c r="AY42" s="470"/>
      <c r="AZ42" s="470" t="str">
        <f t="shared" si="30"/>
        <v/>
      </c>
      <c r="BA42" s="470"/>
      <c r="BB42" s="470">
        <f>IF($B42=BB$3,$AX42,"")</f>
        <v>1.415699820858122E-3</v>
      </c>
    </row>
    <row r="43" spans="2:54">
      <c r="B43" t="s">
        <v>231</v>
      </c>
      <c r="C43" t="s">
        <v>2804</v>
      </c>
      <c r="D43">
        <f>5</f>
        <v>5</v>
      </c>
      <c r="E43">
        <f t="shared" si="11"/>
        <v>0.48</v>
      </c>
      <c r="G43" s="465">
        <v>2.2000000000000002</v>
      </c>
      <c r="H43">
        <v>2.2000000000000002</v>
      </c>
      <c r="I43" s="1">
        <f t="shared" si="0"/>
        <v>4.8400000000000007</v>
      </c>
      <c r="J43">
        <v>2.6</v>
      </c>
      <c r="K43" s="466">
        <f t="shared" si="1"/>
        <v>0.74534448049390112</v>
      </c>
      <c r="L43" s="467">
        <f t="shared" si="12"/>
        <v>0.39729733405651507</v>
      </c>
      <c r="M43" s="1">
        <f t="shared" si="2"/>
        <v>0.34537199828572224</v>
      </c>
      <c r="N43" s="1">
        <f t="shared" si="13"/>
        <v>0.53451270823320385</v>
      </c>
      <c r="O43" s="19">
        <f t="shared" si="14"/>
        <v>0.92198097043145333</v>
      </c>
      <c r="P43" s="1"/>
      <c r="Q43" s="1"/>
      <c r="R43" s="465">
        <v>3.5</v>
      </c>
      <c r="S43">
        <v>3.4</v>
      </c>
      <c r="T43">
        <f t="shared" si="15"/>
        <v>11.902500000000002</v>
      </c>
      <c r="U43">
        <v>3.8</v>
      </c>
      <c r="V43" s="466">
        <f t="shared" si="3"/>
        <v>2.2757052103060746</v>
      </c>
      <c r="W43" s="466">
        <f t="shared" si="16"/>
        <v>1.4150222930908887</v>
      </c>
      <c r="X43" s="1">
        <f t="shared" si="4"/>
        <v>0.32928632785843814</v>
      </c>
      <c r="Y43" s="1">
        <f t="shared" si="24"/>
        <v>1.880969787820614</v>
      </c>
      <c r="Z43" s="19">
        <f t="shared" si="17"/>
        <v>3.244484787011777</v>
      </c>
      <c r="AA43" s="1"/>
      <c r="AB43">
        <f t="shared" si="5"/>
        <v>2.2000000000000002</v>
      </c>
      <c r="AC43">
        <f t="shared" si="18"/>
        <v>4.8400000000000007</v>
      </c>
      <c r="AD43" s="468">
        <f t="shared" si="19"/>
        <v>5.3451270823320386E-4</v>
      </c>
      <c r="AE43" s="468"/>
      <c r="AF43" s="468"/>
      <c r="AG43" s="468"/>
      <c r="AH43" s="468">
        <f t="shared" si="37"/>
        <v>4.8400000000000007</v>
      </c>
      <c r="AI43" s="468"/>
      <c r="AJ43" s="470" t="str">
        <f t="shared" si="38"/>
        <v/>
      </c>
      <c r="AK43" s="470" t="str">
        <f t="shared" si="38"/>
        <v/>
      </c>
      <c r="AL43" s="470" t="str">
        <f t="shared" si="38"/>
        <v/>
      </c>
      <c r="AM43" s="470">
        <f t="shared" si="38"/>
        <v>5.3451270823320386E-4</v>
      </c>
      <c r="AN43" s="469"/>
      <c r="AO43">
        <f t="shared" si="35"/>
        <v>3.45</v>
      </c>
      <c r="AP43" s="470">
        <f t="shared" si="22"/>
        <v>11.902500000000002</v>
      </c>
      <c r="AQ43" s="470">
        <f t="shared" si="36"/>
        <v>1.880969787820614E-3</v>
      </c>
      <c r="AR43" s="470"/>
      <c r="AS43" s="470"/>
      <c r="AT43" s="470" t="str">
        <f t="shared" si="28"/>
        <v/>
      </c>
      <c r="AU43" s="470" t="str">
        <f t="shared" si="33"/>
        <v/>
      </c>
      <c r="AV43" s="470">
        <f>IF($B43=AV$3,$AP43,"")</f>
        <v>11.902500000000002</v>
      </c>
      <c r="AX43" s="480">
        <f t="shared" si="23"/>
        <v>1.880969787820614E-3</v>
      </c>
      <c r="AY43" s="470"/>
      <c r="AZ43" s="470" t="str">
        <f t="shared" si="30"/>
        <v/>
      </c>
      <c r="BA43" s="470"/>
      <c r="BB43" s="470">
        <f>IF($B43=BB$3,$AX43,"")</f>
        <v>1.880969787820614E-3</v>
      </c>
    </row>
    <row r="44" spans="2:54">
      <c r="B44" t="s">
        <v>232</v>
      </c>
      <c r="C44" t="s">
        <v>2804</v>
      </c>
      <c r="D44">
        <f>1</f>
        <v>1</v>
      </c>
      <c r="E44">
        <f t="shared" si="11"/>
        <v>0.61499999999999999</v>
      </c>
      <c r="G44" s="465">
        <v>5.4</v>
      </c>
      <c r="H44">
        <v>5.0999999999999996</v>
      </c>
      <c r="I44" s="1">
        <f t="shared" si="0"/>
        <v>27.5625</v>
      </c>
      <c r="J44">
        <v>4.4000000000000004</v>
      </c>
      <c r="K44" s="466">
        <f t="shared" si="1"/>
        <v>6.4488730355471739</v>
      </c>
      <c r="L44" s="467">
        <f t="shared" si="12"/>
        <v>4.8441613367142313</v>
      </c>
      <c r="M44" s="1">
        <f t="shared" si="2"/>
        <v>0.29414731632862323</v>
      </c>
      <c r="N44" s="1">
        <f t="shared" si="13"/>
        <v>6.2690583937715987</v>
      </c>
      <c r="O44" s="19">
        <f t="shared" si="14"/>
        <v>10.81349882341663</v>
      </c>
      <c r="P44" s="1"/>
      <c r="Q44" s="1"/>
      <c r="R44" s="465">
        <v>8.3000000000000007</v>
      </c>
      <c r="S44">
        <v>8.3000000000000007</v>
      </c>
      <c r="T44">
        <f t="shared" si="15"/>
        <v>68.890000000000015</v>
      </c>
      <c r="U44">
        <v>6.2</v>
      </c>
      <c r="V44" s="466">
        <f t="shared" si="3"/>
        <v>20.090070013208148</v>
      </c>
      <c r="W44" s="466">
        <f t="shared" si="16"/>
        <v>16.920790706348306</v>
      </c>
      <c r="X44" s="1">
        <f t="shared" si="4"/>
        <v>0.27377638866859672</v>
      </c>
      <c r="Y44" s="1">
        <f t="shared" si="24"/>
        <v>21.553303679349497</v>
      </c>
      <c r="Z44" s="19">
        <f t="shared" si="17"/>
        <v>37.177293516509948</v>
      </c>
      <c r="AA44" s="1"/>
      <c r="AB44">
        <f t="shared" si="5"/>
        <v>5.25</v>
      </c>
      <c r="AC44">
        <f t="shared" si="18"/>
        <v>27.5625</v>
      </c>
      <c r="AD44" s="468">
        <f t="shared" si="19"/>
        <v>6.2690583937715988E-3</v>
      </c>
      <c r="AE44" s="468">
        <f t="shared" si="37"/>
        <v>27.5625</v>
      </c>
      <c r="AF44" s="468"/>
      <c r="AG44" s="468"/>
      <c r="AH44" s="468"/>
      <c r="AI44" s="468"/>
      <c r="AJ44" s="470">
        <f t="shared" si="38"/>
        <v>6.2690583937715988E-3</v>
      </c>
      <c r="AK44" s="470" t="str">
        <f t="shared" si="38"/>
        <v/>
      </c>
      <c r="AL44" s="470" t="str">
        <f t="shared" si="38"/>
        <v/>
      </c>
      <c r="AM44" s="470" t="str">
        <f t="shared" si="38"/>
        <v/>
      </c>
      <c r="AN44" s="469"/>
      <c r="AO44">
        <f t="shared" si="35"/>
        <v>8.3000000000000007</v>
      </c>
      <c r="AP44" s="470">
        <f t="shared" si="22"/>
        <v>68.890000000000015</v>
      </c>
      <c r="AQ44" s="470">
        <f t="shared" si="36"/>
        <v>2.1553303679349496E-2</v>
      </c>
      <c r="AR44" s="470"/>
      <c r="AS44" s="470">
        <f>IF($B44=AS$3,$AP44,"")</f>
        <v>68.890000000000015</v>
      </c>
      <c r="AT44" s="470" t="str">
        <f t="shared" si="28"/>
        <v/>
      </c>
      <c r="AU44" s="470" t="str">
        <f t="shared" si="33"/>
        <v/>
      </c>
      <c r="AV44" s="470" t="str">
        <f t="shared" ref="AV44:AV63" si="39">IF($B44=AV$3,$AQ44,"")</f>
        <v/>
      </c>
      <c r="AX44" s="480">
        <f t="shared" si="23"/>
        <v>2.1553303679349496E-2</v>
      </c>
      <c r="AY44" s="470">
        <f>IF($B44=AY$3,$AX44,"")</f>
        <v>2.1553303679349496E-2</v>
      </c>
      <c r="AZ44" s="470" t="str">
        <f t="shared" si="30"/>
        <v/>
      </c>
      <c r="BA44" s="470"/>
      <c r="BB44" s="470" t="str">
        <f t="shared" ref="BB44:BB63" si="40">IF($B44=BB$3,$AQ44,"")</f>
        <v/>
      </c>
    </row>
    <row r="45" spans="2:54">
      <c r="B45" t="s">
        <v>232</v>
      </c>
      <c r="C45" t="s">
        <v>2804</v>
      </c>
      <c r="D45">
        <f>2</f>
        <v>2</v>
      </c>
      <c r="E45">
        <f t="shared" si="11"/>
        <v>0.61499999999999999</v>
      </c>
      <c r="G45" s="465">
        <v>4.2</v>
      </c>
      <c r="H45">
        <v>4.2</v>
      </c>
      <c r="I45" s="1">
        <f t="shared" si="0"/>
        <v>17.64</v>
      </c>
      <c r="J45">
        <v>4</v>
      </c>
      <c r="K45" s="466">
        <f t="shared" si="1"/>
        <v>3.7073174504771527</v>
      </c>
      <c r="L45" s="467">
        <f t="shared" si="12"/>
        <v>2.8248755019598595</v>
      </c>
      <c r="M45" s="1">
        <f t="shared" si="2"/>
        <v>0.30651549919139781</v>
      </c>
      <c r="N45" s="1">
        <f t="shared" si="13"/>
        <v>3.6907436265966362</v>
      </c>
      <c r="O45" s="19">
        <f t="shared" si="14"/>
        <v>6.3661636815165368</v>
      </c>
      <c r="P45" s="1"/>
      <c r="Q45" s="1"/>
      <c r="R45" s="465">
        <v>5.3</v>
      </c>
      <c r="S45">
        <v>6</v>
      </c>
      <c r="T45">
        <f t="shared" si="15"/>
        <v>31.922500000000003</v>
      </c>
      <c r="U45">
        <v>5.5</v>
      </c>
      <c r="V45" s="466">
        <f t="shared" si="3"/>
        <v>7.7374455366856028</v>
      </c>
      <c r="W45" s="466">
        <f t="shared" si="16"/>
        <v>6.9755918338174636</v>
      </c>
      <c r="X45" s="1">
        <f t="shared" si="4"/>
        <v>0.29243412896019372</v>
      </c>
      <c r="Y45" s="1">
        <f t="shared" si="24"/>
        <v>9.0154929557217134</v>
      </c>
      <c r="Z45" s="19">
        <f t="shared" si="17"/>
        <v>15.55082379932438</v>
      </c>
      <c r="AA45" s="1"/>
      <c r="AB45">
        <f t="shared" si="5"/>
        <v>4.2</v>
      </c>
      <c r="AC45">
        <f t="shared" si="18"/>
        <v>17.64</v>
      </c>
      <c r="AD45" s="468">
        <f t="shared" si="19"/>
        <v>3.6907436265966364E-3</v>
      </c>
      <c r="AE45" s="468">
        <f t="shared" si="37"/>
        <v>17.64</v>
      </c>
      <c r="AF45" s="468"/>
      <c r="AG45" s="468"/>
      <c r="AH45" s="468"/>
      <c r="AI45" s="468"/>
      <c r="AJ45" s="470">
        <f t="shared" si="38"/>
        <v>3.6907436265966364E-3</v>
      </c>
      <c r="AK45" s="470" t="str">
        <f t="shared" si="38"/>
        <v/>
      </c>
      <c r="AL45" s="470" t="str">
        <f t="shared" si="38"/>
        <v/>
      </c>
      <c r="AM45" s="470" t="str">
        <f t="shared" si="38"/>
        <v/>
      </c>
      <c r="AN45" s="469"/>
      <c r="AO45">
        <f t="shared" si="35"/>
        <v>5.65</v>
      </c>
      <c r="AP45" s="470">
        <f t="shared" si="22"/>
        <v>31.922500000000003</v>
      </c>
      <c r="AQ45" s="470">
        <f t="shared" si="36"/>
        <v>9.0154929557217135E-3</v>
      </c>
      <c r="AR45" s="470"/>
      <c r="AS45" s="470">
        <f>IF($B45=AS$3,$AP45,"")</f>
        <v>31.922500000000003</v>
      </c>
      <c r="AT45" s="470" t="str">
        <f t="shared" si="28"/>
        <v/>
      </c>
      <c r="AU45" s="470" t="str">
        <f t="shared" si="33"/>
        <v/>
      </c>
      <c r="AV45" s="470" t="str">
        <f t="shared" si="39"/>
        <v/>
      </c>
      <c r="AX45" s="480">
        <f t="shared" si="23"/>
        <v>9.0154929557217135E-3</v>
      </c>
      <c r="AY45" s="470">
        <f>IF($B45=AY$3,$AX45,"")</f>
        <v>9.0154929557217135E-3</v>
      </c>
      <c r="AZ45" s="470" t="str">
        <f t="shared" si="30"/>
        <v/>
      </c>
      <c r="BA45" s="470"/>
      <c r="BB45" s="470" t="str">
        <f t="shared" si="40"/>
        <v/>
      </c>
    </row>
    <row r="46" spans="2:54">
      <c r="B46" t="s">
        <v>232</v>
      </c>
      <c r="C46" t="s">
        <v>2804</v>
      </c>
      <c r="D46">
        <f>3</f>
        <v>3</v>
      </c>
      <c r="E46">
        <f t="shared" si="11"/>
        <v>0.61499999999999999</v>
      </c>
      <c r="G46" s="465">
        <v>3.4</v>
      </c>
      <c r="H46">
        <v>3.5</v>
      </c>
      <c r="I46" s="1">
        <f t="shared" si="0"/>
        <v>11.902500000000002</v>
      </c>
      <c r="J46">
        <v>3.2</v>
      </c>
      <c r="K46" s="466">
        <f t="shared" si="1"/>
        <v>2.2757052103060746</v>
      </c>
      <c r="L46" s="467">
        <f t="shared" si="12"/>
        <v>1.5330444562037706</v>
      </c>
      <c r="M46" s="1">
        <f t="shared" si="2"/>
        <v>0.31784915152371085</v>
      </c>
      <c r="N46" s="1">
        <f t="shared" si="13"/>
        <v>2.0203213358562677</v>
      </c>
      <c r="O46" s="19">
        <f t="shared" si="14"/>
        <v>3.4848522722184763</v>
      </c>
      <c r="P46" s="1"/>
      <c r="Q46" s="1"/>
      <c r="R46" s="465">
        <v>6</v>
      </c>
      <c r="S46">
        <v>6.3</v>
      </c>
      <c r="T46">
        <f t="shared" si="15"/>
        <v>37.822500000000005</v>
      </c>
      <c r="U46">
        <v>4.8</v>
      </c>
      <c r="V46" s="466">
        <f t="shared" si="3"/>
        <v>9.5490657922674789</v>
      </c>
      <c r="W46" s="466">
        <f t="shared" si="16"/>
        <v>7.2365548667588335</v>
      </c>
      <c r="X46" s="1">
        <f t="shared" si="4"/>
        <v>0.2916361234712001</v>
      </c>
      <c r="Y46" s="1">
        <f t="shared" si="24"/>
        <v>9.3469956753870278</v>
      </c>
      <c r="Z46" s="19">
        <f t="shared" si="17"/>
        <v>16.122632840475084</v>
      </c>
      <c r="AA46" s="1"/>
      <c r="AB46">
        <f t="shared" si="5"/>
        <v>3.45</v>
      </c>
      <c r="AC46">
        <f t="shared" si="18"/>
        <v>11.902500000000002</v>
      </c>
      <c r="AD46" s="468">
        <f t="shared" si="19"/>
        <v>2.0203213358562675E-3</v>
      </c>
      <c r="AE46" s="468">
        <f t="shared" si="37"/>
        <v>11.902500000000002</v>
      </c>
      <c r="AF46" s="468"/>
      <c r="AG46" s="468"/>
      <c r="AH46" s="468"/>
      <c r="AI46" s="468"/>
      <c r="AJ46" s="470">
        <f t="shared" si="38"/>
        <v>2.0203213358562675E-3</v>
      </c>
      <c r="AK46" s="470" t="str">
        <f t="shared" si="38"/>
        <v/>
      </c>
      <c r="AL46" s="470" t="str">
        <f t="shared" si="38"/>
        <v/>
      </c>
      <c r="AM46" s="470" t="str">
        <f t="shared" si="38"/>
        <v/>
      </c>
      <c r="AN46" s="469"/>
      <c r="AO46">
        <f t="shared" si="35"/>
        <v>6.15</v>
      </c>
      <c r="AP46" s="470">
        <f t="shared" si="22"/>
        <v>37.822500000000005</v>
      </c>
      <c r="AQ46" s="470">
        <f t="shared" si="36"/>
        <v>9.3469956753870279E-3</v>
      </c>
      <c r="AR46" s="470"/>
      <c r="AS46" s="470">
        <f>IF($B46=AS$3,$AP46,"")</f>
        <v>37.822500000000005</v>
      </c>
      <c r="AT46" s="470" t="str">
        <f t="shared" si="28"/>
        <v/>
      </c>
      <c r="AU46" s="470" t="str">
        <f t="shared" si="33"/>
        <v/>
      </c>
      <c r="AV46" s="470" t="str">
        <f t="shared" si="39"/>
        <v/>
      </c>
      <c r="AX46" s="480">
        <f t="shared" si="23"/>
        <v>9.3469956753870279E-3</v>
      </c>
      <c r="AY46" s="470">
        <f>IF($B46=AY$3,$AX46,"")</f>
        <v>9.3469956753870279E-3</v>
      </c>
      <c r="AZ46" s="470" t="str">
        <f t="shared" si="30"/>
        <v/>
      </c>
      <c r="BA46" s="470"/>
      <c r="BB46" s="470" t="str">
        <f t="shared" si="40"/>
        <v/>
      </c>
    </row>
    <row r="47" spans="2:54">
      <c r="B47" t="s">
        <v>232</v>
      </c>
      <c r="C47" t="s">
        <v>2804</v>
      </c>
      <c r="D47">
        <f>4</f>
        <v>4</v>
      </c>
      <c r="E47">
        <f t="shared" si="11"/>
        <v>0.61499999999999999</v>
      </c>
      <c r="G47" s="465">
        <v>4</v>
      </c>
      <c r="H47">
        <v>4.2</v>
      </c>
      <c r="I47" s="1">
        <f t="shared" si="0"/>
        <v>16.809999999999999</v>
      </c>
      <c r="J47">
        <v>3.7</v>
      </c>
      <c r="K47" s="466">
        <f t="shared" si="1"/>
        <v>3.4921756597896527</v>
      </c>
      <c r="L47" s="467">
        <f t="shared" si="12"/>
        <v>2.4947255568330196</v>
      </c>
      <c r="M47" s="1">
        <f t="shared" si="2"/>
        <v>0.30788188631416313</v>
      </c>
      <c r="N47" s="1">
        <f t="shared" si="13"/>
        <v>3.2628063671069207</v>
      </c>
      <c r="O47" s="19">
        <f t="shared" si="14"/>
        <v>5.6280147026227265</v>
      </c>
      <c r="P47" s="1"/>
      <c r="Q47" s="1"/>
      <c r="R47" s="465">
        <v>5.7</v>
      </c>
      <c r="S47">
        <v>6.1</v>
      </c>
      <c r="T47">
        <f t="shared" si="15"/>
        <v>34.81</v>
      </c>
      <c r="U47">
        <v>4.5999999999999996</v>
      </c>
      <c r="V47" s="466">
        <f t="shared" si="3"/>
        <v>8.6148429889378697</v>
      </c>
      <c r="W47" s="466">
        <f t="shared" si="16"/>
        <v>6.3891906436226114</v>
      </c>
      <c r="X47" s="1">
        <f t="shared" si="4"/>
        <v>0.29435086480999617</v>
      </c>
      <c r="Y47" s="1">
        <f t="shared" si="24"/>
        <v>8.2698544350088632</v>
      </c>
      <c r="Z47" s="19">
        <f t="shared" si="17"/>
        <v>14.264671914946787</v>
      </c>
      <c r="AA47" s="1"/>
      <c r="AB47">
        <f t="shared" si="5"/>
        <v>4.0999999999999996</v>
      </c>
      <c r="AC47">
        <f t="shared" si="18"/>
        <v>16.809999999999999</v>
      </c>
      <c r="AD47" s="468">
        <f t="shared" si="19"/>
        <v>3.2628063671069209E-3</v>
      </c>
      <c r="AE47" s="468">
        <f t="shared" si="37"/>
        <v>16.809999999999999</v>
      </c>
      <c r="AF47" s="468"/>
      <c r="AG47" s="468"/>
      <c r="AH47" s="468"/>
      <c r="AI47" s="468"/>
      <c r="AJ47" s="470">
        <f t="shared" si="38"/>
        <v>3.2628063671069209E-3</v>
      </c>
      <c r="AK47" s="470" t="str">
        <f t="shared" si="38"/>
        <v/>
      </c>
      <c r="AL47" s="470" t="str">
        <f t="shared" si="38"/>
        <v/>
      </c>
      <c r="AM47" s="470" t="str">
        <f t="shared" si="38"/>
        <v/>
      </c>
      <c r="AN47" s="469"/>
      <c r="AO47">
        <f t="shared" si="35"/>
        <v>5.9</v>
      </c>
      <c r="AP47" s="470">
        <f t="shared" si="22"/>
        <v>34.81</v>
      </c>
      <c r="AQ47" s="470">
        <f t="shared" si="36"/>
        <v>8.2698544350088624E-3</v>
      </c>
      <c r="AR47" s="470"/>
      <c r="AS47" s="470">
        <f>IF($B47=AS$3,$AP47,"")</f>
        <v>34.81</v>
      </c>
      <c r="AT47" s="470" t="str">
        <f t="shared" si="28"/>
        <v/>
      </c>
      <c r="AU47" s="470" t="str">
        <f t="shared" si="33"/>
        <v/>
      </c>
      <c r="AV47" s="470" t="str">
        <f t="shared" si="39"/>
        <v/>
      </c>
      <c r="AX47" s="480">
        <f t="shared" si="23"/>
        <v>8.2698544350088624E-3</v>
      </c>
      <c r="AY47" s="470">
        <f>IF($B47=AY$3,$AX47,"")</f>
        <v>8.2698544350088624E-3</v>
      </c>
      <c r="AZ47" s="470" t="str">
        <f t="shared" si="30"/>
        <v/>
      </c>
      <c r="BA47" s="470"/>
      <c r="BB47" s="470" t="str">
        <f t="shared" si="40"/>
        <v/>
      </c>
    </row>
    <row r="48" spans="2:54">
      <c r="B48" t="s">
        <v>232</v>
      </c>
      <c r="C48" t="s">
        <v>2804</v>
      </c>
      <c r="D48">
        <f>5</f>
        <v>5</v>
      </c>
      <c r="E48">
        <f t="shared" si="11"/>
        <v>0.61499999999999999</v>
      </c>
      <c r="G48" s="465">
        <v>4.5999999999999996</v>
      </c>
      <c r="H48">
        <v>4.4000000000000004</v>
      </c>
      <c r="I48" s="1">
        <f t="shared" si="0"/>
        <v>20.25</v>
      </c>
      <c r="J48">
        <v>3.7</v>
      </c>
      <c r="K48" s="466">
        <f t="shared" si="1"/>
        <v>4.399421129479812</v>
      </c>
      <c r="L48" s="467">
        <f t="shared" si="12"/>
        <v>3.0052464322348986</v>
      </c>
      <c r="M48" s="1">
        <f t="shared" si="2"/>
        <v>0.3026368857386833</v>
      </c>
      <c r="N48" s="1">
        <f t="shared" si="13"/>
        <v>3.9147448533637572</v>
      </c>
      <c r="O48" s="19">
        <f t="shared" si="14"/>
        <v>6.7525433975671447</v>
      </c>
      <c r="P48" s="1"/>
      <c r="Q48" s="1"/>
      <c r="R48" s="465">
        <v>7</v>
      </c>
      <c r="S48">
        <v>7.5</v>
      </c>
      <c r="T48">
        <f t="shared" si="15"/>
        <v>52.5625</v>
      </c>
      <c r="U48">
        <v>6.1</v>
      </c>
      <c r="V48" s="466">
        <f t="shared" si="3"/>
        <v>14.363264939275659</v>
      </c>
      <c r="W48" s="466">
        <f t="shared" si="16"/>
        <v>12.707148700403442</v>
      </c>
      <c r="X48" s="1">
        <f t="shared" si="4"/>
        <v>0.27967220570183088</v>
      </c>
      <c r="Y48" s="1">
        <f t="shared" si="24"/>
        <v>16.260985005626427</v>
      </c>
      <c r="Z48" s="19">
        <f t="shared" si="17"/>
        <v>28.048573036205024</v>
      </c>
      <c r="AA48" s="1"/>
      <c r="AB48">
        <f t="shared" si="5"/>
        <v>4.5</v>
      </c>
      <c r="AC48">
        <f t="shared" si="18"/>
        <v>20.25</v>
      </c>
      <c r="AD48" s="468">
        <f t="shared" si="19"/>
        <v>3.9147448533637576E-3</v>
      </c>
      <c r="AE48" s="468">
        <f t="shared" si="37"/>
        <v>20.25</v>
      </c>
      <c r="AF48" s="468"/>
      <c r="AG48" s="468"/>
      <c r="AH48" s="468"/>
      <c r="AI48" s="468"/>
      <c r="AJ48" s="470">
        <f t="shared" si="38"/>
        <v>3.9147448533637576E-3</v>
      </c>
      <c r="AK48" s="470" t="str">
        <f t="shared" si="38"/>
        <v/>
      </c>
      <c r="AL48" s="470" t="str">
        <f t="shared" si="38"/>
        <v/>
      </c>
      <c r="AM48" s="470" t="str">
        <f t="shared" si="38"/>
        <v/>
      </c>
      <c r="AN48" s="469"/>
      <c r="AO48">
        <f t="shared" si="35"/>
        <v>7.25</v>
      </c>
      <c r="AP48" s="470">
        <f t="shared" si="22"/>
        <v>52.5625</v>
      </c>
      <c r="AQ48" s="470">
        <f t="shared" si="36"/>
        <v>1.6260985005626429E-2</v>
      </c>
      <c r="AR48" s="470"/>
      <c r="AS48" s="470">
        <f>IF($B48=AS$3,$AP48,"")</f>
        <v>52.5625</v>
      </c>
      <c r="AT48" s="470" t="str">
        <f t="shared" si="28"/>
        <v/>
      </c>
      <c r="AU48" s="470" t="str">
        <f t="shared" si="33"/>
        <v/>
      </c>
      <c r="AV48" s="470" t="str">
        <f t="shared" si="39"/>
        <v/>
      </c>
      <c r="AX48" s="480">
        <f t="shared" si="23"/>
        <v>1.6260985005626429E-2</v>
      </c>
      <c r="AY48" s="470">
        <f>IF($B48=AY$3,$AX48,"")</f>
        <v>1.6260985005626429E-2</v>
      </c>
      <c r="AZ48" s="470" t="str">
        <f t="shared" si="30"/>
        <v/>
      </c>
      <c r="BA48" s="470"/>
      <c r="BB48" s="470" t="str">
        <f t="shared" si="40"/>
        <v/>
      </c>
    </row>
    <row r="49" spans="2:54">
      <c r="B49" t="s">
        <v>242</v>
      </c>
      <c r="C49" t="s">
        <v>2805</v>
      </c>
      <c r="D49">
        <f>1</f>
        <v>1</v>
      </c>
      <c r="E49">
        <f t="shared" si="11"/>
        <v>0.68230000000000002</v>
      </c>
      <c r="G49" s="465">
        <v>2.4</v>
      </c>
      <c r="H49">
        <v>2.5</v>
      </c>
      <c r="I49" s="1">
        <f t="shared" si="0"/>
        <v>6.0025000000000013</v>
      </c>
      <c r="J49">
        <v>3</v>
      </c>
      <c r="K49" s="466">
        <f t="shared" si="1"/>
        <v>0.97347039769508426</v>
      </c>
      <c r="L49" s="467">
        <f t="shared" si="12"/>
        <v>0.80536536526345537</v>
      </c>
      <c r="M49" s="1">
        <f t="shared" si="2"/>
        <v>0.33857842044733671</v>
      </c>
      <c r="N49" s="1">
        <f t="shared" si="13"/>
        <v>1.0780446985173484</v>
      </c>
      <c r="O49" s="19">
        <f t="shared" si="14"/>
        <v>1.8595193004725743</v>
      </c>
      <c r="P49" s="1"/>
      <c r="Q49" s="1"/>
      <c r="R49" s="465">
        <v>3.2</v>
      </c>
      <c r="S49">
        <v>3.3</v>
      </c>
      <c r="T49">
        <f t="shared" si="15"/>
        <v>10.5625</v>
      </c>
      <c r="U49">
        <v>3.9</v>
      </c>
      <c r="V49" s="466">
        <f t="shared" si="3"/>
        <v>1.9623299898559374</v>
      </c>
      <c r="W49" s="466">
        <f t="shared" si="16"/>
        <v>1.8307802297627067</v>
      </c>
      <c r="X49" s="1">
        <f t="shared" si="4"/>
        <v>0.32303557516644682</v>
      </c>
      <c r="Y49" s="1">
        <f t="shared" si="24"/>
        <v>2.4221873742874624</v>
      </c>
      <c r="Z49" s="19">
        <f t="shared" si="17"/>
        <v>4.1780310019084439</v>
      </c>
      <c r="AA49" s="1"/>
      <c r="AB49">
        <f t="shared" si="5"/>
        <v>2.4500000000000002</v>
      </c>
      <c r="AC49">
        <f t="shared" si="18"/>
        <v>6.0025000000000013</v>
      </c>
      <c r="AD49" s="468">
        <f t="shared" si="19"/>
        <v>1.0780446985173484E-3</v>
      </c>
      <c r="AE49" s="468"/>
      <c r="AF49" s="468">
        <f t="shared" si="37"/>
        <v>6.0025000000000013</v>
      </c>
      <c r="AG49" s="468"/>
      <c r="AH49" s="468"/>
      <c r="AI49" s="468"/>
      <c r="AJ49" s="470" t="str">
        <f t="shared" si="38"/>
        <v/>
      </c>
      <c r="AK49" s="470">
        <f t="shared" si="38"/>
        <v>1.0780446985173484E-3</v>
      </c>
      <c r="AL49" s="470" t="str">
        <f t="shared" si="38"/>
        <v/>
      </c>
      <c r="AM49" s="470" t="str">
        <f t="shared" si="38"/>
        <v/>
      </c>
      <c r="AN49" s="469"/>
      <c r="AO49">
        <f t="shared" si="35"/>
        <v>3.25</v>
      </c>
      <c r="AP49" s="470">
        <f t="shared" si="22"/>
        <v>10.5625</v>
      </c>
      <c r="AQ49" s="470">
        <f t="shared" si="36"/>
        <v>2.4221873742874623E-3</v>
      </c>
      <c r="AR49" s="470"/>
      <c r="AS49" s="470"/>
      <c r="AT49" s="470">
        <f t="shared" ref="AT49:AT58" si="41">IF($B49=AT$3,$AP49,"")</f>
        <v>10.5625</v>
      </c>
      <c r="AU49" s="470" t="str">
        <f t="shared" si="33"/>
        <v/>
      </c>
      <c r="AV49" s="470" t="str">
        <f t="shared" si="39"/>
        <v/>
      </c>
      <c r="AX49" s="480">
        <f t="shared" si="23"/>
        <v>2.4221873742874623E-3</v>
      </c>
      <c r="AY49" s="470"/>
      <c r="AZ49" s="470">
        <f t="shared" ref="AZ49:AZ58" si="42">IF($B49=AZ$3,$AX49,"")</f>
        <v>2.4221873742874623E-3</v>
      </c>
      <c r="BA49" s="470"/>
      <c r="BB49" s="470" t="str">
        <f t="shared" si="40"/>
        <v/>
      </c>
    </row>
    <row r="50" spans="2:54">
      <c r="B50" t="s">
        <v>242</v>
      </c>
      <c r="C50" t="s">
        <v>2805</v>
      </c>
      <c r="D50">
        <f>2</f>
        <v>2</v>
      </c>
      <c r="E50">
        <f t="shared" si="11"/>
        <v>0.68230000000000002</v>
      </c>
      <c r="G50" s="465">
        <v>3</v>
      </c>
      <c r="H50">
        <v>2.9</v>
      </c>
      <c r="I50" s="1">
        <f t="shared" si="0"/>
        <v>8.7025000000000006</v>
      </c>
      <c r="J50">
        <v>3.7</v>
      </c>
      <c r="K50" s="466">
        <f t="shared" si="1"/>
        <v>1.5431994161170355</v>
      </c>
      <c r="L50" s="467">
        <f t="shared" si="12"/>
        <v>1.4328454540449638</v>
      </c>
      <c r="M50" s="1">
        <f t="shared" si="2"/>
        <v>0.3271688041508069</v>
      </c>
      <c r="N50" s="1">
        <f t="shared" si="13"/>
        <v>1.9016277877777745</v>
      </c>
      <c r="O50" s="19">
        <f t="shared" si="14"/>
        <v>3.2801177711378831</v>
      </c>
      <c r="P50" s="1"/>
      <c r="Q50" s="1"/>
      <c r="R50" s="465">
        <v>2.8</v>
      </c>
      <c r="S50">
        <v>3</v>
      </c>
      <c r="T50">
        <f t="shared" si="15"/>
        <v>8.41</v>
      </c>
      <c r="U50">
        <v>3.5</v>
      </c>
      <c r="V50" s="466">
        <f t="shared" si="3"/>
        <v>1.4791213433221295</v>
      </c>
      <c r="W50" s="466">
        <f t="shared" si="16"/>
        <v>1.3115862122129327</v>
      </c>
      <c r="X50" s="1">
        <f t="shared" si="4"/>
        <v>0.33115125253505062</v>
      </c>
      <c r="Y50" s="1">
        <f t="shared" si="24"/>
        <v>1.7459196291949481</v>
      </c>
      <c r="Z50" s="19">
        <f t="shared" si="17"/>
        <v>3.0115367683983658</v>
      </c>
      <c r="AA50" s="1"/>
      <c r="AB50">
        <f t="shared" si="5"/>
        <v>2.95</v>
      </c>
      <c r="AC50">
        <f t="shared" si="18"/>
        <v>8.7025000000000006</v>
      </c>
      <c r="AD50" s="468">
        <f t="shared" si="19"/>
        <v>1.9016277877777746E-3</v>
      </c>
      <c r="AE50" s="468"/>
      <c r="AF50" s="468">
        <f t="shared" si="37"/>
        <v>8.7025000000000006</v>
      </c>
      <c r="AG50" s="468"/>
      <c r="AH50" s="468"/>
      <c r="AI50" s="468"/>
      <c r="AJ50" s="470" t="str">
        <f t="shared" si="38"/>
        <v/>
      </c>
      <c r="AK50" s="470">
        <f t="shared" si="38"/>
        <v>1.9016277877777746E-3</v>
      </c>
      <c r="AL50" s="470" t="str">
        <f t="shared" si="38"/>
        <v/>
      </c>
      <c r="AM50" s="470" t="str">
        <f t="shared" si="38"/>
        <v/>
      </c>
      <c r="AN50" s="469"/>
      <c r="AO50">
        <f t="shared" si="35"/>
        <v>2.9</v>
      </c>
      <c r="AP50" s="470">
        <f t="shared" si="22"/>
        <v>8.41</v>
      </c>
      <c r="AQ50" s="470">
        <f t="shared" si="36"/>
        <v>1.7459196291949482E-3</v>
      </c>
      <c r="AR50" s="470"/>
      <c r="AS50" s="470"/>
      <c r="AT50" s="470">
        <f t="shared" si="41"/>
        <v>8.41</v>
      </c>
      <c r="AU50" s="470" t="str">
        <f t="shared" si="33"/>
        <v/>
      </c>
      <c r="AV50" s="470" t="str">
        <f t="shared" si="39"/>
        <v/>
      </c>
      <c r="AX50" s="480">
        <f t="shared" si="23"/>
        <v>1.7459196291949482E-3</v>
      </c>
      <c r="AY50" s="470"/>
      <c r="AZ50" s="470">
        <f t="shared" si="42"/>
        <v>1.7459196291949482E-3</v>
      </c>
      <c r="BA50" s="470"/>
      <c r="BB50" s="470" t="str">
        <f t="shared" si="40"/>
        <v/>
      </c>
    </row>
    <row r="51" spans="2:54">
      <c r="B51" t="s">
        <v>242</v>
      </c>
      <c r="C51" t="s">
        <v>2805</v>
      </c>
      <c r="D51">
        <f>3</f>
        <v>3</v>
      </c>
      <c r="E51">
        <f t="shared" si="11"/>
        <v>0.68230000000000002</v>
      </c>
      <c r="G51" s="465">
        <v>2.7</v>
      </c>
      <c r="H51">
        <v>2.6</v>
      </c>
      <c r="I51" s="1">
        <f t="shared" si="0"/>
        <v>7.0225000000000017</v>
      </c>
      <c r="J51">
        <v>3.2</v>
      </c>
      <c r="K51" s="466">
        <f t="shared" si="1"/>
        <v>1.1826910206463686</v>
      </c>
      <c r="L51" s="467">
        <f t="shared" si="12"/>
        <v>1.0034796327894981</v>
      </c>
      <c r="M51" s="1">
        <f t="shared" si="2"/>
        <v>0.33370972450869729</v>
      </c>
      <c r="N51" s="1">
        <f t="shared" si="13"/>
        <v>1.3383505445977704</v>
      </c>
      <c r="O51" s="19">
        <f t="shared" si="14"/>
        <v>2.308520854376694</v>
      </c>
      <c r="P51" s="1"/>
      <c r="Q51" s="1"/>
      <c r="R51" s="465">
        <v>3.6</v>
      </c>
      <c r="S51">
        <v>3.6</v>
      </c>
      <c r="T51">
        <f t="shared" si="15"/>
        <v>12.96</v>
      </c>
      <c r="U51">
        <v>4.5</v>
      </c>
      <c r="V51" s="466">
        <f t="shared" si="3"/>
        <v>2.5291319328842286</v>
      </c>
      <c r="W51" s="466">
        <f t="shared" si="16"/>
        <v>2.5830383283154692</v>
      </c>
      <c r="X51" s="1">
        <f t="shared" si="4"/>
        <v>0.31486758404728366</v>
      </c>
      <c r="Y51" s="1">
        <f t="shared" si="24"/>
        <v>3.3963533662536953</v>
      </c>
      <c r="Z51" s="19">
        <f t="shared" si="17"/>
        <v>5.8583699214509979</v>
      </c>
      <c r="AA51" s="1"/>
      <c r="AB51">
        <f t="shared" si="5"/>
        <v>2.6500000000000004</v>
      </c>
      <c r="AC51">
        <f t="shared" si="18"/>
        <v>7.0225000000000017</v>
      </c>
      <c r="AD51" s="468">
        <f t="shared" si="19"/>
        <v>1.3383505445977704E-3</v>
      </c>
      <c r="AE51" s="468"/>
      <c r="AF51" s="468">
        <f t="shared" si="37"/>
        <v>7.0225000000000017</v>
      </c>
      <c r="AG51" s="468"/>
      <c r="AH51" s="468"/>
      <c r="AI51" s="468"/>
      <c r="AJ51" s="470" t="str">
        <f t="shared" si="38"/>
        <v/>
      </c>
      <c r="AK51" s="470">
        <f t="shared" si="38"/>
        <v>1.3383505445977704E-3</v>
      </c>
      <c r="AL51" s="470" t="str">
        <f t="shared" si="38"/>
        <v/>
      </c>
      <c r="AM51" s="470" t="str">
        <f t="shared" si="38"/>
        <v/>
      </c>
      <c r="AN51" s="469"/>
      <c r="AO51">
        <f t="shared" si="35"/>
        <v>3.6</v>
      </c>
      <c r="AP51" s="470">
        <f t="shared" si="22"/>
        <v>12.96</v>
      </c>
      <c r="AQ51" s="470">
        <f t="shared" si="36"/>
        <v>3.3963533662536953E-3</v>
      </c>
      <c r="AR51" s="470"/>
      <c r="AS51" s="470"/>
      <c r="AT51" s="470">
        <f t="shared" si="41"/>
        <v>12.96</v>
      </c>
      <c r="AU51" s="470" t="str">
        <f t="shared" si="33"/>
        <v/>
      </c>
      <c r="AV51" s="470" t="str">
        <f t="shared" si="39"/>
        <v/>
      </c>
      <c r="AX51" s="480">
        <f t="shared" si="23"/>
        <v>3.3963533662536953E-3</v>
      </c>
      <c r="AY51" s="470"/>
      <c r="AZ51" s="470">
        <f t="shared" si="42"/>
        <v>3.3963533662536953E-3</v>
      </c>
      <c r="BA51" s="470"/>
      <c r="BB51" s="470" t="str">
        <f t="shared" si="40"/>
        <v/>
      </c>
    </row>
    <row r="52" spans="2:54">
      <c r="B52" t="s">
        <v>242</v>
      </c>
      <c r="C52" t="s">
        <v>2805</v>
      </c>
      <c r="D52">
        <f>4</f>
        <v>4</v>
      </c>
      <c r="E52">
        <f t="shared" si="11"/>
        <v>0.68230000000000002</v>
      </c>
      <c r="G52" s="465">
        <v>2.5</v>
      </c>
      <c r="H52">
        <v>2.6</v>
      </c>
      <c r="I52" s="1">
        <f t="shared" si="0"/>
        <v>6.5024999999999995</v>
      </c>
      <c r="J52">
        <v>3.2</v>
      </c>
      <c r="K52" s="466">
        <f t="shared" si="1"/>
        <v>1.0750437644753477</v>
      </c>
      <c r="L52" s="467">
        <f t="shared" si="12"/>
        <v>0.92917427016215171</v>
      </c>
      <c r="M52" s="1">
        <f t="shared" si="2"/>
        <v>0.3360875168669295</v>
      </c>
      <c r="N52" s="1">
        <f t="shared" si="13"/>
        <v>1.2414581433575909</v>
      </c>
      <c r="O52" s="19">
        <f t="shared" si="14"/>
        <v>2.1413911514775084</v>
      </c>
      <c r="P52" s="1"/>
      <c r="Q52" s="1"/>
      <c r="R52" s="465">
        <v>3.1</v>
      </c>
      <c r="S52">
        <v>3.1</v>
      </c>
      <c r="T52">
        <f t="shared" si="15"/>
        <v>9.6100000000000012</v>
      </c>
      <c r="U52">
        <v>3.8</v>
      </c>
      <c r="V52" s="466">
        <f t="shared" si="3"/>
        <v>1.7452588024611264</v>
      </c>
      <c r="W52" s="466">
        <f t="shared" si="16"/>
        <v>1.6239872433372766</v>
      </c>
      <c r="X52" s="1">
        <f t="shared" si="4"/>
        <v>0.3259291024661885</v>
      </c>
      <c r="Y52" s="1">
        <f t="shared" si="24"/>
        <v>2.153291947974735</v>
      </c>
      <c r="Z52" s="19">
        <f t="shared" si="17"/>
        <v>3.7142132810616206</v>
      </c>
      <c r="AA52" s="1"/>
      <c r="AB52">
        <f t="shared" si="5"/>
        <v>2.5499999999999998</v>
      </c>
      <c r="AC52">
        <f t="shared" si="18"/>
        <v>6.5024999999999995</v>
      </c>
      <c r="AD52" s="468">
        <f t="shared" si="19"/>
        <v>1.241458143357591E-3</v>
      </c>
      <c r="AE52" s="468"/>
      <c r="AF52" s="468">
        <f t="shared" si="37"/>
        <v>6.5024999999999995</v>
      </c>
      <c r="AG52" s="468"/>
      <c r="AH52" s="468"/>
      <c r="AI52" s="468"/>
      <c r="AJ52" s="470" t="str">
        <f t="shared" si="38"/>
        <v/>
      </c>
      <c r="AK52" s="470">
        <f t="shared" si="38"/>
        <v>1.241458143357591E-3</v>
      </c>
      <c r="AL52" s="470" t="str">
        <f t="shared" si="38"/>
        <v/>
      </c>
      <c r="AM52" s="470" t="str">
        <f t="shared" si="38"/>
        <v/>
      </c>
      <c r="AN52" s="469"/>
      <c r="AO52">
        <f t="shared" si="35"/>
        <v>3.1</v>
      </c>
      <c r="AP52" s="470">
        <f t="shared" si="22"/>
        <v>9.6100000000000012</v>
      </c>
      <c r="AQ52" s="470">
        <f t="shared" si="36"/>
        <v>2.1532919479747351E-3</v>
      </c>
      <c r="AR52" s="470"/>
      <c r="AS52" s="470"/>
      <c r="AT52" s="470">
        <f t="shared" si="41"/>
        <v>9.6100000000000012</v>
      </c>
      <c r="AU52" s="470" t="str">
        <f t="shared" si="33"/>
        <v/>
      </c>
      <c r="AV52" s="470" t="str">
        <f t="shared" si="39"/>
        <v/>
      </c>
      <c r="AX52" s="480">
        <f t="shared" si="23"/>
        <v>2.1532919479747351E-3</v>
      </c>
      <c r="AY52" s="470"/>
      <c r="AZ52" s="470">
        <f t="shared" si="42"/>
        <v>2.1532919479747351E-3</v>
      </c>
      <c r="BA52" s="470"/>
      <c r="BB52" s="470" t="str">
        <f t="shared" si="40"/>
        <v/>
      </c>
    </row>
    <row r="53" spans="2:54">
      <c r="B53" t="s">
        <v>242</v>
      </c>
      <c r="C53" t="s">
        <v>2805</v>
      </c>
      <c r="D53">
        <f>5</f>
        <v>5</v>
      </c>
      <c r="E53">
        <f t="shared" si="11"/>
        <v>0.68230000000000002</v>
      </c>
      <c r="G53" s="465">
        <v>1.9</v>
      </c>
      <c r="H53">
        <v>1.7</v>
      </c>
      <c r="I53" s="1">
        <f t="shared" si="0"/>
        <v>3.2399999999999993</v>
      </c>
      <c r="J53">
        <v>2.7</v>
      </c>
      <c r="K53" s="466">
        <f t="shared" si="1"/>
        <v>0.45305003551679235</v>
      </c>
      <c r="L53" s="467">
        <f t="shared" si="12"/>
        <v>0.39223512229420099</v>
      </c>
      <c r="M53" s="1">
        <f t="shared" si="2"/>
        <v>0.35840430053970901</v>
      </c>
      <c r="N53" s="1">
        <f t="shared" si="13"/>
        <v>0.53281387694716131</v>
      </c>
      <c r="O53" s="19">
        <f t="shared" si="14"/>
        <v>0.91905065634615846</v>
      </c>
      <c r="P53" s="1"/>
      <c r="Q53" s="1"/>
      <c r="R53" s="465">
        <v>2.2999999999999998</v>
      </c>
      <c r="S53">
        <v>2.4</v>
      </c>
      <c r="T53">
        <f t="shared" si="15"/>
        <v>5.5224999999999982</v>
      </c>
      <c r="U53">
        <v>3.6</v>
      </c>
      <c r="V53" s="466">
        <f t="shared" si="3"/>
        <v>0.87785516836975885</v>
      </c>
      <c r="W53" s="466">
        <f t="shared" si="16"/>
        <v>0.88527337089169167</v>
      </c>
      <c r="X53" s="1">
        <f t="shared" si="4"/>
        <v>0.34097923220696791</v>
      </c>
      <c r="Y53" s="1">
        <f t="shared" si="24"/>
        <v>1.187133205191615</v>
      </c>
      <c r="Z53" s="19">
        <f t="shared" si="17"/>
        <v>2.0476860656350167</v>
      </c>
      <c r="AA53" s="1"/>
      <c r="AB53">
        <f t="shared" si="5"/>
        <v>1.7999999999999998</v>
      </c>
      <c r="AC53">
        <f t="shared" si="18"/>
        <v>3.2399999999999993</v>
      </c>
      <c r="AD53" s="468">
        <f t="shared" si="19"/>
        <v>5.328138769471613E-4</v>
      </c>
      <c r="AE53" s="468"/>
      <c r="AF53" s="468">
        <f t="shared" si="37"/>
        <v>3.2399999999999993</v>
      </c>
      <c r="AG53" s="468"/>
      <c r="AH53" s="468"/>
      <c r="AI53" s="468"/>
      <c r="AJ53" s="470" t="str">
        <f t="shared" si="38"/>
        <v/>
      </c>
      <c r="AK53" s="470">
        <f t="shared" si="38"/>
        <v>5.328138769471613E-4</v>
      </c>
      <c r="AL53" s="470" t="str">
        <f t="shared" si="38"/>
        <v/>
      </c>
      <c r="AM53" s="470" t="str">
        <f t="shared" si="38"/>
        <v/>
      </c>
      <c r="AN53" s="469"/>
      <c r="AO53">
        <f t="shared" si="35"/>
        <v>2.3499999999999996</v>
      </c>
      <c r="AP53" s="470">
        <f t="shared" si="22"/>
        <v>5.5224999999999982</v>
      </c>
      <c r="AQ53" s="470">
        <f t="shared" si="36"/>
        <v>1.1871332051916149E-3</v>
      </c>
      <c r="AR53" s="470"/>
      <c r="AS53" s="470"/>
      <c r="AT53" s="470">
        <f t="shared" si="41"/>
        <v>5.5224999999999982</v>
      </c>
      <c r="AU53" s="470" t="str">
        <f t="shared" si="33"/>
        <v/>
      </c>
      <c r="AV53" s="470" t="str">
        <f t="shared" si="39"/>
        <v/>
      </c>
      <c r="AX53" s="480">
        <f t="shared" si="23"/>
        <v>1.1871332051916149E-3</v>
      </c>
      <c r="AY53" s="470"/>
      <c r="AZ53" s="470">
        <f t="shared" si="42"/>
        <v>1.1871332051916149E-3</v>
      </c>
      <c r="BA53" s="470"/>
      <c r="BB53" s="470" t="str">
        <f t="shared" si="40"/>
        <v/>
      </c>
    </row>
    <row r="54" spans="2:54">
      <c r="B54" t="s">
        <v>242</v>
      </c>
      <c r="C54" t="s">
        <v>2804</v>
      </c>
      <c r="D54">
        <f>1</f>
        <v>1</v>
      </c>
      <c r="E54">
        <f t="shared" si="11"/>
        <v>0.68230000000000002</v>
      </c>
      <c r="G54" s="465">
        <v>2</v>
      </c>
      <c r="H54">
        <v>2.1</v>
      </c>
      <c r="I54" s="1">
        <f t="shared" si="0"/>
        <v>4.2024999999999997</v>
      </c>
      <c r="J54">
        <v>2.8</v>
      </c>
      <c r="K54" s="466">
        <f t="shared" si="1"/>
        <v>0.62556258379700835</v>
      </c>
      <c r="L54" s="467">
        <f t="shared" si="12"/>
        <v>0.52713808703823894</v>
      </c>
      <c r="M54" s="1">
        <f t="shared" si="2"/>
        <v>0.34990322251409178</v>
      </c>
      <c r="N54" s="1">
        <f t="shared" si="13"/>
        <v>0.71158540240283252</v>
      </c>
      <c r="O54" s="19">
        <f t="shared" si="14"/>
        <v>1.2274136606046457</v>
      </c>
      <c r="P54" s="1"/>
      <c r="Q54" s="1"/>
      <c r="R54" s="465">
        <v>3.4</v>
      </c>
      <c r="S54">
        <v>2.8</v>
      </c>
      <c r="T54">
        <f t="shared" si="15"/>
        <v>9.6099999999999977</v>
      </c>
      <c r="U54">
        <v>3.4</v>
      </c>
      <c r="V54" s="466">
        <f t="shared" si="3"/>
        <v>1.7452588024611257</v>
      </c>
      <c r="W54" s="466">
        <f t="shared" si="16"/>
        <v>1.4569251697316061</v>
      </c>
      <c r="X54" s="1">
        <f t="shared" si="4"/>
        <v>0.32857215488389974</v>
      </c>
      <c r="Y54" s="1">
        <f t="shared" si="24"/>
        <v>1.9356302122549114</v>
      </c>
      <c r="Z54" s="19">
        <f t="shared" si="17"/>
        <v>3.3387685531184963</v>
      </c>
      <c r="AA54" s="1"/>
      <c r="AB54">
        <f t="shared" si="5"/>
        <v>2.0499999999999998</v>
      </c>
      <c r="AC54">
        <f t="shared" si="18"/>
        <v>4.2024999999999997</v>
      </c>
      <c r="AD54" s="468">
        <f t="shared" si="19"/>
        <v>7.1158540240283256E-4</v>
      </c>
      <c r="AE54" s="468"/>
      <c r="AF54" s="468">
        <f t="shared" si="37"/>
        <v>4.2024999999999997</v>
      </c>
      <c r="AG54" s="468"/>
      <c r="AH54" s="468"/>
      <c r="AI54" s="468"/>
      <c r="AJ54" s="470" t="str">
        <f t="shared" si="38"/>
        <v/>
      </c>
      <c r="AK54" s="470">
        <f t="shared" si="38"/>
        <v>7.1158540240283256E-4</v>
      </c>
      <c r="AL54" s="470" t="str">
        <f t="shared" si="38"/>
        <v/>
      </c>
      <c r="AM54" s="470" t="str">
        <f t="shared" si="38"/>
        <v/>
      </c>
      <c r="AN54" s="469"/>
      <c r="AO54">
        <f t="shared" si="35"/>
        <v>3.0999999999999996</v>
      </c>
      <c r="AP54" s="470">
        <f t="shared" si="22"/>
        <v>9.6099999999999977</v>
      </c>
      <c r="AQ54" s="470">
        <f t="shared" si="36"/>
        <v>1.9356302122549114E-3</v>
      </c>
      <c r="AR54" s="470"/>
      <c r="AS54" s="470"/>
      <c r="AT54" s="470">
        <f t="shared" si="41"/>
        <v>9.6099999999999977</v>
      </c>
      <c r="AU54" s="470" t="str">
        <f t="shared" si="33"/>
        <v/>
      </c>
      <c r="AV54" s="470" t="str">
        <f t="shared" si="39"/>
        <v/>
      </c>
      <c r="AX54" s="480">
        <f t="shared" si="23"/>
        <v>1.9356302122549114E-3</v>
      </c>
      <c r="AY54" s="470"/>
      <c r="AZ54" s="470">
        <f t="shared" si="42"/>
        <v>1.9356302122549114E-3</v>
      </c>
      <c r="BA54" s="470"/>
      <c r="BB54" s="470" t="str">
        <f t="shared" si="40"/>
        <v/>
      </c>
    </row>
    <row r="55" spans="2:54">
      <c r="B55" t="s">
        <v>242</v>
      </c>
      <c r="C55" t="s">
        <v>2804</v>
      </c>
      <c r="D55">
        <f>2</f>
        <v>2</v>
      </c>
      <c r="E55">
        <f t="shared" si="11"/>
        <v>0.68230000000000002</v>
      </c>
      <c r="G55" s="465">
        <v>1.1000000000000001</v>
      </c>
      <c r="H55">
        <v>1.3</v>
      </c>
      <c r="I55" s="1">
        <f t="shared" si="0"/>
        <v>1.4400000000000004</v>
      </c>
      <c r="J55">
        <v>2.5</v>
      </c>
      <c r="K55" s="466">
        <f t="shared" si="1"/>
        <v>0.16568430264453085</v>
      </c>
      <c r="L55" s="467">
        <f t="shared" si="12"/>
        <v>0.16171204755218083</v>
      </c>
      <c r="M55" s="1">
        <f t="shared" si="2"/>
        <v>0.38625663585574249</v>
      </c>
      <c r="N55" s="1">
        <f t="shared" si="13"/>
        <v>0.22417439901703004</v>
      </c>
      <c r="O55" s="19">
        <f t="shared" si="14"/>
        <v>0.38667842086447507</v>
      </c>
      <c r="P55" s="1"/>
      <c r="Q55" s="1"/>
      <c r="R55" s="465">
        <v>2.7</v>
      </c>
      <c r="S55">
        <v>2.7</v>
      </c>
      <c r="T55">
        <f t="shared" si="15"/>
        <v>7.2900000000000009</v>
      </c>
      <c r="U55">
        <v>3.5</v>
      </c>
      <c r="V55" s="466">
        <f t="shared" si="3"/>
        <v>1.2388278877699845</v>
      </c>
      <c r="W55" s="466">
        <f t="shared" si="16"/>
        <v>1.1369159913236959</v>
      </c>
      <c r="X55" s="1">
        <f t="shared" si="4"/>
        <v>0.33469120183225182</v>
      </c>
      <c r="Y55" s="1">
        <f t="shared" si="24"/>
        <v>1.5174317708421297</v>
      </c>
      <c r="Z55" s="19">
        <f t="shared" si="17"/>
        <v>2.6174180615255893</v>
      </c>
      <c r="AA55" s="1"/>
      <c r="AB55">
        <f t="shared" si="5"/>
        <v>1.2000000000000002</v>
      </c>
      <c r="AC55">
        <f t="shared" si="18"/>
        <v>1.4400000000000004</v>
      </c>
      <c r="AD55" s="468">
        <f t="shared" si="19"/>
        <v>2.2417439901703003E-4</v>
      </c>
      <c r="AE55" s="468"/>
      <c r="AF55" s="468">
        <f t="shared" si="37"/>
        <v>1.4400000000000004</v>
      </c>
      <c r="AG55" s="468"/>
      <c r="AH55" s="468"/>
      <c r="AI55" s="468"/>
      <c r="AJ55" s="470" t="str">
        <f t="shared" si="38"/>
        <v/>
      </c>
      <c r="AK55" s="470">
        <f t="shared" si="38"/>
        <v>2.2417439901703003E-4</v>
      </c>
      <c r="AL55" s="470" t="str">
        <f t="shared" si="38"/>
        <v/>
      </c>
      <c r="AM55" s="470" t="str">
        <f t="shared" si="38"/>
        <v/>
      </c>
      <c r="AN55" s="469"/>
      <c r="AO55">
        <f t="shared" si="35"/>
        <v>2.7</v>
      </c>
      <c r="AP55" s="470">
        <f t="shared" si="22"/>
        <v>7.2900000000000009</v>
      </c>
      <c r="AQ55" s="470">
        <f t="shared" si="36"/>
        <v>1.5174317708421296E-3</v>
      </c>
      <c r="AR55" s="470"/>
      <c r="AS55" s="470"/>
      <c r="AT55" s="470">
        <f t="shared" si="41"/>
        <v>7.2900000000000009</v>
      </c>
      <c r="AU55" s="470" t="str">
        <f t="shared" si="33"/>
        <v/>
      </c>
      <c r="AV55" s="470" t="str">
        <f t="shared" si="39"/>
        <v/>
      </c>
      <c r="AX55" s="480">
        <f t="shared" si="23"/>
        <v>1.5174317708421296E-3</v>
      </c>
      <c r="AY55" s="470"/>
      <c r="AZ55" s="470">
        <f t="shared" si="42"/>
        <v>1.5174317708421296E-3</v>
      </c>
      <c r="BA55" s="470"/>
      <c r="BB55" s="470" t="str">
        <f t="shared" si="40"/>
        <v/>
      </c>
    </row>
    <row r="56" spans="2:54">
      <c r="B56" t="s">
        <v>242</v>
      </c>
      <c r="C56" t="s">
        <v>2804</v>
      </c>
      <c r="D56">
        <f>3</f>
        <v>3</v>
      </c>
      <c r="E56">
        <f t="shared" si="11"/>
        <v>0.68230000000000002</v>
      </c>
      <c r="G56" s="465">
        <v>1</v>
      </c>
      <c r="H56">
        <v>1</v>
      </c>
      <c r="I56" s="1">
        <f t="shared" si="0"/>
        <v>1</v>
      </c>
      <c r="J56">
        <v>2.4</v>
      </c>
      <c r="K56" s="466">
        <f t="shared" si="1"/>
        <v>0.10539999999999999</v>
      </c>
      <c r="L56" s="467">
        <f t="shared" si="12"/>
        <v>0.10791370599212941</v>
      </c>
      <c r="M56" s="1">
        <f t="shared" si="2"/>
        <v>0.3994764167751847</v>
      </c>
      <c r="N56" s="1">
        <f t="shared" si="13"/>
        <v>0.15102268658279605</v>
      </c>
      <c r="O56" s="19">
        <f t="shared" si="14"/>
        <v>0.26049903208666486</v>
      </c>
      <c r="P56" s="1"/>
      <c r="Q56" s="1"/>
      <c r="R56" s="465">
        <v>4.2</v>
      </c>
      <c r="S56">
        <v>4.2</v>
      </c>
      <c r="T56">
        <f t="shared" si="15"/>
        <v>17.64</v>
      </c>
      <c r="U56">
        <v>4.9000000000000004</v>
      </c>
      <c r="V56" s="466">
        <f t="shared" si="3"/>
        <v>3.7073174504771527</v>
      </c>
      <c r="W56" s="466">
        <f t="shared" si="16"/>
        <v>3.8205016396624072</v>
      </c>
      <c r="X56" s="1">
        <f t="shared" si="4"/>
        <v>0.30583045446599039</v>
      </c>
      <c r="Y56" s="1">
        <f t="shared" si="24"/>
        <v>4.9889273924084225</v>
      </c>
      <c r="Z56" s="19">
        <f t="shared" si="17"/>
        <v>8.6054008591652877</v>
      </c>
      <c r="AA56" s="1"/>
      <c r="AB56">
        <f t="shared" si="5"/>
        <v>1</v>
      </c>
      <c r="AC56">
        <f t="shared" si="18"/>
        <v>1</v>
      </c>
      <c r="AD56" s="468">
        <f t="shared" si="19"/>
        <v>1.5102268658279605E-4</v>
      </c>
      <c r="AE56" s="468"/>
      <c r="AF56" s="468">
        <f t="shared" si="37"/>
        <v>1</v>
      </c>
      <c r="AG56" s="468"/>
      <c r="AH56" s="468"/>
      <c r="AI56" s="468"/>
      <c r="AJ56" s="470" t="str">
        <f t="shared" si="38"/>
        <v/>
      </c>
      <c r="AK56" s="470">
        <f t="shared" si="38"/>
        <v>1.5102268658279605E-4</v>
      </c>
      <c r="AL56" s="470" t="str">
        <f t="shared" si="38"/>
        <v/>
      </c>
      <c r="AM56" s="470" t="str">
        <f t="shared" si="38"/>
        <v/>
      </c>
      <c r="AN56" s="469"/>
      <c r="AO56">
        <f t="shared" si="35"/>
        <v>4.2</v>
      </c>
      <c r="AP56" s="470">
        <f t="shared" si="22"/>
        <v>17.64</v>
      </c>
      <c r="AQ56" s="470">
        <f t="shared" si="36"/>
        <v>4.9889273924084224E-3</v>
      </c>
      <c r="AR56" s="470"/>
      <c r="AS56" s="470"/>
      <c r="AT56" s="470">
        <f t="shared" si="41"/>
        <v>17.64</v>
      </c>
      <c r="AU56" s="470" t="str">
        <f t="shared" si="33"/>
        <v/>
      </c>
      <c r="AV56" s="470" t="str">
        <f t="shared" si="39"/>
        <v/>
      </c>
      <c r="AX56" s="480">
        <f t="shared" si="23"/>
        <v>4.9889273924084224E-3</v>
      </c>
      <c r="AY56" s="470"/>
      <c r="AZ56" s="470">
        <f t="shared" si="42"/>
        <v>4.9889273924084224E-3</v>
      </c>
      <c r="BA56" s="470"/>
      <c r="BB56" s="470" t="str">
        <f t="shared" si="40"/>
        <v/>
      </c>
    </row>
    <row r="57" spans="2:54">
      <c r="B57" t="s">
        <v>242</v>
      </c>
      <c r="C57" t="s">
        <v>2804</v>
      </c>
      <c r="D57">
        <f>4</f>
        <v>4</v>
      </c>
      <c r="E57">
        <f t="shared" si="11"/>
        <v>0.68230000000000002</v>
      </c>
      <c r="G57" s="465">
        <v>1.5</v>
      </c>
      <c r="H57">
        <v>1.4</v>
      </c>
      <c r="I57" s="1">
        <f t="shared" si="0"/>
        <v>2.1025</v>
      </c>
      <c r="J57">
        <v>2.6</v>
      </c>
      <c r="K57" s="466">
        <f t="shared" si="1"/>
        <v>0.2649588850675475</v>
      </c>
      <c r="L57" s="467">
        <f t="shared" si="12"/>
        <v>0.24532422050781821</v>
      </c>
      <c r="M57" s="1">
        <f t="shared" si="2"/>
        <v>0.37299757444409182</v>
      </c>
      <c r="N57" s="1">
        <f t="shared" si="13"/>
        <v>0.33682955970962192</v>
      </c>
      <c r="O57" s="19">
        <f t="shared" si="14"/>
        <v>0.58099730754312684</v>
      </c>
      <c r="P57" s="1"/>
      <c r="Q57" s="1"/>
      <c r="R57" s="465">
        <v>3.5</v>
      </c>
      <c r="S57">
        <v>3.3</v>
      </c>
      <c r="T57">
        <f t="shared" si="15"/>
        <v>11.559999999999999</v>
      </c>
      <c r="U57">
        <v>4.3499999999999996</v>
      </c>
      <c r="V57" s="466">
        <f t="shared" si="3"/>
        <v>2.1947580780386025</v>
      </c>
      <c r="W57" s="466">
        <f t="shared" si="16"/>
        <v>2.2290190717766389</v>
      </c>
      <c r="X57" s="1">
        <f t="shared" si="4"/>
        <v>0.3183397138614949</v>
      </c>
      <c r="Y57" s="1">
        <f t="shared" si="24"/>
        <v>2.9386043652778291</v>
      </c>
      <c r="Z57" s="19">
        <f t="shared" si="17"/>
        <v>5.0687986696677267</v>
      </c>
      <c r="AA57" s="1"/>
      <c r="AB57">
        <f t="shared" si="5"/>
        <v>1.45</v>
      </c>
      <c r="AC57">
        <f t="shared" si="18"/>
        <v>2.1025</v>
      </c>
      <c r="AD57" s="468">
        <f t="shared" si="19"/>
        <v>3.3682955970962194E-4</v>
      </c>
      <c r="AE57" s="468"/>
      <c r="AF57" s="468">
        <f t="shared" si="37"/>
        <v>2.1025</v>
      </c>
      <c r="AG57" s="468"/>
      <c r="AH57" s="468"/>
      <c r="AI57" s="468"/>
      <c r="AJ57" s="470" t="str">
        <f t="shared" si="38"/>
        <v/>
      </c>
      <c r="AK57" s="470">
        <f t="shared" si="38"/>
        <v>3.3682955970962194E-4</v>
      </c>
      <c r="AL57" s="470" t="str">
        <f t="shared" si="38"/>
        <v/>
      </c>
      <c r="AM57" s="470" t="str">
        <f t="shared" si="38"/>
        <v/>
      </c>
      <c r="AN57" s="469"/>
      <c r="AO57">
        <f t="shared" si="35"/>
        <v>3.4</v>
      </c>
      <c r="AP57" s="470">
        <f t="shared" si="22"/>
        <v>11.559999999999999</v>
      </c>
      <c r="AQ57" s="470">
        <f t="shared" si="36"/>
        <v>2.9386043652778293E-3</v>
      </c>
      <c r="AR57" s="470"/>
      <c r="AS57" s="470"/>
      <c r="AT57" s="470">
        <f t="shared" si="41"/>
        <v>11.559999999999999</v>
      </c>
      <c r="AU57" s="470" t="str">
        <f t="shared" si="33"/>
        <v/>
      </c>
      <c r="AV57" s="470" t="str">
        <f t="shared" si="39"/>
        <v/>
      </c>
      <c r="AX57" s="480">
        <f t="shared" si="23"/>
        <v>2.9386043652778293E-3</v>
      </c>
      <c r="AY57" s="470"/>
      <c r="AZ57" s="470">
        <f t="shared" si="42"/>
        <v>2.9386043652778293E-3</v>
      </c>
      <c r="BA57" s="470"/>
      <c r="BB57" s="470" t="str">
        <f t="shared" si="40"/>
        <v/>
      </c>
    </row>
    <row r="58" spans="2:54">
      <c r="B58" t="s">
        <v>242</v>
      </c>
      <c r="C58" t="s">
        <v>2804</v>
      </c>
      <c r="D58">
        <f>5</f>
        <v>5</v>
      </c>
      <c r="E58">
        <f t="shared" si="11"/>
        <v>0.68230000000000002</v>
      </c>
      <c r="G58" s="465">
        <v>1.1000000000000001</v>
      </c>
      <c r="H58">
        <v>1.1000000000000001</v>
      </c>
      <c r="I58" s="1">
        <f t="shared" si="0"/>
        <v>1.2100000000000002</v>
      </c>
      <c r="J58">
        <v>2.2999999999999998</v>
      </c>
      <c r="K58" s="466">
        <f t="shared" si="1"/>
        <v>0.13351551137742265</v>
      </c>
      <c r="L58" s="467">
        <f t="shared" si="12"/>
        <v>0.12526281687679511</v>
      </c>
      <c r="M58" s="1">
        <f t="shared" si="2"/>
        <v>0.3925101817876786</v>
      </c>
      <c r="N58" s="1">
        <f t="shared" si="13"/>
        <v>0.17442974790034266</v>
      </c>
      <c r="O58" s="19">
        <f t="shared" si="14"/>
        <v>0.30087387215330103</v>
      </c>
      <c r="P58" s="1"/>
      <c r="Q58" s="1"/>
      <c r="R58" s="465">
        <v>3.6</v>
      </c>
      <c r="S58">
        <v>3.4</v>
      </c>
      <c r="T58">
        <f t="shared" si="15"/>
        <v>12.25</v>
      </c>
      <c r="U58">
        <v>4.3</v>
      </c>
      <c r="V58" s="466">
        <f t="shared" si="3"/>
        <v>2.358408449342563</v>
      </c>
      <c r="W58" s="466">
        <f t="shared" si="16"/>
        <v>2.3355638083506669</v>
      </c>
      <c r="X58" s="1">
        <f t="shared" si="4"/>
        <v>0.31723576380709356</v>
      </c>
      <c r="Y58" s="1">
        <f t="shared" si="24"/>
        <v>3.0764881770129948</v>
      </c>
      <c r="Z58" s="19">
        <f t="shared" si="17"/>
        <v>5.3066344565297143</v>
      </c>
      <c r="AA58" s="1"/>
      <c r="AB58">
        <f t="shared" si="5"/>
        <v>1.1000000000000001</v>
      </c>
      <c r="AC58">
        <f t="shared" si="18"/>
        <v>1.2100000000000002</v>
      </c>
      <c r="AD58" s="468">
        <f t="shared" si="19"/>
        <v>1.7442974790034266E-4</v>
      </c>
      <c r="AE58" s="468"/>
      <c r="AF58" s="468">
        <f t="shared" si="37"/>
        <v>1.2100000000000002</v>
      </c>
      <c r="AG58" s="468"/>
      <c r="AH58" s="468"/>
      <c r="AI58" s="468"/>
      <c r="AJ58" s="470" t="str">
        <f t="shared" si="38"/>
        <v/>
      </c>
      <c r="AK58" s="470">
        <f t="shared" si="38"/>
        <v>1.7442974790034266E-4</v>
      </c>
      <c r="AL58" s="470" t="str">
        <f t="shared" si="38"/>
        <v/>
      </c>
      <c r="AM58" s="470" t="str">
        <f t="shared" si="38"/>
        <v/>
      </c>
      <c r="AN58" s="469"/>
      <c r="AO58">
        <f t="shared" si="35"/>
        <v>3.5</v>
      </c>
      <c r="AP58" s="470">
        <f t="shared" si="22"/>
        <v>12.25</v>
      </c>
      <c r="AQ58" s="470">
        <f t="shared" si="36"/>
        <v>3.076488177012995E-3</v>
      </c>
      <c r="AR58" s="470"/>
      <c r="AS58" s="470"/>
      <c r="AT58" s="470">
        <f t="shared" si="41"/>
        <v>12.25</v>
      </c>
      <c r="AU58" s="470" t="str">
        <f t="shared" si="33"/>
        <v/>
      </c>
      <c r="AV58" s="470" t="str">
        <f t="shared" si="39"/>
        <v/>
      </c>
      <c r="AX58" s="480">
        <f t="shared" si="23"/>
        <v>3.076488177012995E-3</v>
      </c>
      <c r="AY58" s="470"/>
      <c r="AZ58" s="470">
        <f t="shared" si="42"/>
        <v>3.076488177012995E-3</v>
      </c>
      <c r="BA58" s="470"/>
      <c r="BB58" s="470" t="str">
        <f t="shared" si="40"/>
        <v/>
      </c>
    </row>
    <row r="59" spans="2:54">
      <c r="B59" t="s">
        <v>228</v>
      </c>
      <c r="C59" t="s">
        <v>2805</v>
      </c>
      <c r="D59">
        <f>1</f>
        <v>1</v>
      </c>
      <c r="E59">
        <f t="shared" si="11"/>
        <v>0.61499999999999999</v>
      </c>
      <c r="G59" s="465">
        <v>1.2</v>
      </c>
      <c r="H59">
        <v>1.1000000000000001</v>
      </c>
      <c r="I59" s="1">
        <f t="shared" si="0"/>
        <v>1.3224999999999998</v>
      </c>
      <c r="J59">
        <v>2.4</v>
      </c>
      <c r="K59" s="466">
        <f t="shared" si="1"/>
        <v>0.14908223089971426</v>
      </c>
      <c r="L59" s="467">
        <f t="shared" si="12"/>
        <v>0.12863881554649498</v>
      </c>
      <c r="M59" s="1">
        <f t="shared" si="2"/>
        <v>0.38930286643596385</v>
      </c>
      <c r="N59" s="1">
        <f t="shared" si="13"/>
        <v>0.1787182751736727</v>
      </c>
      <c r="O59" s="19">
        <f t="shared" si="14"/>
        <v>0.30827115284706802</v>
      </c>
      <c r="P59" s="1"/>
      <c r="Q59" s="1"/>
      <c r="R59" s="465">
        <v>3.2</v>
      </c>
      <c r="S59">
        <v>3.3</v>
      </c>
      <c r="T59">
        <f t="shared" si="15"/>
        <v>10.5625</v>
      </c>
      <c r="U59">
        <v>2.5</v>
      </c>
      <c r="V59" s="466">
        <f t="shared" si="3"/>
        <v>1.9623299898559374</v>
      </c>
      <c r="W59" s="466">
        <f t="shared" si="16"/>
        <v>1.0691689810363583</v>
      </c>
      <c r="X59" s="1">
        <f t="shared" si="4"/>
        <v>0.33622456367343839</v>
      </c>
      <c r="Y59" s="1">
        <f t="shared" si="24"/>
        <v>1.4286498551784825</v>
      </c>
      <c r="Z59" s="19">
        <f t="shared" si="17"/>
        <v>2.4642781351973642</v>
      </c>
      <c r="AA59" s="1"/>
      <c r="AB59">
        <f t="shared" si="5"/>
        <v>1.1499999999999999</v>
      </c>
      <c r="AC59">
        <f t="shared" si="18"/>
        <v>1.3224999999999998</v>
      </c>
      <c r="AD59" s="468">
        <f t="shared" si="19"/>
        <v>1.7871827517367269E-4</v>
      </c>
      <c r="AE59" s="468"/>
      <c r="AF59" s="468"/>
      <c r="AG59" s="468">
        <f t="shared" si="37"/>
        <v>1.3224999999999998</v>
      </c>
      <c r="AH59" s="468"/>
      <c r="AI59" s="468"/>
      <c r="AJ59" s="470" t="str">
        <f t="shared" si="38"/>
        <v/>
      </c>
      <c r="AK59" s="470" t="str">
        <f t="shared" si="38"/>
        <v/>
      </c>
      <c r="AL59" s="470">
        <f t="shared" si="38"/>
        <v>1.7871827517367269E-4</v>
      </c>
      <c r="AM59" s="470" t="str">
        <f t="shared" si="38"/>
        <v/>
      </c>
      <c r="AN59" s="469"/>
      <c r="AO59">
        <f t="shared" si="35"/>
        <v>3.25</v>
      </c>
      <c r="AP59" s="470">
        <f t="shared" si="22"/>
        <v>10.5625</v>
      </c>
      <c r="AQ59" s="470">
        <f t="shared" si="36"/>
        <v>1.4286498551784824E-3</v>
      </c>
      <c r="AR59" s="470"/>
      <c r="AS59" s="470"/>
      <c r="AT59" s="470" t="str">
        <f t="shared" ref="AT59:AT64" si="43">IF($B59=AT$3,$AQ59,"")</f>
        <v/>
      </c>
      <c r="AU59" s="470">
        <f>IF($B59=AU$3,$AP59,"")</f>
        <v>10.5625</v>
      </c>
      <c r="AV59" s="470" t="str">
        <f t="shared" si="39"/>
        <v/>
      </c>
      <c r="AX59" s="480">
        <f t="shared" si="23"/>
        <v>1.4286498551784824E-3</v>
      </c>
      <c r="AY59" s="470"/>
      <c r="AZ59" s="470"/>
      <c r="BA59" s="470">
        <f>IF($B59=BA$3,$AX59,"")</f>
        <v>1.4286498551784824E-3</v>
      </c>
      <c r="BB59" s="470" t="str">
        <f t="shared" si="40"/>
        <v/>
      </c>
    </row>
    <row r="60" spans="2:54">
      <c r="B60" t="s">
        <v>228</v>
      </c>
      <c r="C60" t="s">
        <v>2805</v>
      </c>
      <c r="D60">
        <f>2</f>
        <v>2</v>
      </c>
      <c r="E60">
        <f t="shared" si="11"/>
        <v>0.61499999999999999</v>
      </c>
      <c r="G60" s="465">
        <v>1</v>
      </c>
      <c r="H60">
        <v>1.1000000000000001</v>
      </c>
      <c r="I60" s="1">
        <f t="shared" si="0"/>
        <v>1.1025</v>
      </c>
      <c r="J60">
        <v>2.5</v>
      </c>
      <c r="K60" s="466">
        <f t="shared" si="1"/>
        <v>0.11896224268400345</v>
      </c>
      <c r="L60" s="467">
        <f t="shared" si="12"/>
        <v>0.11159846642296661</v>
      </c>
      <c r="M60" s="1">
        <f t="shared" si="2"/>
        <v>0.39589502742402521</v>
      </c>
      <c r="N60" s="1">
        <f t="shared" si="13"/>
        <v>0.15577974434796615</v>
      </c>
      <c r="O60" s="19">
        <f t="shared" si="14"/>
        <v>0.2687044810258068</v>
      </c>
      <c r="P60" s="1"/>
      <c r="Q60" s="1"/>
      <c r="R60" s="465">
        <v>3.6</v>
      </c>
      <c r="S60">
        <v>3.9</v>
      </c>
      <c r="T60">
        <f t="shared" si="15"/>
        <v>14.0625</v>
      </c>
      <c r="U60">
        <v>3</v>
      </c>
      <c r="V60" s="466">
        <f t="shared" si="3"/>
        <v>2.7986899159784624</v>
      </c>
      <c r="W60" s="466">
        <f t="shared" si="16"/>
        <v>1.7006817842083761</v>
      </c>
      <c r="X60" s="1">
        <f t="shared" si="4"/>
        <v>0.32481204923552037</v>
      </c>
      <c r="Y60" s="1">
        <f t="shared" si="24"/>
        <v>2.2530837196346196</v>
      </c>
      <c r="Z60" s="19">
        <f t="shared" si="17"/>
        <v>3.8863441079977554</v>
      </c>
      <c r="AA60" s="1"/>
      <c r="AB60">
        <f t="shared" si="5"/>
        <v>1.05</v>
      </c>
      <c r="AC60">
        <f t="shared" si="18"/>
        <v>1.1025</v>
      </c>
      <c r="AD60" s="468">
        <f t="shared" si="19"/>
        <v>1.5577974434796614E-4</v>
      </c>
      <c r="AE60" s="468"/>
      <c r="AF60" s="468"/>
      <c r="AG60" s="468">
        <f t="shared" si="37"/>
        <v>1.1025</v>
      </c>
      <c r="AH60" s="468"/>
      <c r="AI60" s="468"/>
      <c r="AJ60" s="470" t="str">
        <f t="shared" si="38"/>
        <v/>
      </c>
      <c r="AK60" s="470" t="str">
        <f t="shared" si="38"/>
        <v/>
      </c>
      <c r="AL60" s="470">
        <f t="shared" si="38"/>
        <v>1.5577974434796614E-4</v>
      </c>
      <c r="AM60" s="470" t="str">
        <f t="shared" si="38"/>
        <v/>
      </c>
      <c r="AN60" s="469"/>
      <c r="AO60">
        <f t="shared" si="35"/>
        <v>3.75</v>
      </c>
      <c r="AP60" s="470">
        <f t="shared" si="22"/>
        <v>14.0625</v>
      </c>
      <c r="AQ60" s="470">
        <f t="shared" si="36"/>
        <v>2.2530837196346196E-3</v>
      </c>
      <c r="AR60" s="470"/>
      <c r="AS60" s="470"/>
      <c r="AT60" s="470" t="str">
        <f t="shared" si="43"/>
        <v/>
      </c>
      <c r="AU60" s="470">
        <f>IF($B60=AU$3,$AP60,"")</f>
        <v>14.0625</v>
      </c>
      <c r="AV60" s="470" t="str">
        <f t="shared" si="39"/>
        <v/>
      </c>
      <c r="AX60" s="480">
        <f t="shared" si="23"/>
        <v>2.2530837196346196E-3</v>
      </c>
      <c r="AY60" s="470"/>
      <c r="AZ60" s="470"/>
      <c r="BA60" s="470">
        <f>IF($B60=BA$3,$AX60,"")</f>
        <v>2.2530837196346196E-3</v>
      </c>
      <c r="BB60" s="470" t="str">
        <f t="shared" si="40"/>
        <v/>
      </c>
    </row>
    <row r="61" spans="2:54">
      <c r="B61" t="s">
        <v>228</v>
      </c>
      <c r="C61" t="s">
        <v>2805</v>
      </c>
      <c r="D61">
        <f>3</f>
        <v>3</v>
      </c>
      <c r="E61">
        <f t="shared" si="11"/>
        <v>0.61499999999999999</v>
      </c>
      <c r="G61" s="465">
        <v>1.2</v>
      </c>
      <c r="H61">
        <v>1.5</v>
      </c>
      <c r="I61" s="1">
        <f t="shared" si="0"/>
        <v>1.8225000000000002</v>
      </c>
      <c r="J61">
        <v>3</v>
      </c>
      <c r="K61" s="466">
        <f t="shared" si="1"/>
        <v>0.2219144882304864</v>
      </c>
      <c r="L61" s="467">
        <f t="shared" si="12"/>
        <v>0.22040835923340557</v>
      </c>
      <c r="M61" s="1">
        <f t="shared" si="2"/>
        <v>0.37794993435316526</v>
      </c>
      <c r="N61" s="1">
        <f t="shared" si="13"/>
        <v>0.30371168413656008</v>
      </c>
      <c r="O61" s="19">
        <f t="shared" si="14"/>
        <v>0.52387228396715246</v>
      </c>
      <c r="P61" s="1"/>
      <c r="Q61" s="1"/>
      <c r="R61" s="465">
        <v>3.1</v>
      </c>
      <c r="S61">
        <v>3.6</v>
      </c>
      <c r="T61">
        <f t="shared" si="15"/>
        <v>11.2225</v>
      </c>
      <c r="U61">
        <v>3</v>
      </c>
      <c r="V61" s="466">
        <f t="shared" si="3"/>
        <v>2.1155547666334651</v>
      </c>
      <c r="W61" s="466">
        <f t="shared" si="16"/>
        <v>1.3572196496553599</v>
      </c>
      <c r="X61" s="1">
        <f t="shared" si="4"/>
        <v>0.33030969184822878</v>
      </c>
      <c r="Y61" s="1">
        <f t="shared" si="24"/>
        <v>1.8055224539033827</v>
      </c>
      <c r="Z61" s="19">
        <f t="shared" si="17"/>
        <v>3.1143456807379444</v>
      </c>
      <c r="AA61" s="1"/>
      <c r="AB61">
        <f t="shared" si="5"/>
        <v>1.35</v>
      </c>
      <c r="AC61">
        <f t="shared" si="18"/>
        <v>1.8225000000000002</v>
      </c>
      <c r="AD61" s="468">
        <f t="shared" si="19"/>
        <v>3.0371168413656009E-4</v>
      </c>
      <c r="AE61" s="468"/>
      <c r="AF61" s="468"/>
      <c r="AG61" s="468">
        <f t="shared" si="37"/>
        <v>1.8225000000000002</v>
      </c>
      <c r="AH61" s="468"/>
      <c r="AI61" s="468"/>
      <c r="AJ61" s="470" t="str">
        <f t="shared" si="38"/>
        <v/>
      </c>
      <c r="AK61" s="470" t="str">
        <f t="shared" si="38"/>
        <v/>
      </c>
      <c r="AL61" s="470">
        <f t="shared" si="38"/>
        <v>3.0371168413656009E-4</v>
      </c>
      <c r="AM61" s="470" t="str">
        <f t="shared" si="38"/>
        <v/>
      </c>
      <c r="AN61" s="469"/>
      <c r="AO61">
        <f t="shared" si="35"/>
        <v>3.35</v>
      </c>
      <c r="AP61" s="470">
        <f t="shared" si="22"/>
        <v>11.2225</v>
      </c>
      <c r="AQ61" s="470">
        <f t="shared" si="36"/>
        <v>1.8055224539033827E-3</v>
      </c>
      <c r="AR61" s="470"/>
      <c r="AS61" s="470"/>
      <c r="AT61" s="470" t="str">
        <f t="shared" si="43"/>
        <v/>
      </c>
      <c r="AU61" s="470">
        <f>IF($B61=AU$3,$AP61,"")</f>
        <v>11.2225</v>
      </c>
      <c r="AV61" s="470" t="str">
        <f t="shared" si="39"/>
        <v/>
      </c>
      <c r="AX61" s="480">
        <f t="shared" si="23"/>
        <v>1.8055224539033827E-3</v>
      </c>
      <c r="AY61" s="470"/>
      <c r="AZ61" s="470"/>
      <c r="BA61" s="470">
        <f>IF($B61=BA$3,$AX61,"")</f>
        <v>1.8055224539033827E-3</v>
      </c>
      <c r="BB61" s="470" t="str">
        <f t="shared" si="40"/>
        <v/>
      </c>
    </row>
    <row r="62" spans="2:54">
      <c r="B62" t="s">
        <v>228</v>
      </c>
      <c r="C62" t="s">
        <v>2805</v>
      </c>
      <c r="D62">
        <f>4</f>
        <v>4</v>
      </c>
      <c r="E62">
        <f t="shared" si="11"/>
        <v>0.61499999999999999</v>
      </c>
      <c r="G62" s="465">
        <v>1</v>
      </c>
      <c r="H62">
        <v>1.1000000000000001</v>
      </c>
      <c r="I62" s="1">
        <f t="shared" si="0"/>
        <v>1.1025</v>
      </c>
      <c r="J62">
        <v>2.5</v>
      </c>
      <c r="K62" s="466">
        <f t="shared" si="1"/>
        <v>0.11896224268400345</v>
      </c>
      <c r="L62" s="467">
        <f t="shared" si="12"/>
        <v>0.11159846642296661</v>
      </c>
      <c r="M62" s="1">
        <f t="shared" si="2"/>
        <v>0.39589502742402521</v>
      </c>
      <c r="N62" s="1">
        <f t="shared" si="13"/>
        <v>0.15577974434796615</v>
      </c>
      <c r="O62" s="19">
        <f t="shared" si="14"/>
        <v>0.2687044810258068</v>
      </c>
      <c r="P62" s="1"/>
      <c r="Q62" s="1"/>
      <c r="R62" s="465">
        <v>3.8</v>
      </c>
      <c r="S62">
        <v>3.7</v>
      </c>
      <c r="T62">
        <f t="shared" si="15"/>
        <v>14.0625</v>
      </c>
      <c r="U62">
        <v>3.3</v>
      </c>
      <c r="V62" s="466">
        <f t="shared" si="3"/>
        <v>2.7986899159784624</v>
      </c>
      <c r="W62" s="466">
        <f t="shared" si="16"/>
        <v>1.8664756167896464</v>
      </c>
      <c r="X62" s="1">
        <f t="shared" si="4"/>
        <v>0.32257182140713891</v>
      </c>
      <c r="Y62" s="1">
        <f t="shared" si="24"/>
        <v>2.4685480561094955</v>
      </c>
      <c r="Z62" s="19">
        <f t="shared" si="17"/>
        <v>4.2579985419832687</v>
      </c>
      <c r="AA62" s="1"/>
      <c r="AB62">
        <f t="shared" si="5"/>
        <v>1.05</v>
      </c>
      <c r="AC62">
        <f t="shared" si="18"/>
        <v>1.1025</v>
      </c>
      <c r="AD62" s="468">
        <f t="shared" si="19"/>
        <v>1.5577974434796614E-4</v>
      </c>
      <c r="AE62" s="468"/>
      <c r="AF62" s="468"/>
      <c r="AG62" s="468">
        <f t="shared" si="37"/>
        <v>1.1025</v>
      </c>
      <c r="AH62" s="468"/>
      <c r="AI62" s="468"/>
      <c r="AJ62" s="470" t="str">
        <f t="shared" si="38"/>
        <v/>
      </c>
      <c r="AK62" s="470" t="str">
        <f t="shared" si="38"/>
        <v/>
      </c>
      <c r="AL62" s="470">
        <f t="shared" si="38"/>
        <v>1.5577974434796614E-4</v>
      </c>
      <c r="AM62" s="470" t="str">
        <f t="shared" si="38"/>
        <v/>
      </c>
      <c r="AN62" s="469"/>
      <c r="AO62">
        <f t="shared" si="35"/>
        <v>3.75</v>
      </c>
      <c r="AP62" s="470">
        <f t="shared" si="22"/>
        <v>14.0625</v>
      </c>
      <c r="AQ62" s="470">
        <f t="shared" si="36"/>
        <v>2.4685480561094956E-3</v>
      </c>
      <c r="AR62" s="470"/>
      <c r="AS62" s="470"/>
      <c r="AT62" s="470" t="str">
        <f t="shared" si="43"/>
        <v/>
      </c>
      <c r="AU62" s="470">
        <f>IF($B62=AU$3,$AP62,"")</f>
        <v>14.0625</v>
      </c>
      <c r="AV62" s="470" t="str">
        <f t="shared" si="39"/>
        <v/>
      </c>
      <c r="AX62" s="480">
        <f t="shared" si="23"/>
        <v>2.4685480561094956E-3</v>
      </c>
      <c r="AY62" s="470"/>
      <c r="AZ62" s="470"/>
      <c r="BA62" s="470">
        <f>IF($B62=BA$3,$AX62,"")</f>
        <v>2.4685480561094956E-3</v>
      </c>
      <c r="BB62" s="470" t="str">
        <f t="shared" si="40"/>
        <v/>
      </c>
    </row>
    <row r="63" spans="2:54">
      <c r="B63" t="s">
        <v>228</v>
      </c>
      <c r="C63" t="s">
        <v>2805</v>
      </c>
      <c r="D63">
        <f>5</f>
        <v>5</v>
      </c>
      <c r="E63">
        <f t="shared" si="11"/>
        <v>0.61499999999999999</v>
      </c>
      <c r="G63" s="465">
        <v>1</v>
      </c>
      <c r="H63">
        <v>1</v>
      </c>
      <c r="I63" s="1">
        <f t="shared" si="0"/>
        <v>1</v>
      </c>
      <c r="J63">
        <v>2.2999999999999998</v>
      </c>
      <c r="K63" s="466">
        <f t="shared" si="1"/>
        <v>0.10539999999999999</v>
      </c>
      <c r="L63" s="467">
        <f t="shared" si="12"/>
        <v>9.3311795881490994E-2</v>
      </c>
      <c r="M63" s="1">
        <f t="shared" si="2"/>
        <v>0.3994764167751847</v>
      </c>
      <c r="N63" s="1">
        <f t="shared" si="13"/>
        <v>0.13058765774308645</v>
      </c>
      <c r="O63" s="19">
        <f t="shared" si="14"/>
        <v>0.22525065084104978</v>
      </c>
      <c r="P63" s="1"/>
      <c r="Q63" s="1"/>
      <c r="R63" s="465">
        <v>4.2</v>
      </c>
      <c r="S63">
        <v>4.4000000000000004</v>
      </c>
      <c r="T63">
        <f t="shared" si="15"/>
        <v>18.490000000000006</v>
      </c>
      <c r="U63">
        <v>2.9</v>
      </c>
      <c r="V63" s="466">
        <f t="shared" si="3"/>
        <v>3.9301805525099587</v>
      </c>
      <c r="W63" s="466">
        <f t="shared" si="16"/>
        <v>2.1633537318211493</v>
      </c>
      <c r="X63" s="1">
        <f t="shared" si="4"/>
        <v>0.31904871395375978</v>
      </c>
      <c r="Y63" s="1">
        <f t="shared" si="24"/>
        <v>2.8535689577857539</v>
      </c>
      <c r="Z63" s="19">
        <f t="shared" si="17"/>
        <v>4.9221210952846466</v>
      </c>
      <c r="AA63" s="1"/>
      <c r="AB63">
        <f t="shared" si="5"/>
        <v>1</v>
      </c>
      <c r="AC63">
        <f t="shared" si="18"/>
        <v>1</v>
      </c>
      <c r="AD63" s="468">
        <f t="shared" si="19"/>
        <v>1.3058765774308644E-4</v>
      </c>
      <c r="AE63" s="468"/>
      <c r="AF63" s="468"/>
      <c r="AG63" s="468">
        <f t="shared" si="37"/>
        <v>1</v>
      </c>
      <c r="AH63" s="468"/>
      <c r="AI63" s="468"/>
      <c r="AJ63" s="470" t="str">
        <f t="shared" si="38"/>
        <v/>
      </c>
      <c r="AK63" s="470" t="str">
        <f t="shared" si="38"/>
        <v/>
      </c>
      <c r="AL63" s="470">
        <f t="shared" si="38"/>
        <v>1.3058765774308644E-4</v>
      </c>
      <c r="AM63" s="470" t="str">
        <f t="shared" si="38"/>
        <v/>
      </c>
      <c r="AN63" s="469"/>
      <c r="AO63">
        <f t="shared" si="35"/>
        <v>4.3000000000000007</v>
      </c>
      <c r="AP63" s="470">
        <f t="shared" si="22"/>
        <v>18.490000000000006</v>
      </c>
      <c r="AQ63" s="470">
        <f t="shared" si="36"/>
        <v>2.8535689577857538E-3</v>
      </c>
      <c r="AR63" s="470"/>
      <c r="AS63" s="470"/>
      <c r="AT63" s="470" t="str">
        <f t="shared" si="43"/>
        <v/>
      </c>
      <c r="AU63" s="470">
        <f>IF($B63=AU$3,$AP63,"")</f>
        <v>18.490000000000006</v>
      </c>
      <c r="AV63" s="470" t="str">
        <f t="shared" si="39"/>
        <v/>
      </c>
      <c r="AX63" s="480">
        <f t="shared" si="23"/>
        <v>2.8535689577857538E-3</v>
      </c>
      <c r="AY63" s="470"/>
      <c r="AZ63" s="470"/>
      <c r="BA63" s="470">
        <f>IF($B63=BA$3,$AX63,"")</f>
        <v>2.8535689577857538E-3</v>
      </c>
      <c r="BB63" s="470" t="str">
        <f t="shared" si="40"/>
        <v/>
      </c>
    </row>
    <row r="64" spans="2:54">
      <c r="B64" t="s">
        <v>231</v>
      </c>
      <c r="C64" t="s">
        <v>2805</v>
      </c>
      <c r="D64">
        <f>1</f>
        <v>1</v>
      </c>
      <c r="E64">
        <f t="shared" si="11"/>
        <v>0.48</v>
      </c>
      <c r="G64" s="465">
        <v>3</v>
      </c>
      <c r="H64">
        <v>2.7</v>
      </c>
      <c r="I64" s="1">
        <f t="shared" si="0"/>
        <v>8.1225000000000005</v>
      </c>
      <c r="J64">
        <v>2.7</v>
      </c>
      <c r="K64" s="466">
        <f t="shared" si="1"/>
        <v>1.4166586706932593</v>
      </c>
      <c r="L64" s="467">
        <f t="shared" si="12"/>
        <v>0.69176256362404898</v>
      </c>
      <c r="M64" s="1">
        <f t="shared" si="2"/>
        <v>0.32925801412026362</v>
      </c>
      <c r="N64" s="1">
        <f t="shared" si="13"/>
        <v>0.91953093156564591</v>
      </c>
      <c r="O64" s="19">
        <f t="shared" si="14"/>
        <v>1.5860989038575826</v>
      </c>
      <c r="P64" s="1"/>
      <c r="Q64" s="1"/>
      <c r="R64" s="465">
        <v>2.9</v>
      </c>
      <c r="S64">
        <v>2.7</v>
      </c>
      <c r="T64">
        <f t="shared" si="15"/>
        <v>7.839999999999999</v>
      </c>
      <c r="U64">
        <v>2.7</v>
      </c>
      <c r="V64" s="466">
        <f t="shared" si="3"/>
        <v>1.3557979435175196</v>
      </c>
      <c r="W64" s="466">
        <f t="shared" si="16"/>
        <v>0.66770310850262138</v>
      </c>
      <c r="X64" s="1">
        <f t="shared" si="4"/>
        <v>0.34821019495805933</v>
      </c>
      <c r="Y64" s="1">
        <f t="shared" si="24"/>
        <v>0.90020413808842137</v>
      </c>
      <c r="Z64" s="19">
        <f t="shared" si="17"/>
        <v>1.5527621177887179</v>
      </c>
      <c r="AA64" s="1"/>
      <c r="AB64">
        <f t="shared" si="5"/>
        <v>2.85</v>
      </c>
      <c r="AC64">
        <f t="shared" si="18"/>
        <v>8.1225000000000005</v>
      </c>
      <c r="AD64" s="468">
        <f t="shared" si="19"/>
        <v>9.1953093156564591E-4</v>
      </c>
      <c r="AE64" s="468"/>
      <c r="AF64" s="468"/>
      <c r="AG64" s="468"/>
      <c r="AH64" s="468">
        <f t="shared" si="37"/>
        <v>8.1225000000000005</v>
      </c>
      <c r="AI64" s="468"/>
      <c r="AJ64" s="470" t="str">
        <f t="shared" si="38"/>
        <v/>
      </c>
      <c r="AK64" s="470" t="str">
        <f t="shared" si="38"/>
        <v/>
      </c>
      <c r="AL64" s="470" t="str">
        <f t="shared" si="38"/>
        <v/>
      </c>
      <c r="AM64" s="470">
        <f t="shared" si="38"/>
        <v>9.1953093156564591E-4</v>
      </c>
      <c r="AN64" s="469"/>
      <c r="AO64">
        <f t="shared" si="35"/>
        <v>2.8</v>
      </c>
      <c r="AP64" s="470">
        <f t="shared" si="22"/>
        <v>7.839999999999999</v>
      </c>
      <c r="AQ64" s="470">
        <f t="shared" si="36"/>
        <v>9.0020413808842138E-4</v>
      </c>
      <c r="AR64" s="470"/>
      <c r="AS64" s="470"/>
      <c r="AT64" s="470" t="str">
        <f t="shared" si="43"/>
        <v/>
      </c>
      <c r="AU64" s="470"/>
      <c r="AV64" s="470">
        <f>IF($B64=AV$3,$AP64,"")</f>
        <v>7.839999999999999</v>
      </c>
      <c r="AX64" s="480">
        <f t="shared" si="23"/>
        <v>9.0020413808842138E-4</v>
      </c>
      <c r="AY64" s="470"/>
      <c r="AZ64" s="470"/>
      <c r="BA64" s="470"/>
      <c r="BB64" s="470">
        <f>IF($B64=BB$3,$AX64,"")</f>
        <v>9.0020413808842138E-4</v>
      </c>
    </row>
    <row r="65" spans="2:54">
      <c r="B65" t="s">
        <v>231</v>
      </c>
      <c r="C65" t="s">
        <v>2805</v>
      </c>
      <c r="D65">
        <f>2</f>
        <v>2</v>
      </c>
      <c r="E65">
        <f t="shared" si="11"/>
        <v>0.48</v>
      </c>
      <c r="G65" s="465">
        <v>3.5</v>
      </c>
      <c r="H65">
        <v>3.2</v>
      </c>
      <c r="I65" s="1">
        <f t="shared" si="0"/>
        <v>11.2225</v>
      </c>
      <c r="J65">
        <v>3.2</v>
      </c>
      <c r="K65" s="466">
        <f t="shared" si="1"/>
        <v>2.1155547666334651</v>
      </c>
      <c r="L65" s="467">
        <f t="shared" si="12"/>
        <v>1.1281641489785361</v>
      </c>
      <c r="M65" s="1">
        <f t="shared" si="2"/>
        <v>0.31957950611664188</v>
      </c>
      <c r="N65" s="1">
        <f t="shared" si="13"/>
        <v>1.4887022905275984</v>
      </c>
      <c r="O65" s="19">
        <f t="shared" si="14"/>
        <v>2.5678625809310542</v>
      </c>
      <c r="P65" s="1"/>
      <c r="Q65" s="1"/>
      <c r="R65" s="465">
        <v>3.9</v>
      </c>
      <c r="S65">
        <v>3.7</v>
      </c>
      <c r="T65">
        <f t="shared" si="15"/>
        <v>14.44</v>
      </c>
      <c r="U65">
        <v>3.6</v>
      </c>
      <c r="V65" s="466">
        <f t="shared" si="3"/>
        <v>2.8921827781075025</v>
      </c>
      <c r="W65" s="466">
        <f t="shared" si="16"/>
        <v>1.6284511514158653</v>
      </c>
      <c r="X65" s="1">
        <f t="shared" si="4"/>
        <v>0.32586254632074152</v>
      </c>
      <c r="Y65" s="1">
        <f t="shared" si="24"/>
        <v>2.1591023901751827</v>
      </c>
      <c r="Z65" s="19">
        <f t="shared" si="17"/>
        <v>3.7242357128131727</v>
      </c>
      <c r="AA65" s="1"/>
      <c r="AB65">
        <f t="shared" si="5"/>
        <v>3.35</v>
      </c>
      <c r="AC65">
        <f t="shared" si="18"/>
        <v>11.2225</v>
      </c>
      <c r="AD65" s="468">
        <f t="shared" si="19"/>
        <v>1.4887022905275985E-3</v>
      </c>
      <c r="AE65" s="468"/>
      <c r="AF65" s="468"/>
      <c r="AG65" s="468"/>
      <c r="AH65" s="468">
        <f t="shared" si="37"/>
        <v>11.2225</v>
      </c>
      <c r="AI65" s="468"/>
      <c r="AJ65" s="470" t="str">
        <f t="shared" si="38"/>
        <v/>
      </c>
      <c r="AK65" s="470" t="str">
        <f t="shared" si="38"/>
        <v/>
      </c>
      <c r="AL65" s="470" t="str">
        <f t="shared" si="38"/>
        <v/>
      </c>
      <c r="AM65" s="470">
        <f t="shared" si="38"/>
        <v>1.4887022905275985E-3</v>
      </c>
      <c r="AN65" s="469"/>
      <c r="AO65">
        <f t="shared" si="35"/>
        <v>3.8</v>
      </c>
      <c r="AP65" s="470">
        <f t="shared" si="22"/>
        <v>14.44</v>
      </c>
      <c r="AQ65" s="470">
        <f t="shared" si="36"/>
        <v>2.1591023901751825E-3</v>
      </c>
      <c r="AR65" s="470"/>
      <c r="AS65" s="470"/>
      <c r="AT65" s="470"/>
      <c r="AU65" s="470"/>
      <c r="AV65" s="470">
        <f>IF($B65=AV$3,$AP65,"")</f>
        <v>14.44</v>
      </c>
      <c r="AX65" s="480">
        <f t="shared" si="23"/>
        <v>2.1591023901751825E-3</v>
      </c>
      <c r="AY65" s="470"/>
      <c r="AZ65" s="470"/>
      <c r="BA65" s="470"/>
      <c r="BB65" s="470">
        <f>IF($B65=BB$3,$AX65,"")</f>
        <v>2.1591023901751825E-3</v>
      </c>
    </row>
    <row r="66" spans="2:54">
      <c r="B66" t="s">
        <v>231</v>
      </c>
      <c r="C66" t="s">
        <v>2805</v>
      </c>
      <c r="D66">
        <f>3</f>
        <v>3</v>
      </c>
      <c r="E66">
        <f t="shared" si="11"/>
        <v>0.48</v>
      </c>
      <c r="G66" s="465">
        <v>1.7</v>
      </c>
      <c r="H66">
        <v>1.9</v>
      </c>
      <c r="I66" s="1">
        <f t="shared" si="0"/>
        <v>3.2399999999999993</v>
      </c>
      <c r="J66">
        <v>2.2000000000000002</v>
      </c>
      <c r="K66" s="466">
        <f t="shared" si="1"/>
        <v>0.45305003551679235</v>
      </c>
      <c r="L66" s="467">
        <f t="shared" si="12"/>
        <v>0.22594661963997345</v>
      </c>
      <c r="M66" s="1">
        <f t="shared" si="2"/>
        <v>0.35840430053970901</v>
      </c>
      <c r="N66" s="1">
        <f t="shared" si="13"/>
        <v>0.30692685981134982</v>
      </c>
      <c r="O66" s="19">
        <f t="shared" si="14"/>
        <v>0.52941814048859726</v>
      </c>
      <c r="P66" s="1"/>
      <c r="Q66" s="1"/>
      <c r="R66" s="465">
        <v>2.6</v>
      </c>
      <c r="S66">
        <v>2.7</v>
      </c>
      <c r="T66">
        <f t="shared" si="15"/>
        <v>7.0225000000000017</v>
      </c>
      <c r="U66">
        <v>2.2000000000000002</v>
      </c>
      <c r="V66" s="466">
        <f t="shared" si="3"/>
        <v>1.1826910206463686</v>
      </c>
      <c r="W66" s="466">
        <f t="shared" si="16"/>
        <v>0.48972535074744272</v>
      </c>
      <c r="X66" s="1">
        <f t="shared" si="4"/>
        <v>0.35633461678433948</v>
      </c>
      <c r="Y66" s="1">
        <f t="shared" si="24"/>
        <v>0.6642314459356089</v>
      </c>
      <c r="Z66" s="19">
        <f t="shared" si="17"/>
        <v>1.1457328210943318</v>
      </c>
      <c r="AA66" s="1"/>
      <c r="AB66">
        <f t="shared" si="5"/>
        <v>1.7999999999999998</v>
      </c>
      <c r="AC66">
        <f t="shared" si="18"/>
        <v>3.2399999999999993</v>
      </c>
      <c r="AD66" s="468">
        <f t="shared" si="19"/>
        <v>3.0692685981134984E-4</v>
      </c>
      <c r="AE66" s="468"/>
      <c r="AF66" s="468"/>
      <c r="AG66" s="468"/>
      <c r="AH66" s="468">
        <f t="shared" si="37"/>
        <v>3.2399999999999993</v>
      </c>
      <c r="AI66" s="468"/>
      <c r="AJ66" s="470" t="str">
        <f t="shared" si="38"/>
        <v/>
      </c>
      <c r="AK66" s="470" t="str">
        <f t="shared" si="38"/>
        <v/>
      </c>
      <c r="AL66" s="470" t="str">
        <f t="shared" si="38"/>
        <v/>
      </c>
      <c r="AM66" s="470">
        <f t="shared" si="38"/>
        <v>3.0692685981134984E-4</v>
      </c>
      <c r="AN66" s="469"/>
      <c r="AO66">
        <f t="shared" si="35"/>
        <v>2.6500000000000004</v>
      </c>
      <c r="AP66" s="470">
        <f t="shared" si="22"/>
        <v>7.0225000000000017</v>
      </c>
      <c r="AQ66" s="470">
        <f t="shared" si="36"/>
        <v>6.642314459356089E-4</v>
      </c>
      <c r="AR66" s="470"/>
      <c r="AS66" s="470"/>
      <c r="AT66" s="470"/>
      <c r="AU66" s="470"/>
      <c r="AV66" s="470">
        <f>IF($B66=AV$3,$AP66,"")</f>
        <v>7.0225000000000017</v>
      </c>
      <c r="AX66" s="480">
        <f t="shared" si="23"/>
        <v>6.642314459356089E-4</v>
      </c>
      <c r="AY66" s="470"/>
      <c r="AZ66" s="470"/>
      <c r="BA66" s="470"/>
      <c r="BB66" s="470">
        <f>IF($B66=BB$3,$AX66,"")</f>
        <v>6.642314459356089E-4</v>
      </c>
    </row>
    <row r="67" spans="2:54">
      <c r="B67" t="s">
        <v>231</v>
      </c>
      <c r="C67" t="s">
        <v>2805</v>
      </c>
      <c r="D67">
        <f>4</f>
        <v>4</v>
      </c>
      <c r="E67">
        <f t="shared" si="11"/>
        <v>0.48</v>
      </c>
      <c r="G67" s="465">
        <v>1.7</v>
      </c>
      <c r="H67">
        <v>1.7</v>
      </c>
      <c r="I67" s="1">
        <f t="shared" si="0"/>
        <v>2.8899999999999997</v>
      </c>
      <c r="J67">
        <v>1.9</v>
      </c>
      <c r="K67" s="466">
        <f t="shared" si="1"/>
        <v>0.393152770038459</v>
      </c>
      <c r="L67" s="467">
        <f t="shared" si="12"/>
        <v>0.17466973400552627</v>
      </c>
      <c r="M67" s="1">
        <f t="shared" si="2"/>
        <v>0.3622055690253847</v>
      </c>
      <c r="N67" s="1">
        <f t="shared" si="13"/>
        <v>0.23793608440251052</v>
      </c>
      <c r="O67" s="19">
        <f t="shared" si="14"/>
        <v>0.41041595198589037</v>
      </c>
      <c r="P67" s="1"/>
      <c r="Q67" s="1"/>
      <c r="R67" s="465">
        <v>1.7</v>
      </c>
      <c r="S67">
        <v>1.6</v>
      </c>
      <c r="T67">
        <f t="shared" si="15"/>
        <v>2.7224999999999997</v>
      </c>
      <c r="U67">
        <v>1.9</v>
      </c>
      <c r="V67" s="466">
        <f t="shared" si="3"/>
        <v>0.36508713382076541</v>
      </c>
      <c r="W67" s="466">
        <f t="shared" si="16"/>
        <v>0.16454614215572499</v>
      </c>
      <c r="X67" s="1">
        <f t="shared" si="4"/>
        <v>0.38645477868908912</v>
      </c>
      <c r="Y67" s="1">
        <f t="shared" si="24"/>
        <v>0.22813578510665911</v>
      </c>
      <c r="Z67" s="19">
        <f t="shared" si="17"/>
        <v>0.39351141573047627</v>
      </c>
      <c r="AA67" s="1"/>
      <c r="AB67">
        <f t="shared" si="5"/>
        <v>1.7</v>
      </c>
      <c r="AC67">
        <f t="shared" si="18"/>
        <v>2.8899999999999997</v>
      </c>
      <c r="AD67" s="468">
        <f t="shared" si="19"/>
        <v>2.3793608440251051E-4</v>
      </c>
      <c r="AE67" s="468"/>
      <c r="AF67" s="468"/>
      <c r="AG67" s="468"/>
      <c r="AH67" s="468">
        <f t="shared" si="37"/>
        <v>2.8899999999999997</v>
      </c>
      <c r="AI67" s="468"/>
      <c r="AJ67" s="470" t="str">
        <f t="shared" si="38"/>
        <v/>
      </c>
      <c r="AK67" s="470" t="str">
        <f t="shared" si="38"/>
        <v/>
      </c>
      <c r="AL67" s="470" t="str">
        <f t="shared" si="38"/>
        <v/>
      </c>
      <c r="AM67" s="470">
        <f t="shared" si="38"/>
        <v>2.3793608440251051E-4</v>
      </c>
      <c r="AN67" s="469"/>
      <c r="AO67">
        <f t="shared" si="35"/>
        <v>1.65</v>
      </c>
      <c r="AP67" s="470">
        <f t="shared" si="22"/>
        <v>2.7224999999999997</v>
      </c>
      <c r="AQ67" s="470">
        <f t="shared" si="36"/>
        <v>2.281357851066591E-4</v>
      </c>
      <c r="AR67" s="470"/>
      <c r="AS67" s="470"/>
      <c r="AT67" s="470"/>
      <c r="AU67" s="470"/>
      <c r="AV67" s="470">
        <f>IF($B67=AV$3,$AP67,"")</f>
        <v>2.7224999999999997</v>
      </c>
      <c r="AX67" s="480">
        <f t="shared" si="23"/>
        <v>2.281357851066591E-4</v>
      </c>
      <c r="AY67" s="470"/>
      <c r="AZ67" s="470"/>
      <c r="BA67" s="470"/>
      <c r="BB67" s="470">
        <f>IF($B67=BB$3,$AX67,"")</f>
        <v>2.281357851066591E-4</v>
      </c>
    </row>
    <row r="68" spans="2:54">
      <c r="B68" t="s">
        <v>231</v>
      </c>
      <c r="C68" t="s">
        <v>2805</v>
      </c>
      <c r="D68">
        <f>5</f>
        <v>5</v>
      </c>
      <c r="E68">
        <f t="shared" si="11"/>
        <v>0.48</v>
      </c>
      <c r="G68" s="465">
        <v>2.5</v>
      </c>
      <c r="H68">
        <v>2.4</v>
      </c>
      <c r="I68" s="1">
        <f t="shared" ref="I68:I73" si="44">AVERAGE(G68:H68)^2</f>
        <v>6.0025000000000013</v>
      </c>
      <c r="J68">
        <v>2.4</v>
      </c>
      <c r="K68" s="466">
        <f t="shared" ref="K68:K73" si="45">IFERROR(0.1054*AVERAGE(G68:H68)^2.4809,"")</f>
        <v>0.97347039769508426</v>
      </c>
      <c r="L68" s="467">
        <f t="shared" si="12"/>
        <v>0.45569539748574422</v>
      </c>
      <c r="M68" s="1">
        <f t="shared" ref="M68:M73" si="46">EXP(-1.085+0.9256*LN(K68))/K68</f>
        <v>0.33857842044733671</v>
      </c>
      <c r="N68" s="1">
        <f t="shared" si="13"/>
        <v>0.60998402537158869</v>
      </c>
      <c r="O68" s="19">
        <f t="shared" si="14"/>
        <v>1.0521614453634534</v>
      </c>
      <c r="P68" s="1"/>
      <c r="Q68" s="1"/>
      <c r="R68" s="465">
        <v>2.7</v>
      </c>
      <c r="S68">
        <v>2.8</v>
      </c>
      <c r="T68">
        <f t="shared" si="15"/>
        <v>7.5625</v>
      </c>
      <c r="U68">
        <v>2.5</v>
      </c>
      <c r="V68" s="466">
        <f t="shared" ref="V68:V73" si="47">IFERROR(0.1054*AVERAGE(R68:S68)^2.4809,"")</f>
        <v>1.2965255839724201</v>
      </c>
      <c r="W68" s="466">
        <f t="shared" si="16"/>
        <v>0.59746316850523584</v>
      </c>
      <c r="X68" s="1">
        <f t="shared" ref="X68:X73" si="48">EXP(-1.085+0.9256*LN(W68))/W68</f>
        <v>0.35110170501765131</v>
      </c>
      <c r="Y68" s="1">
        <f t="shared" si="24"/>
        <v>0.80723350565267249</v>
      </c>
      <c r="Z68" s="19">
        <f t="shared" si="17"/>
        <v>1.3923970739002947</v>
      </c>
      <c r="AA68" s="1"/>
      <c r="AB68">
        <f t="shared" ref="AB68:AB73" si="49">AVERAGE(G68:H68)</f>
        <v>2.4500000000000002</v>
      </c>
      <c r="AC68">
        <f t="shared" si="18"/>
        <v>6.0025000000000013</v>
      </c>
      <c r="AD68" s="468">
        <f t="shared" si="19"/>
        <v>6.0998402537158867E-4</v>
      </c>
      <c r="AE68" s="468"/>
      <c r="AF68" s="468"/>
      <c r="AG68" s="468"/>
      <c r="AH68" s="468">
        <f t="shared" si="37"/>
        <v>6.0025000000000013</v>
      </c>
      <c r="AI68" s="468"/>
      <c r="AJ68" s="470" t="str">
        <f t="shared" si="38"/>
        <v/>
      </c>
      <c r="AK68" s="470" t="str">
        <f t="shared" si="38"/>
        <v/>
      </c>
      <c r="AL68" s="470" t="str">
        <f t="shared" si="38"/>
        <v/>
      </c>
      <c r="AM68" s="470">
        <f t="shared" si="38"/>
        <v>6.0998402537158867E-4</v>
      </c>
      <c r="AN68" s="469"/>
      <c r="AO68">
        <f t="shared" ref="AO68:AO73" si="50">AVERAGE(R68:S68)</f>
        <v>2.75</v>
      </c>
      <c r="AP68" s="470">
        <f t="shared" si="22"/>
        <v>7.5625</v>
      </c>
      <c r="AQ68" s="470">
        <f t="shared" ref="AQ68:AQ75" si="51">Y68/1000</f>
        <v>8.0723350565267249E-4</v>
      </c>
      <c r="AR68" s="470"/>
      <c r="AS68" s="470"/>
      <c r="AT68" s="470"/>
      <c r="AU68" s="470"/>
      <c r="AV68" s="470">
        <f>IF($B68=AV$3,$AP68,"")</f>
        <v>7.5625</v>
      </c>
      <c r="AX68" s="480">
        <f t="shared" si="23"/>
        <v>8.0723350565267249E-4</v>
      </c>
      <c r="AY68" s="470"/>
      <c r="AZ68" s="470"/>
      <c r="BA68" s="470"/>
      <c r="BB68" s="470">
        <f>IF($B68=BB$3,$AX68,"")</f>
        <v>8.0723350565267249E-4</v>
      </c>
    </row>
    <row r="69" spans="2:54">
      <c r="B69" t="s">
        <v>232</v>
      </c>
      <c r="C69" t="s">
        <v>2805</v>
      </c>
      <c r="D69">
        <f>1</f>
        <v>1</v>
      </c>
      <c r="E69">
        <f t="shared" ref="E69:E73" si="52">_xlfn.XLOOKUP(B69,$B$84:$B$87,$C$84:$C$87)</f>
        <v>0.61499999999999999</v>
      </c>
      <c r="G69" s="465">
        <v>6.4</v>
      </c>
      <c r="H69">
        <v>6.2</v>
      </c>
      <c r="I69" s="1">
        <f t="shared" si="44"/>
        <v>39.690000000000012</v>
      </c>
      <c r="J69">
        <v>5.7</v>
      </c>
      <c r="K69" s="466">
        <f t="shared" si="45"/>
        <v>10.137353242293663</v>
      </c>
      <c r="L69" s="467">
        <f t="shared" ref="L69:L73" si="53">IFERROR(0.0673*(E69*(I69)*J69^0.976),"")</f>
        <v>8.9805955519583307</v>
      </c>
      <c r="M69" s="1">
        <f t="shared" si="46"/>
        <v>0.28441316703566327</v>
      </c>
      <c r="N69" s="1">
        <f t="shared" ref="N69:N73" si="54">L69+L69*(M69)</f>
        <v>11.534795174757189</v>
      </c>
      <c r="O69" s="19">
        <f t="shared" ref="O69:O73" si="55">N69*47%*3.67</f>
        <v>19.896368196938674</v>
      </c>
      <c r="P69" s="1"/>
      <c r="Q69" s="1"/>
      <c r="R69" s="465">
        <v>8.9</v>
      </c>
      <c r="S69">
        <v>9.1</v>
      </c>
      <c r="T69">
        <f t="shared" ref="T69:T73" si="56">AVERAGE(R69:S69)^2</f>
        <v>81</v>
      </c>
      <c r="U69">
        <v>7.9</v>
      </c>
      <c r="V69" s="466">
        <f t="shared" si="47"/>
        <v>24.559575306247993</v>
      </c>
      <c r="W69" s="466">
        <f t="shared" ref="W69:W73" si="57">IFERROR(0.0673*(E69*(T69)*U69^0.976),"")</f>
        <v>25.203406259508668</v>
      </c>
      <c r="X69" s="1">
        <f t="shared" si="48"/>
        <v>0.26577976903478145</v>
      </c>
      <c r="Y69" s="1">
        <f t="shared" si="24"/>
        <v>31.901961754050646</v>
      </c>
      <c r="Z69" s="19">
        <f t="shared" ref="Z69:Z73" si="58">Y69*47%*3.67</f>
        <v>55.027693829561954</v>
      </c>
      <c r="AA69" s="1"/>
      <c r="AB69">
        <f t="shared" si="49"/>
        <v>6.3000000000000007</v>
      </c>
      <c r="AC69">
        <f t="shared" ref="AC69:AC73" si="59">AB69^2</f>
        <v>39.690000000000012</v>
      </c>
      <c r="AD69" s="468">
        <f t="shared" ref="AD69:AD75" si="60">N69/1000</f>
        <v>1.1534795174757188E-2</v>
      </c>
      <c r="AE69" s="468">
        <f t="shared" si="37"/>
        <v>39.690000000000012</v>
      </c>
      <c r="AF69" s="468"/>
      <c r="AG69" s="468"/>
      <c r="AH69" s="468"/>
      <c r="AI69" s="468"/>
      <c r="AJ69" s="470">
        <f t="shared" si="38"/>
        <v>1.1534795174757188E-2</v>
      </c>
      <c r="AK69" s="470" t="str">
        <f t="shared" si="38"/>
        <v/>
      </c>
      <c r="AL69" s="470" t="str">
        <f t="shared" si="38"/>
        <v/>
      </c>
      <c r="AM69" s="470" t="str">
        <f t="shared" si="38"/>
        <v/>
      </c>
      <c r="AN69" s="469"/>
      <c r="AO69">
        <f t="shared" si="50"/>
        <v>9</v>
      </c>
      <c r="AP69" s="470">
        <f t="shared" ref="AP69:AP73" si="61">AO69^2</f>
        <v>81</v>
      </c>
      <c r="AQ69" s="470">
        <f t="shared" si="51"/>
        <v>3.1901961754050648E-2</v>
      </c>
      <c r="AR69" s="470"/>
      <c r="AS69" s="470">
        <f>IF($B69=AS$3,$AP69,"")</f>
        <v>81</v>
      </c>
      <c r="AT69" s="470"/>
      <c r="AU69" s="470"/>
      <c r="AV69" s="470"/>
      <c r="AX69" s="480">
        <f t="shared" ref="AX69:AX75" si="62">AQ69</f>
        <v>3.1901961754050648E-2</v>
      </c>
      <c r="AY69" s="470">
        <f>IF($B69=AY$3,$AX69,"")</f>
        <v>3.1901961754050648E-2</v>
      </c>
      <c r="AZ69" s="470"/>
      <c r="BA69" s="470"/>
      <c r="BB69" s="470"/>
    </row>
    <row r="70" spans="2:54">
      <c r="B70" t="s">
        <v>232</v>
      </c>
      <c r="C70" t="s">
        <v>2805</v>
      </c>
      <c r="D70">
        <f>2</f>
        <v>2</v>
      </c>
      <c r="E70">
        <f t="shared" si="52"/>
        <v>0.61499999999999999</v>
      </c>
      <c r="G70" s="465">
        <v>6.5</v>
      </c>
      <c r="H70">
        <v>6.6</v>
      </c>
      <c r="I70" s="1">
        <f t="shared" si="44"/>
        <v>42.902499999999996</v>
      </c>
      <c r="J70">
        <v>5</v>
      </c>
      <c r="K70" s="466">
        <f t="shared" si="45"/>
        <v>11.164869521019448</v>
      </c>
      <c r="L70" s="467">
        <f t="shared" si="53"/>
        <v>8.5421561141955706</v>
      </c>
      <c r="M70" s="1">
        <f t="shared" si="46"/>
        <v>0.28237755624052291</v>
      </c>
      <c r="N70" s="1">
        <f t="shared" si="54"/>
        <v>10.954269282747157</v>
      </c>
      <c r="O70" s="19">
        <f t="shared" si="55"/>
        <v>18.895019085810567</v>
      </c>
      <c r="P70" s="1"/>
      <c r="Q70" s="1"/>
      <c r="R70" s="465">
        <v>7.5</v>
      </c>
      <c r="S70">
        <v>7.7</v>
      </c>
      <c r="T70">
        <f t="shared" si="56"/>
        <v>57.76</v>
      </c>
      <c r="U70">
        <v>6.5</v>
      </c>
      <c r="V70" s="466">
        <f t="shared" si="47"/>
        <v>16.145483382438414</v>
      </c>
      <c r="W70" s="466">
        <f t="shared" si="57"/>
        <v>14.856646869326106</v>
      </c>
      <c r="X70" s="1">
        <f t="shared" si="48"/>
        <v>0.27643916950592823</v>
      </c>
      <c r="Y70" s="1">
        <f t="shared" ref="Y70:Y73" si="63">W70+W70*(X70)</f>
        <v>18.963605991525462</v>
      </c>
      <c r="Z70" s="19">
        <f t="shared" si="58"/>
        <v>32.71032397478227</v>
      </c>
      <c r="AA70" s="1"/>
      <c r="AB70">
        <f t="shared" si="49"/>
        <v>6.55</v>
      </c>
      <c r="AC70">
        <f t="shared" si="59"/>
        <v>42.902499999999996</v>
      </c>
      <c r="AD70" s="468">
        <f t="shared" si="60"/>
        <v>1.0954269282747158E-2</v>
      </c>
      <c r="AE70" s="468">
        <f t="shared" si="37"/>
        <v>42.902499999999996</v>
      </c>
      <c r="AF70" s="468"/>
      <c r="AG70" s="468"/>
      <c r="AH70" s="468"/>
      <c r="AI70" s="468"/>
      <c r="AJ70" s="470">
        <f t="shared" si="38"/>
        <v>1.0954269282747158E-2</v>
      </c>
      <c r="AK70" s="470" t="str">
        <f t="shared" si="38"/>
        <v/>
      </c>
      <c r="AL70" s="470" t="str">
        <f t="shared" si="38"/>
        <v/>
      </c>
      <c r="AM70" s="470" t="str">
        <f t="shared" si="38"/>
        <v/>
      </c>
      <c r="AN70" s="469"/>
      <c r="AO70">
        <f t="shared" si="50"/>
        <v>7.6</v>
      </c>
      <c r="AP70" s="470">
        <f t="shared" si="61"/>
        <v>57.76</v>
      </c>
      <c r="AQ70" s="470">
        <f t="shared" si="51"/>
        <v>1.896360599152546E-2</v>
      </c>
      <c r="AR70" s="470"/>
      <c r="AS70" s="470">
        <f>IF($B70=AS$3,$AP70,"")</f>
        <v>57.76</v>
      </c>
      <c r="AT70" s="470"/>
      <c r="AU70" s="470"/>
      <c r="AV70" s="470"/>
      <c r="AX70" s="480">
        <f t="shared" si="62"/>
        <v>1.896360599152546E-2</v>
      </c>
      <c r="AY70" s="470">
        <f>IF($B70=AY$3,$AX70,"")</f>
        <v>1.896360599152546E-2</v>
      </c>
      <c r="AZ70" s="470"/>
      <c r="BA70" s="470"/>
      <c r="BB70" s="470"/>
    </row>
    <row r="71" spans="2:54">
      <c r="B71" t="s">
        <v>232</v>
      </c>
      <c r="C71" t="s">
        <v>2805</v>
      </c>
      <c r="D71">
        <f>3</f>
        <v>3</v>
      </c>
      <c r="E71">
        <f t="shared" si="52"/>
        <v>0.61499999999999999</v>
      </c>
      <c r="G71" s="465">
        <v>6</v>
      </c>
      <c r="H71">
        <v>6</v>
      </c>
      <c r="I71" s="1">
        <f t="shared" si="44"/>
        <v>36</v>
      </c>
      <c r="J71">
        <v>5</v>
      </c>
      <c r="K71" s="466">
        <f t="shared" si="45"/>
        <v>8.9816483585966136</v>
      </c>
      <c r="L71" s="467">
        <f t="shared" si="53"/>
        <v>7.1678251876007364</v>
      </c>
      <c r="M71" s="1">
        <f t="shared" si="46"/>
        <v>0.28698605686047052</v>
      </c>
      <c r="N71" s="1">
        <f t="shared" si="54"/>
        <v>9.2248910744554351</v>
      </c>
      <c r="O71" s="19">
        <f t="shared" si="55"/>
        <v>15.912014614328179</v>
      </c>
      <c r="P71" s="1"/>
      <c r="Q71" s="1"/>
      <c r="R71" s="465">
        <v>7.9</v>
      </c>
      <c r="S71">
        <v>8</v>
      </c>
      <c r="T71">
        <f t="shared" si="56"/>
        <v>63.202500000000001</v>
      </c>
      <c r="U71">
        <v>5.8</v>
      </c>
      <c r="V71" s="466">
        <f t="shared" si="47"/>
        <v>18.053500418018686</v>
      </c>
      <c r="W71" s="466">
        <f t="shared" si="57"/>
        <v>14.545550384622167</v>
      </c>
      <c r="X71" s="1">
        <f t="shared" si="48"/>
        <v>0.27687475757107272</v>
      </c>
      <c r="Y71" s="1">
        <f t="shared" si="63"/>
        <v>18.572846121102252</v>
      </c>
      <c r="Z71" s="19">
        <f t="shared" si="58"/>
        <v>32.03630227428927</v>
      </c>
      <c r="AA71" s="1"/>
      <c r="AB71">
        <f t="shared" si="49"/>
        <v>6</v>
      </c>
      <c r="AC71">
        <f t="shared" si="59"/>
        <v>36</v>
      </c>
      <c r="AD71" s="468">
        <f t="shared" si="60"/>
        <v>9.2248910744554356E-3</v>
      </c>
      <c r="AE71" s="468">
        <f t="shared" si="37"/>
        <v>36</v>
      </c>
      <c r="AF71" s="468"/>
      <c r="AG71" s="468"/>
      <c r="AH71" s="468"/>
      <c r="AI71" s="468"/>
      <c r="AJ71" s="470">
        <f t="shared" si="38"/>
        <v>9.2248910744554356E-3</v>
      </c>
      <c r="AK71" s="470" t="str">
        <f t="shared" si="38"/>
        <v/>
      </c>
      <c r="AL71" s="470" t="str">
        <f t="shared" si="38"/>
        <v/>
      </c>
      <c r="AM71" s="470" t="str">
        <f t="shared" si="38"/>
        <v/>
      </c>
      <c r="AN71" s="469"/>
      <c r="AO71">
        <f t="shared" si="50"/>
        <v>7.95</v>
      </c>
      <c r="AP71" s="470">
        <f t="shared" si="61"/>
        <v>63.202500000000001</v>
      </c>
      <c r="AQ71" s="470">
        <f t="shared" si="51"/>
        <v>1.857284612110225E-2</v>
      </c>
      <c r="AR71" s="470"/>
      <c r="AS71" s="470">
        <f>IF($B71=AS$3,$AP71,"")</f>
        <v>63.202500000000001</v>
      </c>
      <c r="AT71" s="470"/>
      <c r="AU71" s="470"/>
      <c r="AV71" s="470"/>
      <c r="AX71" s="480">
        <f t="shared" si="62"/>
        <v>1.857284612110225E-2</v>
      </c>
      <c r="AY71" s="470">
        <f>IF($B71=AY$3,$AX71,"")</f>
        <v>1.857284612110225E-2</v>
      </c>
      <c r="AZ71" s="470"/>
      <c r="BA71" s="470"/>
      <c r="BB71" s="470"/>
    </row>
    <row r="72" spans="2:54">
      <c r="B72" t="s">
        <v>232</v>
      </c>
      <c r="C72" t="s">
        <v>2805</v>
      </c>
      <c r="D72">
        <f>4</f>
        <v>4</v>
      </c>
      <c r="E72">
        <f t="shared" si="52"/>
        <v>0.61499999999999999</v>
      </c>
      <c r="G72" s="465">
        <v>7.5</v>
      </c>
      <c r="H72">
        <v>7</v>
      </c>
      <c r="I72" s="1">
        <f t="shared" si="44"/>
        <v>52.5625</v>
      </c>
      <c r="J72">
        <v>5.4</v>
      </c>
      <c r="K72" s="466">
        <f t="shared" si="45"/>
        <v>14.363264939275659</v>
      </c>
      <c r="L72" s="467">
        <f t="shared" si="53"/>
        <v>11.281906671088581</v>
      </c>
      <c r="M72" s="1">
        <f t="shared" si="46"/>
        <v>0.27713466429145966</v>
      </c>
      <c r="N72" s="1">
        <f t="shared" si="54"/>
        <v>14.408514088948294</v>
      </c>
      <c r="O72" s="19">
        <f t="shared" si="55"/>
        <v>24.85324595202691</v>
      </c>
      <c r="P72" s="1"/>
      <c r="Q72" s="1"/>
      <c r="R72" s="465">
        <v>9.4</v>
      </c>
      <c r="S72">
        <v>9.6999999999999993</v>
      </c>
      <c r="T72">
        <f t="shared" si="56"/>
        <v>91.202500000000015</v>
      </c>
      <c r="U72">
        <v>7.3</v>
      </c>
      <c r="V72" s="466">
        <f t="shared" si="47"/>
        <v>28.453190753483117</v>
      </c>
      <c r="W72" s="466">
        <f t="shared" si="57"/>
        <v>26.27241736048645</v>
      </c>
      <c r="X72" s="1">
        <f t="shared" si="48"/>
        <v>0.26495961530778173</v>
      </c>
      <c r="Y72" s="1">
        <f t="shared" si="63"/>
        <v>33.233546957526428</v>
      </c>
      <c r="Z72" s="19">
        <f t="shared" si="58"/>
        <v>57.324545147037334</v>
      </c>
      <c r="AA72" s="1"/>
      <c r="AB72">
        <f t="shared" si="49"/>
        <v>7.25</v>
      </c>
      <c r="AC72">
        <f t="shared" si="59"/>
        <v>52.5625</v>
      </c>
      <c r="AD72" s="468">
        <f t="shared" si="60"/>
        <v>1.4408514088948294E-2</v>
      </c>
      <c r="AE72" s="468">
        <f t="shared" si="37"/>
        <v>52.5625</v>
      </c>
      <c r="AF72" s="468"/>
      <c r="AG72" s="468"/>
      <c r="AH72" s="468"/>
      <c r="AI72" s="468"/>
      <c r="AJ72" s="470">
        <f t="shared" si="38"/>
        <v>1.4408514088948294E-2</v>
      </c>
      <c r="AK72" s="470" t="str">
        <f t="shared" si="38"/>
        <v/>
      </c>
      <c r="AL72" s="470" t="str">
        <f t="shared" si="38"/>
        <v/>
      </c>
      <c r="AM72" s="470" t="str">
        <f t="shared" si="38"/>
        <v/>
      </c>
      <c r="AN72" s="469"/>
      <c r="AO72">
        <f t="shared" si="50"/>
        <v>9.5500000000000007</v>
      </c>
      <c r="AP72" s="470">
        <f t="shared" si="61"/>
        <v>91.202500000000015</v>
      </c>
      <c r="AQ72" s="470">
        <f t="shared" si="51"/>
        <v>3.3233546957526429E-2</v>
      </c>
      <c r="AR72" s="470"/>
      <c r="AS72" s="470">
        <f>IF($B72=AS$3,$AP72,"")</f>
        <v>91.202500000000015</v>
      </c>
      <c r="AT72" s="470"/>
      <c r="AU72" s="470"/>
      <c r="AV72" s="470"/>
      <c r="AX72" s="480">
        <f t="shared" si="62"/>
        <v>3.3233546957526429E-2</v>
      </c>
      <c r="AY72" s="470">
        <f>IF($B72=AY$3,$AX72,"")</f>
        <v>3.3233546957526429E-2</v>
      </c>
      <c r="AZ72" s="470"/>
      <c r="BA72" s="470"/>
      <c r="BB72" s="470"/>
    </row>
    <row r="73" spans="2:54">
      <c r="B73" s="471" t="s">
        <v>232</v>
      </c>
      <c r="C73" s="471" t="s">
        <v>2805</v>
      </c>
      <c r="D73" s="471">
        <f>5</f>
        <v>5</v>
      </c>
      <c r="E73" s="471">
        <f t="shared" si="52"/>
        <v>0.61499999999999999</v>
      </c>
      <c r="F73" s="471"/>
      <c r="G73" s="472">
        <v>7</v>
      </c>
      <c r="H73" s="471">
        <v>7.2</v>
      </c>
      <c r="I73" s="473">
        <f t="shared" si="44"/>
        <v>50.41</v>
      </c>
      <c r="J73" s="471">
        <v>6</v>
      </c>
      <c r="K73" s="474">
        <f t="shared" si="45"/>
        <v>13.637270287913541</v>
      </c>
      <c r="L73" s="475">
        <f t="shared" si="53"/>
        <v>11.991748119724258</v>
      </c>
      <c r="M73" s="473">
        <f t="shared" si="46"/>
        <v>0.2782061748237471</v>
      </c>
      <c r="N73" s="473">
        <f t="shared" si="54"/>
        <v>15.327926493562606</v>
      </c>
      <c r="O73" s="476">
        <f t="shared" si="55"/>
        <v>26.439140408746137</v>
      </c>
      <c r="P73" s="1"/>
      <c r="Q73" s="1"/>
      <c r="R73" s="472">
        <v>9.1</v>
      </c>
      <c r="S73" s="471">
        <v>8.8000000000000007</v>
      </c>
      <c r="T73" s="471">
        <f t="shared" si="56"/>
        <v>80.102499999999992</v>
      </c>
      <c r="U73" s="471">
        <v>7.2</v>
      </c>
      <c r="V73" s="474">
        <f t="shared" si="47"/>
        <v>24.222467350473941</v>
      </c>
      <c r="W73" s="474">
        <f t="shared" si="57"/>
        <v>22.766316394070227</v>
      </c>
      <c r="X73" s="473">
        <f t="shared" si="48"/>
        <v>0.26779835518970257</v>
      </c>
      <c r="Y73" s="473">
        <f t="shared" si="63"/>
        <v>28.863098478130595</v>
      </c>
      <c r="Z73" s="476">
        <f t="shared" si="58"/>
        <v>49.785958564927462</v>
      </c>
      <c r="AA73" s="1"/>
      <c r="AB73">
        <f t="shared" si="49"/>
        <v>7.1</v>
      </c>
      <c r="AC73" s="471">
        <f t="shared" si="59"/>
        <v>50.41</v>
      </c>
      <c r="AD73" s="468">
        <f t="shared" si="60"/>
        <v>1.5327926493562606E-2</v>
      </c>
      <c r="AE73" s="468">
        <f t="shared" si="37"/>
        <v>50.41</v>
      </c>
      <c r="AF73" s="468"/>
      <c r="AG73" s="468"/>
      <c r="AH73" s="468"/>
      <c r="AI73" s="468"/>
      <c r="AJ73" s="470">
        <f t="shared" si="38"/>
        <v>1.5327926493562606E-2</v>
      </c>
      <c r="AK73" s="470" t="str">
        <f t="shared" si="38"/>
        <v/>
      </c>
      <c r="AL73" s="470" t="str">
        <f t="shared" si="38"/>
        <v/>
      </c>
      <c r="AM73" s="470" t="str">
        <f t="shared" si="38"/>
        <v/>
      </c>
      <c r="AN73" s="469"/>
      <c r="AO73" s="471">
        <f t="shared" si="50"/>
        <v>8.9499999999999993</v>
      </c>
      <c r="AP73" s="470">
        <f t="shared" si="61"/>
        <v>80.102499999999992</v>
      </c>
      <c r="AQ73" s="470">
        <f t="shared" si="51"/>
        <v>2.8863098478130594E-2</v>
      </c>
      <c r="AR73" s="470"/>
      <c r="AS73" s="470">
        <f>IF($B73=AS$3,$AP73,"")</f>
        <v>80.102499999999992</v>
      </c>
      <c r="AT73" s="470"/>
      <c r="AU73" s="470"/>
      <c r="AV73" s="470"/>
      <c r="AX73" s="480">
        <f t="shared" si="62"/>
        <v>2.8863098478130594E-2</v>
      </c>
      <c r="AY73" s="470">
        <f>IF($B73=AY$3,$AX73,"")</f>
        <v>2.8863098478130594E-2</v>
      </c>
      <c r="AZ73" s="470"/>
      <c r="BA73" s="470"/>
      <c r="BB73" s="470"/>
    </row>
    <row r="74" spans="2:54">
      <c r="I74" s="1"/>
      <c r="K74" s="467">
        <f>AVERAGE(K4:K73)</f>
        <v>2.0549197814318987</v>
      </c>
      <c r="L74" s="467">
        <f>AVERAGE(L4:L73)</f>
        <v>1.5034466697833511</v>
      </c>
      <c r="M74" s="1"/>
      <c r="N74" s="1"/>
      <c r="O74" s="1"/>
      <c r="P74" s="1"/>
      <c r="Q74" s="1"/>
      <c r="V74" s="467">
        <f>AVERAGE(V4:V73)</f>
        <v>5.9685502768206407</v>
      </c>
      <c r="W74" s="467">
        <f>AVERAGE(W4:W73)</f>
        <v>4.8781792724508977</v>
      </c>
      <c r="X74" s="1"/>
      <c r="Y74" s="1">
        <f>AVERAGE(Y4:Y73)</f>
        <v>6.2944613456385916</v>
      </c>
      <c r="Z74" s="1">
        <f>AVERAGE(Z4:Z73)</f>
        <v>10.857316375092003</v>
      </c>
      <c r="AA74" s="1"/>
      <c r="AD74" s="468">
        <f t="shared" si="60"/>
        <v>0</v>
      </c>
      <c r="AE74" s="478">
        <f>SQRT(AVERAGE(AE4:AE73))</f>
        <v>3.8516323070318417</v>
      </c>
      <c r="AF74" s="478">
        <f t="shared" ref="AF74" si="64">SQRT(AVERAGE(AF4:AF73))</f>
        <v>2.0930440352112361</v>
      </c>
      <c r="AG74" s="478">
        <f t="shared" ref="AG74" si="65">SQRT(AVERAGE(AG4:AG73))</f>
        <v>2.0350675664458908</v>
      </c>
      <c r="AH74" s="478">
        <f t="shared" ref="AH74" si="66">SQRT(AVERAGE(AH4:AH73))</f>
        <v>2.5203174403237387</v>
      </c>
      <c r="AI74" s="478"/>
      <c r="AJ74" s="481">
        <f>AVERAGE(AJ4:AJ73)</f>
        <v>3.2150779037195677E-3</v>
      </c>
      <c r="AK74" s="481">
        <f t="shared" ref="AK74" si="67">AVERAGE(AK4:AK73)</f>
        <v>7.6843062786634351E-4</v>
      </c>
      <c r="AL74" s="481">
        <f t="shared" ref="AL74" si="68">AVERAGE(AL4:AL73)</f>
        <v>5.847358546714847E-4</v>
      </c>
      <c r="AM74" s="481">
        <f t="shared" ref="AM74" si="69">AVERAGE(AM4:AM73)</f>
        <v>7.294267701346643E-4</v>
      </c>
      <c r="AN74" s="477"/>
      <c r="AP74" s="470"/>
      <c r="AQ74" s="470">
        <f t="shared" si="51"/>
        <v>6.2944613456385919E-3</v>
      </c>
      <c r="AR74" s="479" t="s">
        <v>1077</v>
      </c>
      <c r="AS74" s="478">
        <f>SQRT(AVERAGE(AS4:AS73))</f>
        <v>5.9703254278377251</v>
      </c>
      <c r="AT74" s="478">
        <f t="shared" ref="AT74:AV74" si="70">SQRT(AVERAGE(AT4:AT73))</f>
        <v>3.0074629396442005</v>
      </c>
      <c r="AU74" s="478">
        <f>SQRT(AVERAGE(AU4:AU73))</f>
        <v>4.480903926664797</v>
      </c>
      <c r="AV74" s="478">
        <f t="shared" si="70"/>
        <v>3.3217841591530295</v>
      </c>
      <c r="AX74" s="480">
        <f t="shared" si="62"/>
        <v>6.2944613456385919E-3</v>
      </c>
      <c r="AY74" s="481">
        <f>AVERAGE(AY4:AY73)</f>
        <v>1.0147638824430254E-2</v>
      </c>
      <c r="AZ74" s="481">
        <f t="shared" ref="AZ74:BB74" si="71">AVERAGE(AZ4:AZ73)</f>
        <v>2.0791733731194053E-3</v>
      </c>
      <c r="BA74" s="481">
        <f t="shared" si="71"/>
        <v>3.9033481358431649E-3</v>
      </c>
      <c r="BB74" s="481">
        <f t="shared" si="71"/>
        <v>1.5223853384419652E-3</v>
      </c>
    </row>
    <row r="75" spans="2:54">
      <c r="I75" s="1"/>
      <c r="K75" s="1"/>
      <c r="L75" s="1"/>
      <c r="M75" s="1"/>
      <c r="N75" s="1"/>
      <c r="O75" s="1"/>
      <c r="P75" s="1"/>
      <c r="Q75" s="1"/>
      <c r="X75" s="1"/>
      <c r="Y75" s="1"/>
      <c r="Z75" s="1"/>
      <c r="AA75" s="1"/>
      <c r="AD75" s="468">
        <f t="shared" si="60"/>
        <v>0</v>
      </c>
      <c r="AE75" s="468"/>
      <c r="AF75" s="468"/>
      <c r="AG75" s="468"/>
      <c r="AH75" s="468"/>
      <c r="AI75" s="468"/>
      <c r="AJ75" s="470" t="str">
        <f>IF($B75=AJ$3,$AQ75,"")</f>
        <v/>
      </c>
      <c r="AK75" s="470" t="str">
        <f>IF($B75=AK$3,$AQ75,"")</f>
        <v/>
      </c>
      <c r="AL75" s="470" t="str">
        <f>IF($B75=AL$3,$AQ75,"")</f>
        <v/>
      </c>
      <c r="AM75" s="470" t="str">
        <f>IF($B75=AM$3,$AQ75,"")</f>
        <v/>
      </c>
      <c r="AN75" s="469"/>
      <c r="AQ75" s="470">
        <f t="shared" si="51"/>
        <v>0</v>
      </c>
      <c r="AR75" s="470"/>
      <c r="AS75" s="470" t="str">
        <f>IF($B75=AS$3,$AQ75,"")</f>
        <v/>
      </c>
      <c r="AT75" s="470" t="str">
        <f>IF($B75=AT$3,$AQ75,"")</f>
        <v/>
      </c>
      <c r="AU75" s="470" t="str">
        <f>IF($B75=AU$3,$AQ75,"")</f>
        <v/>
      </c>
      <c r="AV75" s="470" t="str">
        <f>IF($B75=AV$3,$AQ75,"")</f>
        <v/>
      </c>
      <c r="AX75" s="480">
        <f t="shared" si="62"/>
        <v>0</v>
      </c>
      <c r="AY75" s="470" t="str">
        <f>IF($B75=AY$3,$AQ75,"")</f>
        <v/>
      </c>
      <c r="AZ75" s="470" t="str">
        <f>IF($B75=AZ$3,$AQ75,"")</f>
        <v/>
      </c>
      <c r="BA75" s="470" t="str">
        <f>IF($B75=BA$3,$AQ75,"")</f>
        <v/>
      </c>
      <c r="BB75" s="470" t="str">
        <f>IF($B75=BB$3,$AQ75,"")</f>
        <v/>
      </c>
    </row>
    <row r="84" spans="2:3">
      <c r="B84" t="s">
        <v>232</v>
      </c>
      <c r="C84">
        <v>0.61499999999999999</v>
      </c>
    </row>
    <row r="85" spans="2:3">
      <c r="B85" t="s">
        <v>231</v>
      </c>
      <c r="C85">
        <v>0.48</v>
      </c>
    </row>
    <row r="86" spans="2:3">
      <c r="B86" t="s">
        <v>228</v>
      </c>
      <c r="C86">
        <v>0.61499999999999999</v>
      </c>
    </row>
    <row r="87" spans="2:3">
      <c r="B87" t="s">
        <v>242</v>
      </c>
      <c r="C87">
        <v>0.68230000000000002</v>
      </c>
    </row>
  </sheetData>
  <mergeCells count="2">
    <mergeCell ref="AG2:AH2"/>
    <mergeCell ref="AK2:A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B9E81-25DE-474D-A033-EBA391B3DC1B}">
  <sheetPr>
    <tabColor theme="6" tint="0.79998168889431442"/>
  </sheetPr>
  <dimension ref="A1:Q199"/>
  <sheetViews>
    <sheetView workbookViewId="0"/>
  </sheetViews>
  <sheetFormatPr defaultColWidth="9.88671875" defaultRowHeight="13.5"/>
  <cols>
    <col min="1" max="3" width="10.33203125" style="25" customWidth="1"/>
    <col min="4" max="4" width="10.33203125" style="26" bestFit="1" customWidth="1"/>
    <col min="5" max="5" width="2.109375" style="20" customWidth="1"/>
    <col min="6" max="6" width="16.6640625" style="20" customWidth="1"/>
    <col min="7" max="7" width="9.88671875" style="20"/>
    <col min="8" max="8" width="13.5546875" style="20" customWidth="1"/>
    <col min="9" max="9" width="6.44140625" style="20" customWidth="1"/>
    <col min="10" max="10" width="13.33203125" style="20" customWidth="1"/>
    <col min="11" max="11" width="9.88671875" style="20"/>
    <col min="12" max="12" width="8.44140625" style="20" customWidth="1"/>
    <col min="13" max="13" width="10.33203125" style="20" bestFit="1" customWidth="1"/>
    <col min="14" max="14" width="7.88671875" style="20" customWidth="1"/>
    <col min="15" max="16" width="9.88671875" style="20"/>
    <col min="17" max="17" width="10.5546875" style="23" customWidth="1"/>
    <col min="18" max="18" width="2.109375" style="20" customWidth="1"/>
    <col min="19" max="19" width="12.109375" style="20" bestFit="1" customWidth="1"/>
    <col min="20" max="16384" width="9.88671875" style="20"/>
  </cols>
  <sheetData>
    <row r="1" spans="1:17" ht="14.25" thickBot="1">
      <c r="F1" s="27" t="s">
        <v>61</v>
      </c>
      <c r="G1" s="28"/>
      <c r="H1" s="29"/>
      <c r="J1" s="27" t="s">
        <v>61</v>
      </c>
      <c r="K1" s="28"/>
      <c r="L1" s="29"/>
      <c r="N1" s="27" t="s">
        <v>61</v>
      </c>
      <c r="O1" s="28"/>
      <c r="P1" s="29"/>
    </row>
    <row r="2" spans="1:17">
      <c r="A2" s="30" t="s">
        <v>62</v>
      </c>
      <c r="B2" s="30"/>
      <c r="C2" s="31">
        <f>+C4/C3</f>
        <v>1.4424795781510427</v>
      </c>
      <c r="D2" s="32" t="s">
        <v>63</v>
      </c>
    </row>
    <row r="3" spans="1:17">
      <c r="A3" s="30" t="s">
        <v>64</v>
      </c>
      <c r="B3" s="30"/>
      <c r="C3" s="31">
        <f>+G23+K23+O23</f>
        <v>138.71460000000002</v>
      </c>
      <c r="D3" s="32" t="s">
        <v>65</v>
      </c>
      <c r="F3" s="33" t="s">
        <v>66</v>
      </c>
      <c r="G3" s="34">
        <f>+G4*G6*G7*G8</f>
        <v>38.573757757046636</v>
      </c>
      <c r="H3" s="35" t="s">
        <v>67</v>
      </c>
      <c r="J3" s="33" t="s">
        <v>66</v>
      </c>
      <c r="K3" s="34">
        <f>+K4*K6*K7*K8</f>
        <v>32.717029015035763</v>
      </c>
      <c r="L3" s="35" t="s">
        <v>67</v>
      </c>
      <c r="N3" s="33" t="s">
        <v>66</v>
      </c>
      <c r="O3" s="34">
        <f>+O4*O6*O7*O8</f>
        <v>36.72654045059744</v>
      </c>
      <c r="P3" s="35" t="s">
        <v>67</v>
      </c>
    </row>
    <row r="4" spans="1:17" s="21" customFormat="1">
      <c r="A4" s="36" t="s">
        <v>68</v>
      </c>
      <c r="B4" s="37"/>
      <c r="C4" s="38">
        <f>+G24+K24+O24</f>
        <v>200.09297769139064</v>
      </c>
      <c r="D4" s="39" t="s">
        <v>69</v>
      </c>
      <c r="F4" s="21" t="s">
        <v>70</v>
      </c>
      <c r="G4" s="40">
        <f>'SOC Stock'!R10</f>
        <v>42.781393356439139</v>
      </c>
      <c r="J4" s="21" t="s">
        <v>70</v>
      </c>
      <c r="K4" s="40">
        <f>'SOC Stock'!Q10</f>
        <v>37.71154619281176</v>
      </c>
      <c r="N4" s="21" t="s">
        <v>70</v>
      </c>
      <c r="O4" s="40">
        <f>'SOC Stock'!R11</f>
        <v>40.732681102378578</v>
      </c>
      <c r="Q4" s="41"/>
    </row>
    <row r="5" spans="1:17" s="44" customFormat="1" ht="12">
      <c r="A5" s="42"/>
      <c r="B5" s="42"/>
      <c r="C5" s="42"/>
      <c r="D5" s="43"/>
      <c r="F5" s="45" t="s">
        <v>71</v>
      </c>
      <c r="G5" s="46">
        <f>G4</f>
        <v>42.781393356439139</v>
      </c>
      <c r="J5" s="45" t="s">
        <v>72</v>
      </c>
      <c r="K5" s="46">
        <f>K4</f>
        <v>37.71154619281176</v>
      </c>
      <c r="N5" s="45" t="s">
        <v>73</v>
      </c>
      <c r="O5" s="46">
        <f>O4</f>
        <v>40.732681102378578</v>
      </c>
      <c r="Q5" s="47"/>
    </row>
    <row r="6" spans="1:17" s="21" customFormat="1">
      <c r="A6" s="48" t="s">
        <v>74</v>
      </c>
      <c r="B6" s="49">
        <f>+G22</f>
        <v>1.4785854187678134</v>
      </c>
      <c r="C6" s="49">
        <f>+K22</f>
        <v>1.515473681201255</v>
      </c>
      <c r="D6" s="50">
        <f>+O22</f>
        <v>1.4077790277541615</v>
      </c>
      <c r="F6" s="21" t="s">
        <v>75</v>
      </c>
      <c r="G6" s="21">
        <v>0.88</v>
      </c>
      <c r="J6" s="21" t="s">
        <v>75</v>
      </c>
      <c r="K6" s="21">
        <v>0.82</v>
      </c>
      <c r="N6" s="21" t="s">
        <v>75</v>
      </c>
      <c r="O6" s="21">
        <v>0.88</v>
      </c>
      <c r="Q6" s="41"/>
    </row>
    <row r="7" spans="1:17" s="21" customFormat="1">
      <c r="A7" s="48" t="s">
        <v>64</v>
      </c>
      <c r="B7" s="48" t="s">
        <v>76</v>
      </c>
      <c r="C7" s="48" t="s">
        <v>77</v>
      </c>
      <c r="D7" s="43" t="s">
        <v>78</v>
      </c>
      <c r="F7" s="21" t="s">
        <v>79</v>
      </c>
      <c r="G7" s="21">
        <v>1.0900000000000001</v>
      </c>
      <c r="J7" s="21" t="s">
        <v>79</v>
      </c>
      <c r="K7" s="21">
        <v>1.1499999999999999</v>
      </c>
      <c r="N7" s="21" t="s">
        <v>79</v>
      </c>
      <c r="O7" s="21">
        <v>1.0900000000000001</v>
      </c>
      <c r="Q7" s="41"/>
    </row>
    <row r="8" spans="1:17" s="21" customFormat="1">
      <c r="A8" s="48">
        <v>2022</v>
      </c>
      <c r="B8" s="48">
        <f>+G23</f>
        <v>64.197500000000005</v>
      </c>
      <c r="C8" s="48">
        <f>+K23</f>
        <v>2.4874000000000001</v>
      </c>
      <c r="D8" s="43">
        <f>+O23</f>
        <v>72.029700000000005</v>
      </c>
      <c r="F8" s="21" t="s">
        <v>80</v>
      </c>
      <c r="G8" s="21">
        <v>0.94</v>
      </c>
      <c r="J8" s="21" t="s">
        <v>80</v>
      </c>
      <c r="K8" s="21">
        <v>0.92</v>
      </c>
      <c r="N8" s="21" t="s">
        <v>80</v>
      </c>
      <c r="O8" s="21">
        <v>0.94</v>
      </c>
      <c r="Q8" s="41"/>
    </row>
    <row r="9" spans="1:17" ht="14.25" thickBot="1">
      <c r="A9" s="25">
        <v>2023</v>
      </c>
      <c r="B9" s="51">
        <f>+(B$8/SUM($B$8:$D$8))*_xlfn.XLOOKUP($A9,'Planted Trees'!$37:$37,'Planted Trees'!$72:$72)</f>
        <v>1525.8607060828492</v>
      </c>
      <c r="C9" s="51">
        <f>+(C$8/SUM($B$8:$D$8))*_xlfn.XLOOKUP($A9,'Planted Trees'!$37:$37,'Planted Trees'!$72:$72)</f>
        <v>59.121086028435364</v>
      </c>
      <c r="D9" s="51">
        <f>+(D$8/SUM($B$8:$D$8))*_xlfn.XLOOKUP($A9,'Planted Trees'!$37:$37,'Planted Trees'!$72:$72)</f>
        <v>1712.0182078887151</v>
      </c>
    </row>
    <row r="10" spans="1:17" ht="14.25" thickBot="1">
      <c r="A10" s="48">
        <v>2024</v>
      </c>
      <c r="B10" s="51">
        <f>+(B$8/SUM($B$8:$D$8))*_xlfn.XLOOKUP($A10,'Planted Trees'!$37:$37,'Planted Trees'!$72:$72)</f>
        <v>6539.4030260693535</v>
      </c>
      <c r="C10" s="51">
        <f>+(C$8/SUM($B$8:$D$8))*_xlfn.XLOOKUP($A10,'Planted Trees'!$37:$37,'Planted Trees'!$72:$72)</f>
        <v>253.37608297900869</v>
      </c>
      <c r="D10" s="51">
        <f>+(D$8/SUM($B$8:$D$8))*_xlfn.XLOOKUP($A10,'Planted Trees'!$37:$37,'Planted Trees'!$72:$72)</f>
        <v>7337.2208909516366</v>
      </c>
      <c r="F10" s="27" t="s">
        <v>81</v>
      </c>
      <c r="G10" s="52"/>
      <c r="H10" s="53"/>
      <c r="J10" s="27" t="s">
        <v>81</v>
      </c>
      <c r="K10" s="52"/>
      <c r="L10" s="53"/>
      <c r="N10" s="27" t="s">
        <v>81</v>
      </c>
      <c r="O10" s="52"/>
      <c r="P10" s="53"/>
    </row>
    <row r="11" spans="1:17">
      <c r="A11" s="25">
        <v>2025</v>
      </c>
      <c r="B11" s="51">
        <f>+(B$8/SUM($B$8:$D$8))*_xlfn.XLOOKUP($A11,'Planted Trees'!$37:$37,'Planted Trees'!$72:$72)</f>
        <v>9809.1045391040298</v>
      </c>
      <c r="C11" s="51">
        <f>+(C$8/SUM($B$8:$D$8))*_xlfn.XLOOKUP($A11,'Planted Trees'!$37:$37,'Planted Trees'!$72:$72)</f>
        <v>380.06412446851306</v>
      </c>
      <c r="D11" s="51">
        <f>+(D$8/SUM($B$8:$D$8))*_xlfn.XLOOKUP($A11,'Planted Trees'!$37:$37,'Planted Trees'!$72:$72)</f>
        <v>11005.831336427455</v>
      </c>
    </row>
    <row r="12" spans="1:17">
      <c r="A12" s="48">
        <v>2026</v>
      </c>
      <c r="B12" s="51">
        <f>+(B$8/SUM($B$8:$D$8))*_xlfn.XLOOKUP($A12,'Planted Trees'!$37:$37,'Planted Trees'!$72:$72)</f>
        <v>12484.314867950583</v>
      </c>
      <c r="C12" s="51">
        <f>+(C$8/SUM($B$8:$D$8))*_xlfn.XLOOKUP($A12,'Planted Trees'!$37:$37,'Planted Trees'!$72:$72)</f>
        <v>483.7179765962893</v>
      </c>
      <c r="D12" s="51">
        <f>+(D$8/SUM($B$8:$D$8))*_xlfn.XLOOKUP($A12,'Planted Trees'!$37:$37,'Planted Trees'!$72:$72)</f>
        <v>14007.421700907669</v>
      </c>
      <c r="F12" s="33" t="s">
        <v>82</v>
      </c>
      <c r="G12" s="34">
        <f>+G3*0.1</f>
        <v>3.8573757757046638</v>
      </c>
      <c r="H12" s="35" t="s">
        <v>67</v>
      </c>
      <c r="J12" s="33" t="s">
        <v>82</v>
      </c>
      <c r="K12" s="34">
        <f>+K3*0.1</f>
        <v>3.2717029015035766</v>
      </c>
      <c r="L12" s="35" t="s">
        <v>67</v>
      </c>
      <c r="N12" s="33" t="s">
        <v>82</v>
      </c>
      <c r="O12" s="34">
        <f>+O3*0.1</f>
        <v>3.672654045059744</v>
      </c>
      <c r="P12" s="35" t="s">
        <v>67</v>
      </c>
    </row>
    <row r="13" spans="1:17" ht="14.25" thickBot="1">
      <c r="A13" s="25">
        <v>2027</v>
      </c>
      <c r="B13" s="51">
        <f>+(B$8/SUM($B$8:$D$8))*_xlfn.XLOOKUP($A13,'Planted Trees'!$37:$37,'Planted Trees'!$72:$72)</f>
        <v>16051.261973079319</v>
      </c>
      <c r="C13" s="51">
        <f>+(C$8/SUM($B$8:$D$8))*_xlfn.XLOOKUP($A13,'Planted Trees'!$37:$37,'Planted Trees'!$72:$72)</f>
        <v>621.9231127666576</v>
      </c>
      <c r="D13" s="51">
        <f>+(D$8/SUM($B$8:$D$8))*_xlfn.XLOOKUP($A13,'Planted Trees'!$37:$37,'Planted Trees'!$72:$72)</f>
        <v>18009.542186881285</v>
      </c>
    </row>
    <row r="14" spans="1:17" ht="14.25" thickBot="1">
      <c r="A14" s="48">
        <v>2028</v>
      </c>
      <c r="B14" s="51">
        <f>+(B$8/SUM($B$8:$D$8))*_xlfn.XLOOKUP($A14,'Planted Trees'!$37:$37,'Planted Trees'!$72:$72)</f>
        <v>17834.735525643689</v>
      </c>
      <c r="C14" s="51">
        <f>+(C$8/SUM($B$8:$D$8))*_xlfn.XLOOKUP($A14,'Planted Trees'!$37:$37,'Planted Trees'!$72:$72)</f>
        <v>691.0256808518418</v>
      </c>
      <c r="D14" s="51">
        <f>+(D$8/SUM($B$8:$D$8))*_xlfn.XLOOKUP($A14,'Planted Trees'!$37:$37,'Planted Trees'!$72:$72)</f>
        <v>20010.602429868097</v>
      </c>
      <c r="F14" s="27" t="s">
        <v>83</v>
      </c>
      <c r="G14" s="52"/>
      <c r="H14" s="53"/>
      <c r="J14" s="27" t="s">
        <v>83</v>
      </c>
      <c r="K14" s="52"/>
      <c r="L14" s="53"/>
      <c r="N14" s="27" t="s">
        <v>83</v>
      </c>
      <c r="O14" s="52"/>
      <c r="P14" s="53"/>
    </row>
    <row r="15" spans="1:17">
      <c r="A15" s="25">
        <v>2029</v>
      </c>
      <c r="B15" s="51">
        <f>+(B$8/SUM($B$8:$D$8))*_xlfn.XLOOKUP($A15,'Planted Trees'!$37:$37,'Planted Trees'!$72:$72)</f>
        <v>17834.735525643689</v>
      </c>
      <c r="C15" s="51">
        <f>+(C$8/SUM($B$8:$D$8))*_xlfn.XLOOKUP($A15,'Planted Trees'!$37:$37,'Planted Trees'!$72:$72)</f>
        <v>691.0256808518418</v>
      </c>
      <c r="D15" s="51">
        <f>+(D$8/SUM($B$8:$D$8))*_xlfn.XLOOKUP($A15,'Planted Trees'!$37:$37,'Planted Trees'!$72:$72)</f>
        <v>20010.602429868097</v>
      </c>
    </row>
    <row r="16" spans="1:17">
      <c r="A16" s="48">
        <v>2030</v>
      </c>
      <c r="B16" s="51">
        <f>+(B$8/SUM($B$8:$D$8))*_xlfn.XLOOKUP($A16,'Planted Trees'!$37:$37,'Planted Trees'!$72:$72)</f>
        <v>17834.735525643689</v>
      </c>
      <c r="C16" s="51">
        <f>+(C$8/SUM($B$8:$D$8))*_xlfn.XLOOKUP($A16,'Planted Trees'!$37:$37,'Planted Trees'!$72:$72)</f>
        <v>691.0256808518418</v>
      </c>
      <c r="D16" s="51">
        <f>+(D$8/SUM($B$8:$D$8))*_xlfn.XLOOKUP($A16,'Planted Trees'!$37:$37,'Planted Trees'!$72:$72)</f>
        <v>20010.602429868097</v>
      </c>
      <c r="F16" s="33" t="s">
        <v>84</v>
      </c>
      <c r="G16" s="54">
        <f>MIN(0.8, (G17-(G18-G19))/20)</f>
        <v>0.40325056875485821</v>
      </c>
      <c r="H16" s="35" t="s">
        <v>67</v>
      </c>
      <c r="J16" s="33" t="s">
        <v>84</v>
      </c>
      <c r="K16" s="54">
        <f>MIN(0.8, (K17-(K18-K19))/20)</f>
        <v>0.41331100396397868</v>
      </c>
      <c r="L16" s="35" t="s">
        <v>67</v>
      </c>
      <c r="N16" s="33" t="s">
        <v>84</v>
      </c>
      <c r="O16" s="54">
        <f>MIN(0.8, (O17-(O18-O19))/20)</f>
        <v>0.38393973484204408</v>
      </c>
      <c r="P16" s="35" t="s">
        <v>67</v>
      </c>
    </row>
    <row r="17" spans="1:17" s="21" customFormat="1">
      <c r="A17" s="25"/>
      <c r="B17" s="48"/>
      <c r="C17" s="48"/>
      <c r="D17" s="43"/>
      <c r="F17" s="21" t="s">
        <v>70</v>
      </c>
      <c r="G17" s="21">
        <f>+G4</f>
        <v>42.781393356439139</v>
      </c>
      <c r="J17" s="21" t="s">
        <v>70</v>
      </c>
      <c r="K17" s="21">
        <f>+K4</f>
        <v>37.71154619281176</v>
      </c>
      <c r="N17" s="21" t="s">
        <v>70</v>
      </c>
      <c r="O17" s="21">
        <f>+O4</f>
        <v>40.732681102378578</v>
      </c>
      <c r="Q17" s="41"/>
    </row>
    <row r="18" spans="1:17" s="21" customFormat="1">
      <c r="A18" s="48" t="s">
        <v>62</v>
      </c>
      <c r="B18" s="48"/>
      <c r="C18" s="48"/>
      <c r="D18" s="50"/>
      <c r="F18" s="21" t="s">
        <v>85</v>
      </c>
      <c r="G18" s="40">
        <f>+G3</f>
        <v>38.573757757046636</v>
      </c>
      <c r="J18" s="21" t="s">
        <v>85</v>
      </c>
      <c r="K18" s="40">
        <f>+K3</f>
        <v>32.717029015035763</v>
      </c>
      <c r="N18" s="21" t="s">
        <v>85</v>
      </c>
      <c r="O18" s="40">
        <f>+O3</f>
        <v>36.72654045059744</v>
      </c>
      <c r="Q18" s="41"/>
    </row>
    <row r="19" spans="1:17" s="21" customFormat="1">
      <c r="A19" s="48">
        <v>2022</v>
      </c>
      <c r="B19" s="55">
        <f>+Q34</f>
        <v>94.921487421346711</v>
      </c>
      <c r="C19" s="55">
        <f>+Q76</f>
        <v>3.7695892346200019</v>
      </c>
      <c r="D19" s="55">
        <f>+Q118</f>
        <v>101.40190103542393</v>
      </c>
      <c r="F19" s="21" t="s">
        <v>86</v>
      </c>
      <c r="G19" s="40">
        <f>+G12</f>
        <v>3.8573757757046638</v>
      </c>
      <c r="J19" s="21" t="s">
        <v>86</v>
      </c>
      <c r="K19" s="40">
        <f>+K12</f>
        <v>3.2717029015035766</v>
      </c>
      <c r="N19" s="21" t="s">
        <v>86</v>
      </c>
      <c r="O19" s="40">
        <f>+O12</f>
        <v>3.672654045059744</v>
      </c>
      <c r="Q19" s="41"/>
    </row>
    <row r="20" spans="1:17" ht="14.25" thickBot="1">
      <c r="A20" s="25">
        <v>2023</v>
      </c>
      <c r="B20" s="55">
        <f t="shared" ref="B20:B58" si="0">+Q35</f>
        <v>2445.9583659275545</v>
      </c>
      <c r="C20" s="55">
        <f t="shared" ref="C20:C58" si="1">+Q77</f>
        <v>97.135628349369028</v>
      </c>
      <c r="D20" s="55">
        <f t="shared" ref="D20:D58" si="2">+Q119</f>
        <v>2612.9471302698453</v>
      </c>
    </row>
    <row r="21" spans="1:17" ht="14.25" thickBot="1">
      <c r="A21" s="48">
        <v>2024</v>
      </c>
      <c r="B21" s="55">
        <f t="shared" si="0"/>
        <v>14466.061206226022</v>
      </c>
      <c r="C21" s="55">
        <f t="shared" si="1"/>
        <v>574.48645266467099</v>
      </c>
      <c r="D21" s="55">
        <f t="shared" si="2"/>
        <v>15453.678051785686</v>
      </c>
      <c r="F21" s="27" t="s">
        <v>87</v>
      </c>
      <c r="G21" s="52"/>
      <c r="H21" s="53"/>
      <c r="J21" s="27" t="s">
        <v>87</v>
      </c>
      <c r="K21" s="52"/>
      <c r="L21" s="53"/>
      <c r="N21" s="27" t="s">
        <v>87</v>
      </c>
      <c r="O21" s="52"/>
      <c r="P21" s="53"/>
    </row>
    <row r="22" spans="1:17">
      <c r="A22" s="25">
        <v>2025</v>
      </c>
      <c r="B22" s="55">
        <f t="shared" si="0"/>
        <v>40989.762989212883</v>
      </c>
      <c r="C22" s="55">
        <f t="shared" si="1"/>
        <v>1627.8144547808024</v>
      </c>
      <c r="D22" s="55">
        <f t="shared" si="2"/>
        <v>43788.187511723649</v>
      </c>
      <c r="F22" s="23" t="s">
        <v>88</v>
      </c>
      <c r="G22" s="56">
        <f>+G16*(44/12)</f>
        <v>1.4785854187678134</v>
      </c>
      <c r="H22" s="23" t="s">
        <v>89</v>
      </c>
      <c r="J22" s="23" t="s">
        <v>88</v>
      </c>
      <c r="K22" s="56">
        <f>+K16*(44/12)</f>
        <v>1.515473681201255</v>
      </c>
      <c r="L22" s="23" t="s">
        <v>89</v>
      </c>
      <c r="N22" s="23" t="s">
        <v>88</v>
      </c>
      <c r="O22" s="56">
        <f>+O16*(44/12)</f>
        <v>1.4077790277541615</v>
      </c>
      <c r="P22" s="23" t="s">
        <v>89</v>
      </c>
    </row>
    <row r="23" spans="1:17">
      <c r="A23" s="48">
        <v>2026</v>
      </c>
      <c r="B23" s="55">
        <f t="shared" si="0"/>
        <v>85972.590699257693</v>
      </c>
      <c r="C23" s="55">
        <f t="shared" si="1"/>
        <v>3414.2043195525353</v>
      </c>
      <c r="D23" s="55">
        <f t="shared" si="2"/>
        <v>91842.051475107961</v>
      </c>
      <c r="F23" s="23" t="s">
        <v>90</v>
      </c>
      <c r="G23" s="23">
        <f>+H29</f>
        <v>64.197500000000005</v>
      </c>
      <c r="H23" s="23" t="s">
        <v>65</v>
      </c>
      <c r="J23" s="23" t="s">
        <v>90</v>
      </c>
      <c r="K23" s="23">
        <f>+G29</f>
        <v>2.4874000000000001</v>
      </c>
      <c r="L23" s="23" t="s">
        <v>65</v>
      </c>
      <c r="N23" s="23" t="s">
        <v>90</v>
      </c>
      <c r="O23" s="23">
        <f>+H30</f>
        <v>72.029700000000005</v>
      </c>
      <c r="P23" s="23" t="s">
        <v>65</v>
      </c>
    </row>
    <row r="24" spans="1:17">
      <c r="A24" s="25">
        <v>2027</v>
      </c>
      <c r="B24" s="55">
        <f t="shared" si="0"/>
        <v>154688.58031551988</v>
      </c>
      <c r="C24" s="55">
        <f t="shared" si="1"/>
        <v>6143.1022934528974</v>
      </c>
      <c r="D24" s="55">
        <f t="shared" si="2"/>
        <v>165249.37122863758</v>
      </c>
      <c r="F24" s="57" t="s">
        <v>91</v>
      </c>
      <c r="G24" s="58">
        <f>+G23*G22</f>
        <v>94.921487421346711</v>
      </c>
      <c r="H24" s="57" t="s">
        <v>92</v>
      </c>
      <c r="J24" s="57" t="s">
        <v>91</v>
      </c>
      <c r="K24" s="58">
        <f>+K23*K22</f>
        <v>3.7695892346200019</v>
      </c>
      <c r="L24" s="57" t="s">
        <v>92</v>
      </c>
      <c r="N24" s="57" t="s">
        <v>91</v>
      </c>
      <c r="O24" s="58">
        <f>+O23*O22</f>
        <v>101.40190103542393</v>
      </c>
      <c r="P24" s="57" t="s">
        <v>92</v>
      </c>
    </row>
    <row r="25" spans="1:17">
      <c r="A25" s="48">
        <v>2028</v>
      </c>
      <c r="B25" s="55">
        <f t="shared" si="0"/>
        <v>249774.7498275791</v>
      </c>
      <c r="C25" s="55">
        <f t="shared" si="1"/>
        <v>9919.2314997184058</v>
      </c>
      <c r="D25" s="55">
        <f t="shared" si="2"/>
        <v>266827.19741566194</v>
      </c>
    </row>
    <row r="26" spans="1:17">
      <c r="A26" s="25">
        <v>2029</v>
      </c>
      <c r="B26" s="55">
        <f t="shared" si="0"/>
        <v>371231.09923543537</v>
      </c>
      <c r="C26" s="55">
        <f t="shared" si="1"/>
        <v>14742.591938349053</v>
      </c>
      <c r="D26" s="55">
        <f t="shared" si="2"/>
        <v>396575.5300361811</v>
      </c>
    </row>
    <row r="27" spans="1:17">
      <c r="A27" s="48">
        <v>2030</v>
      </c>
      <c r="B27" s="55">
        <f t="shared" si="0"/>
        <v>519057.62853908882</v>
      </c>
      <c r="C27" s="55">
        <f t="shared" si="1"/>
        <v>20613.183609344851</v>
      </c>
      <c r="D27" s="55">
        <f t="shared" si="2"/>
        <v>554494.36909019505</v>
      </c>
      <c r="G27" s="20" t="s">
        <v>93</v>
      </c>
      <c r="J27" s="59"/>
    </row>
    <row r="28" spans="1:17">
      <c r="A28" s="48">
        <v>2031</v>
      </c>
      <c r="B28" s="55">
        <f t="shared" si="0"/>
        <v>666884.15784274216</v>
      </c>
      <c r="C28" s="55">
        <f t="shared" si="1"/>
        <v>26483.775280340644</v>
      </c>
      <c r="D28" s="55">
        <f t="shared" si="2"/>
        <v>712413.208144209</v>
      </c>
      <c r="F28" s="20" t="s">
        <v>94</v>
      </c>
      <c r="G28" s="20" t="s">
        <v>95</v>
      </c>
      <c r="H28" s="20" t="s">
        <v>96</v>
      </c>
      <c r="J28" s="59"/>
    </row>
    <row r="29" spans="1:17">
      <c r="A29" s="25">
        <v>2032</v>
      </c>
      <c r="B29" s="55">
        <f t="shared" si="0"/>
        <v>814710.68714639568</v>
      </c>
      <c r="C29" s="55">
        <f t="shared" si="1"/>
        <v>32354.36695133644</v>
      </c>
      <c r="D29" s="55">
        <f t="shared" si="2"/>
        <v>870332.04719822283</v>
      </c>
      <c r="F29" s="20" t="s">
        <v>97</v>
      </c>
      <c r="G29" s="20">
        <v>2.4874000000000001</v>
      </c>
      <c r="H29" s="20">
        <v>64.197500000000005</v>
      </c>
    </row>
    <row r="30" spans="1:17">
      <c r="A30" s="48">
        <v>2033</v>
      </c>
      <c r="B30" s="55">
        <f t="shared" si="0"/>
        <v>962537.21645004908</v>
      </c>
      <c r="C30" s="55">
        <f t="shared" si="1"/>
        <v>38224.958622332233</v>
      </c>
      <c r="D30" s="55">
        <f t="shared" si="2"/>
        <v>1028250.8862522367</v>
      </c>
      <c r="F30" s="21" t="s">
        <v>98</v>
      </c>
      <c r="G30" s="21"/>
      <c r="H30" s="21">
        <v>72.029700000000005</v>
      </c>
    </row>
    <row r="31" spans="1:17">
      <c r="A31" s="25">
        <v>2034</v>
      </c>
      <c r="B31" s="55">
        <f t="shared" si="0"/>
        <v>1110363.7457537022</v>
      </c>
      <c r="C31" s="55">
        <f t="shared" si="1"/>
        <v>44095.550293328022</v>
      </c>
      <c r="D31" s="55">
        <f t="shared" si="2"/>
        <v>1186169.7253062506</v>
      </c>
      <c r="F31" s="44"/>
      <c r="G31" s="44"/>
      <c r="H31" s="44"/>
    </row>
    <row r="32" spans="1:17">
      <c r="A32" s="48">
        <v>2035</v>
      </c>
      <c r="B32" s="55">
        <f t="shared" si="0"/>
        <v>1258190.2750573559</v>
      </c>
      <c r="C32" s="55">
        <f t="shared" si="1"/>
        <v>49966.141964323826</v>
      </c>
      <c r="D32" s="55">
        <f t="shared" si="2"/>
        <v>1344088.5643602647</v>
      </c>
      <c r="F32" s="20" t="s">
        <v>76</v>
      </c>
      <c r="H32" s="59" t="s">
        <v>64</v>
      </c>
    </row>
    <row r="33" spans="1:17">
      <c r="A33" s="25">
        <v>2036</v>
      </c>
      <c r="B33" s="55">
        <f t="shared" si="0"/>
        <v>1406016.8043610093</v>
      </c>
      <c r="C33" s="55">
        <f t="shared" si="1"/>
        <v>55836.733635319615</v>
      </c>
      <c r="D33" s="55">
        <f t="shared" si="2"/>
        <v>1502007.4034142783</v>
      </c>
      <c r="F33" s="60" t="s">
        <v>99</v>
      </c>
      <c r="G33" s="61" t="s">
        <v>100</v>
      </c>
      <c r="H33" s="62" cm="1">
        <f t="array" ref="H33:P33">+TRANSPOSE(B8:B16)</f>
        <v>64.197500000000005</v>
      </c>
      <c r="I33" s="62">
        <v>1525.8607060828492</v>
      </c>
      <c r="J33" s="62">
        <v>6539.4030260693535</v>
      </c>
      <c r="K33" s="62">
        <v>9809.1045391040298</v>
      </c>
      <c r="L33" s="62">
        <v>12484.314867950583</v>
      </c>
      <c r="M33" s="62">
        <v>16051.261973079319</v>
      </c>
      <c r="N33" s="62">
        <v>17834.735525643689</v>
      </c>
      <c r="O33" s="62">
        <v>17834.735525643689</v>
      </c>
      <c r="P33" s="62">
        <v>17834.735525643689</v>
      </c>
      <c r="Q33" s="63" t="s">
        <v>57</v>
      </c>
    </row>
    <row r="34" spans="1:17">
      <c r="A34" s="48">
        <v>2037</v>
      </c>
      <c r="B34" s="55">
        <f t="shared" si="0"/>
        <v>1553843.3336646624</v>
      </c>
      <c r="C34" s="55">
        <f t="shared" si="1"/>
        <v>61707.325306315412</v>
      </c>
      <c r="D34" s="55">
        <f t="shared" si="2"/>
        <v>1659926.2424682924</v>
      </c>
      <c r="F34" s="21">
        <v>1</v>
      </c>
      <c r="G34" s="21">
        <v>2022</v>
      </c>
      <c r="H34" s="64">
        <f>+B$8*$F34*$B$6</f>
        <v>94.921487421346711</v>
      </c>
      <c r="I34" s="64"/>
      <c r="Q34" s="65">
        <f>+SUM(H34:P34)</f>
        <v>94.921487421346711</v>
      </c>
    </row>
    <row r="35" spans="1:17">
      <c r="A35" s="25">
        <v>2038</v>
      </c>
      <c r="B35" s="55">
        <f t="shared" si="0"/>
        <v>1701669.8629683158</v>
      </c>
      <c r="C35" s="55">
        <f t="shared" si="1"/>
        <v>67577.916977311208</v>
      </c>
      <c r="D35" s="55">
        <f t="shared" si="2"/>
        <v>1817845.0815223062</v>
      </c>
      <c r="F35" s="20">
        <v>2</v>
      </c>
      <c r="G35" s="20">
        <v>2023</v>
      </c>
      <c r="H35" s="64">
        <f>+B$8*$F35*$B$6</f>
        <v>189.84297484269342</v>
      </c>
      <c r="I35" s="64">
        <f>+B$9*$F34*$B$6</f>
        <v>2256.1153910848611</v>
      </c>
      <c r="Q35" s="65">
        <f t="shared" ref="Q35:Q73" si="3">+SUM(H35:P35)</f>
        <v>2445.9583659275545</v>
      </c>
    </row>
    <row r="36" spans="1:17">
      <c r="A36" s="48">
        <v>2039</v>
      </c>
      <c r="B36" s="55">
        <f t="shared" si="0"/>
        <v>1849496.3922719692</v>
      </c>
      <c r="C36" s="55">
        <f t="shared" si="1"/>
        <v>73448.508648307004</v>
      </c>
      <c r="D36" s="55">
        <f t="shared" si="2"/>
        <v>1975763.9205763205</v>
      </c>
      <c r="F36" s="21">
        <v>3</v>
      </c>
      <c r="G36" s="21">
        <v>2024</v>
      </c>
      <c r="H36" s="64">
        <f t="shared" ref="H36:H73" si="4">+B$8*$F36*$B$6</f>
        <v>284.76446226404016</v>
      </c>
      <c r="I36" s="64">
        <f>+B$9*$F35*$B$6</f>
        <v>4512.2307821697223</v>
      </c>
      <c r="J36" s="64">
        <f>+B$10*$F34*$B$6</f>
        <v>9669.0659617922611</v>
      </c>
      <c r="Q36" s="65">
        <f t="shared" si="3"/>
        <v>14466.061206226022</v>
      </c>
    </row>
    <row r="37" spans="1:17">
      <c r="A37" s="48">
        <v>2040</v>
      </c>
      <c r="B37" s="55">
        <f t="shared" si="0"/>
        <v>1997322.9215756226</v>
      </c>
      <c r="C37" s="55">
        <f t="shared" si="1"/>
        <v>79319.100319302815</v>
      </c>
      <c r="D37" s="55">
        <f t="shared" si="2"/>
        <v>2133682.7596303341</v>
      </c>
      <c r="F37" s="20">
        <v>4</v>
      </c>
      <c r="G37" s="20">
        <v>2025</v>
      </c>
      <c r="H37" s="64">
        <f t="shared" si="4"/>
        <v>379.68594968538684</v>
      </c>
      <c r="I37" s="64">
        <f t="shared" ref="I37:I73" si="5">+B$9*$F36*$B$6</f>
        <v>6768.3461732545829</v>
      </c>
      <c r="J37" s="64">
        <f t="shared" ref="J37:J73" si="6">+B$10*$F35*$B$6</f>
        <v>19338.131923584522</v>
      </c>
      <c r="K37" s="64">
        <f>+K$33*$F34*$B$6</f>
        <v>14503.59894268839</v>
      </c>
      <c r="Q37" s="65">
        <f t="shared" si="3"/>
        <v>40989.762989212883</v>
      </c>
    </row>
    <row r="38" spans="1:17">
      <c r="A38" s="25">
        <v>2041</v>
      </c>
      <c r="B38" s="55">
        <f t="shared" si="0"/>
        <v>2145149.4508792763</v>
      </c>
      <c r="C38" s="55">
        <f t="shared" si="1"/>
        <v>85189.691990298597</v>
      </c>
      <c r="D38" s="55">
        <f t="shared" si="2"/>
        <v>2291601.5986843477</v>
      </c>
      <c r="F38" s="21">
        <v>5</v>
      </c>
      <c r="G38" s="21">
        <v>2026</v>
      </c>
      <c r="H38" s="64">
        <f>+B$8*$F38*$B$6</f>
        <v>474.60743710673353</v>
      </c>
      <c r="I38" s="64">
        <f t="shared" si="5"/>
        <v>9024.4615643394445</v>
      </c>
      <c r="J38" s="64">
        <f t="shared" si="6"/>
        <v>29007.19788537678</v>
      </c>
      <c r="K38" s="64">
        <f t="shared" ref="K38:K73" si="7">+K$33*$F35*$B$6</f>
        <v>29007.19788537678</v>
      </c>
      <c r="L38" s="64">
        <f>+L$33*$F34*$B$6</f>
        <v>18459.12592705795</v>
      </c>
      <c r="Q38" s="65">
        <f t="shared" si="3"/>
        <v>85972.590699257693</v>
      </c>
    </row>
    <row r="39" spans="1:17">
      <c r="A39" s="48">
        <v>2042</v>
      </c>
      <c r="B39" s="55">
        <f t="shared" si="0"/>
        <v>2292881.0586955082</v>
      </c>
      <c r="C39" s="55">
        <f t="shared" si="1"/>
        <v>91056.51407205977</v>
      </c>
      <c r="D39" s="55">
        <f t="shared" si="2"/>
        <v>2449419.0358373267</v>
      </c>
      <c r="F39" s="20">
        <v>6</v>
      </c>
      <c r="G39" s="20">
        <v>2027</v>
      </c>
      <c r="H39" s="64">
        <f t="shared" si="4"/>
        <v>569.52892452808032</v>
      </c>
      <c r="I39" s="64">
        <f t="shared" si="5"/>
        <v>11280.576955424305</v>
      </c>
      <c r="J39" s="64">
        <f t="shared" si="6"/>
        <v>38676.263847169044</v>
      </c>
      <c r="K39" s="64">
        <f t="shared" si="7"/>
        <v>43510.796828065169</v>
      </c>
      <c r="L39" s="64">
        <f t="shared" ref="L39:L73" si="8">+L$33*$F35*$B$6</f>
        <v>36918.251854115901</v>
      </c>
      <c r="M39" s="64">
        <f>+M$33*$F34*$B$6</f>
        <v>23733.161906217363</v>
      </c>
      <c r="Q39" s="65">
        <f t="shared" si="3"/>
        <v>154688.58031551988</v>
      </c>
    </row>
    <row r="40" spans="1:17">
      <c r="A40" s="25">
        <v>2043</v>
      </c>
      <c r="B40" s="55">
        <f t="shared" si="0"/>
        <v>2438356.5511206556</v>
      </c>
      <c r="C40" s="55">
        <f t="shared" si="1"/>
        <v>96833.73970394081</v>
      </c>
      <c r="D40" s="55">
        <f t="shared" si="2"/>
        <v>2604826.329662106</v>
      </c>
      <c r="F40" s="21">
        <v>7</v>
      </c>
      <c r="G40" s="21">
        <v>2028</v>
      </c>
      <c r="H40" s="64">
        <f>+B$8*$F40*$B$6</f>
        <v>664.45041194942701</v>
      </c>
      <c r="I40" s="64">
        <f t="shared" si="5"/>
        <v>13536.692346509166</v>
      </c>
      <c r="J40" s="64">
        <f t="shared" si="6"/>
        <v>48345.329808961309</v>
      </c>
      <c r="K40" s="64">
        <f t="shared" si="7"/>
        <v>58014.395770753559</v>
      </c>
      <c r="L40" s="64">
        <f t="shared" si="8"/>
        <v>55377.377781173855</v>
      </c>
      <c r="M40" s="64">
        <f t="shared" ref="M40:M73" si="9">+M$33*$F35*$B$6</f>
        <v>47466.323812434726</v>
      </c>
      <c r="N40" s="64">
        <f>+N$33*$F34*$B$6</f>
        <v>26370.179895797071</v>
      </c>
      <c r="Q40" s="65">
        <f t="shared" si="3"/>
        <v>249774.7498275791</v>
      </c>
    </row>
    <row r="41" spans="1:17">
      <c r="A41" s="48">
        <v>2044</v>
      </c>
      <c r="B41" s="55">
        <f t="shared" si="0"/>
        <v>2574162.97758401</v>
      </c>
      <c r="C41" s="55">
        <f t="shared" si="1"/>
        <v>102226.9805506213</v>
      </c>
      <c r="D41" s="55">
        <f t="shared" si="2"/>
        <v>2749904.4377946043</v>
      </c>
      <c r="F41" s="21">
        <v>8</v>
      </c>
      <c r="G41" s="20">
        <v>2029</v>
      </c>
      <c r="H41" s="64">
        <f t="shared" si="4"/>
        <v>759.37189937077369</v>
      </c>
      <c r="I41" s="64">
        <f t="shared" si="5"/>
        <v>15792.807737594027</v>
      </c>
      <c r="J41" s="64">
        <f t="shared" si="6"/>
        <v>58014.395770753559</v>
      </c>
      <c r="K41" s="64">
        <f t="shared" si="7"/>
        <v>72517.994713441949</v>
      </c>
      <c r="L41" s="64">
        <f t="shared" si="8"/>
        <v>73836.503708231801</v>
      </c>
      <c r="M41" s="64">
        <f t="shared" si="9"/>
        <v>71199.485718652082</v>
      </c>
      <c r="N41" s="64">
        <f t="shared" ref="N41:N73" si="10">+N$33*$F35*$B$6</f>
        <v>52740.359791594143</v>
      </c>
      <c r="O41" s="64">
        <f>+O$33*$F34*$B$6</f>
        <v>26370.179895797071</v>
      </c>
      <c r="Q41" s="65">
        <f t="shared" si="3"/>
        <v>371231.09923543537</v>
      </c>
    </row>
    <row r="42" spans="1:17">
      <c r="A42" s="25">
        <v>2045</v>
      </c>
      <c r="B42" s="55">
        <f t="shared" si="0"/>
        <v>2695465.8051046771</v>
      </c>
      <c r="C42" s="55">
        <f t="shared" si="1"/>
        <v>107044.24421950098</v>
      </c>
      <c r="D42" s="55">
        <f t="shared" si="2"/>
        <v>2879488.76738868</v>
      </c>
      <c r="F42" s="20">
        <v>9</v>
      </c>
      <c r="G42" s="21">
        <v>2030</v>
      </c>
      <c r="H42" s="64">
        <f t="shared" si="4"/>
        <v>854.29338679212037</v>
      </c>
      <c r="I42" s="64">
        <f t="shared" si="5"/>
        <v>18048.923128678889</v>
      </c>
      <c r="J42" s="64">
        <f>+B$10*$F40*$B$6</f>
        <v>67683.461732545824</v>
      </c>
      <c r="K42" s="64">
        <f t="shared" si="7"/>
        <v>87021.593656130339</v>
      </c>
      <c r="L42" s="64">
        <f t="shared" si="8"/>
        <v>92295.629635289763</v>
      </c>
      <c r="M42" s="64">
        <f t="shared" si="9"/>
        <v>94932.647624869453</v>
      </c>
      <c r="N42" s="64">
        <f t="shared" si="10"/>
        <v>79110.539687391225</v>
      </c>
      <c r="O42" s="64">
        <f t="shared" ref="O42:O73" si="11">+O$33*$F35*$B$6</f>
        <v>52740.359791594143</v>
      </c>
      <c r="P42" s="64">
        <f>+P$33*$F34*$B$6</f>
        <v>26370.179895797071</v>
      </c>
      <c r="Q42" s="65">
        <f t="shared" si="3"/>
        <v>519057.62853908882</v>
      </c>
    </row>
    <row r="43" spans="1:17">
      <c r="A43" s="48">
        <v>2046</v>
      </c>
      <c r="B43" s="55">
        <f t="shared" si="0"/>
        <v>2798309.5066982852</v>
      </c>
      <c r="C43" s="55">
        <f t="shared" si="1"/>
        <v>111128.44602572505</v>
      </c>
      <c r="D43" s="55">
        <f t="shared" si="2"/>
        <v>2989353.7424793094</v>
      </c>
      <c r="F43" s="21">
        <v>10</v>
      </c>
      <c r="G43" s="21">
        <v>2031</v>
      </c>
      <c r="H43" s="64">
        <f t="shared" si="4"/>
        <v>949.21487421346706</v>
      </c>
      <c r="I43" s="64">
        <f t="shared" si="5"/>
        <v>20305.038519763748</v>
      </c>
      <c r="J43" s="64">
        <f t="shared" si="6"/>
        <v>77352.527694338089</v>
      </c>
      <c r="K43" s="64">
        <f t="shared" si="7"/>
        <v>101525.19259881874</v>
      </c>
      <c r="L43" s="64">
        <f t="shared" si="8"/>
        <v>110754.75556234771</v>
      </c>
      <c r="M43" s="64">
        <f t="shared" si="9"/>
        <v>118665.80953108682</v>
      </c>
      <c r="N43" s="64">
        <f t="shared" si="10"/>
        <v>105480.71958318829</v>
      </c>
      <c r="O43" s="64">
        <f t="shared" si="11"/>
        <v>79110.539687391225</v>
      </c>
      <c r="P43" s="64">
        <f t="shared" ref="P43:P73" si="12">+P$33*$F35*$B$6</f>
        <v>52740.359791594143</v>
      </c>
      <c r="Q43" s="65">
        <f t="shared" si="3"/>
        <v>666884.15784274216</v>
      </c>
    </row>
    <row r="44" spans="1:17">
      <c r="A44" s="25">
        <v>2047</v>
      </c>
      <c r="B44" s="55">
        <f t="shared" si="0"/>
        <v>2877420.0463856766</v>
      </c>
      <c r="C44" s="55">
        <f t="shared" si="1"/>
        <v>114270.13972282046</v>
      </c>
      <c r="D44" s="55">
        <f t="shared" si="2"/>
        <v>3073865.261779794</v>
      </c>
      <c r="F44" s="20">
        <v>11</v>
      </c>
      <c r="G44" s="20">
        <v>2032</v>
      </c>
      <c r="H44" s="64">
        <f t="shared" si="4"/>
        <v>1044.1363616348137</v>
      </c>
      <c r="I44" s="64">
        <f t="shared" si="5"/>
        <v>22561.15391084861</v>
      </c>
      <c r="J44" s="64">
        <f t="shared" si="6"/>
        <v>87021.593656130353</v>
      </c>
      <c r="K44" s="64">
        <f t="shared" si="7"/>
        <v>116028.79154150712</v>
      </c>
      <c r="L44" s="64">
        <f t="shared" si="8"/>
        <v>129213.88148940566</v>
      </c>
      <c r="M44" s="64">
        <f t="shared" si="9"/>
        <v>142398.97143730416</v>
      </c>
      <c r="N44" s="64">
        <f t="shared" si="10"/>
        <v>131850.89947898535</v>
      </c>
      <c r="O44" s="64">
        <f t="shared" si="11"/>
        <v>105480.71958318829</v>
      </c>
      <c r="P44" s="64">
        <f t="shared" si="12"/>
        <v>79110.539687391225</v>
      </c>
      <c r="Q44" s="65">
        <f t="shared" si="3"/>
        <v>814710.68714639568</v>
      </c>
    </row>
    <row r="45" spans="1:17">
      <c r="A45" s="48">
        <v>2048</v>
      </c>
      <c r="B45" s="55">
        <f t="shared" si="0"/>
        <v>2930160.4061772702</v>
      </c>
      <c r="C45" s="55">
        <f t="shared" si="1"/>
        <v>116364.60218755076</v>
      </c>
      <c r="D45" s="55">
        <f t="shared" si="2"/>
        <v>3130206.2746467832</v>
      </c>
      <c r="F45" s="21">
        <v>12</v>
      </c>
      <c r="G45" s="21">
        <v>2033</v>
      </c>
      <c r="H45" s="64">
        <f t="shared" si="4"/>
        <v>1139.0578490561606</v>
      </c>
      <c r="I45" s="64">
        <f t="shared" si="5"/>
        <v>24817.269301933469</v>
      </c>
      <c r="J45" s="64">
        <f t="shared" si="6"/>
        <v>96690.659617922618</v>
      </c>
      <c r="K45" s="64">
        <f t="shared" si="7"/>
        <v>130532.39048419551</v>
      </c>
      <c r="L45" s="64">
        <f t="shared" si="8"/>
        <v>147673.0074164636</v>
      </c>
      <c r="M45" s="64">
        <f t="shared" si="9"/>
        <v>166132.13334352153</v>
      </c>
      <c r="N45" s="64">
        <f t="shared" si="10"/>
        <v>158221.07937478245</v>
      </c>
      <c r="O45" s="64">
        <f t="shared" si="11"/>
        <v>131850.89947898535</v>
      </c>
      <c r="P45" s="64">
        <f t="shared" si="12"/>
        <v>105480.71958318829</v>
      </c>
      <c r="Q45" s="65">
        <f t="shared" si="3"/>
        <v>962537.21645004908</v>
      </c>
    </row>
    <row r="46" spans="1:17">
      <c r="A46" s="48">
        <v>2049</v>
      </c>
      <c r="B46" s="55">
        <f t="shared" si="0"/>
        <v>2956530.5860730675</v>
      </c>
      <c r="C46" s="55">
        <f t="shared" si="1"/>
        <v>117411.8334199159</v>
      </c>
      <c r="D46" s="55">
        <f t="shared" si="2"/>
        <v>3158376.7810802786</v>
      </c>
      <c r="F46" s="20">
        <v>13</v>
      </c>
      <c r="G46" s="20">
        <v>2034</v>
      </c>
      <c r="H46" s="64">
        <f t="shared" si="4"/>
        <v>1233.9793364775073</v>
      </c>
      <c r="I46" s="64">
        <f t="shared" si="5"/>
        <v>27073.384693018332</v>
      </c>
      <c r="J46" s="64">
        <f t="shared" si="6"/>
        <v>106359.72557971487</v>
      </c>
      <c r="K46" s="64">
        <f t="shared" si="7"/>
        <v>145035.9894268839</v>
      </c>
      <c r="L46" s="64">
        <f t="shared" si="8"/>
        <v>166132.13334352156</v>
      </c>
      <c r="M46" s="64">
        <f t="shared" si="9"/>
        <v>189865.29524973891</v>
      </c>
      <c r="N46" s="64">
        <f t="shared" si="10"/>
        <v>184591.25927057953</v>
      </c>
      <c r="O46" s="64">
        <f t="shared" si="11"/>
        <v>158221.07937478245</v>
      </c>
      <c r="P46" s="64">
        <f t="shared" si="12"/>
        <v>131850.89947898535</v>
      </c>
      <c r="Q46" s="65">
        <f t="shared" si="3"/>
        <v>1110363.7457537022</v>
      </c>
    </row>
    <row r="47" spans="1:17">
      <c r="A47" s="25">
        <v>2050</v>
      </c>
      <c r="B47" s="55">
        <f t="shared" si="0"/>
        <v>2956530.5860730675</v>
      </c>
      <c r="C47" s="55">
        <f t="shared" si="1"/>
        <v>117411.8334199159</v>
      </c>
      <c r="D47" s="55">
        <f t="shared" si="2"/>
        <v>3158376.7810802786</v>
      </c>
      <c r="F47" s="21">
        <v>14</v>
      </c>
      <c r="G47" s="21">
        <v>2035</v>
      </c>
      <c r="H47" s="64">
        <f t="shared" si="4"/>
        <v>1328.900823898854</v>
      </c>
      <c r="I47" s="64">
        <f t="shared" si="5"/>
        <v>29329.500084103191</v>
      </c>
      <c r="J47" s="64">
        <f t="shared" si="6"/>
        <v>116028.79154150712</v>
      </c>
      <c r="K47" s="64">
        <f t="shared" si="7"/>
        <v>159539.5883695723</v>
      </c>
      <c r="L47" s="64">
        <f t="shared" si="8"/>
        <v>184591.25927057953</v>
      </c>
      <c r="M47" s="64">
        <f t="shared" si="9"/>
        <v>213598.45715595628</v>
      </c>
      <c r="N47" s="64">
        <f t="shared" si="10"/>
        <v>210961.43916637657</v>
      </c>
      <c r="O47" s="64">
        <f t="shared" si="11"/>
        <v>184591.25927057953</v>
      </c>
      <c r="P47" s="64">
        <f t="shared" si="12"/>
        <v>158221.07937478245</v>
      </c>
      <c r="Q47" s="65">
        <f t="shared" si="3"/>
        <v>1258190.2750573559</v>
      </c>
    </row>
    <row r="48" spans="1:17">
      <c r="A48" s="48">
        <v>2051</v>
      </c>
      <c r="B48" s="55">
        <f t="shared" si="0"/>
        <v>2956530.5860730675</v>
      </c>
      <c r="C48" s="55">
        <f t="shared" si="1"/>
        <v>117411.8334199159</v>
      </c>
      <c r="D48" s="55">
        <f t="shared" si="2"/>
        <v>3158376.7810802786</v>
      </c>
      <c r="F48" s="21">
        <v>15</v>
      </c>
      <c r="G48" s="20">
        <v>2036</v>
      </c>
      <c r="H48" s="64">
        <f t="shared" si="4"/>
        <v>1423.8223113202007</v>
      </c>
      <c r="I48" s="64">
        <f t="shared" si="5"/>
        <v>31585.615475188053</v>
      </c>
      <c r="J48" s="64">
        <f t="shared" si="6"/>
        <v>125697.85750329938</v>
      </c>
      <c r="K48" s="64">
        <f t="shared" si="7"/>
        <v>174043.18731226068</v>
      </c>
      <c r="L48" s="64">
        <f t="shared" si="8"/>
        <v>203050.38519763749</v>
      </c>
      <c r="M48" s="64">
        <f t="shared" si="9"/>
        <v>237331.61906217365</v>
      </c>
      <c r="N48" s="64">
        <f t="shared" si="10"/>
        <v>237331.61906217365</v>
      </c>
      <c r="O48" s="64">
        <f t="shared" si="11"/>
        <v>210961.43916637657</v>
      </c>
      <c r="P48" s="64">
        <f t="shared" si="12"/>
        <v>184591.25927057953</v>
      </c>
      <c r="Q48" s="65">
        <f t="shared" si="3"/>
        <v>1406016.8043610093</v>
      </c>
    </row>
    <row r="49" spans="1:17">
      <c r="A49" s="25">
        <v>2052</v>
      </c>
      <c r="B49" s="55">
        <f t="shared" si="0"/>
        <v>2956530.5860730675</v>
      </c>
      <c r="C49" s="55">
        <f t="shared" si="1"/>
        <v>117411.8334199159</v>
      </c>
      <c r="D49" s="55">
        <f t="shared" si="2"/>
        <v>3158376.7810802786</v>
      </c>
      <c r="F49" s="20">
        <v>16</v>
      </c>
      <c r="G49" s="21">
        <v>2037</v>
      </c>
      <c r="H49" s="64">
        <f t="shared" si="4"/>
        <v>1518.7437987415474</v>
      </c>
      <c r="I49" s="64">
        <f t="shared" si="5"/>
        <v>33841.730866272912</v>
      </c>
      <c r="J49" s="64">
        <f t="shared" si="6"/>
        <v>135366.92346509165</v>
      </c>
      <c r="K49" s="64">
        <f t="shared" si="7"/>
        <v>188546.78625494908</v>
      </c>
      <c r="L49" s="64">
        <f t="shared" si="8"/>
        <v>221509.51112469542</v>
      </c>
      <c r="M49" s="64">
        <f t="shared" si="9"/>
        <v>261064.78096839102</v>
      </c>
      <c r="N49" s="64">
        <f t="shared" si="10"/>
        <v>263701.79895797069</v>
      </c>
      <c r="O49" s="64">
        <f t="shared" si="11"/>
        <v>237331.61906217365</v>
      </c>
      <c r="P49" s="64">
        <f t="shared" si="12"/>
        <v>210961.43916637657</v>
      </c>
      <c r="Q49" s="65">
        <f t="shared" si="3"/>
        <v>1553843.3336646624</v>
      </c>
    </row>
    <row r="50" spans="1:17">
      <c r="A50" s="25">
        <v>2053</v>
      </c>
      <c r="B50" s="55">
        <f t="shared" si="0"/>
        <v>2956530.5860730675</v>
      </c>
      <c r="C50" s="55">
        <f t="shared" si="1"/>
        <v>117411.8334199159</v>
      </c>
      <c r="D50" s="55">
        <f t="shared" si="2"/>
        <v>3158376.7810802786</v>
      </c>
      <c r="F50" s="21">
        <v>17</v>
      </c>
      <c r="G50" s="20">
        <v>2038</v>
      </c>
      <c r="H50" s="64">
        <f t="shared" si="4"/>
        <v>1613.6652861628941</v>
      </c>
      <c r="I50" s="64">
        <f t="shared" si="5"/>
        <v>36097.846257357778</v>
      </c>
      <c r="J50" s="64">
        <f t="shared" si="6"/>
        <v>145035.9894268839</v>
      </c>
      <c r="K50" s="64">
        <f t="shared" si="7"/>
        <v>203050.38519763749</v>
      </c>
      <c r="L50" s="64">
        <f t="shared" si="8"/>
        <v>239968.63705175335</v>
      </c>
      <c r="M50" s="64">
        <f t="shared" si="9"/>
        <v>284797.94287460833</v>
      </c>
      <c r="N50" s="64">
        <f t="shared" si="10"/>
        <v>290071.9788537678</v>
      </c>
      <c r="O50" s="64">
        <f t="shared" si="11"/>
        <v>263701.79895797069</v>
      </c>
      <c r="P50" s="64">
        <f t="shared" si="12"/>
        <v>237331.61906217365</v>
      </c>
      <c r="Q50" s="65">
        <f t="shared" si="3"/>
        <v>1701669.8629683158</v>
      </c>
    </row>
    <row r="51" spans="1:17">
      <c r="A51" s="48">
        <v>2054</v>
      </c>
      <c r="B51" s="55">
        <f t="shared" si="0"/>
        <v>2956530.5860730675</v>
      </c>
      <c r="C51" s="55">
        <f t="shared" si="1"/>
        <v>117411.8334199159</v>
      </c>
      <c r="D51" s="55">
        <f t="shared" si="2"/>
        <v>3158376.7810802786</v>
      </c>
      <c r="F51" s="20">
        <v>18</v>
      </c>
      <c r="G51" s="21">
        <v>2039</v>
      </c>
      <c r="H51" s="64">
        <f t="shared" si="4"/>
        <v>1708.5867735842407</v>
      </c>
      <c r="I51" s="64">
        <f t="shared" si="5"/>
        <v>38353.961648442637</v>
      </c>
      <c r="J51" s="64">
        <f t="shared" si="6"/>
        <v>154705.05538867618</v>
      </c>
      <c r="K51" s="64">
        <f t="shared" si="7"/>
        <v>217553.98414032583</v>
      </c>
      <c r="L51" s="64">
        <f t="shared" si="8"/>
        <v>258427.76297881131</v>
      </c>
      <c r="M51" s="64">
        <f t="shared" si="9"/>
        <v>308531.10478082573</v>
      </c>
      <c r="N51" s="64">
        <f t="shared" si="10"/>
        <v>316442.1587495649</v>
      </c>
      <c r="O51" s="64">
        <f t="shared" si="11"/>
        <v>290071.9788537678</v>
      </c>
      <c r="P51" s="64">
        <f t="shared" si="12"/>
        <v>263701.79895797069</v>
      </c>
      <c r="Q51" s="65">
        <f t="shared" si="3"/>
        <v>1849496.3922719692</v>
      </c>
    </row>
    <row r="52" spans="1:17">
      <c r="A52" s="25">
        <v>2055</v>
      </c>
      <c r="B52" s="55">
        <f t="shared" si="0"/>
        <v>2956530.5860730675</v>
      </c>
      <c r="C52" s="55">
        <f t="shared" si="1"/>
        <v>117411.8334199159</v>
      </c>
      <c r="D52" s="55">
        <f t="shared" si="2"/>
        <v>3158376.7810802786</v>
      </c>
      <c r="F52" s="21">
        <v>19</v>
      </c>
      <c r="G52" s="21">
        <v>2040</v>
      </c>
      <c r="H52" s="64">
        <f t="shared" si="4"/>
        <v>1803.5082610055874</v>
      </c>
      <c r="I52" s="64">
        <f t="shared" si="5"/>
        <v>40610.077039527496</v>
      </c>
      <c r="J52" s="64">
        <f t="shared" si="6"/>
        <v>164374.12135046843</v>
      </c>
      <c r="K52" s="64">
        <f t="shared" si="7"/>
        <v>232057.58308301424</v>
      </c>
      <c r="L52" s="64">
        <f t="shared" si="8"/>
        <v>276886.88890586927</v>
      </c>
      <c r="M52" s="64">
        <f t="shared" si="9"/>
        <v>332264.26668704307</v>
      </c>
      <c r="N52" s="64">
        <f t="shared" si="10"/>
        <v>342812.33864536195</v>
      </c>
      <c r="O52" s="64">
        <f t="shared" si="11"/>
        <v>316442.1587495649</v>
      </c>
      <c r="P52" s="64">
        <f t="shared" si="12"/>
        <v>290071.9788537678</v>
      </c>
      <c r="Q52" s="65">
        <f t="shared" si="3"/>
        <v>1997322.9215756226</v>
      </c>
    </row>
    <row r="53" spans="1:17">
      <c r="A53" s="25">
        <v>2056</v>
      </c>
      <c r="B53" s="55">
        <f t="shared" si="0"/>
        <v>2956530.5860730675</v>
      </c>
      <c r="C53" s="55">
        <f t="shared" si="1"/>
        <v>117411.8334199159</v>
      </c>
      <c r="D53" s="55">
        <f t="shared" si="2"/>
        <v>3158376.7810802786</v>
      </c>
      <c r="F53" s="20">
        <v>20</v>
      </c>
      <c r="G53" s="20">
        <v>2041</v>
      </c>
      <c r="H53" s="64">
        <f t="shared" si="4"/>
        <v>1898.4297484269341</v>
      </c>
      <c r="I53" s="64">
        <f t="shared" si="5"/>
        <v>42866.192430612362</v>
      </c>
      <c r="J53" s="64">
        <f t="shared" si="6"/>
        <v>174043.18731226071</v>
      </c>
      <c r="K53" s="64">
        <f t="shared" si="7"/>
        <v>246561.18202570264</v>
      </c>
      <c r="L53" s="64">
        <f t="shared" si="8"/>
        <v>295346.01483292721</v>
      </c>
      <c r="M53" s="64">
        <f t="shared" si="9"/>
        <v>355997.42859326047</v>
      </c>
      <c r="N53" s="64">
        <f t="shared" si="10"/>
        <v>369182.51854115905</v>
      </c>
      <c r="O53" s="64">
        <f t="shared" si="11"/>
        <v>342812.33864536195</v>
      </c>
      <c r="P53" s="64">
        <f t="shared" si="12"/>
        <v>316442.1587495649</v>
      </c>
      <c r="Q53" s="65">
        <f t="shared" si="3"/>
        <v>2145149.4508792763</v>
      </c>
    </row>
    <row r="54" spans="1:17">
      <c r="A54" s="48">
        <v>2057</v>
      </c>
      <c r="B54" s="55">
        <f t="shared" si="0"/>
        <v>2956530.5860730675</v>
      </c>
      <c r="C54" s="55">
        <f t="shared" si="1"/>
        <v>117411.8334199159</v>
      </c>
      <c r="D54" s="55">
        <f t="shared" si="2"/>
        <v>3158376.7810802786</v>
      </c>
      <c r="F54" s="20">
        <v>20</v>
      </c>
      <c r="G54" s="21">
        <v>2042</v>
      </c>
      <c r="H54" s="64">
        <f t="shared" si="4"/>
        <v>1898.4297484269341</v>
      </c>
      <c r="I54" s="64">
        <f t="shared" si="5"/>
        <v>45122.307821697221</v>
      </c>
      <c r="J54" s="64">
        <f t="shared" si="6"/>
        <v>183712.25327405296</v>
      </c>
      <c r="K54" s="64">
        <f t="shared" si="7"/>
        <v>261064.78096839102</v>
      </c>
      <c r="L54" s="64">
        <f t="shared" si="8"/>
        <v>313805.14075998514</v>
      </c>
      <c r="M54" s="64">
        <f t="shared" si="9"/>
        <v>379730.59049947781</v>
      </c>
      <c r="N54" s="64">
        <f t="shared" si="10"/>
        <v>395552.6984369561</v>
      </c>
      <c r="O54" s="64">
        <f t="shared" si="11"/>
        <v>369182.51854115905</v>
      </c>
      <c r="P54" s="64">
        <f t="shared" si="12"/>
        <v>342812.33864536195</v>
      </c>
      <c r="Q54" s="65">
        <f t="shared" si="3"/>
        <v>2292881.0586955082</v>
      </c>
    </row>
    <row r="55" spans="1:17">
      <c r="A55" s="25">
        <v>2058</v>
      </c>
      <c r="B55" s="55">
        <f t="shared" si="0"/>
        <v>2956530.5860730675</v>
      </c>
      <c r="C55" s="55">
        <f t="shared" si="1"/>
        <v>117411.8334199159</v>
      </c>
      <c r="D55" s="55">
        <f t="shared" si="2"/>
        <v>3158376.7810802786</v>
      </c>
      <c r="F55" s="20">
        <v>20</v>
      </c>
      <c r="G55" s="20">
        <v>2043</v>
      </c>
      <c r="H55" s="64">
        <f t="shared" si="4"/>
        <v>1898.4297484269341</v>
      </c>
      <c r="I55" s="64">
        <f t="shared" si="5"/>
        <v>45122.307821697221</v>
      </c>
      <c r="J55" s="64">
        <f t="shared" si="6"/>
        <v>193381.31923584524</v>
      </c>
      <c r="K55" s="64">
        <f t="shared" si="7"/>
        <v>275568.37991107942</v>
      </c>
      <c r="L55" s="64">
        <f t="shared" si="8"/>
        <v>332264.26668704313</v>
      </c>
      <c r="M55" s="64">
        <f t="shared" si="9"/>
        <v>403463.75240569515</v>
      </c>
      <c r="N55" s="64">
        <f t="shared" si="10"/>
        <v>421922.87833275314</v>
      </c>
      <c r="O55" s="64">
        <f t="shared" si="11"/>
        <v>395552.6984369561</v>
      </c>
      <c r="P55" s="64">
        <f t="shared" si="12"/>
        <v>369182.51854115905</v>
      </c>
      <c r="Q55" s="65">
        <f t="shared" si="3"/>
        <v>2438356.5511206556</v>
      </c>
    </row>
    <row r="56" spans="1:17">
      <c r="A56" s="25">
        <v>2059</v>
      </c>
      <c r="B56" s="55">
        <f t="shared" si="0"/>
        <v>2956530.5860730675</v>
      </c>
      <c r="C56" s="55">
        <f t="shared" si="1"/>
        <v>117411.8334199159</v>
      </c>
      <c r="D56" s="55">
        <f t="shared" si="2"/>
        <v>3158376.7810802786</v>
      </c>
      <c r="F56" s="20">
        <v>20</v>
      </c>
      <c r="G56" s="21">
        <v>2044</v>
      </c>
      <c r="H56" s="64">
        <f t="shared" si="4"/>
        <v>1898.4297484269341</v>
      </c>
      <c r="I56" s="64">
        <f t="shared" si="5"/>
        <v>45122.307821697221</v>
      </c>
      <c r="J56" s="64">
        <f t="shared" si="6"/>
        <v>193381.31923584524</v>
      </c>
      <c r="K56" s="64">
        <f t="shared" si="7"/>
        <v>290071.9788537678</v>
      </c>
      <c r="L56" s="64">
        <f t="shared" si="8"/>
        <v>350723.39261410112</v>
      </c>
      <c r="M56" s="64">
        <f t="shared" si="9"/>
        <v>427196.91431191255</v>
      </c>
      <c r="N56" s="64">
        <f t="shared" si="10"/>
        <v>448293.05822855025</v>
      </c>
      <c r="O56" s="64">
        <f t="shared" si="11"/>
        <v>421922.87833275314</v>
      </c>
      <c r="P56" s="64">
        <f t="shared" si="12"/>
        <v>395552.6984369561</v>
      </c>
      <c r="Q56" s="65">
        <f t="shared" si="3"/>
        <v>2574162.97758401</v>
      </c>
    </row>
    <row r="57" spans="1:17">
      <c r="A57" s="48">
        <v>2060</v>
      </c>
      <c r="B57" s="55">
        <f t="shared" si="0"/>
        <v>2956530.5860730675</v>
      </c>
      <c r="C57" s="55">
        <f t="shared" si="1"/>
        <v>117411.8334199159</v>
      </c>
      <c r="D57" s="55">
        <f t="shared" si="2"/>
        <v>3158376.7810802786</v>
      </c>
      <c r="F57" s="20">
        <v>20</v>
      </c>
      <c r="G57" s="20">
        <v>2045</v>
      </c>
      <c r="H57" s="64">
        <f t="shared" si="4"/>
        <v>1898.4297484269341</v>
      </c>
      <c r="I57" s="64">
        <f t="shared" si="5"/>
        <v>45122.307821697221</v>
      </c>
      <c r="J57" s="64">
        <f t="shared" si="6"/>
        <v>193381.31923584524</v>
      </c>
      <c r="K57" s="64">
        <f t="shared" si="7"/>
        <v>290071.9788537678</v>
      </c>
      <c r="L57" s="64">
        <f t="shared" si="8"/>
        <v>369182.51854115905</v>
      </c>
      <c r="M57" s="64">
        <f t="shared" si="9"/>
        <v>450930.07621812989</v>
      </c>
      <c r="N57" s="64">
        <f t="shared" si="10"/>
        <v>474663.23812434729</v>
      </c>
      <c r="O57" s="64">
        <f t="shared" si="11"/>
        <v>448293.05822855025</v>
      </c>
      <c r="P57" s="64">
        <f t="shared" si="12"/>
        <v>421922.87833275314</v>
      </c>
      <c r="Q57" s="65">
        <f t="shared" si="3"/>
        <v>2695465.8051046771</v>
      </c>
    </row>
    <row r="58" spans="1:17">
      <c r="A58" s="25">
        <v>2061</v>
      </c>
      <c r="B58" s="55">
        <f t="shared" si="0"/>
        <v>2956530.5860730675</v>
      </c>
      <c r="C58" s="55">
        <f t="shared" si="1"/>
        <v>117411.8334199159</v>
      </c>
      <c r="D58" s="55">
        <f t="shared" si="2"/>
        <v>3158376.7810802786</v>
      </c>
      <c r="F58" s="20">
        <v>20</v>
      </c>
      <c r="G58" s="21">
        <v>2046</v>
      </c>
      <c r="H58" s="64">
        <f t="shared" si="4"/>
        <v>1898.4297484269341</v>
      </c>
      <c r="I58" s="64">
        <f t="shared" si="5"/>
        <v>45122.307821697221</v>
      </c>
      <c r="J58" s="64">
        <f t="shared" si="6"/>
        <v>193381.31923584524</v>
      </c>
      <c r="K58" s="64">
        <f t="shared" si="7"/>
        <v>290071.9788537678</v>
      </c>
      <c r="L58" s="64">
        <f t="shared" si="8"/>
        <v>369182.51854115905</v>
      </c>
      <c r="M58" s="64">
        <f t="shared" si="9"/>
        <v>474663.23812434729</v>
      </c>
      <c r="N58" s="64">
        <f t="shared" si="10"/>
        <v>501033.41802014434</v>
      </c>
      <c r="O58" s="64">
        <f t="shared" si="11"/>
        <v>474663.23812434729</v>
      </c>
      <c r="P58" s="64">
        <f t="shared" si="12"/>
        <v>448293.05822855025</v>
      </c>
      <c r="Q58" s="65">
        <f t="shared" si="3"/>
        <v>2798309.5066982852</v>
      </c>
    </row>
    <row r="59" spans="1:17">
      <c r="F59" s="20">
        <v>20</v>
      </c>
      <c r="G59" s="20">
        <v>2047</v>
      </c>
      <c r="H59" s="64">
        <f t="shared" si="4"/>
        <v>1898.4297484269341</v>
      </c>
      <c r="I59" s="64">
        <f t="shared" si="5"/>
        <v>45122.307821697221</v>
      </c>
      <c r="J59" s="64">
        <f t="shared" si="6"/>
        <v>193381.31923584524</v>
      </c>
      <c r="K59" s="64">
        <f t="shared" si="7"/>
        <v>290071.9788537678</v>
      </c>
      <c r="L59" s="64">
        <f t="shared" si="8"/>
        <v>369182.51854115905</v>
      </c>
      <c r="M59" s="64">
        <f t="shared" si="9"/>
        <v>474663.23812434729</v>
      </c>
      <c r="N59" s="64">
        <f t="shared" si="10"/>
        <v>527403.59791594138</v>
      </c>
      <c r="O59" s="64">
        <f t="shared" si="11"/>
        <v>501033.41802014434</v>
      </c>
      <c r="P59" s="64">
        <f t="shared" si="12"/>
        <v>474663.23812434729</v>
      </c>
      <c r="Q59" s="65">
        <f t="shared" si="3"/>
        <v>2877420.0463856766</v>
      </c>
    </row>
    <row r="60" spans="1:17">
      <c r="F60" s="20">
        <v>20</v>
      </c>
      <c r="G60" s="21">
        <v>2048</v>
      </c>
      <c r="H60" s="64">
        <f t="shared" si="4"/>
        <v>1898.4297484269341</v>
      </c>
      <c r="I60" s="64">
        <f t="shared" si="5"/>
        <v>45122.307821697221</v>
      </c>
      <c r="J60" s="64">
        <f t="shared" si="6"/>
        <v>193381.31923584524</v>
      </c>
      <c r="K60" s="64">
        <f t="shared" si="7"/>
        <v>290071.9788537678</v>
      </c>
      <c r="L60" s="64">
        <f t="shared" si="8"/>
        <v>369182.51854115905</v>
      </c>
      <c r="M60" s="64">
        <f t="shared" si="9"/>
        <v>474663.23812434729</v>
      </c>
      <c r="N60" s="64">
        <f t="shared" si="10"/>
        <v>527403.59791594138</v>
      </c>
      <c r="O60" s="64">
        <f t="shared" si="11"/>
        <v>527403.59791594138</v>
      </c>
      <c r="P60" s="64">
        <f t="shared" si="12"/>
        <v>501033.41802014434</v>
      </c>
      <c r="Q60" s="65">
        <f t="shared" si="3"/>
        <v>2930160.4061772702</v>
      </c>
    </row>
    <row r="61" spans="1:17">
      <c r="F61" s="20">
        <v>20</v>
      </c>
      <c r="G61" s="21">
        <v>2049</v>
      </c>
      <c r="H61" s="64">
        <f t="shared" si="4"/>
        <v>1898.4297484269341</v>
      </c>
      <c r="I61" s="64">
        <f t="shared" si="5"/>
        <v>45122.307821697221</v>
      </c>
      <c r="J61" s="64">
        <f t="shared" si="6"/>
        <v>193381.31923584524</v>
      </c>
      <c r="K61" s="64">
        <f t="shared" si="7"/>
        <v>290071.9788537678</v>
      </c>
      <c r="L61" s="64">
        <f t="shared" si="8"/>
        <v>369182.51854115905</v>
      </c>
      <c r="M61" s="64">
        <f t="shared" si="9"/>
        <v>474663.23812434729</v>
      </c>
      <c r="N61" s="64">
        <f t="shared" si="10"/>
        <v>527403.59791594138</v>
      </c>
      <c r="O61" s="64">
        <f t="shared" si="11"/>
        <v>527403.59791594138</v>
      </c>
      <c r="P61" s="64">
        <f t="shared" si="12"/>
        <v>527403.59791594138</v>
      </c>
      <c r="Q61" s="65">
        <f t="shared" si="3"/>
        <v>2956530.5860730675</v>
      </c>
    </row>
    <row r="62" spans="1:17">
      <c r="F62" s="20">
        <v>20</v>
      </c>
      <c r="G62" s="20">
        <v>2050</v>
      </c>
      <c r="H62" s="64">
        <f t="shared" si="4"/>
        <v>1898.4297484269341</v>
      </c>
      <c r="I62" s="64">
        <f t="shared" si="5"/>
        <v>45122.307821697221</v>
      </c>
      <c r="J62" s="64">
        <f t="shared" si="6"/>
        <v>193381.31923584524</v>
      </c>
      <c r="K62" s="64">
        <f t="shared" si="7"/>
        <v>290071.9788537678</v>
      </c>
      <c r="L62" s="64">
        <f t="shared" si="8"/>
        <v>369182.51854115905</v>
      </c>
      <c r="M62" s="64">
        <f t="shared" si="9"/>
        <v>474663.23812434729</v>
      </c>
      <c r="N62" s="64">
        <f t="shared" si="10"/>
        <v>527403.59791594138</v>
      </c>
      <c r="O62" s="64">
        <f t="shared" si="11"/>
        <v>527403.59791594138</v>
      </c>
      <c r="P62" s="64">
        <f t="shared" si="12"/>
        <v>527403.59791594138</v>
      </c>
      <c r="Q62" s="65">
        <f t="shared" si="3"/>
        <v>2956530.5860730675</v>
      </c>
    </row>
    <row r="63" spans="1:17">
      <c r="F63" s="20">
        <v>20</v>
      </c>
      <c r="G63" s="21">
        <v>2051</v>
      </c>
      <c r="H63" s="64">
        <f t="shared" si="4"/>
        <v>1898.4297484269341</v>
      </c>
      <c r="I63" s="64">
        <f t="shared" si="5"/>
        <v>45122.307821697221</v>
      </c>
      <c r="J63" s="64">
        <f t="shared" si="6"/>
        <v>193381.31923584524</v>
      </c>
      <c r="K63" s="64">
        <f t="shared" si="7"/>
        <v>290071.9788537678</v>
      </c>
      <c r="L63" s="64">
        <f t="shared" si="8"/>
        <v>369182.51854115905</v>
      </c>
      <c r="M63" s="64">
        <f t="shared" si="9"/>
        <v>474663.23812434729</v>
      </c>
      <c r="N63" s="64">
        <f t="shared" si="10"/>
        <v>527403.59791594138</v>
      </c>
      <c r="O63" s="64">
        <f t="shared" si="11"/>
        <v>527403.59791594138</v>
      </c>
      <c r="P63" s="64">
        <f t="shared" si="12"/>
        <v>527403.59791594138</v>
      </c>
      <c r="Q63" s="65">
        <f t="shared" si="3"/>
        <v>2956530.5860730675</v>
      </c>
    </row>
    <row r="64" spans="1:17">
      <c r="F64" s="20">
        <v>20</v>
      </c>
      <c r="G64" s="20">
        <v>2052</v>
      </c>
      <c r="H64" s="64">
        <f t="shared" si="4"/>
        <v>1898.4297484269341</v>
      </c>
      <c r="I64" s="64">
        <f t="shared" si="5"/>
        <v>45122.307821697221</v>
      </c>
      <c r="J64" s="64">
        <f t="shared" si="6"/>
        <v>193381.31923584524</v>
      </c>
      <c r="K64" s="64">
        <f t="shared" si="7"/>
        <v>290071.9788537678</v>
      </c>
      <c r="L64" s="64">
        <f t="shared" si="8"/>
        <v>369182.51854115905</v>
      </c>
      <c r="M64" s="64">
        <f t="shared" si="9"/>
        <v>474663.23812434729</v>
      </c>
      <c r="N64" s="64">
        <f t="shared" si="10"/>
        <v>527403.59791594138</v>
      </c>
      <c r="O64" s="64">
        <f t="shared" si="11"/>
        <v>527403.59791594138</v>
      </c>
      <c r="P64" s="64">
        <f t="shared" si="12"/>
        <v>527403.59791594138</v>
      </c>
      <c r="Q64" s="65">
        <f t="shared" si="3"/>
        <v>2956530.5860730675</v>
      </c>
    </row>
    <row r="65" spans="6:17">
      <c r="F65" s="20">
        <v>20</v>
      </c>
      <c r="G65" s="21">
        <v>2053</v>
      </c>
      <c r="H65" s="64">
        <f t="shared" si="4"/>
        <v>1898.4297484269341</v>
      </c>
      <c r="I65" s="64">
        <f t="shared" si="5"/>
        <v>45122.307821697221</v>
      </c>
      <c r="J65" s="64">
        <f t="shared" si="6"/>
        <v>193381.31923584524</v>
      </c>
      <c r="K65" s="64">
        <f t="shared" si="7"/>
        <v>290071.9788537678</v>
      </c>
      <c r="L65" s="64">
        <f t="shared" si="8"/>
        <v>369182.51854115905</v>
      </c>
      <c r="M65" s="64">
        <f t="shared" si="9"/>
        <v>474663.23812434729</v>
      </c>
      <c r="N65" s="64">
        <f t="shared" si="10"/>
        <v>527403.59791594138</v>
      </c>
      <c r="O65" s="64">
        <f t="shared" si="11"/>
        <v>527403.59791594138</v>
      </c>
      <c r="P65" s="64">
        <f t="shared" si="12"/>
        <v>527403.59791594138</v>
      </c>
      <c r="Q65" s="65">
        <f t="shared" si="3"/>
        <v>2956530.5860730675</v>
      </c>
    </row>
    <row r="66" spans="6:17">
      <c r="F66" s="20">
        <v>20</v>
      </c>
      <c r="G66" s="20">
        <v>2054</v>
      </c>
      <c r="H66" s="64">
        <f t="shared" si="4"/>
        <v>1898.4297484269341</v>
      </c>
      <c r="I66" s="64">
        <f t="shared" si="5"/>
        <v>45122.307821697221</v>
      </c>
      <c r="J66" s="64">
        <f t="shared" si="6"/>
        <v>193381.31923584524</v>
      </c>
      <c r="K66" s="64">
        <f t="shared" si="7"/>
        <v>290071.9788537678</v>
      </c>
      <c r="L66" s="64">
        <f t="shared" si="8"/>
        <v>369182.51854115905</v>
      </c>
      <c r="M66" s="64">
        <f t="shared" si="9"/>
        <v>474663.23812434729</v>
      </c>
      <c r="N66" s="64">
        <f t="shared" si="10"/>
        <v>527403.59791594138</v>
      </c>
      <c r="O66" s="64">
        <f t="shared" si="11"/>
        <v>527403.59791594138</v>
      </c>
      <c r="P66" s="64">
        <f t="shared" si="12"/>
        <v>527403.59791594138</v>
      </c>
      <c r="Q66" s="65">
        <f t="shared" si="3"/>
        <v>2956530.5860730675</v>
      </c>
    </row>
    <row r="67" spans="6:17">
      <c r="F67" s="20">
        <v>20</v>
      </c>
      <c r="G67" s="21">
        <v>2055</v>
      </c>
      <c r="H67" s="64">
        <f t="shared" si="4"/>
        <v>1898.4297484269341</v>
      </c>
      <c r="I67" s="64">
        <f t="shared" si="5"/>
        <v>45122.307821697221</v>
      </c>
      <c r="J67" s="64">
        <f t="shared" si="6"/>
        <v>193381.31923584524</v>
      </c>
      <c r="K67" s="64">
        <f t="shared" si="7"/>
        <v>290071.9788537678</v>
      </c>
      <c r="L67" s="64">
        <f t="shared" si="8"/>
        <v>369182.51854115905</v>
      </c>
      <c r="M67" s="64">
        <f t="shared" si="9"/>
        <v>474663.23812434729</v>
      </c>
      <c r="N67" s="64">
        <f t="shared" si="10"/>
        <v>527403.59791594138</v>
      </c>
      <c r="O67" s="64">
        <f t="shared" si="11"/>
        <v>527403.59791594138</v>
      </c>
      <c r="P67" s="64">
        <f t="shared" si="12"/>
        <v>527403.59791594138</v>
      </c>
      <c r="Q67" s="65">
        <f t="shared" si="3"/>
        <v>2956530.5860730675</v>
      </c>
    </row>
    <row r="68" spans="6:17">
      <c r="F68" s="20">
        <v>20</v>
      </c>
      <c r="G68" s="20">
        <v>2056</v>
      </c>
      <c r="H68" s="64">
        <f t="shared" si="4"/>
        <v>1898.4297484269341</v>
      </c>
      <c r="I68" s="64">
        <f t="shared" si="5"/>
        <v>45122.307821697221</v>
      </c>
      <c r="J68" s="64">
        <f t="shared" si="6"/>
        <v>193381.31923584524</v>
      </c>
      <c r="K68" s="64">
        <f t="shared" si="7"/>
        <v>290071.9788537678</v>
      </c>
      <c r="L68" s="64">
        <f t="shared" si="8"/>
        <v>369182.51854115905</v>
      </c>
      <c r="M68" s="64">
        <f t="shared" si="9"/>
        <v>474663.23812434729</v>
      </c>
      <c r="N68" s="64">
        <f t="shared" si="10"/>
        <v>527403.59791594138</v>
      </c>
      <c r="O68" s="64">
        <f t="shared" si="11"/>
        <v>527403.59791594138</v>
      </c>
      <c r="P68" s="64">
        <f t="shared" si="12"/>
        <v>527403.59791594138</v>
      </c>
      <c r="Q68" s="65">
        <f t="shared" si="3"/>
        <v>2956530.5860730675</v>
      </c>
    </row>
    <row r="69" spans="6:17">
      <c r="F69" s="20">
        <v>20</v>
      </c>
      <c r="G69" s="21">
        <v>2057</v>
      </c>
      <c r="H69" s="64">
        <f t="shared" si="4"/>
        <v>1898.4297484269341</v>
      </c>
      <c r="I69" s="64">
        <f t="shared" si="5"/>
        <v>45122.307821697221</v>
      </c>
      <c r="J69" s="64">
        <f t="shared" si="6"/>
        <v>193381.31923584524</v>
      </c>
      <c r="K69" s="64">
        <f t="shared" si="7"/>
        <v>290071.9788537678</v>
      </c>
      <c r="L69" s="64">
        <f t="shared" si="8"/>
        <v>369182.51854115905</v>
      </c>
      <c r="M69" s="64">
        <f t="shared" si="9"/>
        <v>474663.23812434729</v>
      </c>
      <c r="N69" s="64">
        <f t="shared" si="10"/>
        <v>527403.59791594138</v>
      </c>
      <c r="O69" s="64">
        <f t="shared" si="11"/>
        <v>527403.59791594138</v>
      </c>
      <c r="P69" s="64">
        <f t="shared" si="12"/>
        <v>527403.59791594138</v>
      </c>
      <c r="Q69" s="65">
        <f t="shared" si="3"/>
        <v>2956530.5860730675</v>
      </c>
    </row>
    <row r="70" spans="6:17">
      <c r="F70" s="20">
        <v>20</v>
      </c>
      <c r="G70" s="20">
        <v>2058</v>
      </c>
      <c r="H70" s="64">
        <f t="shared" si="4"/>
        <v>1898.4297484269341</v>
      </c>
      <c r="I70" s="64">
        <f t="shared" si="5"/>
        <v>45122.307821697221</v>
      </c>
      <c r="J70" s="64">
        <f t="shared" si="6"/>
        <v>193381.31923584524</v>
      </c>
      <c r="K70" s="64">
        <f t="shared" si="7"/>
        <v>290071.9788537678</v>
      </c>
      <c r="L70" s="64">
        <f t="shared" si="8"/>
        <v>369182.51854115905</v>
      </c>
      <c r="M70" s="64">
        <f t="shared" si="9"/>
        <v>474663.23812434729</v>
      </c>
      <c r="N70" s="64">
        <f t="shared" si="10"/>
        <v>527403.59791594138</v>
      </c>
      <c r="O70" s="64">
        <f t="shared" si="11"/>
        <v>527403.59791594138</v>
      </c>
      <c r="P70" s="64">
        <f t="shared" si="12"/>
        <v>527403.59791594138</v>
      </c>
      <c r="Q70" s="65">
        <f t="shared" si="3"/>
        <v>2956530.5860730675</v>
      </c>
    </row>
    <row r="71" spans="6:17">
      <c r="F71" s="20">
        <v>20</v>
      </c>
      <c r="G71" s="21">
        <v>2059</v>
      </c>
      <c r="H71" s="64">
        <f t="shared" si="4"/>
        <v>1898.4297484269341</v>
      </c>
      <c r="I71" s="64">
        <f t="shared" si="5"/>
        <v>45122.307821697221</v>
      </c>
      <c r="J71" s="64">
        <f t="shared" si="6"/>
        <v>193381.31923584524</v>
      </c>
      <c r="K71" s="64">
        <f t="shared" si="7"/>
        <v>290071.9788537678</v>
      </c>
      <c r="L71" s="64">
        <f t="shared" si="8"/>
        <v>369182.51854115905</v>
      </c>
      <c r="M71" s="64">
        <f t="shared" si="9"/>
        <v>474663.23812434729</v>
      </c>
      <c r="N71" s="64">
        <f t="shared" si="10"/>
        <v>527403.59791594138</v>
      </c>
      <c r="O71" s="64">
        <f t="shared" si="11"/>
        <v>527403.59791594138</v>
      </c>
      <c r="P71" s="64">
        <f t="shared" si="12"/>
        <v>527403.59791594138</v>
      </c>
      <c r="Q71" s="65">
        <f t="shared" si="3"/>
        <v>2956530.5860730675</v>
      </c>
    </row>
    <row r="72" spans="6:17">
      <c r="F72" s="20">
        <v>20</v>
      </c>
      <c r="G72" s="20">
        <v>2060</v>
      </c>
      <c r="H72" s="64">
        <f t="shared" si="4"/>
        <v>1898.4297484269341</v>
      </c>
      <c r="I72" s="64">
        <f t="shared" si="5"/>
        <v>45122.307821697221</v>
      </c>
      <c r="J72" s="64">
        <f t="shared" si="6"/>
        <v>193381.31923584524</v>
      </c>
      <c r="K72" s="64">
        <f t="shared" si="7"/>
        <v>290071.9788537678</v>
      </c>
      <c r="L72" s="64">
        <f t="shared" si="8"/>
        <v>369182.51854115905</v>
      </c>
      <c r="M72" s="64">
        <f t="shared" si="9"/>
        <v>474663.23812434729</v>
      </c>
      <c r="N72" s="64">
        <f t="shared" si="10"/>
        <v>527403.59791594138</v>
      </c>
      <c r="O72" s="64">
        <f t="shared" si="11"/>
        <v>527403.59791594138</v>
      </c>
      <c r="P72" s="64">
        <f t="shared" si="12"/>
        <v>527403.59791594138</v>
      </c>
      <c r="Q72" s="65">
        <f t="shared" si="3"/>
        <v>2956530.5860730675</v>
      </c>
    </row>
    <row r="73" spans="6:17">
      <c r="F73" s="20">
        <v>20</v>
      </c>
      <c r="G73" s="21">
        <v>2061</v>
      </c>
      <c r="H73" s="64">
        <f t="shared" si="4"/>
        <v>1898.4297484269341</v>
      </c>
      <c r="I73" s="64">
        <f t="shared" si="5"/>
        <v>45122.307821697221</v>
      </c>
      <c r="J73" s="64">
        <f t="shared" si="6"/>
        <v>193381.31923584524</v>
      </c>
      <c r="K73" s="64">
        <f t="shared" si="7"/>
        <v>290071.9788537678</v>
      </c>
      <c r="L73" s="64">
        <f t="shared" si="8"/>
        <v>369182.51854115905</v>
      </c>
      <c r="M73" s="64">
        <f t="shared" si="9"/>
        <v>474663.23812434729</v>
      </c>
      <c r="N73" s="64">
        <f t="shared" si="10"/>
        <v>527403.59791594138</v>
      </c>
      <c r="O73" s="64">
        <f t="shared" si="11"/>
        <v>527403.59791594138</v>
      </c>
      <c r="P73" s="64">
        <f t="shared" si="12"/>
        <v>527403.59791594138</v>
      </c>
      <c r="Q73" s="65">
        <f t="shared" si="3"/>
        <v>2956530.5860730675</v>
      </c>
    </row>
    <row r="75" spans="6:17">
      <c r="F75" s="60" t="s">
        <v>77</v>
      </c>
      <c r="G75" s="61"/>
      <c r="H75" s="62" cm="1">
        <f t="array" ref="H75:P75">+TRANSPOSE(C8:C16)</f>
        <v>2.4874000000000001</v>
      </c>
      <c r="I75" s="62">
        <v>59.121086028435364</v>
      </c>
      <c r="J75" s="62">
        <v>253.37608297900869</v>
      </c>
      <c r="K75" s="62">
        <v>380.06412446851306</v>
      </c>
      <c r="L75" s="62">
        <v>483.7179765962893</v>
      </c>
      <c r="M75" s="62">
        <v>621.9231127666576</v>
      </c>
      <c r="N75" s="62">
        <v>691.0256808518418</v>
      </c>
      <c r="O75" s="62">
        <v>691.0256808518418</v>
      </c>
      <c r="P75" s="62">
        <v>691.0256808518418</v>
      </c>
      <c r="Q75" s="63" t="s">
        <v>57</v>
      </c>
    </row>
    <row r="76" spans="6:17">
      <c r="F76" s="21">
        <v>1</v>
      </c>
      <c r="G76" s="21">
        <v>2022</v>
      </c>
      <c r="H76" s="64">
        <f t="shared" ref="H76:H115" si="13">+H$75*$F76*$C$6</f>
        <v>3.7695892346200019</v>
      </c>
      <c r="Q76" s="65">
        <f>+SUM(H76:P76)</f>
        <v>3.7695892346200019</v>
      </c>
    </row>
    <row r="77" spans="6:17">
      <c r="F77" s="20">
        <v>2</v>
      </c>
      <c r="G77" s="20">
        <v>2023</v>
      </c>
      <c r="H77" s="64">
        <f t="shared" si="13"/>
        <v>7.5391784692400039</v>
      </c>
      <c r="I77" s="64">
        <f t="shared" ref="I77:I115" si="14">+I$75*$F76*$C$6</f>
        <v>89.596449880129029</v>
      </c>
      <c r="Q77" s="65">
        <f t="shared" ref="Q77:Q115" si="15">+SUM(H77:P77)</f>
        <v>97.135628349369028</v>
      </c>
    </row>
    <row r="78" spans="6:17">
      <c r="F78" s="21">
        <v>3</v>
      </c>
      <c r="G78" s="21">
        <v>2024</v>
      </c>
      <c r="H78" s="64">
        <f t="shared" si="13"/>
        <v>11.308767703860006</v>
      </c>
      <c r="I78" s="64">
        <f t="shared" si="14"/>
        <v>179.19289976025806</v>
      </c>
      <c r="J78" s="64">
        <f t="shared" ref="J78:J115" si="16">+J$75*$F76*$C$6</f>
        <v>383.98478520055295</v>
      </c>
      <c r="Q78" s="65">
        <f t="shared" si="15"/>
        <v>574.48645266467099</v>
      </c>
    </row>
    <row r="79" spans="6:17">
      <c r="F79" s="20">
        <v>4</v>
      </c>
      <c r="G79" s="20">
        <v>2025</v>
      </c>
      <c r="H79" s="64">
        <f t="shared" si="13"/>
        <v>15.078356938480008</v>
      </c>
      <c r="I79" s="64">
        <f t="shared" si="14"/>
        <v>268.78934964038706</v>
      </c>
      <c r="J79" s="64">
        <f t="shared" si="16"/>
        <v>767.9695704011059</v>
      </c>
      <c r="K79" s="64">
        <f t="shared" ref="K79:K115" si="17">+K$75*$F76*$C$6</f>
        <v>575.97717780082951</v>
      </c>
      <c r="Q79" s="65">
        <f t="shared" si="15"/>
        <v>1627.8144547808024</v>
      </c>
    </row>
    <row r="80" spans="6:17">
      <c r="F80" s="21">
        <v>5</v>
      </c>
      <c r="G80" s="21">
        <v>2026</v>
      </c>
      <c r="H80" s="64">
        <f t="shared" si="13"/>
        <v>18.847946173100009</v>
      </c>
      <c r="I80" s="64">
        <f t="shared" si="14"/>
        <v>358.38579952051612</v>
      </c>
      <c r="J80" s="64">
        <f t="shared" si="16"/>
        <v>1151.9543556016588</v>
      </c>
      <c r="K80" s="64">
        <f t="shared" si="17"/>
        <v>1151.954355601659</v>
      </c>
      <c r="L80" s="64">
        <f t="shared" ref="L80:L115" si="18">+L$75*$F76*$C$6</f>
        <v>733.06186265560109</v>
      </c>
      <c r="Q80" s="65">
        <f t="shared" si="15"/>
        <v>3414.2043195525353</v>
      </c>
    </row>
    <row r="81" spans="6:17">
      <c r="F81" s="20">
        <v>6</v>
      </c>
      <c r="G81" s="20">
        <v>2027</v>
      </c>
      <c r="H81" s="64">
        <f t="shared" si="13"/>
        <v>22.617535407720013</v>
      </c>
      <c r="I81" s="64">
        <f t="shared" si="14"/>
        <v>447.98224940064517</v>
      </c>
      <c r="J81" s="64">
        <f t="shared" si="16"/>
        <v>1535.9391408022118</v>
      </c>
      <c r="K81" s="64">
        <f t="shared" si="17"/>
        <v>1727.9315334024884</v>
      </c>
      <c r="L81" s="64">
        <f t="shared" si="18"/>
        <v>1466.1237253112022</v>
      </c>
      <c r="M81" s="64">
        <f t="shared" ref="M81:M115" si="19">+M$75*$F76*$C$6</f>
        <v>942.50810912862983</v>
      </c>
      <c r="Q81" s="65">
        <f t="shared" si="15"/>
        <v>6143.1022934528974</v>
      </c>
    </row>
    <row r="82" spans="6:17">
      <c r="F82" s="21">
        <v>7</v>
      </c>
      <c r="G82" s="21">
        <v>2028</v>
      </c>
      <c r="H82" s="64">
        <f t="shared" si="13"/>
        <v>26.387124642340012</v>
      </c>
      <c r="I82" s="64">
        <f t="shared" si="14"/>
        <v>537.57869928077412</v>
      </c>
      <c r="J82" s="64">
        <f t="shared" si="16"/>
        <v>1919.9239260027648</v>
      </c>
      <c r="K82" s="64">
        <f t="shared" si="17"/>
        <v>2303.908711203318</v>
      </c>
      <c r="L82" s="64">
        <f t="shared" si="18"/>
        <v>2199.1855879668033</v>
      </c>
      <c r="M82" s="64">
        <f t="shared" si="19"/>
        <v>1885.0162182572597</v>
      </c>
      <c r="N82" s="64">
        <f t="shared" ref="N82:N115" si="20">+N$75*$F76*$C$6</f>
        <v>1047.2312323651443</v>
      </c>
      <c r="Q82" s="65">
        <f t="shared" si="15"/>
        <v>9919.2314997184058</v>
      </c>
    </row>
    <row r="83" spans="6:17">
      <c r="F83" s="21">
        <v>8</v>
      </c>
      <c r="G83" s="20">
        <v>2029</v>
      </c>
      <c r="H83" s="64">
        <f t="shared" si="13"/>
        <v>30.156713876960016</v>
      </c>
      <c r="I83" s="64">
        <f t="shared" si="14"/>
        <v>627.17514916090317</v>
      </c>
      <c r="J83" s="64">
        <f t="shared" si="16"/>
        <v>2303.9087112033176</v>
      </c>
      <c r="K83" s="64">
        <f t="shared" si="17"/>
        <v>2879.8858890041474</v>
      </c>
      <c r="L83" s="64">
        <f t="shared" si="18"/>
        <v>2932.2474506224044</v>
      </c>
      <c r="M83" s="64">
        <f t="shared" si="19"/>
        <v>2827.5243273858896</v>
      </c>
      <c r="N83" s="64">
        <f t="shared" si="20"/>
        <v>2094.4624647302885</v>
      </c>
      <c r="O83" s="64">
        <f t="shared" ref="O83:O115" si="21">+O$75*$F76*$C$6</f>
        <v>1047.2312323651443</v>
      </c>
      <c r="Q83" s="65">
        <f t="shared" si="15"/>
        <v>14742.591938349053</v>
      </c>
    </row>
    <row r="84" spans="6:17">
      <c r="F84" s="20">
        <v>9</v>
      </c>
      <c r="G84" s="21">
        <v>2030</v>
      </c>
      <c r="H84" s="64">
        <f t="shared" si="13"/>
        <v>33.926303111580019</v>
      </c>
      <c r="I84" s="64">
        <f t="shared" si="14"/>
        <v>716.77159904103223</v>
      </c>
      <c r="J84" s="64">
        <f t="shared" si="16"/>
        <v>2687.8934964038704</v>
      </c>
      <c r="K84" s="64">
        <f t="shared" si="17"/>
        <v>3455.8630668049768</v>
      </c>
      <c r="L84" s="64">
        <f t="shared" si="18"/>
        <v>3665.3093132780054</v>
      </c>
      <c r="M84" s="64">
        <f t="shared" si="19"/>
        <v>3770.0324365145193</v>
      </c>
      <c r="N84" s="64">
        <f t="shared" si="20"/>
        <v>3141.6936970954334</v>
      </c>
      <c r="O84" s="64">
        <f t="shared" si="21"/>
        <v>2094.4624647302885</v>
      </c>
      <c r="P84" s="64">
        <f t="shared" ref="P84:P115" si="22">+P$75*$F76*$C$6</f>
        <v>1047.2312323651443</v>
      </c>
      <c r="Q84" s="65">
        <f t="shared" si="15"/>
        <v>20613.183609344851</v>
      </c>
    </row>
    <row r="85" spans="6:17">
      <c r="F85" s="21">
        <v>10</v>
      </c>
      <c r="G85" s="21">
        <v>2031</v>
      </c>
      <c r="H85" s="64">
        <f t="shared" si="13"/>
        <v>37.695892346200019</v>
      </c>
      <c r="I85" s="64">
        <f t="shared" si="14"/>
        <v>806.36804892116129</v>
      </c>
      <c r="J85" s="64">
        <f t="shared" si="16"/>
        <v>3071.8782816044236</v>
      </c>
      <c r="K85" s="64">
        <f t="shared" si="17"/>
        <v>4031.8402446058062</v>
      </c>
      <c r="L85" s="64">
        <f t="shared" si="18"/>
        <v>4398.3711759336065</v>
      </c>
      <c r="M85" s="64">
        <f t="shared" si="19"/>
        <v>4712.540545643149</v>
      </c>
      <c r="N85" s="64">
        <f t="shared" si="20"/>
        <v>4188.924929460577</v>
      </c>
      <c r="O85" s="64">
        <f t="shared" si="21"/>
        <v>3141.6936970954334</v>
      </c>
      <c r="P85" s="64">
        <f t="shared" si="22"/>
        <v>2094.4624647302885</v>
      </c>
      <c r="Q85" s="65">
        <f t="shared" si="15"/>
        <v>26483.775280340644</v>
      </c>
    </row>
    <row r="86" spans="6:17">
      <c r="F86" s="20">
        <v>11</v>
      </c>
      <c r="G86" s="20">
        <v>2032</v>
      </c>
      <c r="H86" s="64">
        <f t="shared" si="13"/>
        <v>41.465481580820018</v>
      </c>
      <c r="I86" s="64">
        <f t="shared" si="14"/>
        <v>895.96449880129035</v>
      </c>
      <c r="J86" s="64">
        <f t="shared" si="16"/>
        <v>3455.8630668049764</v>
      </c>
      <c r="K86" s="64">
        <f t="shared" si="17"/>
        <v>4607.8174224066361</v>
      </c>
      <c r="L86" s="64">
        <f t="shared" si="18"/>
        <v>5131.4330385892081</v>
      </c>
      <c r="M86" s="64">
        <f t="shared" si="19"/>
        <v>5655.0486547717792</v>
      </c>
      <c r="N86" s="64">
        <f t="shared" si="20"/>
        <v>5236.156161825721</v>
      </c>
      <c r="O86" s="64">
        <f t="shared" si="21"/>
        <v>4188.924929460577</v>
      </c>
      <c r="P86" s="64">
        <f t="shared" si="22"/>
        <v>3141.6936970954334</v>
      </c>
      <c r="Q86" s="65">
        <f t="shared" si="15"/>
        <v>32354.36695133644</v>
      </c>
    </row>
    <row r="87" spans="6:17">
      <c r="F87" s="21">
        <v>12</v>
      </c>
      <c r="G87" s="21">
        <v>2033</v>
      </c>
      <c r="H87" s="64">
        <f t="shared" si="13"/>
        <v>45.235070815440025</v>
      </c>
      <c r="I87" s="64">
        <f t="shared" si="14"/>
        <v>985.56094868141929</v>
      </c>
      <c r="J87" s="64">
        <f t="shared" si="16"/>
        <v>3839.8478520055296</v>
      </c>
      <c r="K87" s="64">
        <f t="shared" si="17"/>
        <v>5183.794600207465</v>
      </c>
      <c r="L87" s="64">
        <f t="shared" si="18"/>
        <v>5864.4949012448087</v>
      </c>
      <c r="M87" s="64">
        <f t="shared" si="19"/>
        <v>6597.5567639004094</v>
      </c>
      <c r="N87" s="64">
        <f t="shared" si="20"/>
        <v>6283.3873941908669</v>
      </c>
      <c r="O87" s="64">
        <f t="shared" si="21"/>
        <v>5236.156161825721</v>
      </c>
      <c r="P87" s="64">
        <f t="shared" si="22"/>
        <v>4188.924929460577</v>
      </c>
      <c r="Q87" s="65">
        <f t="shared" si="15"/>
        <v>38224.958622332233</v>
      </c>
    </row>
    <row r="88" spans="6:17">
      <c r="F88" s="20">
        <v>13</v>
      </c>
      <c r="G88" s="20">
        <v>2034</v>
      </c>
      <c r="H88" s="64">
        <f t="shared" si="13"/>
        <v>49.004660050060018</v>
      </c>
      <c r="I88" s="64">
        <f t="shared" si="14"/>
        <v>1075.1573985615482</v>
      </c>
      <c r="J88" s="64">
        <f t="shared" si="16"/>
        <v>4223.8326372060819</v>
      </c>
      <c r="K88" s="64">
        <f t="shared" si="17"/>
        <v>5759.7717780082949</v>
      </c>
      <c r="L88" s="64">
        <f t="shared" si="18"/>
        <v>6597.5567639004094</v>
      </c>
      <c r="M88" s="64">
        <f t="shared" si="19"/>
        <v>7540.0648730290386</v>
      </c>
      <c r="N88" s="64">
        <f t="shared" si="20"/>
        <v>7330.6186265560109</v>
      </c>
      <c r="O88" s="64">
        <f t="shared" si="21"/>
        <v>6283.3873941908669</v>
      </c>
      <c r="P88" s="64">
        <f t="shared" si="22"/>
        <v>5236.156161825721</v>
      </c>
      <c r="Q88" s="65">
        <f t="shared" si="15"/>
        <v>44095.550293328022</v>
      </c>
    </row>
    <row r="89" spans="6:17">
      <c r="F89" s="21">
        <v>14</v>
      </c>
      <c r="G89" s="21">
        <v>2035</v>
      </c>
      <c r="H89" s="64">
        <f t="shared" si="13"/>
        <v>52.774249284680025</v>
      </c>
      <c r="I89" s="64">
        <f t="shared" si="14"/>
        <v>1164.7538484416773</v>
      </c>
      <c r="J89" s="64">
        <f t="shared" si="16"/>
        <v>4607.8174224066352</v>
      </c>
      <c r="K89" s="64">
        <f t="shared" si="17"/>
        <v>6335.7489558091247</v>
      </c>
      <c r="L89" s="64">
        <f t="shared" si="18"/>
        <v>7330.6186265560109</v>
      </c>
      <c r="M89" s="64">
        <f t="shared" si="19"/>
        <v>8482.5729821576679</v>
      </c>
      <c r="N89" s="64">
        <f t="shared" si="20"/>
        <v>8377.849858921154</v>
      </c>
      <c r="O89" s="64">
        <f t="shared" si="21"/>
        <v>7330.6186265560109</v>
      </c>
      <c r="P89" s="64">
        <f t="shared" si="22"/>
        <v>6283.3873941908669</v>
      </c>
      <c r="Q89" s="65">
        <f t="shared" si="15"/>
        <v>49966.141964323826</v>
      </c>
    </row>
    <row r="90" spans="6:17">
      <c r="F90" s="21">
        <v>15</v>
      </c>
      <c r="G90" s="20">
        <v>2036</v>
      </c>
      <c r="H90" s="64">
        <f t="shared" si="13"/>
        <v>56.543838519300024</v>
      </c>
      <c r="I90" s="64">
        <f t="shared" si="14"/>
        <v>1254.3502983218063</v>
      </c>
      <c r="J90" s="64">
        <f t="shared" si="16"/>
        <v>4991.8022076071884</v>
      </c>
      <c r="K90" s="64">
        <f t="shared" si="17"/>
        <v>6911.7261336099536</v>
      </c>
      <c r="L90" s="64">
        <f t="shared" si="18"/>
        <v>8063.6804892116115</v>
      </c>
      <c r="M90" s="64">
        <f t="shared" si="19"/>
        <v>9425.081091286298</v>
      </c>
      <c r="N90" s="64">
        <f t="shared" si="20"/>
        <v>9425.081091286298</v>
      </c>
      <c r="O90" s="64">
        <f t="shared" si="21"/>
        <v>8377.849858921154</v>
      </c>
      <c r="P90" s="64">
        <f t="shared" si="22"/>
        <v>7330.6186265560109</v>
      </c>
      <c r="Q90" s="65">
        <f t="shared" si="15"/>
        <v>55836.733635319615</v>
      </c>
    </row>
    <row r="91" spans="6:17">
      <c r="F91" s="20">
        <v>16</v>
      </c>
      <c r="G91" s="21">
        <v>2037</v>
      </c>
      <c r="H91" s="64">
        <f t="shared" si="13"/>
        <v>60.313427753920031</v>
      </c>
      <c r="I91" s="64">
        <f t="shared" si="14"/>
        <v>1343.9467482019354</v>
      </c>
      <c r="J91" s="64">
        <f t="shared" si="16"/>
        <v>5375.7869928077407</v>
      </c>
      <c r="K91" s="64">
        <f t="shared" si="17"/>
        <v>7487.7033114107835</v>
      </c>
      <c r="L91" s="64">
        <f t="shared" si="18"/>
        <v>8796.7423518672131</v>
      </c>
      <c r="M91" s="64">
        <f t="shared" si="19"/>
        <v>10367.589200414928</v>
      </c>
      <c r="N91" s="64">
        <f t="shared" si="20"/>
        <v>10472.312323651442</v>
      </c>
      <c r="O91" s="64">
        <f t="shared" si="21"/>
        <v>9425.081091286298</v>
      </c>
      <c r="P91" s="64">
        <f t="shared" si="22"/>
        <v>8377.849858921154</v>
      </c>
      <c r="Q91" s="65">
        <f t="shared" si="15"/>
        <v>61707.325306315412</v>
      </c>
    </row>
    <row r="92" spans="6:17">
      <c r="F92" s="21">
        <v>17</v>
      </c>
      <c r="G92" s="20">
        <v>2038</v>
      </c>
      <c r="H92" s="64">
        <f t="shared" si="13"/>
        <v>64.083016988540038</v>
      </c>
      <c r="I92" s="64">
        <f t="shared" si="14"/>
        <v>1433.5431980820645</v>
      </c>
      <c r="J92" s="64">
        <f t="shared" si="16"/>
        <v>5759.7717780082949</v>
      </c>
      <c r="K92" s="64">
        <f t="shared" si="17"/>
        <v>8063.6804892116124</v>
      </c>
      <c r="L92" s="64">
        <f t="shared" si="18"/>
        <v>9529.8042145228137</v>
      </c>
      <c r="M92" s="64">
        <f t="shared" si="19"/>
        <v>11310.097309543558</v>
      </c>
      <c r="N92" s="64">
        <f t="shared" si="20"/>
        <v>11519.543556016588</v>
      </c>
      <c r="O92" s="64">
        <f t="shared" si="21"/>
        <v>10472.312323651442</v>
      </c>
      <c r="P92" s="64">
        <f t="shared" si="22"/>
        <v>9425.081091286298</v>
      </c>
      <c r="Q92" s="65">
        <f t="shared" si="15"/>
        <v>67577.916977311208</v>
      </c>
    </row>
    <row r="93" spans="6:17">
      <c r="F93" s="20">
        <v>18</v>
      </c>
      <c r="G93" s="21">
        <v>2039</v>
      </c>
      <c r="H93" s="64">
        <f t="shared" si="13"/>
        <v>67.852606223160038</v>
      </c>
      <c r="I93" s="64">
        <f t="shared" si="14"/>
        <v>1523.1396479621935</v>
      </c>
      <c r="J93" s="64">
        <f t="shared" si="16"/>
        <v>6143.7565632088472</v>
      </c>
      <c r="K93" s="64">
        <f t="shared" si="17"/>
        <v>8639.6576670124414</v>
      </c>
      <c r="L93" s="64">
        <f t="shared" si="18"/>
        <v>10262.866077178416</v>
      </c>
      <c r="M93" s="64">
        <f t="shared" si="19"/>
        <v>12252.605418672187</v>
      </c>
      <c r="N93" s="64">
        <f t="shared" si="20"/>
        <v>12566.774788381734</v>
      </c>
      <c r="O93" s="64">
        <f t="shared" si="21"/>
        <v>11519.543556016588</v>
      </c>
      <c r="P93" s="64">
        <f t="shared" si="22"/>
        <v>10472.312323651442</v>
      </c>
      <c r="Q93" s="65">
        <f t="shared" si="15"/>
        <v>73448.508648307004</v>
      </c>
    </row>
    <row r="94" spans="6:17">
      <c r="F94" s="21">
        <v>19</v>
      </c>
      <c r="G94" s="21">
        <v>2040</v>
      </c>
      <c r="H94" s="64">
        <f t="shared" si="13"/>
        <v>71.622195457780037</v>
      </c>
      <c r="I94" s="64">
        <f t="shared" si="14"/>
        <v>1612.7360978423226</v>
      </c>
      <c r="J94" s="64">
        <f t="shared" si="16"/>
        <v>6527.7413484094004</v>
      </c>
      <c r="K94" s="64">
        <f t="shared" si="17"/>
        <v>9215.6348448132721</v>
      </c>
      <c r="L94" s="64">
        <f t="shared" si="18"/>
        <v>10995.927939834017</v>
      </c>
      <c r="M94" s="64">
        <f t="shared" si="19"/>
        <v>13195.113527800819</v>
      </c>
      <c r="N94" s="64">
        <f t="shared" si="20"/>
        <v>13614.006020746876</v>
      </c>
      <c r="O94" s="64">
        <f t="shared" si="21"/>
        <v>12566.774788381734</v>
      </c>
      <c r="P94" s="64">
        <f t="shared" si="22"/>
        <v>11519.543556016588</v>
      </c>
      <c r="Q94" s="65">
        <f t="shared" si="15"/>
        <v>79319.100319302815</v>
      </c>
    </row>
    <row r="95" spans="6:17">
      <c r="F95" s="20">
        <v>20</v>
      </c>
      <c r="G95" s="20">
        <v>2041</v>
      </c>
      <c r="H95" s="64">
        <f t="shared" si="13"/>
        <v>75.391784692400037</v>
      </c>
      <c r="I95" s="64">
        <f t="shared" si="14"/>
        <v>1702.3325477224514</v>
      </c>
      <c r="J95" s="64">
        <f t="shared" si="16"/>
        <v>6911.7261336099527</v>
      </c>
      <c r="K95" s="64">
        <f t="shared" si="17"/>
        <v>9791.6120226141011</v>
      </c>
      <c r="L95" s="64">
        <f t="shared" si="18"/>
        <v>11728.989802489617</v>
      </c>
      <c r="M95" s="64">
        <f t="shared" si="19"/>
        <v>14137.621636929449</v>
      </c>
      <c r="N95" s="64">
        <f t="shared" si="20"/>
        <v>14661.237253112022</v>
      </c>
      <c r="O95" s="64">
        <f t="shared" si="21"/>
        <v>13614.006020746876</v>
      </c>
      <c r="P95" s="64">
        <f t="shared" si="22"/>
        <v>12566.774788381734</v>
      </c>
      <c r="Q95" s="65">
        <f t="shared" si="15"/>
        <v>85189.691990298597</v>
      </c>
    </row>
    <row r="96" spans="6:17">
      <c r="F96" s="20">
        <v>20</v>
      </c>
      <c r="G96" s="21">
        <v>2042</v>
      </c>
      <c r="H96" s="64">
        <f t="shared" si="13"/>
        <v>75.391784692400037</v>
      </c>
      <c r="I96" s="64">
        <f t="shared" si="14"/>
        <v>1791.9289976025807</v>
      </c>
      <c r="J96" s="64">
        <f t="shared" si="16"/>
        <v>7295.710918810506</v>
      </c>
      <c r="K96" s="64">
        <f t="shared" si="17"/>
        <v>10367.58920041493</v>
      </c>
      <c r="L96" s="64">
        <f t="shared" si="18"/>
        <v>12462.05166514522</v>
      </c>
      <c r="M96" s="64">
        <f t="shared" si="19"/>
        <v>15080.129746058077</v>
      </c>
      <c r="N96" s="64">
        <f t="shared" si="20"/>
        <v>15708.468485477164</v>
      </c>
      <c r="O96" s="64">
        <f t="shared" si="21"/>
        <v>14661.237253112022</v>
      </c>
      <c r="P96" s="64">
        <f t="shared" si="22"/>
        <v>13614.006020746876</v>
      </c>
      <c r="Q96" s="65">
        <f t="shared" si="15"/>
        <v>91056.51407205977</v>
      </c>
    </row>
    <row r="97" spans="6:17">
      <c r="F97" s="20">
        <v>20</v>
      </c>
      <c r="G97" s="20">
        <v>2043</v>
      </c>
      <c r="H97" s="64">
        <f t="shared" si="13"/>
        <v>75.391784692400037</v>
      </c>
      <c r="I97" s="64">
        <f t="shared" si="14"/>
        <v>1791.9289976025807</v>
      </c>
      <c r="J97" s="64">
        <f t="shared" si="16"/>
        <v>7679.6957040110592</v>
      </c>
      <c r="K97" s="64">
        <f t="shared" si="17"/>
        <v>10943.566378215759</v>
      </c>
      <c r="L97" s="64">
        <f t="shared" si="18"/>
        <v>13195.113527800819</v>
      </c>
      <c r="M97" s="64">
        <f t="shared" si="19"/>
        <v>16022.637855186707</v>
      </c>
      <c r="N97" s="64">
        <f t="shared" si="20"/>
        <v>16755.699717842308</v>
      </c>
      <c r="O97" s="64">
        <f t="shared" si="21"/>
        <v>15708.468485477164</v>
      </c>
      <c r="P97" s="64">
        <f t="shared" si="22"/>
        <v>14661.237253112022</v>
      </c>
      <c r="Q97" s="65">
        <f t="shared" si="15"/>
        <v>96833.73970394081</v>
      </c>
    </row>
    <row r="98" spans="6:17">
      <c r="F98" s="20">
        <v>20</v>
      </c>
      <c r="G98" s="21">
        <v>2044</v>
      </c>
      <c r="H98" s="64">
        <f t="shared" si="13"/>
        <v>75.391784692400037</v>
      </c>
      <c r="I98" s="64">
        <f t="shared" si="14"/>
        <v>1791.9289976025807</v>
      </c>
      <c r="J98" s="64">
        <f t="shared" si="16"/>
        <v>7679.6957040110592</v>
      </c>
      <c r="K98" s="64">
        <f t="shared" si="17"/>
        <v>11519.54355601659</v>
      </c>
      <c r="L98" s="64">
        <f t="shared" si="18"/>
        <v>13928.175390456421</v>
      </c>
      <c r="M98" s="64">
        <f t="shared" si="19"/>
        <v>16965.145964315336</v>
      </c>
      <c r="N98" s="64">
        <f t="shared" si="20"/>
        <v>17802.930950207454</v>
      </c>
      <c r="O98" s="64">
        <f t="shared" si="21"/>
        <v>16755.699717842308</v>
      </c>
      <c r="P98" s="64">
        <f t="shared" si="22"/>
        <v>15708.468485477164</v>
      </c>
      <c r="Q98" s="65">
        <f t="shared" si="15"/>
        <v>102226.9805506213</v>
      </c>
    </row>
    <row r="99" spans="6:17">
      <c r="F99" s="20">
        <v>20</v>
      </c>
      <c r="G99" s="20">
        <v>2045</v>
      </c>
      <c r="H99" s="64">
        <f t="shared" si="13"/>
        <v>75.391784692400037</v>
      </c>
      <c r="I99" s="64">
        <f t="shared" si="14"/>
        <v>1791.9289976025807</v>
      </c>
      <c r="J99" s="64">
        <f t="shared" si="16"/>
        <v>7679.6957040110592</v>
      </c>
      <c r="K99" s="64">
        <f t="shared" si="17"/>
        <v>11519.54355601659</v>
      </c>
      <c r="L99" s="64">
        <f t="shared" si="18"/>
        <v>14661.237253112022</v>
      </c>
      <c r="M99" s="64">
        <f t="shared" si="19"/>
        <v>17907.654073443966</v>
      </c>
      <c r="N99" s="64">
        <f t="shared" si="20"/>
        <v>18850.162182572596</v>
      </c>
      <c r="O99" s="64">
        <f t="shared" si="21"/>
        <v>17802.930950207454</v>
      </c>
      <c r="P99" s="64">
        <f t="shared" si="22"/>
        <v>16755.699717842308</v>
      </c>
      <c r="Q99" s="65">
        <f t="shared" si="15"/>
        <v>107044.24421950098</v>
      </c>
    </row>
    <row r="100" spans="6:17">
      <c r="F100" s="20">
        <v>20</v>
      </c>
      <c r="G100" s="21">
        <v>2046</v>
      </c>
      <c r="H100" s="64">
        <f t="shared" si="13"/>
        <v>75.391784692400037</v>
      </c>
      <c r="I100" s="64">
        <f t="shared" si="14"/>
        <v>1791.9289976025807</v>
      </c>
      <c r="J100" s="64">
        <f t="shared" si="16"/>
        <v>7679.6957040110592</v>
      </c>
      <c r="K100" s="64">
        <f t="shared" si="17"/>
        <v>11519.54355601659</v>
      </c>
      <c r="L100" s="64">
        <f t="shared" si="18"/>
        <v>14661.237253112022</v>
      </c>
      <c r="M100" s="64">
        <f t="shared" si="19"/>
        <v>18850.162182572596</v>
      </c>
      <c r="N100" s="64">
        <f t="shared" si="20"/>
        <v>19897.393414937742</v>
      </c>
      <c r="O100" s="64">
        <f t="shared" si="21"/>
        <v>18850.162182572596</v>
      </c>
      <c r="P100" s="64">
        <f t="shared" si="22"/>
        <v>17802.930950207454</v>
      </c>
      <c r="Q100" s="65">
        <f t="shared" si="15"/>
        <v>111128.44602572505</v>
      </c>
    </row>
    <row r="101" spans="6:17">
      <c r="F101" s="20">
        <v>20</v>
      </c>
      <c r="G101" s="20">
        <v>2047</v>
      </c>
      <c r="H101" s="64">
        <f t="shared" si="13"/>
        <v>75.391784692400037</v>
      </c>
      <c r="I101" s="64">
        <f t="shared" si="14"/>
        <v>1791.9289976025807</v>
      </c>
      <c r="J101" s="64">
        <f t="shared" si="16"/>
        <v>7679.6957040110592</v>
      </c>
      <c r="K101" s="64">
        <f t="shared" si="17"/>
        <v>11519.54355601659</v>
      </c>
      <c r="L101" s="64">
        <f t="shared" si="18"/>
        <v>14661.237253112022</v>
      </c>
      <c r="M101" s="64">
        <f t="shared" si="19"/>
        <v>18850.162182572596</v>
      </c>
      <c r="N101" s="64">
        <f t="shared" si="20"/>
        <v>20944.624647302884</v>
      </c>
      <c r="O101" s="64">
        <f t="shared" si="21"/>
        <v>19897.393414937742</v>
      </c>
      <c r="P101" s="64">
        <f t="shared" si="22"/>
        <v>18850.162182572596</v>
      </c>
      <c r="Q101" s="65">
        <f t="shared" si="15"/>
        <v>114270.13972282046</v>
      </c>
    </row>
    <row r="102" spans="6:17">
      <c r="F102" s="20">
        <v>20</v>
      </c>
      <c r="G102" s="21">
        <v>2048</v>
      </c>
      <c r="H102" s="64">
        <f t="shared" si="13"/>
        <v>75.391784692400037</v>
      </c>
      <c r="I102" s="64">
        <f t="shared" si="14"/>
        <v>1791.9289976025807</v>
      </c>
      <c r="J102" s="64">
        <f t="shared" si="16"/>
        <v>7679.6957040110592</v>
      </c>
      <c r="K102" s="64">
        <f t="shared" si="17"/>
        <v>11519.54355601659</v>
      </c>
      <c r="L102" s="64">
        <f t="shared" si="18"/>
        <v>14661.237253112022</v>
      </c>
      <c r="M102" s="64">
        <f t="shared" si="19"/>
        <v>18850.162182572596</v>
      </c>
      <c r="N102" s="64">
        <f t="shared" si="20"/>
        <v>20944.624647302884</v>
      </c>
      <c r="O102" s="64">
        <f t="shared" si="21"/>
        <v>20944.624647302884</v>
      </c>
      <c r="P102" s="64">
        <f t="shared" si="22"/>
        <v>19897.393414937742</v>
      </c>
      <c r="Q102" s="65">
        <f t="shared" si="15"/>
        <v>116364.60218755076</v>
      </c>
    </row>
    <row r="103" spans="6:17">
      <c r="F103" s="20">
        <v>20</v>
      </c>
      <c r="G103" s="21">
        <v>2049</v>
      </c>
      <c r="H103" s="64">
        <f t="shared" si="13"/>
        <v>75.391784692400037</v>
      </c>
      <c r="I103" s="64">
        <f t="shared" si="14"/>
        <v>1791.9289976025807</v>
      </c>
      <c r="J103" s="64">
        <f t="shared" si="16"/>
        <v>7679.6957040110592</v>
      </c>
      <c r="K103" s="64">
        <f t="shared" si="17"/>
        <v>11519.54355601659</v>
      </c>
      <c r="L103" s="64">
        <f t="shared" si="18"/>
        <v>14661.237253112022</v>
      </c>
      <c r="M103" s="64">
        <f t="shared" si="19"/>
        <v>18850.162182572596</v>
      </c>
      <c r="N103" s="64">
        <f t="shared" si="20"/>
        <v>20944.624647302884</v>
      </c>
      <c r="O103" s="64">
        <f t="shared" si="21"/>
        <v>20944.624647302884</v>
      </c>
      <c r="P103" s="64">
        <f t="shared" si="22"/>
        <v>20944.624647302884</v>
      </c>
      <c r="Q103" s="65">
        <f t="shared" si="15"/>
        <v>117411.8334199159</v>
      </c>
    </row>
    <row r="104" spans="6:17">
      <c r="F104" s="20">
        <v>20</v>
      </c>
      <c r="G104" s="20">
        <v>2050</v>
      </c>
      <c r="H104" s="64">
        <f t="shared" si="13"/>
        <v>75.391784692400037</v>
      </c>
      <c r="I104" s="64">
        <f t="shared" si="14"/>
        <v>1791.9289976025807</v>
      </c>
      <c r="J104" s="64">
        <f t="shared" si="16"/>
        <v>7679.6957040110592</v>
      </c>
      <c r="K104" s="64">
        <f t="shared" si="17"/>
        <v>11519.54355601659</v>
      </c>
      <c r="L104" s="64">
        <f t="shared" si="18"/>
        <v>14661.237253112022</v>
      </c>
      <c r="M104" s="64">
        <f t="shared" si="19"/>
        <v>18850.162182572596</v>
      </c>
      <c r="N104" s="64">
        <f t="shared" si="20"/>
        <v>20944.624647302884</v>
      </c>
      <c r="O104" s="64">
        <f t="shared" si="21"/>
        <v>20944.624647302884</v>
      </c>
      <c r="P104" s="64">
        <f t="shared" si="22"/>
        <v>20944.624647302884</v>
      </c>
      <c r="Q104" s="65">
        <f t="shared" si="15"/>
        <v>117411.8334199159</v>
      </c>
    </row>
    <row r="105" spans="6:17">
      <c r="F105" s="20">
        <v>20</v>
      </c>
      <c r="G105" s="21">
        <v>2051</v>
      </c>
      <c r="H105" s="64">
        <f t="shared" si="13"/>
        <v>75.391784692400037</v>
      </c>
      <c r="I105" s="64">
        <f t="shared" si="14"/>
        <v>1791.9289976025807</v>
      </c>
      <c r="J105" s="64">
        <f t="shared" si="16"/>
        <v>7679.6957040110592</v>
      </c>
      <c r="K105" s="64">
        <f t="shared" si="17"/>
        <v>11519.54355601659</v>
      </c>
      <c r="L105" s="64">
        <f t="shared" si="18"/>
        <v>14661.237253112022</v>
      </c>
      <c r="M105" s="64">
        <f t="shared" si="19"/>
        <v>18850.162182572596</v>
      </c>
      <c r="N105" s="64">
        <f t="shared" si="20"/>
        <v>20944.624647302884</v>
      </c>
      <c r="O105" s="64">
        <f t="shared" si="21"/>
        <v>20944.624647302884</v>
      </c>
      <c r="P105" s="64">
        <f t="shared" si="22"/>
        <v>20944.624647302884</v>
      </c>
      <c r="Q105" s="65">
        <f t="shared" si="15"/>
        <v>117411.8334199159</v>
      </c>
    </row>
    <row r="106" spans="6:17">
      <c r="F106" s="20">
        <v>20</v>
      </c>
      <c r="G106" s="20">
        <v>2052</v>
      </c>
      <c r="H106" s="64">
        <f t="shared" si="13"/>
        <v>75.391784692400037</v>
      </c>
      <c r="I106" s="64">
        <f t="shared" si="14"/>
        <v>1791.9289976025807</v>
      </c>
      <c r="J106" s="64">
        <f t="shared" si="16"/>
        <v>7679.6957040110592</v>
      </c>
      <c r="K106" s="64">
        <f t="shared" si="17"/>
        <v>11519.54355601659</v>
      </c>
      <c r="L106" s="64">
        <f t="shared" si="18"/>
        <v>14661.237253112022</v>
      </c>
      <c r="M106" s="64">
        <f t="shared" si="19"/>
        <v>18850.162182572596</v>
      </c>
      <c r="N106" s="64">
        <f t="shared" si="20"/>
        <v>20944.624647302884</v>
      </c>
      <c r="O106" s="64">
        <f t="shared" si="21"/>
        <v>20944.624647302884</v>
      </c>
      <c r="P106" s="64">
        <f t="shared" si="22"/>
        <v>20944.624647302884</v>
      </c>
      <c r="Q106" s="65">
        <f t="shared" si="15"/>
        <v>117411.8334199159</v>
      </c>
    </row>
    <row r="107" spans="6:17">
      <c r="F107" s="20">
        <v>20</v>
      </c>
      <c r="G107" s="21">
        <v>2053</v>
      </c>
      <c r="H107" s="64">
        <f t="shared" si="13"/>
        <v>75.391784692400037</v>
      </c>
      <c r="I107" s="64">
        <f t="shared" si="14"/>
        <v>1791.9289976025807</v>
      </c>
      <c r="J107" s="64">
        <f t="shared" si="16"/>
        <v>7679.6957040110592</v>
      </c>
      <c r="K107" s="64">
        <f t="shared" si="17"/>
        <v>11519.54355601659</v>
      </c>
      <c r="L107" s="64">
        <f t="shared" si="18"/>
        <v>14661.237253112022</v>
      </c>
      <c r="M107" s="64">
        <f t="shared" si="19"/>
        <v>18850.162182572596</v>
      </c>
      <c r="N107" s="64">
        <f t="shared" si="20"/>
        <v>20944.624647302884</v>
      </c>
      <c r="O107" s="64">
        <f t="shared" si="21"/>
        <v>20944.624647302884</v>
      </c>
      <c r="P107" s="64">
        <f t="shared" si="22"/>
        <v>20944.624647302884</v>
      </c>
      <c r="Q107" s="65">
        <f t="shared" si="15"/>
        <v>117411.8334199159</v>
      </c>
    </row>
    <row r="108" spans="6:17">
      <c r="F108" s="20">
        <v>20</v>
      </c>
      <c r="G108" s="20">
        <v>2054</v>
      </c>
      <c r="H108" s="64">
        <f t="shared" si="13"/>
        <v>75.391784692400037</v>
      </c>
      <c r="I108" s="64">
        <f t="shared" si="14"/>
        <v>1791.9289976025807</v>
      </c>
      <c r="J108" s="64">
        <f t="shared" si="16"/>
        <v>7679.6957040110592</v>
      </c>
      <c r="K108" s="64">
        <f t="shared" si="17"/>
        <v>11519.54355601659</v>
      </c>
      <c r="L108" s="64">
        <f t="shared" si="18"/>
        <v>14661.237253112022</v>
      </c>
      <c r="M108" s="64">
        <f t="shared" si="19"/>
        <v>18850.162182572596</v>
      </c>
      <c r="N108" s="64">
        <f t="shared" si="20"/>
        <v>20944.624647302884</v>
      </c>
      <c r="O108" s="64">
        <f t="shared" si="21"/>
        <v>20944.624647302884</v>
      </c>
      <c r="P108" s="64">
        <f t="shared" si="22"/>
        <v>20944.624647302884</v>
      </c>
      <c r="Q108" s="65">
        <f t="shared" si="15"/>
        <v>117411.8334199159</v>
      </c>
    </row>
    <row r="109" spans="6:17">
      <c r="F109" s="20">
        <v>20</v>
      </c>
      <c r="G109" s="21">
        <v>2055</v>
      </c>
      <c r="H109" s="64">
        <f t="shared" si="13"/>
        <v>75.391784692400037</v>
      </c>
      <c r="I109" s="64">
        <f t="shared" si="14"/>
        <v>1791.9289976025807</v>
      </c>
      <c r="J109" s="64">
        <f t="shared" si="16"/>
        <v>7679.6957040110592</v>
      </c>
      <c r="K109" s="64">
        <f t="shared" si="17"/>
        <v>11519.54355601659</v>
      </c>
      <c r="L109" s="64">
        <f t="shared" si="18"/>
        <v>14661.237253112022</v>
      </c>
      <c r="M109" s="64">
        <f t="shared" si="19"/>
        <v>18850.162182572596</v>
      </c>
      <c r="N109" s="64">
        <f t="shared" si="20"/>
        <v>20944.624647302884</v>
      </c>
      <c r="O109" s="64">
        <f t="shared" si="21"/>
        <v>20944.624647302884</v>
      </c>
      <c r="P109" s="64">
        <f t="shared" si="22"/>
        <v>20944.624647302884</v>
      </c>
      <c r="Q109" s="65">
        <f t="shared" si="15"/>
        <v>117411.8334199159</v>
      </c>
    </row>
    <row r="110" spans="6:17">
      <c r="F110" s="20">
        <v>20</v>
      </c>
      <c r="G110" s="20">
        <v>2056</v>
      </c>
      <c r="H110" s="64">
        <f t="shared" si="13"/>
        <v>75.391784692400037</v>
      </c>
      <c r="I110" s="64">
        <f t="shared" si="14"/>
        <v>1791.9289976025807</v>
      </c>
      <c r="J110" s="64">
        <f t="shared" si="16"/>
        <v>7679.6957040110592</v>
      </c>
      <c r="K110" s="64">
        <f t="shared" si="17"/>
        <v>11519.54355601659</v>
      </c>
      <c r="L110" s="64">
        <f t="shared" si="18"/>
        <v>14661.237253112022</v>
      </c>
      <c r="M110" s="64">
        <f t="shared" si="19"/>
        <v>18850.162182572596</v>
      </c>
      <c r="N110" s="64">
        <f t="shared" si="20"/>
        <v>20944.624647302884</v>
      </c>
      <c r="O110" s="64">
        <f t="shared" si="21"/>
        <v>20944.624647302884</v>
      </c>
      <c r="P110" s="64">
        <f t="shared" si="22"/>
        <v>20944.624647302884</v>
      </c>
      <c r="Q110" s="65">
        <f t="shared" si="15"/>
        <v>117411.8334199159</v>
      </c>
    </row>
    <row r="111" spans="6:17">
      <c r="F111" s="20">
        <v>20</v>
      </c>
      <c r="G111" s="21">
        <v>2057</v>
      </c>
      <c r="H111" s="64">
        <f t="shared" si="13"/>
        <v>75.391784692400037</v>
      </c>
      <c r="I111" s="64">
        <f t="shared" si="14"/>
        <v>1791.9289976025807</v>
      </c>
      <c r="J111" s="64">
        <f t="shared" si="16"/>
        <v>7679.6957040110592</v>
      </c>
      <c r="K111" s="64">
        <f t="shared" si="17"/>
        <v>11519.54355601659</v>
      </c>
      <c r="L111" s="64">
        <f t="shared" si="18"/>
        <v>14661.237253112022</v>
      </c>
      <c r="M111" s="64">
        <f t="shared" si="19"/>
        <v>18850.162182572596</v>
      </c>
      <c r="N111" s="64">
        <f t="shared" si="20"/>
        <v>20944.624647302884</v>
      </c>
      <c r="O111" s="64">
        <f t="shared" si="21"/>
        <v>20944.624647302884</v>
      </c>
      <c r="P111" s="64">
        <f t="shared" si="22"/>
        <v>20944.624647302884</v>
      </c>
      <c r="Q111" s="65">
        <f t="shared" si="15"/>
        <v>117411.8334199159</v>
      </c>
    </row>
    <row r="112" spans="6:17">
      <c r="F112" s="20">
        <v>20</v>
      </c>
      <c r="G112" s="20">
        <v>2058</v>
      </c>
      <c r="H112" s="64">
        <f t="shared" si="13"/>
        <v>75.391784692400037</v>
      </c>
      <c r="I112" s="64">
        <f t="shared" si="14"/>
        <v>1791.9289976025807</v>
      </c>
      <c r="J112" s="64">
        <f t="shared" si="16"/>
        <v>7679.6957040110592</v>
      </c>
      <c r="K112" s="64">
        <f t="shared" si="17"/>
        <v>11519.54355601659</v>
      </c>
      <c r="L112" s="64">
        <f t="shared" si="18"/>
        <v>14661.237253112022</v>
      </c>
      <c r="M112" s="64">
        <f t="shared" si="19"/>
        <v>18850.162182572596</v>
      </c>
      <c r="N112" s="64">
        <f t="shared" si="20"/>
        <v>20944.624647302884</v>
      </c>
      <c r="O112" s="64">
        <f t="shared" si="21"/>
        <v>20944.624647302884</v>
      </c>
      <c r="P112" s="64">
        <f t="shared" si="22"/>
        <v>20944.624647302884</v>
      </c>
      <c r="Q112" s="65">
        <f t="shared" si="15"/>
        <v>117411.8334199159</v>
      </c>
    </row>
    <row r="113" spans="6:17">
      <c r="F113" s="20">
        <v>20</v>
      </c>
      <c r="G113" s="21">
        <v>2059</v>
      </c>
      <c r="H113" s="64">
        <f t="shared" si="13"/>
        <v>75.391784692400037</v>
      </c>
      <c r="I113" s="64">
        <f t="shared" si="14"/>
        <v>1791.9289976025807</v>
      </c>
      <c r="J113" s="64">
        <f t="shared" si="16"/>
        <v>7679.6957040110592</v>
      </c>
      <c r="K113" s="64">
        <f t="shared" si="17"/>
        <v>11519.54355601659</v>
      </c>
      <c r="L113" s="64">
        <f t="shared" si="18"/>
        <v>14661.237253112022</v>
      </c>
      <c r="M113" s="64">
        <f t="shared" si="19"/>
        <v>18850.162182572596</v>
      </c>
      <c r="N113" s="64">
        <f t="shared" si="20"/>
        <v>20944.624647302884</v>
      </c>
      <c r="O113" s="64">
        <f t="shared" si="21"/>
        <v>20944.624647302884</v>
      </c>
      <c r="P113" s="64">
        <f t="shared" si="22"/>
        <v>20944.624647302884</v>
      </c>
      <c r="Q113" s="65">
        <f t="shared" si="15"/>
        <v>117411.8334199159</v>
      </c>
    </row>
    <row r="114" spans="6:17">
      <c r="F114" s="20">
        <v>20</v>
      </c>
      <c r="G114" s="20">
        <v>2060</v>
      </c>
      <c r="H114" s="64">
        <f t="shared" si="13"/>
        <v>75.391784692400037</v>
      </c>
      <c r="I114" s="64">
        <f t="shared" si="14"/>
        <v>1791.9289976025807</v>
      </c>
      <c r="J114" s="64">
        <f t="shared" si="16"/>
        <v>7679.6957040110592</v>
      </c>
      <c r="K114" s="64">
        <f t="shared" si="17"/>
        <v>11519.54355601659</v>
      </c>
      <c r="L114" s="64">
        <f t="shared" si="18"/>
        <v>14661.237253112022</v>
      </c>
      <c r="M114" s="64">
        <f t="shared" si="19"/>
        <v>18850.162182572596</v>
      </c>
      <c r="N114" s="64">
        <f t="shared" si="20"/>
        <v>20944.624647302884</v>
      </c>
      <c r="O114" s="64">
        <f t="shared" si="21"/>
        <v>20944.624647302884</v>
      </c>
      <c r="P114" s="64">
        <f t="shared" si="22"/>
        <v>20944.624647302884</v>
      </c>
      <c r="Q114" s="65">
        <f t="shared" si="15"/>
        <v>117411.8334199159</v>
      </c>
    </row>
    <row r="115" spans="6:17">
      <c r="F115" s="20">
        <v>20</v>
      </c>
      <c r="G115" s="21">
        <v>2061</v>
      </c>
      <c r="H115" s="64">
        <f t="shared" si="13"/>
        <v>75.391784692400037</v>
      </c>
      <c r="I115" s="64">
        <f t="shared" si="14"/>
        <v>1791.9289976025807</v>
      </c>
      <c r="J115" s="64">
        <f t="shared" si="16"/>
        <v>7679.6957040110592</v>
      </c>
      <c r="K115" s="64">
        <f t="shared" si="17"/>
        <v>11519.54355601659</v>
      </c>
      <c r="L115" s="64">
        <f t="shared" si="18"/>
        <v>14661.237253112022</v>
      </c>
      <c r="M115" s="64">
        <f t="shared" si="19"/>
        <v>18850.162182572596</v>
      </c>
      <c r="N115" s="64">
        <f t="shared" si="20"/>
        <v>20944.624647302884</v>
      </c>
      <c r="O115" s="64">
        <f t="shared" si="21"/>
        <v>20944.624647302884</v>
      </c>
      <c r="P115" s="64">
        <f t="shared" si="22"/>
        <v>20944.624647302884</v>
      </c>
      <c r="Q115" s="65">
        <f t="shared" si="15"/>
        <v>117411.8334199159</v>
      </c>
    </row>
    <row r="117" spans="6:17">
      <c r="F117" s="60" t="s">
        <v>78</v>
      </c>
      <c r="G117" s="61"/>
      <c r="H117" s="62" cm="1">
        <f t="array" ref="H117:P117">+TRANSPOSE(D8:D16)</f>
        <v>72.029700000000005</v>
      </c>
      <c r="I117" s="62">
        <v>1712.0182078887151</v>
      </c>
      <c r="J117" s="62">
        <v>7337.2208909516366</v>
      </c>
      <c r="K117" s="62">
        <v>11005.831336427455</v>
      </c>
      <c r="L117" s="62">
        <v>14007.421700907669</v>
      </c>
      <c r="M117" s="62">
        <v>18009.542186881285</v>
      </c>
      <c r="N117" s="62">
        <v>20010.602429868097</v>
      </c>
      <c r="O117" s="62">
        <v>20010.602429868097</v>
      </c>
      <c r="P117" s="62">
        <v>20010.602429868097</v>
      </c>
      <c r="Q117" s="63" t="s">
        <v>57</v>
      </c>
    </row>
    <row r="118" spans="6:17">
      <c r="F118" s="21">
        <v>1</v>
      </c>
      <c r="G118" s="21">
        <v>2022</v>
      </c>
      <c r="H118" s="64">
        <f t="shared" ref="H118:H157" si="23">+H$117*$F118*$D$6</f>
        <v>101.40190103542393</v>
      </c>
      <c r="Q118" s="65">
        <f>+SUM(H118:P118)</f>
        <v>101.40190103542393</v>
      </c>
    </row>
    <row r="119" spans="6:17">
      <c r="F119" s="20">
        <v>2</v>
      </c>
      <c r="G119" s="20">
        <v>2023</v>
      </c>
      <c r="H119" s="64">
        <f t="shared" si="23"/>
        <v>202.80380207084787</v>
      </c>
      <c r="I119" s="64">
        <f t="shared" ref="I119:I157" si="24">+I$117*$F118*$D$6</f>
        <v>2410.1433281989976</v>
      </c>
      <c r="Q119" s="65">
        <f t="shared" ref="Q119:Q157" si="25">+SUM(H119:P119)</f>
        <v>2612.9471302698453</v>
      </c>
    </row>
    <row r="120" spans="6:17">
      <c r="F120" s="21">
        <v>3</v>
      </c>
      <c r="G120" s="21">
        <v>2024</v>
      </c>
      <c r="H120" s="64">
        <f t="shared" si="23"/>
        <v>304.20570310627181</v>
      </c>
      <c r="I120" s="64">
        <f t="shared" si="24"/>
        <v>4820.2866563979951</v>
      </c>
      <c r="J120" s="64">
        <f t="shared" ref="J120:J157" si="26">+J$117*$F118*$D$6</f>
        <v>10329.185692281419</v>
      </c>
      <c r="Q120" s="65">
        <f t="shared" si="25"/>
        <v>15453.678051785686</v>
      </c>
    </row>
    <row r="121" spans="6:17">
      <c r="F121" s="20">
        <v>4</v>
      </c>
      <c r="G121" s="20">
        <v>2025</v>
      </c>
      <c r="H121" s="64">
        <f t="shared" si="23"/>
        <v>405.60760414169573</v>
      </c>
      <c r="I121" s="64">
        <f t="shared" si="24"/>
        <v>7230.4299845969917</v>
      </c>
      <c r="J121" s="64">
        <f t="shared" si="26"/>
        <v>20658.371384562837</v>
      </c>
      <c r="K121" s="64">
        <f t="shared" ref="K121:K157" si="27">+K$117*$F118*$D$6</f>
        <v>15493.778538422126</v>
      </c>
      <c r="Q121" s="65">
        <f t="shared" si="25"/>
        <v>43788.187511723649</v>
      </c>
    </row>
    <row r="122" spans="6:17">
      <c r="F122" s="21">
        <v>5</v>
      </c>
      <c r="G122" s="21">
        <v>2026</v>
      </c>
      <c r="H122" s="64">
        <f t="shared" si="23"/>
        <v>507.00950517711965</v>
      </c>
      <c r="I122" s="64">
        <f t="shared" si="24"/>
        <v>9640.5733127959902</v>
      </c>
      <c r="J122" s="64">
        <f t="shared" si="26"/>
        <v>30987.557076844252</v>
      </c>
      <c r="K122" s="64">
        <f t="shared" si="27"/>
        <v>30987.557076844252</v>
      </c>
      <c r="L122" s="64">
        <f t="shared" ref="L122:L157" si="28">+L$117*$F118*$D$6</f>
        <v>19719.354503446342</v>
      </c>
      <c r="Q122" s="65">
        <f t="shared" si="25"/>
        <v>91842.051475107961</v>
      </c>
    </row>
    <row r="123" spans="6:17">
      <c r="F123" s="20">
        <v>6</v>
      </c>
      <c r="G123" s="20">
        <v>2027</v>
      </c>
      <c r="H123" s="64">
        <f t="shared" si="23"/>
        <v>608.41140621254362</v>
      </c>
      <c r="I123" s="64">
        <f t="shared" si="24"/>
        <v>12050.716640994988</v>
      </c>
      <c r="J123" s="64">
        <f t="shared" si="26"/>
        <v>41316.742769125674</v>
      </c>
      <c r="K123" s="64">
        <f t="shared" si="27"/>
        <v>46481.335615266384</v>
      </c>
      <c r="L123" s="64">
        <f t="shared" si="28"/>
        <v>39438.709006892685</v>
      </c>
      <c r="M123" s="64">
        <f t="shared" ref="M123:M157" si="29">+M$117*$F118*$D$6</f>
        <v>25353.45579014529</v>
      </c>
      <c r="Q123" s="65">
        <f t="shared" si="25"/>
        <v>165249.37122863758</v>
      </c>
    </row>
    <row r="124" spans="6:17">
      <c r="F124" s="21">
        <v>7</v>
      </c>
      <c r="G124" s="21">
        <v>2028</v>
      </c>
      <c r="H124" s="64">
        <f t="shared" si="23"/>
        <v>709.8133072479676</v>
      </c>
      <c r="I124" s="64">
        <f t="shared" si="24"/>
        <v>14460.859969193983</v>
      </c>
      <c r="J124" s="64">
        <f t="shared" si="26"/>
        <v>51645.928461407093</v>
      </c>
      <c r="K124" s="64">
        <f t="shared" si="27"/>
        <v>61975.114153688504</v>
      </c>
      <c r="L124" s="64">
        <f t="shared" si="28"/>
        <v>59158.06351033903</v>
      </c>
      <c r="M124" s="64">
        <f t="shared" si="29"/>
        <v>50706.91158029058</v>
      </c>
      <c r="N124" s="64">
        <f t="shared" ref="N124:N157" si="30">+N$117*$F118*$D$6</f>
        <v>28170.506433494771</v>
      </c>
      <c r="Q124" s="65">
        <f t="shared" si="25"/>
        <v>266827.19741566194</v>
      </c>
    </row>
    <row r="125" spans="6:17">
      <c r="F125" s="21">
        <v>8</v>
      </c>
      <c r="G125" s="20">
        <v>2029</v>
      </c>
      <c r="H125" s="64">
        <f t="shared" si="23"/>
        <v>811.21520828339146</v>
      </c>
      <c r="I125" s="64">
        <f t="shared" si="24"/>
        <v>16871.003297392981</v>
      </c>
      <c r="J125" s="64">
        <f t="shared" si="26"/>
        <v>61975.114153688504</v>
      </c>
      <c r="K125" s="64">
        <f t="shared" si="27"/>
        <v>77468.892692110632</v>
      </c>
      <c r="L125" s="64">
        <f t="shared" si="28"/>
        <v>78877.418013785369</v>
      </c>
      <c r="M125" s="64">
        <f t="shared" si="29"/>
        <v>76060.367370435866</v>
      </c>
      <c r="N125" s="64">
        <f t="shared" si="30"/>
        <v>56341.012866989542</v>
      </c>
      <c r="O125" s="64">
        <f t="shared" ref="O125:O157" si="31">+O$117*$F118*$D$6</f>
        <v>28170.506433494771</v>
      </c>
      <c r="Q125" s="65">
        <f t="shared" si="25"/>
        <v>396575.5300361811</v>
      </c>
    </row>
    <row r="126" spans="6:17">
      <c r="F126" s="20">
        <v>9</v>
      </c>
      <c r="G126" s="21">
        <v>2030</v>
      </c>
      <c r="H126" s="64">
        <f t="shared" si="23"/>
        <v>912.61710931881544</v>
      </c>
      <c r="I126" s="64">
        <f t="shared" si="24"/>
        <v>19281.14662559198</v>
      </c>
      <c r="J126" s="64">
        <f t="shared" si="26"/>
        <v>72304.29984596993</v>
      </c>
      <c r="K126" s="64">
        <f t="shared" si="27"/>
        <v>92962.671230532767</v>
      </c>
      <c r="L126" s="64">
        <f t="shared" si="28"/>
        <v>98596.772517231715</v>
      </c>
      <c r="M126" s="64">
        <f t="shared" si="29"/>
        <v>101413.82316058116</v>
      </c>
      <c r="N126" s="64">
        <f t="shared" si="30"/>
        <v>84511.519300484317</v>
      </c>
      <c r="O126" s="64">
        <f t="shared" si="31"/>
        <v>56341.012866989542</v>
      </c>
      <c r="P126" s="64">
        <f t="shared" ref="P126:P157" si="32">+P$117*$F118*$D$6</f>
        <v>28170.506433494771</v>
      </c>
      <c r="Q126" s="65">
        <f t="shared" si="25"/>
        <v>554494.36909019505</v>
      </c>
    </row>
    <row r="127" spans="6:17">
      <c r="F127" s="21">
        <v>10</v>
      </c>
      <c r="G127" s="21">
        <v>2031</v>
      </c>
      <c r="H127" s="64">
        <f t="shared" si="23"/>
        <v>1014.0190103542393</v>
      </c>
      <c r="I127" s="64">
        <f t="shared" si="24"/>
        <v>21691.289953790976</v>
      </c>
      <c r="J127" s="64">
        <f t="shared" si="26"/>
        <v>82633.485538251349</v>
      </c>
      <c r="K127" s="64">
        <f t="shared" si="27"/>
        <v>108456.44976895489</v>
      </c>
      <c r="L127" s="64">
        <f t="shared" si="28"/>
        <v>118316.12702067806</v>
      </c>
      <c r="M127" s="64">
        <f t="shared" si="29"/>
        <v>126767.27895072645</v>
      </c>
      <c r="N127" s="64">
        <f t="shared" si="30"/>
        <v>112682.02573397908</v>
      </c>
      <c r="O127" s="64">
        <f t="shared" si="31"/>
        <v>84511.519300484317</v>
      </c>
      <c r="P127" s="64">
        <f t="shared" si="32"/>
        <v>56341.012866989542</v>
      </c>
      <c r="Q127" s="65">
        <f t="shared" si="25"/>
        <v>712413.208144209</v>
      </c>
    </row>
    <row r="128" spans="6:17">
      <c r="F128" s="20">
        <v>11</v>
      </c>
      <c r="G128" s="20">
        <v>2032</v>
      </c>
      <c r="H128" s="64">
        <f t="shared" si="23"/>
        <v>1115.4209113896634</v>
      </c>
      <c r="I128" s="64">
        <f t="shared" si="24"/>
        <v>24101.433281989976</v>
      </c>
      <c r="J128" s="64">
        <f t="shared" si="26"/>
        <v>92962.671230532767</v>
      </c>
      <c r="K128" s="64">
        <f t="shared" si="27"/>
        <v>123950.22830737701</v>
      </c>
      <c r="L128" s="64">
        <f t="shared" si="28"/>
        <v>138035.48152412439</v>
      </c>
      <c r="M128" s="64">
        <f t="shared" si="29"/>
        <v>152120.73474087173</v>
      </c>
      <c r="N128" s="64">
        <f t="shared" si="30"/>
        <v>140852.53216747387</v>
      </c>
      <c r="O128" s="64">
        <f t="shared" si="31"/>
        <v>112682.02573397908</v>
      </c>
      <c r="P128" s="64">
        <f t="shared" si="32"/>
        <v>84511.519300484317</v>
      </c>
      <c r="Q128" s="65">
        <f t="shared" si="25"/>
        <v>870332.04719822283</v>
      </c>
    </row>
    <row r="129" spans="6:17">
      <c r="F129" s="21">
        <v>12</v>
      </c>
      <c r="G129" s="21">
        <v>2033</v>
      </c>
      <c r="H129" s="64">
        <f t="shared" si="23"/>
        <v>1216.8228124250872</v>
      </c>
      <c r="I129" s="64">
        <f t="shared" si="24"/>
        <v>26511.576610188971</v>
      </c>
      <c r="J129" s="64">
        <f t="shared" si="26"/>
        <v>103291.85692281419</v>
      </c>
      <c r="K129" s="64">
        <f t="shared" si="27"/>
        <v>139444.00684579913</v>
      </c>
      <c r="L129" s="64">
        <f t="shared" si="28"/>
        <v>157754.83602757074</v>
      </c>
      <c r="M129" s="64">
        <f t="shared" si="29"/>
        <v>177474.19053101703</v>
      </c>
      <c r="N129" s="64">
        <f t="shared" si="30"/>
        <v>169023.03860096863</v>
      </c>
      <c r="O129" s="64">
        <f t="shared" si="31"/>
        <v>140852.53216747387</v>
      </c>
      <c r="P129" s="64">
        <f t="shared" si="32"/>
        <v>112682.02573397908</v>
      </c>
      <c r="Q129" s="65">
        <f t="shared" si="25"/>
        <v>1028250.8862522367</v>
      </c>
    </row>
    <row r="130" spans="6:17">
      <c r="F130" s="20">
        <v>13</v>
      </c>
      <c r="G130" s="20">
        <v>2034</v>
      </c>
      <c r="H130" s="64">
        <f t="shared" si="23"/>
        <v>1318.2247134605111</v>
      </c>
      <c r="I130" s="64">
        <f t="shared" si="24"/>
        <v>28921.719938387967</v>
      </c>
      <c r="J130" s="64">
        <f t="shared" si="26"/>
        <v>113621.04261509559</v>
      </c>
      <c r="K130" s="64">
        <f t="shared" si="27"/>
        <v>154937.78538422126</v>
      </c>
      <c r="L130" s="64">
        <f t="shared" si="28"/>
        <v>177474.19053101708</v>
      </c>
      <c r="M130" s="64">
        <f t="shared" si="29"/>
        <v>202827.64632116232</v>
      </c>
      <c r="N130" s="64">
        <f t="shared" si="30"/>
        <v>197193.5450344634</v>
      </c>
      <c r="O130" s="64">
        <f t="shared" si="31"/>
        <v>169023.03860096863</v>
      </c>
      <c r="P130" s="64">
        <f t="shared" si="32"/>
        <v>140852.53216747387</v>
      </c>
      <c r="Q130" s="65">
        <f t="shared" si="25"/>
        <v>1186169.7253062506</v>
      </c>
    </row>
    <row r="131" spans="6:17">
      <c r="F131" s="21">
        <v>14</v>
      </c>
      <c r="G131" s="21">
        <v>2035</v>
      </c>
      <c r="H131" s="64">
        <f t="shared" si="23"/>
        <v>1419.6266144959352</v>
      </c>
      <c r="I131" s="64">
        <f t="shared" si="24"/>
        <v>31331.863266586963</v>
      </c>
      <c r="J131" s="64">
        <f t="shared" si="26"/>
        <v>123950.22830737701</v>
      </c>
      <c r="K131" s="64">
        <f t="shared" si="27"/>
        <v>170431.5639226434</v>
      </c>
      <c r="L131" s="64">
        <f t="shared" si="28"/>
        <v>197193.54503446343</v>
      </c>
      <c r="M131" s="64">
        <f t="shared" si="29"/>
        <v>228181.10211130764</v>
      </c>
      <c r="N131" s="64">
        <f t="shared" si="30"/>
        <v>225364.05146795817</v>
      </c>
      <c r="O131" s="64">
        <f t="shared" si="31"/>
        <v>197193.5450344634</v>
      </c>
      <c r="P131" s="64">
        <f t="shared" si="32"/>
        <v>169023.03860096863</v>
      </c>
      <c r="Q131" s="65">
        <f t="shared" si="25"/>
        <v>1344088.5643602647</v>
      </c>
    </row>
    <row r="132" spans="6:17">
      <c r="F132" s="21">
        <v>15</v>
      </c>
      <c r="G132" s="20">
        <v>2036</v>
      </c>
      <c r="H132" s="64">
        <f t="shared" si="23"/>
        <v>1521.0285155313591</v>
      </c>
      <c r="I132" s="64">
        <f t="shared" si="24"/>
        <v>33742.006594785962</v>
      </c>
      <c r="J132" s="64">
        <f t="shared" si="26"/>
        <v>134279.41399965843</v>
      </c>
      <c r="K132" s="64">
        <f t="shared" si="27"/>
        <v>185925.34246106553</v>
      </c>
      <c r="L132" s="64">
        <f t="shared" si="28"/>
        <v>216912.89953790978</v>
      </c>
      <c r="M132" s="64">
        <f t="shared" si="29"/>
        <v>253534.55790145291</v>
      </c>
      <c r="N132" s="64">
        <f t="shared" si="30"/>
        <v>253534.55790145294</v>
      </c>
      <c r="O132" s="64">
        <f t="shared" si="31"/>
        <v>225364.05146795817</v>
      </c>
      <c r="P132" s="64">
        <f t="shared" si="32"/>
        <v>197193.5450344634</v>
      </c>
      <c r="Q132" s="65">
        <f t="shared" si="25"/>
        <v>1502007.4034142783</v>
      </c>
    </row>
    <row r="133" spans="6:17">
      <c r="F133" s="20">
        <v>16</v>
      </c>
      <c r="G133" s="21">
        <v>2037</v>
      </c>
      <c r="H133" s="64">
        <f t="shared" si="23"/>
        <v>1622.4304165667829</v>
      </c>
      <c r="I133" s="64">
        <f t="shared" si="24"/>
        <v>36152.149922984958</v>
      </c>
      <c r="J133" s="64">
        <f t="shared" si="26"/>
        <v>144608.59969193986</v>
      </c>
      <c r="K133" s="64">
        <f t="shared" si="27"/>
        <v>201419.12099948764</v>
      </c>
      <c r="L133" s="64">
        <f t="shared" si="28"/>
        <v>236632.25404135612</v>
      </c>
      <c r="M133" s="64">
        <f t="shared" si="29"/>
        <v>278888.0136915982</v>
      </c>
      <c r="N133" s="64">
        <f t="shared" si="30"/>
        <v>281705.06433494773</v>
      </c>
      <c r="O133" s="64">
        <f t="shared" si="31"/>
        <v>253534.55790145294</v>
      </c>
      <c r="P133" s="64">
        <f t="shared" si="32"/>
        <v>225364.05146795817</v>
      </c>
      <c r="Q133" s="65">
        <f t="shared" si="25"/>
        <v>1659926.2424682924</v>
      </c>
    </row>
    <row r="134" spans="6:17">
      <c r="F134" s="21">
        <v>17</v>
      </c>
      <c r="G134" s="20">
        <v>2038</v>
      </c>
      <c r="H134" s="64">
        <f t="shared" si="23"/>
        <v>1723.832317602207</v>
      </c>
      <c r="I134" s="64">
        <f t="shared" si="24"/>
        <v>38562.293251183961</v>
      </c>
      <c r="J134" s="64">
        <f t="shared" si="26"/>
        <v>154937.78538422126</v>
      </c>
      <c r="K134" s="64">
        <f t="shared" si="27"/>
        <v>216912.89953790978</v>
      </c>
      <c r="L134" s="64">
        <f t="shared" si="28"/>
        <v>256351.60854480247</v>
      </c>
      <c r="M134" s="64">
        <f t="shared" si="29"/>
        <v>304241.46948174346</v>
      </c>
      <c r="N134" s="64">
        <f t="shared" si="30"/>
        <v>309875.57076844253</v>
      </c>
      <c r="O134" s="64">
        <f t="shared" si="31"/>
        <v>281705.06433494773</v>
      </c>
      <c r="P134" s="64">
        <f t="shared" si="32"/>
        <v>253534.55790145294</v>
      </c>
      <c r="Q134" s="65">
        <f t="shared" si="25"/>
        <v>1817845.0815223062</v>
      </c>
    </row>
    <row r="135" spans="6:17">
      <c r="F135" s="20">
        <v>18</v>
      </c>
      <c r="G135" s="21">
        <v>2039</v>
      </c>
      <c r="H135" s="64">
        <f t="shared" si="23"/>
        <v>1825.2342186376309</v>
      </c>
      <c r="I135" s="64">
        <f t="shared" si="24"/>
        <v>40972.436579382957</v>
      </c>
      <c r="J135" s="64">
        <f t="shared" si="26"/>
        <v>165266.9710765027</v>
      </c>
      <c r="K135" s="64">
        <f t="shared" si="27"/>
        <v>232406.67807633191</v>
      </c>
      <c r="L135" s="64">
        <f t="shared" si="28"/>
        <v>276070.96304824878</v>
      </c>
      <c r="M135" s="64">
        <f t="shared" si="29"/>
        <v>329594.92527188879</v>
      </c>
      <c r="N135" s="64">
        <f t="shared" si="30"/>
        <v>338046.07720193727</v>
      </c>
      <c r="O135" s="64">
        <f t="shared" si="31"/>
        <v>309875.57076844253</v>
      </c>
      <c r="P135" s="64">
        <f t="shared" si="32"/>
        <v>281705.06433494773</v>
      </c>
      <c r="Q135" s="65">
        <f t="shared" si="25"/>
        <v>1975763.9205763205</v>
      </c>
    </row>
    <row r="136" spans="6:17">
      <c r="F136" s="21">
        <v>19</v>
      </c>
      <c r="G136" s="21">
        <v>2040</v>
      </c>
      <c r="H136" s="64">
        <f t="shared" si="23"/>
        <v>1926.6361196730547</v>
      </c>
      <c r="I136" s="64">
        <f t="shared" si="24"/>
        <v>43382.579907581952</v>
      </c>
      <c r="J136" s="64">
        <f t="shared" si="26"/>
        <v>175596.1567687841</v>
      </c>
      <c r="K136" s="64">
        <f t="shared" si="27"/>
        <v>247900.45661475402</v>
      </c>
      <c r="L136" s="64">
        <f t="shared" si="28"/>
        <v>295790.31755169516</v>
      </c>
      <c r="M136" s="64">
        <f t="shared" si="29"/>
        <v>354948.38106203405</v>
      </c>
      <c r="N136" s="64">
        <f t="shared" si="30"/>
        <v>366216.58363543201</v>
      </c>
      <c r="O136" s="64">
        <f t="shared" si="31"/>
        <v>338046.07720193727</v>
      </c>
      <c r="P136" s="64">
        <f t="shared" si="32"/>
        <v>309875.57076844253</v>
      </c>
      <c r="Q136" s="65">
        <f t="shared" si="25"/>
        <v>2133682.7596303341</v>
      </c>
    </row>
    <row r="137" spans="6:17">
      <c r="F137" s="20">
        <v>20</v>
      </c>
      <c r="G137" s="20">
        <v>2041</v>
      </c>
      <c r="H137" s="64">
        <f t="shared" si="23"/>
        <v>2028.0380207084786</v>
      </c>
      <c r="I137" s="64">
        <f t="shared" si="24"/>
        <v>45792.723235780948</v>
      </c>
      <c r="J137" s="64">
        <f t="shared" si="26"/>
        <v>185925.34246106553</v>
      </c>
      <c r="K137" s="64">
        <f t="shared" si="27"/>
        <v>263394.23515317612</v>
      </c>
      <c r="L137" s="64">
        <f t="shared" si="28"/>
        <v>315509.67205514148</v>
      </c>
      <c r="M137" s="64">
        <f t="shared" si="29"/>
        <v>380301.83685217932</v>
      </c>
      <c r="N137" s="64">
        <f t="shared" si="30"/>
        <v>394387.0900689268</v>
      </c>
      <c r="O137" s="64">
        <f t="shared" si="31"/>
        <v>366216.58363543201</v>
      </c>
      <c r="P137" s="64">
        <f t="shared" si="32"/>
        <v>338046.07720193727</v>
      </c>
      <c r="Q137" s="65">
        <f t="shared" si="25"/>
        <v>2291601.5986843477</v>
      </c>
    </row>
    <row r="138" spans="6:17">
      <c r="F138" s="20">
        <v>20</v>
      </c>
      <c r="G138" s="21">
        <v>2042</v>
      </c>
      <c r="H138" s="64">
        <f t="shared" si="23"/>
        <v>2028.0380207084786</v>
      </c>
      <c r="I138" s="64">
        <f t="shared" si="24"/>
        <v>48202.866563979951</v>
      </c>
      <c r="J138" s="64">
        <f t="shared" si="26"/>
        <v>196254.52815334694</v>
      </c>
      <c r="K138" s="64">
        <f t="shared" si="27"/>
        <v>278888.01369159826</v>
      </c>
      <c r="L138" s="64">
        <f t="shared" si="28"/>
        <v>335229.02655858779</v>
      </c>
      <c r="M138" s="64">
        <f t="shared" si="29"/>
        <v>405655.29264232464</v>
      </c>
      <c r="N138" s="64">
        <f t="shared" si="30"/>
        <v>422557.5965024216</v>
      </c>
      <c r="O138" s="64">
        <f t="shared" si="31"/>
        <v>394387.0900689268</v>
      </c>
      <c r="P138" s="64">
        <f t="shared" si="32"/>
        <v>366216.58363543201</v>
      </c>
      <c r="Q138" s="65">
        <f t="shared" si="25"/>
        <v>2449419.0358373267</v>
      </c>
    </row>
    <row r="139" spans="6:17">
      <c r="F139" s="20">
        <v>20</v>
      </c>
      <c r="G139" s="20">
        <v>2043</v>
      </c>
      <c r="H139" s="64">
        <f t="shared" si="23"/>
        <v>2028.0380207084786</v>
      </c>
      <c r="I139" s="64">
        <f t="shared" si="24"/>
        <v>48202.866563979951</v>
      </c>
      <c r="J139" s="64">
        <f t="shared" si="26"/>
        <v>206583.71384562837</v>
      </c>
      <c r="K139" s="64">
        <f t="shared" si="27"/>
        <v>294381.79223002039</v>
      </c>
      <c r="L139" s="64">
        <f t="shared" si="28"/>
        <v>354948.38106203417</v>
      </c>
      <c r="M139" s="64">
        <f t="shared" si="29"/>
        <v>431008.74843246996</v>
      </c>
      <c r="N139" s="64">
        <f t="shared" si="30"/>
        <v>450728.10293591634</v>
      </c>
      <c r="O139" s="64">
        <f t="shared" si="31"/>
        <v>422557.5965024216</v>
      </c>
      <c r="P139" s="64">
        <f t="shared" si="32"/>
        <v>394387.0900689268</v>
      </c>
      <c r="Q139" s="65">
        <f t="shared" si="25"/>
        <v>2604826.329662106</v>
      </c>
    </row>
    <row r="140" spans="6:17">
      <c r="F140" s="20">
        <v>20</v>
      </c>
      <c r="G140" s="21">
        <v>2044</v>
      </c>
      <c r="H140" s="64">
        <f t="shared" si="23"/>
        <v>2028.0380207084786</v>
      </c>
      <c r="I140" s="64">
        <f t="shared" si="24"/>
        <v>48202.866563979951</v>
      </c>
      <c r="J140" s="64">
        <f t="shared" si="26"/>
        <v>206583.71384562837</v>
      </c>
      <c r="K140" s="64">
        <f t="shared" si="27"/>
        <v>309875.57076844253</v>
      </c>
      <c r="L140" s="64">
        <f t="shared" si="28"/>
        <v>374667.73556548049</v>
      </c>
      <c r="M140" s="64">
        <f t="shared" si="29"/>
        <v>456362.20422261528</v>
      </c>
      <c r="N140" s="64">
        <f t="shared" si="30"/>
        <v>478898.60936941108</v>
      </c>
      <c r="O140" s="64">
        <f t="shared" si="31"/>
        <v>450728.10293591634</v>
      </c>
      <c r="P140" s="64">
        <f t="shared" si="32"/>
        <v>422557.5965024216</v>
      </c>
      <c r="Q140" s="65">
        <f t="shared" si="25"/>
        <v>2749904.4377946043</v>
      </c>
    </row>
    <row r="141" spans="6:17">
      <c r="F141" s="20">
        <v>20</v>
      </c>
      <c r="G141" s="20">
        <v>2045</v>
      </c>
      <c r="H141" s="64">
        <f t="shared" si="23"/>
        <v>2028.0380207084786</v>
      </c>
      <c r="I141" s="64">
        <f t="shared" si="24"/>
        <v>48202.866563979951</v>
      </c>
      <c r="J141" s="64">
        <f t="shared" si="26"/>
        <v>206583.71384562837</v>
      </c>
      <c r="K141" s="64">
        <f t="shared" si="27"/>
        <v>309875.57076844253</v>
      </c>
      <c r="L141" s="64">
        <f t="shared" si="28"/>
        <v>394387.09006892686</v>
      </c>
      <c r="M141" s="64">
        <f t="shared" si="29"/>
        <v>481715.66001276049</v>
      </c>
      <c r="N141" s="64">
        <f t="shared" si="30"/>
        <v>507069.11580290587</v>
      </c>
      <c r="O141" s="64">
        <f t="shared" si="31"/>
        <v>478898.60936941108</v>
      </c>
      <c r="P141" s="64">
        <f t="shared" si="32"/>
        <v>450728.10293591634</v>
      </c>
      <c r="Q141" s="65">
        <f t="shared" si="25"/>
        <v>2879488.76738868</v>
      </c>
    </row>
    <row r="142" spans="6:17">
      <c r="F142" s="20">
        <v>20</v>
      </c>
      <c r="G142" s="21">
        <v>2046</v>
      </c>
      <c r="H142" s="64">
        <f t="shared" si="23"/>
        <v>2028.0380207084786</v>
      </c>
      <c r="I142" s="64">
        <f t="shared" si="24"/>
        <v>48202.866563979951</v>
      </c>
      <c r="J142" s="64">
        <f t="shared" si="26"/>
        <v>206583.71384562837</v>
      </c>
      <c r="K142" s="64">
        <f t="shared" si="27"/>
        <v>309875.57076844253</v>
      </c>
      <c r="L142" s="64">
        <f t="shared" si="28"/>
        <v>394387.09006892686</v>
      </c>
      <c r="M142" s="64">
        <f t="shared" si="29"/>
        <v>507069.11580290581</v>
      </c>
      <c r="N142" s="64">
        <f t="shared" si="30"/>
        <v>535239.62223640061</v>
      </c>
      <c r="O142" s="64">
        <f t="shared" si="31"/>
        <v>507069.11580290587</v>
      </c>
      <c r="P142" s="64">
        <f t="shared" si="32"/>
        <v>478898.60936941108</v>
      </c>
      <c r="Q142" s="65">
        <f t="shared" si="25"/>
        <v>2989353.7424793094</v>
      </c>
    </row>
    <row r="143" spans="6:17">
      <c r="F143" s="20">
        <v>20</v>
      </c>
      <c r="G143" s="20">
        <v>2047</v>
      </c>
      <c r="H143" s="64">
        <f t="shared" si="23"/>
        <v>2028.0380207084786</v>
      </c>
      <c r="I143" s="64">
        <f t="shared" si="24"/>
        <v>48202.866563979951</v>
      </c>
      <c r="J143" s="64">
        <f t="shared" si="26"/>
        <v>206583.71384562837</v>
      </c>
      <c r="K143" s="64">
        <f t="shared" si="27"/>
        <v>309875.57076844253</v>
      </c>
      <c r="L143" s="64">
        <f t="shared" si="28"/>
        <v>394387.09006892686</v>
      </c>
      <c r="M143" s="64">
        <f t="shared" si="29"/>
        <v>507069.11580290581</v>
      </c>
      <c r="N143" s="64">
        <f t="shared" si="30"/>
        <v>563410.12866989546</v>
      </c>
      <c r="O143" s="64">
        <f t="shared" si="31"/>
        <v>535239.62223640061</v>
      </c>
      <c r="P143" s="64">
        <f t="shared" si="32"/>
        <v>507069.11580290587</v>
      </c>
      <c r="Q143" s="65">
        <f t="shared" si="25"/>
        <v>3073865.261779794</v>
      </c>
    </row>
    <row r="144" spans="6:17">
      <c r="F144" s="20">
        <v>20</v>
      </c>
      <c r="G144" s="21">
        <v>2048</v>
      </c>
      <c r="H144" s="64">
        <f t="shared" si="23"/>
        <v>2028.0380207084786</v>
      </c>
      <c r="I144" s="64">
        <f t="shared" si="24"/>
        <v>48202.866563979951</v>
      </c>
      <c r="J144" s="64">
        <f t="shared" si="26"/>
        <v>206583.71384562837</v>
      </c>
      <c r="K144" s="64">
        <f t="shared" si="27"/>
        <v>309875.57076844253</v>
      </c>
      <c r="L144" s="64">
        <f t="shared" si="28"/>
        <v>394387.09006892686</v>
      </c>
      <c r="M144" s="64">
        <f t="shared" si="29"/>
        <v>507069.11580290581</v>
      </c>
      <c r="N144" s="64">
        <f t="shared" si="30"/>
        <v>563410.12866989546</v>
      </c>
      <c r="O144" s="64">
        <f t="shared" si="31"/>
        <v>563410.12866989546</v>
      </c>
      <c r="P144" s="64">
        <f t="shared" si="32"/>
        <v>535239.62223640061</v>
      </c>
      <c r="Q144" s="65">
        <f t="shared" si="25"/>
        <v>3130206.2746467832</v>
      </c>
    </row>
    <row r="145" spans="6:17">
      <c r="F145" s="20">
        <v>20</v>
      </c>
      <c r="G145" s="21">
        <v>2049</v>
      </c>
      <c r="H145" s="64">
        <f t="shared" si="23"/>
        <v>2028.0380207084786</v>
      </c>
      <c r="I145" s="64">
        <f t="shared" si="24"/>
        <v>48202.866563979951</v>
      </c>
      <c r="J145" s="64">
        <f t="shared" si="26"/>
        <v>206583.71384562837</v>
      </c>
      <c r="K145" s="64">
        <f t="shared" si="27"/>
        <v>309875.57076844253</v>
      </c>
      <c r="L145" s="64">
        <f t="shared" si="28"/>
        <v>394387.09006892686</v>
      </c>
      <c r="M145" s="64">
        <f t="shared" si="29"/>
        <v>507069.11580290581</v>
      </c>
      <c r="N145" s="64">
        <f t="shared" si="30"/>
        <v>563410.12866989546</v>
      </c>
      <c r="O145" s="64">
        <f t="shared" si="31"/>
        <v>563410.12866989546</v>
      </c>
      <c r="P145" s="64">
        <f t="shared" si="32"/>
        <v>563410.12866989546</v>
      </c>
      <c r="Q145" s="65">
        <f t="shared" si="25"/>
        <v>3158376.7810802786</v>
      </c>
    </row>
    <row r="146" spans="6:17">
      <c r="F146" s="20">
        <v>20</v>
      </c>
      <c r="G146" s="20">
        <v>2050</v>
      </c>
      <c r="H146" s="64">
        <f t="shared" si="23"/>
        <v>2028.0380207084786</v>
      </c>
      <c r="I146" s="64">
        <f t="shared" si="24"/>
        <v>48202.866563979951</v>
      </c>
      <c r="J146" s="64">
        <f t="shared" si="26"/>
        <v>206583.71384562837</v>
      </c>
      <c r="K146" s="64">
        <f t="shared" si="27"/>
        <v>309875.57076844253</v>
      </c>
      <c r="L146" s="64">
        <f t="shared" si="28"/>
        <v>394387.09006892686</v>
      </c>
      <c r="M146" s="64">
        <f t="shared" si="29"/>
        <v>507069.11580290581</v>
      </c>
      <c r="N146" s="64">
        <f t="shared" si="30"/>
        <v>563410.12866989546</v>
      </c>
      <c r="O146" s="64">
        <f t="shared" si="31"/>
        <v>563410.12866989546</v>
      </c>
      <c r="P146" s="64">
        <f t="shared" si="32"/>
        <v>563410.12866989546</v>
      </c>
      <c r="Q146" s="65">
        <f t="shared" si="25"/>
        <v>3158376.7810802786</v>
      </c>
    </row>
    <row r="147" spans="6:17">
      <c r="F147" s="20">
        <v>20</v>
      </c>
      <c r="G147" s="21">
        <v>2051</v>
      </c>
      <c r="H147" s="64">
        <f t="shared" si="23"/>
        <v>2028.0380207084786</v>
      </c>
      <c r="I147" s="64">
        <f t="shared" si="24"/>
        <v>48202.866563979951</v>
      </c>
      <c r="J147" s="64">
        <f t="shared" si="26"/>
        <v>206583.71384562837</v>
      </c>
      <c r="K147" s="64">
        <f t="shared" si="27"/>
        <v>309875.57076844253</v>
      </c>
      <c r="L147" s="64">
        <f t="shared" si="28"/>
        <v>394387.09006892686</v>
      </c>
      <c r="M147" s="64">
        <f t="shared" si="29"/>
        <v>507069.11580290581</v>
      </c>
      <c r="N147" s="64">
        <f t="shared" si="30"/>
        <v>563410.12866989546</v>
      </c>
      <c r="O147" s="64">
        <f t="shared" si="31"/>
        <v>563410.12866989546</v>
      </c>
      <c r="P147" s="64">
        <f t="shared" si="32"/>
        <v>563410.12866989546</v>
      </c>
      <c r="Q147" s="65">
        <f t="shared" si="25"/>
        <v>3158376.7810802786</v>
      </c>
    </row>
    <row r="148" spans="6:17">
      <c r="F148" s="20">
        <v>20</v>
      </c>
      <c r="G148" s="20">
        <v>2052</v>
      </c>
      <c r="H148" s="64">
        <f t="shared" si="23"/>
        <v>2028.0380207084786</v>
      </c>
      <c r="I148" s="64">
        <f t="shared" si="24"/>
        <v>48202.866563979951</v>
      </c>
      <c r="J148" s="64">
        <f t="shared" si="26"/>
        <v>206583.71384562837</v>
      </c>
      <c r="K148" s="64">
        <f t="shared" si="27"/>
        <v>309875.57076844253</v>
      </c>
      <c r="L148" s="64">
        <f t="shared" si="28"/>
        <v>394387.09006892686</v>
      </c>
      <c r="M148" s="64">
        <f t="shared" si="29"/>
        <v>507069.11580290581</v>
      </c>
      <c r="N148" s="64">
        <f t="shared" si="30"/>
        <v>563410.12866989546</v>
      </c>
      <c r="O148" s="64">
        <f t="shared" si="31"/>
        <v>563410.12866989546</v>
      </c>
      <c r="P148" s="64">
        <f t="shared" si="32"/>
        <v>563410.12866989546</v>
      </c>
      <c r="Q148" s="65">
        <f t="shared" si="25"/>
        <v>3158376.7810802786</v>
      </c>
    </row>
    <row r="149" spans="6:17">
      <c r="F149" s="20">
        <v>20</v>
      </c>
      <c r="G149" s="21">
        <v>2053</v>
      </c>
      <c r="H149" s="64">
        <f t="shared" si="23"/>
        <v>2028.0380207084786</v>
      </c>
      <c r="I149" s="64">
        <f t="shared" si="24"/>
        <v>48202.866563979951</v>
      </c>
      <c r="J149" s="64">
        <f t="shared" si="26"/>
        <v>206583.71384562837</v>
      </c>
      <c r="K149" s="64">
        <f t="shared" si="27"/>
        <v>309875.57076844253</v>
      </c>
      <c r="L149" s="64">
        <f t="shared" si="28"/>
        <v>394387.09006892686</v>
      </c>
      <c r="M149" s="64">
        <f t="shared" si="29"/>
        <v>507069.11580290581</v>
      </c>
      <c r="N149" s="64">
        <f t="shared" si="30"/>
        <v>563410.12866989546</v>
      </c>
      <c r="O149" s="64">
        <f t="shared" si="31"/>
        <v>563410.12866989546</v>
      </c>
      <c r="P149" s="64">
        <f t="shared" si="32"/>
        <v>563410.12866989546</v>
      </c>
      <c r="Q149" s="65">
        <f t="shared" si="25"/>
        <v>3158376.7810802786</v>
      </c>
    </row>
    <row r="150" spans="6:17">
      <c r="F150" s="20">
        <v>20</v>
      </c>
      <c r="G150" s="20">
        <v>2054</v>
      </c>
      <c r="H150" s="64">
        <f t="shared" si="23"/>
        <v>2028.0380207084786</v>
      </c>
      <c r="I150" s="64">
        <f t="shared" si="24"/>
        <v>48202.866563979951</v>
      </c>
      <c r="J150" s="64">
        <f t="shared" si="26"/>
        <v>206583.71384562837</v>
      </c>
      <c r="K150" s="64">
        <f t="shared" si="27"/>
        <v>309875.57076844253</v>
      </c>
      <c r="L150" s="64">
        <f t="shared" si="28"/>
        <v>394387.09006892686</v>
      </c>
      <c r="M150" s="64">
        <f t="shared" si="29"/>
        <v>507069.11580290581</v>
      </c>
      <c r="N150" s="64">
        <f t="shared" si="30"/>
        <v>563410.12866989546</v>
      </c>
      <c r="O150" s="64">
        <f t="shared" si="31"/>
        <v>563410.12866989546</v>
      </c>
      <c r="P150" s="64">
        <f t="shared" si="32"/>
        <v>563410.12866989546</v>
      </c>
      <c r="Q150" s="65">
        <f t="shared" si="25"/>
        <v>3158376.7810802786</v>
      </c>
    </row>
    <row r="151" spans="6:17">
      <c r="F151" s="20">
        <v>20</v>
      </c>
      <c r="G151" s="21">
        <v>2055</v>
      </c>
      <c r="H151" s="64">
        <f t="shared" si="23"/>
        <v>2028.0380207084786</v>
      </c>
      <c r="I151" s="64">
        <f t="shared" si="24"/>
        <v>48202.866563979951</v>
      </c>
      <c r="J151" s="64">
        <f t="shared" si="26"/>
        <v>206583.71384562837</v>
      </c>
      <c r="K151" s="64">
        <f t="shared" si="27"/>
        <v>309875.57076844253</v>
      </c>
      <c r="L151" s="64">
        <f t="shared" si="28"/>
        <v>394387.09006892686</v>
      </c>
      <c r="M151" s="64">
        <f t="shared" si="29"/>
        <v>507069.11580290581</v>
      </c>
      <c r="N151" s="64">
        <f t="shared" si="30"/>
        <v>563410.12866989546</v>
      </c>
      <c r="O151" s="64">
        <f t="shared" si="31"/>
        <v>563410.12866989546</v>
      </c>
      <c r="P151" s="64">
        <f t="shared" si="32"/>
        <v>563410.12866989546</v>
      </c>
      <c r="Q151" s="65">
        <f t="shared" si="25"/>
        <v>3158376.7810802786</v>
      </c>
    </row>
    <row r="152" spans="6:17">
      <c r="F152" s="20">
        <v>20</v>
      </c>
      <c r="G152" s="20">
        <v>2056</v>
      </c>
      <c r="H152" s="64">
        <f t="shared" si="23"/>
        <v>2028.0380207084786</v>
      </c>
      <c r="I152" s="64">
        <f t="shared" si="24"/>
        <v>48202.866563979951</v>
      </c>
      <c r="J152" s="64">
        <f t="shared" si="26"/>
        <v>206583.71384562837</v>
      </c>
      <c r="K152" s="64">
        <f t="shared" si="27"/>
        <v>309875.57076844253</v>
      </c>
      <c r="L152" s="64">
        <f t="shared" si="28"/>
        <v>394387.09006892686</v>
      </c>
      <c r="M152" s="64">
        <f t="shared" si="29"/>
        <v>507069.11580290581</v>
      </c>
      <c r="N152" s="64">
        <f t="shared" si="30"/>
        <v>563410.12866989546</v>
      </c>
      <c r="O152" s="64">
        <f t="shared" si="31"/>
        <v>563410.12866989546</v>
      </c>
      <c r="P152" s="64">
        <f t="shared" si="32"/>
        <v>563410.12866989546</v>
      </c>
      <c r="Q152" s="65">
        <f t="shared" si="25"/>
        <v>3158376.7810802786</v>
      </c>
    </row>
    <row r="153" spans="6:17">
      <c r="F153" s="20">
        <v>20</v>
      </c>
      <c r="G153" s="21">
        <v>2057</v>
      </c>
      <c r="H153" s="64">
        <f t="shared" si="23"/>
        <v>2028.0380207084786</v>
      </c>
      <c r="I153" s="64">
        <f t="shared" si="24"/>
        <v>48202.866563979951</v>
      </c>
      <c r="J153" s="64">
        <f t="shared" si="26"/>
        <v>206583.71384562837</v>
      </c>
      <c r="K153" s="64">
        <f t="shared" si="27"/>
        <v>309875.57076844253</v>
      </c>
      <c r="L153" s="64">
        <f t="shared" si="28"/>
        <v>394387.09006892686</v>
      </c>
      <c r="M153" s="64">
        <f t="shared" si="29"/>
        <v>507069.11580290581</v>
      </c>
      <c r="N153" s="64">
        <f t="shared" si="30"/>
        <v>563410.12866989546</v>
      </c>
      <c r="O153" s="64">
        <f t="shared" si="31"/>
        <v>563410.12866989546</v>
      </c>
      <c r="P153" s="64">
        <f t="shared" si="32"/>
        <v>563410.12866989546</v>
      </c>
      <c r="Q153" s="65">
        <f t="shared" si="25"/>
        <v>3158376.7810802786</v>
      </c>
    </row>
    <row r="154" spans="6:17">
      <c r="F154" s="20">
        <v>20</v>
      </c>
      <c r="G154" s="20">
        <v>2058</v>
      </c>
      <c r="H154" s="64">
        <f t="shared" si="23"/>
        <v>2028.0380207084786</v>
      </c>
      <c r="I154" s="64">
        <f t="shared" si="24"/>
        <v>48202.866563979951</v>
      </c>
      <c r="J154" s="64">
        <f t="shared" si="26"/>
        <v>206583.71384562837</v>
      </c>
      <c r="K154" s="64">
        <f t="shared" si="27"/>
        <v>309875.57076844253</v>
      </c>
      <c r="L154" s="64">
        <f t="shared" si="28"/>
        <v>394387.09006892686</v>
      </c>
      <c r="M154" s="64">
        <f t="shared" si="29"/>
        <v>507069.11580290581</v>
      </c>
      <c r="N154" s="64">
        <f t="shared" si="30"/>
        <v>563410.12866989546</v>
      </c>
      <c r="O154" s="64">
        <f t="shared" si="31"/>
        <v>563410.12866989546</v>
      </c>
      <c r="P154" s="64">
        <f t="shared" si="32"/>
        <v>563410.12866989546</v>
      </c>
      <c r="Q154" s="65">
        <f t="shared" si="25"/>
        <v>3158376.7810802786</v>
      </c>
    </row>
    <row r="155" spans="6:17">
      <c r="F155" s="20">
        <v>20</v>
      </c>
      <c r="G155" s="21">
        <v>2059</v>
      </c>
      <c r="H155" s="64">
        <f t="shared" si="23"/>
        <v>2028.0380207084786</v>
      </c>
      <c r="I155" s="64">
        <f t="shared" si="24"/>
        <v>48202.866563979951</v>
      </c>
      <c r="J155" s="64">
        <f t="shared" si="26"/>
        <v>206583.71384562837</v>
      </c>
      <c r="K155" s="64">
        <f t="shared" si="27"/>
        <v>309875.57076844253</v>
      </c>
      <c r="L155" s="64">
        <f t="shared" si="28"/>
        <v>394387.09006892686</v>
      </c>
      <c r="M155" s="64">
        <f t="shared" si="29"/>
        <v>507069.11580290581</v>
      </c>
      <c r="N155" s="64">
        <f t="shared" si="30"/>
        <v>563410.12866989546</v>
      </c>
      <c r="O155" s="64">
        <f t="shared" si="31"/>
        <v>563410.12866989546</v>
      </c>
      <c r="P155" s="64">
        <f t="shared" si="32"/>
        <v>563410.12866989546</v>
      </c>
      <c r="Q155" s="65">
        <f t="shared" si="25"/>
        <v>3158376.7810802786</v>
      </c>
    </row>
    <row r="156" spans="6:17">
      <c r="F156" s="20">
        <v>20</v>
      </c>
      <c r="G156" s="20">
        <v>2060</v>
      </c>
      <c r="H156" s="64">
        <f t="shared" si="23"/>
        <v>2028.0380207084786</v>
      </c>
      <c r="I156" s="64">
        <f t="shared" si="24"/>
        <v>48202.866563979951</v>
      </c>
      <c r="J156" s="64">
        <f t="shared" si="26"/>
        <v>206583.71384562837</v>
      </c>
      <c r="K156" s="64">
        <f t="shared" si="27"/>
        <v>309875.57076844253</v>
      </c>
      <c r="L156" s="64">
        <f t="shared" si="28"/>
        <v>394387.09006892686</v>
      </c>
      <c r="M156" s="64">
        <f t="shared" si="29"/>
        <v>507069.11580290581</v>
      </c>
      <c r="N156" s="64">
        <f t="shared" si="30"/>
        <v>563410.12866989546</v>
      </c>
      <c r="O156" s="64">
        <f t="shared" si="31"/>
        <v>563410.12866989546</v>
      </c>
      <c r="P156" s="64">
        <f t="shared" si="32"/>
        <v>563410.12866989546</v>
      </c>
      <c r="Q156" s="65">
        <f t="shared" si="25"/>
        <v>3158376.7810802786</v>
      </c>
    </row>
    <row r="157" spans="6:17">
      <c r="F157" s="20">
        <v>20</v>
      </c>
      <c r="G157" s="21">
        <v>2061</v>
      </c>
      <c r="H157" s="64">
        <f t="shared" si="23"/>
        <v>2028.0380207084786</v>
      </c>
      <c r="I157" s="64">
        <f t="shared" si="24"/>
        <v>48202.866563979951</v>
      </c>
      <c r="J157" s="64">
        <f t="shared" si="26"/>
        <v>206583.71384562837</v>
      </c>
      <c r="K157" s="64">
        <f t="shared" si="27"/>
        <v>309875.57076844253</v>
      </c>
      <c r="L157" s="64">
        <f t="shared" si="28"/>
        <v>394387.09006892686</v>
      </c>
      <c r="M157" s="64">
        <f t="shared" si="29"/>
        <v>507069.11580290581</v>
      </c>
      <c r="N157" s="64">
        <f t="shared" si="30"/>
        <v>563410.12866989546</v>
      </c>
      <c r="O157" s="64">
        <f t="shared" si="31"/>
        <v>563410.12866989546</v>
      </c>
      <c r="P157" s="64">
        <f t="shared" si="32"/>
        <v>563410.12866989546</v>
      </c>
      <c r="Q157" s="65">
        <f t="shared" si="25"/>
        <v>3158376.7810802786</v>
      </c>
    </row>
    <row r="159" spans="6:17">
      <c r="F159" s="63" t="s">
        <v>101</v>
      </c>
      <c r="G159" s="66"/>
      <c r="H159" s="66"/>
      <c r="I159" s="66"/>
      <c r="J159" s="66"/>
      <c r="K159" s="66"/>
      <c r="L159" s="66"/>
      <c r="M159" s="66"/>
      <c r="N159" s="66"/>
      <c r="O159" s="66"/>
      <c r="P159" s="66"/>
    </row>
    <row r="160" spans="6:17">
      <c r="G160" s="21">
        <v>2022</v>
      </c>
      <c r="H160" s="64">
        <f>+SUM(H118,H76,H34)</f>
        <v>200.09297769139064</v>
      </c>
      <c r="I160" s="64">
        <f t="shared" ref="I160:P162" si="33">+SUM(I118,I76,I34)</f>
        <v>0</v>
      </c>
      <c r="J160" s="64">
        <f t="shared" si="33"/>
        <v>0</v>
      </c>
      <c r="K160" s="64">
        <f t="shared" si="33"/>
        <v>0</v>
      </c>
      <c r="L160" s="64">
        <f t="shared" si="33"/>
        <v>0</v>
      </c>
      <c r="M160" s="64">
        <f t="shared" si="33"/>
        <v>0</v>
      </c>
      <c r="N160" s="64">
        <f t="shared" si="33"/>
        <v>0</v>
      </c>
      <c r="O160" s="64">
        <f t="shared" si="33"/>
        <v>0</v>
      </c>
      <c r="P160" s="64">
        <f t="shared" si="33"/>
        <v>0</v>
      </c>
      <c r="Q160" s="65">
        <f>SUM(H160:P160)</f>
        <v>200.09297769139064</v>
      </c>
    </row>
    <row r="161" spans="7:17">
      <c r="G161" s="20">
        <v>2023</v>
      </c>
      <c r="H161" s="64">
        <f>+SUM(H119,H77,H35)</f>
        <v>400.18595538278129</v>
      </c>
      <c r="I161" s="64">
        <f t="shared" si="33"/>
        <v>4755.8551691639877</v>
      </c>
      <c r="J161" s="64">
        <f t="shared" si="33"/>
        <v>0</v>
      </c>
      <c r="K161" s="64">
        <f t="shared" si="33"/>
        <v>0</v>
      </c>
      <c r="L161" s="64">
        <f t="shared" si="33"/>
        <v>0</v>
      </c>
      <c r="M161" s="64">
        <f t="shared" si="33"/>
        <v>0</v>
      </c>
      <c r="N161" s="64">
        <f t="shared" si="33"/>
        <v>0</v>
      </c>
      <c r="O161" s="64">
        <f t="shared" si="33"/>
        <v>0</v>
      </c>
      <c r="P161" s="64">
        <f t="shared" si="33"/>
        <v>0</v>
      </c>
      <c r="Q161" s="65">
        <f t="shared" ref="Q161:Q199" si="34">SUM(H161:P161)</f>
        <v>5156.0411245467694</v>
      </c>
    </row>
    <row r="162" spans="7:17">
      <c r="G162" s="21">
        <v>2024</v>
      </c>
      <c r="H162" s="64">
        <f>+SUM(H120,H78,H36)</f>
        <v>600.27893307417196</v>
      </c>
      <c r="I162" s="64">
        <f t="shared" si="33"/>
        <v>9511.7103383279755</v>
      </c>
      <c r="J162" s="64">
        <f t="shared" si="33"/>
        <v>20382.236439274231</v>
      </c>
      <c r="K162" s="64">
        <f t="shared" si="33"/>
        <v>0</v>
      </c>
      <c r="L162" s="64">
        <f t="shared" si="33"/>
        <v>0</v>
      </c>
      <c r="M162" s="64">
        <f t="shared" si="33"/>
        <v>0</v>
      </c>
      <c r="N162" s="64">
        <f t="shared" si="33"/>
        <v>0</v>
      </c>
      <c r="O162" s="64">
        <f t="shared" si="33"/>
        <v>0</v>
      </c>
      <c r="P162" s="64">
        <f t="shared" si="33"/>
        <v>0</v>
      </c>
      <c r="Q162" s="65">
        <f t="shared" si="34"/>
        <v>30494.225710676379</v>
      </c>
    </row>
    <row r="163" spans="7:17">
      <c r="G163" s="20">
        <v>2025</v>
      </c>
      <c r="H163" s="64">
        <f t="shared" ref="H163:P178" si="35">+SUM(H121,H79,H37)</f>
        <v>800.37191076556257</v>
      </c>
      <c r="I163" s="64">
        <f t="shared" si="35"/>
        <v>14267.565507491961</v>
      </c>
      <c r="J163" s="64">
        <f t="shared" si="35"/>
        <v>40764.472878548462</v>
      </c>
      <c r="K163" s="64">
        <f t="shared" si="35"/>
        <v>30573.354658911347</v>
      </c>
      <c r="L163" s="64">
        <f t="shared" si="35"/>
        <v>0</v>
      </c>
      <c r="M163" s="64">
        <f t="shared" si="35"/>
        <v>0</v>
      </c>
      <c r="N163" s="64">
        <f t="shared" si="35"/>
        <v>0</v>
      </c>
      <c r="O163" s="64">
        <f t="shared" si="35"/>
        <v>0</v>
      </c>
      <c r="P163" s="64">
        <f t="shared" si="35"/>
        <v>0</v>
      </c>
      <c r="Q163" s="65">
        <f t="shared" si="34"/>
        <v>86405.764955717343</v>
      </c>
    </row>
    <row r="164" spans="7:17">
      <c r="G164" s="21">
        <v>2026</v>
      </c>
      <c r="H164" s="64">
        <f t="shared" si="35"/>
        <v>1000.4648884569532</v>
      </c>
      <c r="I164" s="64">
        <f t="shared" si="35"/>
        <v>19023.420676655951</v>
      </c>
      <c r="J164" s="64">
        <f t="shared" si="35"/>
        <v>61146.709317822693</v>
      </c>
      <c r="K164" s="64">
        <f t="shared" si="35"/>
        <v>61146.709317822693</v>
      </c>
      <c r="L164" s="64">
        <f t="shared" si="35"/>
        <v>38911.542293159895</v>
      </c>
      <c r="M164" s="64">
        <f t="shared" si="35"/>
        <v>0</v>
      </c>
      <c r="N164" s="64">
        <f t="shared" si="35"/>
        <v>0</v>
      </c>
      <c r="O164" s="64">
        <f t="shared" si="35"/>
        <v>0</v>
      </c>
      <c r="P164" s="64">
        <f t="shared" si="35"/>
        <v>0</v>
      </c>
      <c r="Q164" s="65">
        <f t="shared" si="34"/>
        <v>181228.84649391819</v>
      </c>
    </row>
    <row r="165" spans="7:17">
      <c r="G165" s="20">
        <v>2027</v>
      </c>
      <c r="H165" s="64">
        <f t="shared" si="35"/>
        <v>1200.5578661483439</v>
      </c>
      <c r="I165" s="64">
        <f t="shared" si="35"/>
        <v>23779.275845819939</v>
      </c>
      <c r="J165" s="64">
        <f t="shared" si="35"/>
        <v>81528.945757096924</v>
      </c>
      <c r="K165" s="64">
        <f t="shared" si="35"/>
        <v>91720.063976734033</v>
      </c>
      <c r="L165" s="64">
        <f>+SUM(L123,L81,L39)</f>
        <v>77823.08458631979</v>
      </c>
      <c r="M165" s="64">
        <f t="shared" si="35"/>
        <v>50029.125805491283</v>
      </c>
      <c r="N165" s="64">
        <f t="shared" si="35"/>
        <v>0</v>
      </c>
      <c r="O165" s="64">
        <f t="shared" si="35"/>
        <v>0</v>
      </c>
      <c r="P165" s="64">
        <f t="shared" si="35"/>
        <v>0</v>
      </c>
      <c r="Q165" s="65">
        <f t="shared" si="34"/>
        <v>326081.05383761035</v>
      </c>
    </row>
    <row r="166" spans="7:17">
      <c r="G166" s="21">
        <v>2028</v>
      </c>
      <c r="H166" s="64">
        <f t="shared" si="35"/>
        <v>1400.6508438397345</v>
      </c>
      <c r="I166" s="64">
        <f t="shared" si="35"/>
        <v>28535.131014983923</v>
      </c>
      <c r="J166" s="64">
        <f t="shared" si="35"/>
        <v>101911.18219637117</v>
      </c>
      <c r="K166" s="64">
        <f t="shared" si="35"/>
        <v>122293.41863564539</v>
      </c>
      <c r="L166" s="64">
        <f t="shared" si="35"/>
        <v>116734.62687947968</v>
      </c>
      <c r="M166" s="64">
        <f t="shared" si="35"/>
        <v>100058.25161098257</v>
      </c>
      <c r="N166" s="64">
        <f t="shared" si="35"/>
        <v>55587.917561656985</v>
      </c>
      <c r="O166" s="64">
        <f t="shared" si="35"/>
        <v>0</v>
      </c>
      <c r="P166" s="64">
        <f t="shared" si="35"/>
        <v>0</v>
      </c>
      <c r="Q166" s="65">
        <f t="shared" si="34"/>
        <v>526521.17874295951</v>
      </c>
    </row>
    <row r="167" spans="7:17">
      <c r="G167" s="20">
        <v>2029</v>
      </c>
      <c r="H167" s="64">
        <f t="shared" si="35"/>
        <v>1600.7438215311251</v>
      </c>
      <c r="I167" s="64">
        <f t="shared" si="35"/>
        <v>33290.986184147914</v>
      </c>
      <c r="J167" s="64">
        <f t="shared" si="35"/>
        <v>122293.41863564539</v>
      </c>
      <c r="K167" s="64">
        <f t="shared" si="35"/>
        <v>152866.77329455671</v>
      </c>
      <c r="L167" s="64">
        <f t="shared" si="35"/>
        <v>155646.16917263958</v>
      </c>
      <c r="M167" s="64">
        <f t="shared" si="35"/>
        <v>150087.37741647384</v>
      </c>
      <c r="N167" s="64">
        <f t="shared" si="35"/>
        <v>111175.83512331397</v>
      </c>
      <c r="O167" s="64">
        <f t="shared" si="35"/>
        <v>55587.917561656985</v>
      </c>
      <c r="P167" s="64">
        <f t="shared" si="35"/>
        <v>0</v>
      </c>
      <c r="Q167" s="65">
        <f t="shared" si="34"/>
        <v>782549.22120996553</v>
      </c>
    </row>
    <row r="168" spans="7:17">
      <c r="G168" s="21">
        <v>2030</v>
      </c>
      <c r="H168" s="64">
        <f t="shared" si="35"/>
        <v>1800.8367992225158</v>
      </c>
      <c r="I168" s="64">
        <f t="shared" si="35"/>
        <v>38046.841353311902</v>
      </c>
      <c r="J168" s="64">
        <f t="shared" si="35"/>
        <v>142675.65507491963</v>
      </c>
      <c r="K168" s="64">
        <f t="shared" si="35"/>
        <v>183440.12795346807</v>
      </c>
      <c r="L168" s="64">
        <f t="shared" si="35"/>
        <v>194557.71146579948</v>
      </c>
      <c r="M168" s="64">
        <f t="shared" si="35"/>
        <v>200116.50322196513</v>
      </c>
      <c r="N168" s="64">
        <f t="shared" si="35"/>
        <v>166763.75268497097</v>
      </c>
      <c r="O168" s="64">
        <f t="shared" si="35"/>
        <v>111175.83512331397</v>
      </c>
      <c r="P168" s="64">
        <f>+SUM(P126,P84,P42)</f>
        <v>55587.917561656985</v>
      </c>
      <c r="Q168" s="65">
        <f t="shared" si="34"/>
        <v>1094165.1812386287</v>
      </c>
    </row>
    <row r="169" spans="7:17">
      <c r="G169" s="21">
        <v>2031</v>
      </c>
      <c r="H169" s="64">
        <f t="shared" si="35"/>
        <v>2000.9297769139064</v>
      </c>
      <c r="I169" s="64">
        <f t="shared" si="35"/>
        <v>42802.69652247589</v>
      </c>
      <c r="J169" s="64">
        <f t="shared" si="35"/>
        <v>163057.89151419385</v>
      </c>
      <c r="K169" s="64">
        <f t="shared" si="35"/>
        <v>214013.48261237942</v>
      </c>
      <c r="L169" s="64">
        <f t="shared" si="35"/>
        <v>233469.25375895936</v>
      </c>
      <c r="M169" s="64">
        <f t="shared" si="35"/>
        <v>250145.62902745642</v>
      </c>
      <c r="N169" s="64">
        <f t="shared" si="35"/>
        <v>222351.67024662794</v>
      </c>
      <c r="O169" s="64">
        <f t="shared" si="35"/>
        <v>166763.75268497097</v>
      </c>
      <c r="P169" s="64">
        <f t="shared" si="35"/>
        <v>111175.83512331397</v>
      </c>
      <c r="Q169" s="65">
        <f t="shared" si="34"/>
        <v>1405781.1412672917</v>
      </c>
    </row>
    <row r="170" spans="7:17">
      <c r="G170" s="20">
        <v>2032</v>
      </c>
      <c r="H170" s="64">
        <f t="shared" si="35"/>
        <v>2201.0227546052975</v>
      </c>
      <c r="I170" s="64">
        <f t="shared" si="35"/>
        <v>47558.551691639877</v>
      </c>
      <c r="J170" s="64">
        <f t="shared" si="35"/>
        <v>183440.12795346809</v>
      </c>
      <c r="K170" s="64">
        <f t="shared" si="35"/>
        <v>244586.83727129077</v>
      </c>
      <c r="L170" s="64">
        <f t="shared" si="35"/>
        <v>272380.79605211923</v>
      </c>
      <c r="M170" s="64">
        <f t="shared" si="35"/>
        <v>300174.75483294768</v>
      </c>
      <c r="N170" s="64">
        <f t="shared" si="35"/>
        <v>277939.58780828491</v>
      </c>
      <c r="O170" s="64">
        <f t="shared" si="35"/>
        <v>222351.67024662794</v>
      </c>
      <c r="P170" s="64">
        <f t="shared" si="35"/>
        <v>166763.75268497097</v>
      </c>
      <c r="Q170" s="65">
        <f t="shared" si="34"/>
        <v>1717397.1012959545</v>
      </c>
    </row>
    <row r="171" spans="7:17">
      <c r="G171" s="21">
        <v>2033</v>
      </c>
      <c r="H171" s="64">
        <f t="shared" si="35"/>
        <v>2401.1157322966878</v>
      </c>
      <c r="I171" s="64">
        <f t="shared" si="35"/>
        <v>52314.406860803865</v>
      </c>
      <c r="J171" s="64">
        <f t="shared" si="35"/>
        <v>203822.36439274234</v>
      </c>
      <c r="K171" s="64">
        <f t="shared" si="35"/>
        <v>275160.19193020213</v>
      </c>
      <c r="L171" s="64">
        <f t="shared" si="35"/>
        <v>311292.33834527916</v>
      </c>
      <c r="M171" s="64">
        <f t="shared" si="35"/>
        <v>350203.88063843898</v>
      </c>
      <c r="N171" s="64">
        <f t="shared" si="35"/>
        <v>333527.50536994194</v>
      </c>
      <c r="O171" s="64">
        <f t="shared" si="35"/>
        <v>277939.58780828491</v>
      </c>
      <c r="P171" s="64">
        <f t="shared" si="35"/>
        <v>222351.67024662794</v>
      </c>
      <c r="Q171" s="65">
        <f t="shared" si="34"/>
        <v>2029013.0613246178</v>
      </c>
    </row>
    <row r="172" spans="7:17">
      <c r="G172" s="20">
        <v>2034</v>
      </c>
      <c r="H172" s="64">
        <f t="shared" si="35"/>
        <v>2601.2087099880782</v>
      </c>
      <c r="I172" s="64">
        <f t="shared" si="35"/>
        <v>57070.262029967846</v>
      </c>
      <c r="J172" s="64">
        <f t="shared" si="35"/>
        <v>224204.60083201656</v>
      </c>
      <c r="K172" s="64">
        <f t="shared" si="35"/>
        <v>305733.54658911342</v>
      </c>
      <c r="L172" s="64">
        <f t="shared" si="35"/>
        <v>350203.88063843909</v>
      </c>
      <c r="M172" s="64">
        <f t="shared" si="35"/>
        <v>400233.00644393027</v>
      </c>
      <c r="N172" s="64">
        <f t="shared" si="35"/>
        <v>389115.42293159897</v>
      </c>
      <c r="O172" s="64">
        <f t="shared" si="35"/>
        <v>333527.50536994194</v>
      </c>
      <c r="P172" s="64">
        <f t="shared" si="35"/>
        <v>277939.58780828491</v>
      </c>
      <c r="Q172" s="65">
        <f t="shared" si="34"/>
        <v>2340629.0213532811</v>
      </c>
    </row>
    <row r="173" spans="7:17">
      <c r="G173" s="21">
        <v>2035</v>
      </c>
      <c r="H173" s="64">
        <f t="shared" si="35"/>
        <v>2801.3016876794691</v>
      </c>
      <c r="I173" s="64">
        <f t="shared" si="35"/>
        <v>61826.117199131826</v>
      </c>
      <c r="J173" s="64">
        <f t="shared" si="35"/>
        <v>244586.83727129077</v>
      </c>
      <c r="K173" s="64">
        <f t="shared" si="35"/>
        <v>336306.90124802483</v>
      </c>
      <c r="L173" s="64">
        <f t="shared" si="35"/>
        <v>389115.42293159897</v>
      </c>
      <c r="M173" s="64">
        <f t="shared" si="35"/>
        <v>450262.13224942156</v>
      </c>
      <c r="N173" s="64">
        <f t="shared" si="35"/>
        <v>444703.34049325588</v>
      </c>
      <c r="O173" s="64">
        <f t="shared" si="35"/>
        <v>389115.42293159897</v>
      </c>
      <c r="P173" s="64">
        <f t="shared" si="35"/>
        <v>333527.50536994194</v>
      </c>
      <c r="Q173" s="65">
        <f t="shared" si="34"/>
        <v>2652244.9813819444</v>
      </c>
    </row>
    <row r="174" spans="7:17">
      <c r="G174" s="20">
        <v>2036</v>
      </c>
      <c r="H174" s="64">
        <f t="shared" si="35"/>
        <v>3001.3946653708599</v>
      </c>
      <c r="I174" s="64">
        <f t="shared" si="35"/>
        <v>66581.972368295828</v>
      </c>
      <c r="J174" s="64">
        <f t="shared" si="35"/>
        <v>264969.07371056499</v>
      </c>
      <c r="K174" s="64">
        <f t="shared" si="35"/>
        <v>366880.25590693613</v>
      </c>
      <c r="L174" s="64">
        <f t="shared" si="35"/>
        <v>428026.96522475884</v>
      </c>
      <c r="M174" s="64">
        <f t="shared" si="35"/>
        <v>500291.25805491285</v>
      </c>
      <c r="N174" s="64">
        <f t="shared" si="35"/>
        <v>500291.25805491291</v>
      </c>
      <c r="O174" s="64">
        <f t="shared" si="35"/>
        <v>444703.34049325588</v>
      </c>
      <c r="P174" s="64">
        <f t="shared" si="35"/>
        <v>389115.42293159897</v>
      </c>
      <c r="Q174" s="65">
        <f t="shared" si="34"/>
        <v>2963860.9414106072</v>
      </c>
    </row>
    <row r="175" spans="7:17">
      <c r="G175" s="21">
        <v>2037</v>
      </c>
      <c r="H175" s="64">
        <f t="shared" si="35"/>
        <v>3201.4876430622503</v>
      </c>
      <c r="I175" s="64">
        <f t="shared" si="35"/>
        <v>71337.827537459816</v>
      </c>
      <c r="J175" s="64">
        <f t="shared" si="35"/>
        <v>285351.31014983926</v>
      </c>
      <c r="K175" s="64">
        <f t="shared" si="35"/>
        <v>397453.61056584748</v>
      </c>
      <c r="L175" s="64">
        <f t="shared" si="35"/>
        <v>466938.50751791871</v>
      </c>
      <c r="M175" s="64">
        <f t="shared" si="35"/>
        <v>550320.38386040414</v>
      </c>
      <c r="N175" s="64">
        <f t="shared" si="35"/>
        <v>555879.17561656982</v>
      </c>
      <c r="O175" s="64">
        <f t="shared" si="35"/>
        <v>500291.25805491291</v>
      </c>
      <c r="P175" s="64">
        <f t="shared" si="35"/>
        <v>444703.34049325588</v>
      </c>
      <c r="Q175" s="65">
        <f t="shared" si="34"/>
        <v>3275476.9014392705</v>
      </c>
    </row>
    <row r="176" spans="7:17">
      <c r="G176" s="20">
        <v>2038</v>
      </c>
      <c r="H176" s="64">
        <f t="shared" si="35"/>
        <v>3401.5806207536411</v>
      </c>
      <c r="I176" s="64">
        <f t="shared" si="35"/>
        <v>76093.682706623804</v>
      </c>
      <c r="J176" s="64">
        <f t="shared" si="35"/>
        <v>305733.54658911342</v>
      </c>
      <c r="K176" s="64">
        <f t="shared" si="35"/>
        <v>428026.96522475884</v>
      </c>
      <c r="L176" s="64">
        <f t="shared" si="35"/>
        <v>505850.04981107864</v>
      </c>
      <c r="M176" s="64">
        <f t="shared" si="35"/>
        <v>600349.50966589537</v>
      </c>
      <c r="N176" s="64">
        <f t="shared" si="35"/>
        <v>611467.09317822685</v>
      </c>
      <c r="O176" s="64">
        <f t="shared" si="35"/>
        <v>555879.17561656982</v>
      </c>
      <c r="P176" s="64">
        <f t="shared" si="35"/>
        <v>500291.25805491291</v>
      </c>
      <c r="Q176" s="65">
        <f t="shared" si="34"/>
        <v>3587092.8614679333</v>
      </c>
    </row>
    <row r="177" spans="7:17">
      <c r="G177" s="21">
        <v>2039</v>
      </c>
      <c r="H177" s="64">
        <f t="shared" si="35"/>
        <v>3601.6735984450315</v>
      </c>
      <c r="I177" s="64">
        <f t="shared" si="35"/>
        <v>80849.537875787792</v>
      </c>
      <c r="J177" s="64">
        <f t="shared" si="35"/>
        <v>326115.7830283877</v>
      </c>
      <c r="K177" s="64">
        <f t="shared" si="35"/>
        <v>458600.31988367019</v>
      </c>
      <c r="L177" s="64">
        <f t="shared" si="35"/>
        <v>544761.59210423846</v>
      </c>
      <c r="M177" s="64">
        <f t="shared" si="35"/>
        <v>650378.63547138672</v>
      </c>
      <c r="N177" s="64">
        <f t="shared" si="35"/>
        <v>667055.01073988387</v>
      </c>
      <c r="O177" s="64">
        <f t="shared" si="35"/>
        <v>611467.09317822685</v>
      </c>
      <c r="P177" s="64">
        <f t="shared" si="35"/>
        <v>555879.17561656982</v>
      </c>
      <c r="Q177" s="65">
        <f t="shared" si="34"/>
        <v>3898708.8214965966</v>
      </c>
    </row>
    <row r="178" spans="7:17">
      <c r="G178" s="21">
        <v>2040</v>
      </c>
      <c r="H178" s="64">
        <f t="shared" si="35"/>
        <v>3801.7665761364224</v>
      </c>
      <c r="I178" s="64">
        <f t="shared" si="35"/>
        <v>85605.393044951779</v>
      </c>
      <c r="J178" s="64">
        <f t="shared" si="35"/>
        <v>346498.01946766197</v>
      </c>
      <c r="K178" s="64">
        <f t="shared" si="35"/>
        <v>489173.67454258155</v>
      </c>
      <c r="L178" s="64">
        <f t="shared" si="35"/>
        <v>583673.13439739845</v>
      </c>
      <c r="M178" s="64">
        <f t="shared" si="35"/>
        <v>700407.76127687795</v>
      </c>
      <c r="N178" s="64">
        <f t="shared" si="35"/>
        <v>722642.9283015409</v>
      </c>
      <c r="O178" s="64">
        <f t="shared" si="35"/>
        <v>667055.01073988387</v>
      </c>
      <c r="P178" s="64">
        <f t="shared" si="35"/>
        <v>611467.09317822685</v>
      </c>
      <c r="Q178" s="65">
        <f t="shared" si="34"/>
        <v>4210324.7815252598</v>
      </c>
    </row>
    <row r="179" spans="7:17">
      <c r="G179" s="20">
        <v>2041</v>
      </c>
      <c r="H179" s="64">
        <f t="shared" ref="H179:P194" si="36">+SUM(H137,H95,H53)</f>
        <v>4001.8595538278128</v>
      </c>
      <c r="I179" s="64">
        <f t="shared" si="36"/>
        <v>90361.248214115767</v>
      </c>
      <c r="J179" s="64">
        <f t="shared" si="36"/>
        <v>366880.25590693619</v>
      </c>
      <c r="K179" s="64">
        <f t="shared" si="36"/>
        <v>519747.0292014929</v>
      </c>
      <c r="L179" s="64">
        <f t="shared" si="36"/>
        <v>622584.67669055832</v>
      </c>
      <c r="M179" s="64">
        <f t="shared" si="36"/>
        <v>750436.8870823693</v>
      </c>
      <c r="N179" s="64">
        <f t="shared" si="36"/>
        <v>778230.84586319793</v>
      </c>
      <c r="O179" s="64">
        <f t="shared" si="36"/>
        <v>722642.9283015409</v>
      </c>
      <c r="P179" s="64">
        <f t="shared" si="36"/>
        <v>667055.01073988387</v>
      </c>
      <c r="Q179" s="65">
        <f t="shared" si="34"/>
        <v>4521940.7415539231</v>
      </c>
    </row>
    <row r="180" spans="7:17">
      <c r="G180" s="21">
        <v>2042</v>
      </c>
      <c r="H180" s="64">
        <f t="shared" si="36"/>
        <v>4001.8595538278128</v>
      </c>
      <c r="I180" s="64">
        <f t="shared" si="36"/>
        <v>95117.103383279755</v>
      </c>
      <c r="J180" s="64">
        <f t="shared" si="36"/>
        <v>387262.49234621041</v>
      </c>
      <c r="K180" s="64">
        <f t="shared" si="36"/>
        <v>550320.38386040425</v>
      </c>
      <c r="L180" s="64">
        <f t="shared" si="36"/>
        <v>661496.21898371819</v>
      </c>
      <c r="M180" s="64">
        <f t="shared" si="36"/>
        <v>800466.01288786053</v>
      </c>
      <c r="N180" s="64">
        <f t="shared" si="36"/>
        <v>833818.76342485484</v>
      </c>
      <c r="O180" s="64">
        <f t="shared" si="36"/>
        <v>778230.84586319793</v>
      </c>
      <c r="P180" s="64">
        <f t="shared" si="36"/>
        <v>722642.9283015409</v>
      </c>
      <c r="Q180" s="65">
        <f t="shared" si="34"/>
        <v>4833356.608604895</v>
      </c>
    </row>
    <row r="181" spans="7:17">
      <c r="G181" s="20">
        <v>2043</v>
      </c>
      <c r="H181" s="64">
        <f t="shared" si="36"/>
        <v>4001.8595538278128</v>
      </c>
      <c r="I181" s="64">
        <f t="shared" si="36"/>
        <v>95117.103383279755</v>
      </c>
      <c r="J181" s="64">
        <f t="shared" si="36"/>
        <v>407644.72878548468</v>
      </c>
      <c r="K181" s="64">
        <f t="shared" si="36"/>
        <v>580893.73851931561</v>
      </c>
      <c r="L181" s="64">
        <f t="shared" si="36"/>
        <v>700407.76127687818</v>
      </c>
      <c r="M181" s="64">
        <f t="shared" si="36"/>
        <v>850495.13869335176</v>
      </c>
      <c r="N181" s="64">
        <f t="shared" si="36"/>
        <v>889406.68098651175</v>
      </c>
      <c r="O181" s="64">
        <f t="shared" si="36"/>
        <v>833818.76342485484</v>
      </c>
      <c r="P181" s="64">
        <f t="shared" si="36"/>
        <v>778230.84586319793</v>
      </c>
      <c r="Q181" s="65">
        <f t="shared" si="34"/>
        <v>5140016.6204867018</v>
      </c>
    </row>
    <row r="182" spans="7:17">
      <c r="G182" s="21">
        <v>2044</v>
      </c>
      <c r="H182" s="64">
        <f t="shared" si="36"/>
        <v>4001.8595538278128</v>
      </c>
      <c r="I182" s="64">
        <f t="shared" si="36"/>
        <v>95117.103383279755</v>
      </c>
      <c r="J182" s="64">
        <f t="shared" si="36"/>
        <v>407644.72878548468</v>
      </c>
      <c r="K182" s="64">
        <f t="shared" si="36"/>
        <v>611467.09317822685</v>
      </c>
      <c r="L182" s="64">
        <f t="shared" si="36"/>
        <v>739319.30357003794</v>
      </c>
      <c r="M182" s="64">
        <f t="shared" si="36"/>
        <v>900524.26449884311</v>
      </c>
      <c r="N182" s="64">
        <f t="shared" si="36"/>
        <v>944994.59854816878</v>
      </c>
      <c r="O182" s="64">
        <f t="shared" si="36"/>
        <v>889406.68098651175</v>
      </c>
      <c r="P182" s="64">
        <f t="shared" si="36"/>
        <v>833818.76342485484</v>
      </c>
      <c r="Q182" s="65">
        <f t="shared" si="34"/>
        <v>5426294.395929235</v>
      </c>
    </row>
    <row r="183" spans="7:17">
      <c r="G183" s="20">
        <v>2045</v>
      </c>
      <c r="H183" s="64">
        <f t="shared" si="36"/>
        <v>4001.8595538278128</v>
      </c>
      <c r="I183" s="64">
        <f t="shared" si="36"/>
        <v>95117.103383279755</v>
      </c>
      <c r="J183" s="64">
        <f t="shared" si="36"/>
        <v>407644.72878548468</v>
      </c>
      <c r="K183" s="64">
        <f t="shared" si="36"/>
        <v>611467.09317822685</v>
      </c>
      <c r="L183" s="64">
        <f t="shared" si="36"/>
        <v>778230.84586319793</v>
      </c>
      <c r="M183" s="64">
        <f t="shared" si="36"/>
        <v>950553.39030433435</v>
      </c>
      <c r="N183" s="64">
        <f t="shared" si="36"/>
        <v>1000582.5161098258</v>
      </c>
      <c r="O183" s="64">
        <f t="shared" si="36"/>
        <v>944994.59854816878</v>
      </c>
      <c r="P183" s="64">
        <f t="shared" si="36"/>
        <v>889406.68098651175</v>
      </c>
      <c r="Q183" s="65">
        <f t="shared" si="34"/>
        <v>5681998.8167128572</v>
      </c>
    </row>
    <row r="184" spans="7:17">
      <c r="G184" s="21">
        <v>2046</v>
      </c>
      <c r="H184" s="64">
        <f t="shared" si="36"/>
        <v>4001.8595538278128</v>
      </c>
      <c r="I184" s="64">
        <f t="shared" si="36"/>
        <v>95117.103383279755</v>
      </c>
      <c r="J184" s="64">
        <f t="shared" si="36"/>
        <v>407644.72878548468</v>
      </c>
      <c r="K184" s="64">
        <f t="shared" si="36"/>
        <v>611467.09317822685</v>
      </c>
      <c r="L184" s="64">
        <f t="shared" si="36"/>
        <v>778230.84586319793</v>
      </c>
      <c r="M184" s="64">
        <f t="shared" si="36"/>
        <v>1000582.5161098257</v>
      </c>
      <c r="N184" s="64">
        <f t="shared" si="36"/>
        <v>1056170.4336714828</v>
      </c>
      <c r="O184" s="64">
        <f t="shared" si="36"/>
        <v>1000582.5161098258</v>
      </c>
      <c r="P184" s="64">
        <f t="shared" si="36"/>
        <v>944994.59854816878</v>
      </c>
      <c r="Q184" s="65">
        <f t="shared" si="34"/>
        <v>5898791.6952033192</v>
      </c>
    </row>
    <row r="185" spans="7:17">
      <c r="G185" s="20">
        <v>2047</v>
      </c>
      <c r="H185" s="64">
        <f t="shared" si="36"/>
        <v>4001.8595538278128</v>
      </c>
      <c r="I185" s="64">
        <f t="shared" si="36"/>
        <v>95117.103383279755</v>
      </c>
      <c r="J185" s="64">
        <f t="shared" si="36"/>
        <v>407644.72878548468</v>
      </c>
      <c r="K185" s="64">
        <f t="shared" si="36"/>
        <v>611467.09317822685</v>
      </c>
      <c r="L185" s="64">
        <f t="shared" si="36"/>
        <v>778230.84586319793</v>
      </c>
      <c r="M185" s="64">
        <f t="shared" si="36"/>
        <v>1000582.5161098257</v>
      </c>
      <c r="N185" s="64">
        <f t="shared" si="36"/>
        <v>1111758.3512331396</v>
      </c>
      <c r="O185" s="64">
        <f t="shared" si="36"/>
        <v>1056170.4336714828</v>
      </c>
      <c r="P185" s="64">
        <f t="shared" si="36"/>
        <v>1000582.5161098258</v>
      </c>
      <c r="Q185" s="65">
        <f t="shared" si="34"/>
        <v>6065555.4478882905</v>
      </c>
    </row>
    <row r="186" spans="7:17">
      <c r="G186" s="21">
        <v>2048</v>
      </c>
      <c r="H186" s="64">
        <f t="shared" si="36"/>
        <v>4001.8595538278128</v>
      </c>
      <c r="I186" s="64">
        <f t="shared" si="36"/>
        <v>95117.103383279755</v>
      </c>
      <c r="J186" s="64">
        <f t="shared" si="36"/>
        <v>407644.72878548468</v>
      </c>
      <c r="K186" s="64">
        <f t="shared" si="36"/>
        <v>611467.09317822685</v>
      </c>
      <c r="L186" s="64">
        <f t="shared" si="36"/>
        <v>778230.84586319793</v>
      </c>
      <c r="M186" s="64">
        <f t="shared" si="36"/>
        <v>1000582.5161098257</v>
      </c>
      <c r="N186" s="64">
        <f t="shared" si="36"/>
        <v>1111758.3512331396</v>
      </c>
      <c r="O186" s="64">
        <f t="shared" si="36"/>
        <v>1111758.3512331396</v>
      </c>
      <c r="P186" s="64">
        <f t="shared" si="36"/>
        <v>1056170.4336714828</v>
      </c>
      <c r="Q186" s="65">
        <f t="shared" si="34"/>
        <v>6176731.283011605</v>
      </c>
    </row>
    <row r="187" spans="7:17">
      <c r="G187" s="21">
        <v>2049</v>
      </c>
      <c r="H187" s="64">
        <f t="shared" si="36"/>
        <v>4001.8595538278128</v>
      </c>
      <c r="I187" s="64">
        <f t="shared" si="36"/>
        <v>95117.103383279755</v>
      </c>
      <c r="J187" s="64">
        <f t="shared" si="36"/>
        <v>407644.72878548468</v>
      </c>
      <c r="K187" s="64">
        <f t="shared" si="36"/>
        <v>611467.09317822685</v>
      </c>
      <c r="L187" s="64">
        <f t="shared" si="36"/>
        <v>778230.84586319793</v>
      </c>
      <c r="M187" s="64">
        <f t="shared" si="36"/>
        <v>1000582.5161098257</v>
      </c>
      <c r="N187" s="64">
        <f t="shared" si="36"/>
        <v>1111758.3512331396</v>
      </c>
      <c r="O187" s="64">
        <f t="shared" si="36"/>
        <v>1111758.3512331396</v>
      </c>
      <c r="P187" s="64">
        <f t="shared" si="36"/>
        <v>1111758.3512331396</v>
      </c>
      <c r="Q187" s="65">
        <f t="shared" si="34"/>
        <v>6232319.2005732618</v>
      </c>
    </row>
    <row r="188" spans="7:17">
      <c r="G188" s="20">
        <v>2050</v>
      </c>
      <c r="H188" s="64">
        <f t="shared" si="36"/>
        <v>4001.8595538278128</v>
      </c>
      <c r="I188" s="64">
        <f t="shared" si="36"/>
        <v>95117.103383279755</v>
      </c>
      <c r="J188" s="64">
        <f t="shared" si="36"/>
        <v>407644.72878548468</v>
      </c>
      <c r="K188" s="64">
        <f t="shared" si="36"/>
        <v>611467.09317822685</v>
      </c>
      <c r="L188" s="64">
        <f t="shared" si="36"/>
        <v>778230.84586319793</v>
      </c>
      <c r="M188" s="64">
        <f t="shared" si="36"/>
        <v>1000582.5161098257</v>
      </c>
      <c r="N188" s="64">
        <f t="shared" si="36"/>
        <v>1111758.3512331396</v>
      </c>
      <c r="O188" s="64">
        <f t="shared" si="36"/>
        <v>1111758.3512331396</v>
      </c>
      <c r="P188" s="64">
        <f t="shared" si="36"/>
        <v>1111758.3512331396</v>
      </c>
      <c r="Q188" s="65">
        <f t="shared" si="34"/>
        <v>6232319.2005732618</v>
      </c>
    </row>
    <row r="189" spans="7:17">
      <c r="G189" s="21">
        <v>2051</v>
      </c>
      <c r="H189" s="64">
        <f t="shared" si="36"/>
        <v>4001.8595538278128</v>
      </c>
      <c r="I189" s="64">
        <f t="shared" si="36"/>
        <v>95117.103383279755</v>
      </c>
      <c r="J189" s="64">
        <f t="shared" si="36"/>
        <v>407644.72878548468</v>
      </c>
      <c r="K189" s="64">
        <f t="shared" si="36"/>
        <v>611467.09317822685</v>
      </c>
      <c r="L189" s="64">
        <f t="shared" si="36"/>
        <v>778230.84586319793</v>
      </c>
      <c r="M189" s="64">
        <f t="shared" si="36"/>
        <v>1000582.5161098257</v>
      </c>
      <c r="N189" s="64">
        <f t="shared" si="36"/>
        <v>1111758.3512331396</v>
      </c>
      <c r="O189" s="64">
        <f t="shared" si="36"/>
        <v>1111758.3512331396</v>
      </c>
      <c r="P189" s="64">
        <f t="shared" si="36"/>
        <v>1111758.3512331396</v>
      </c>
      <c r="Q189" s="65">
        <f t="shared" si="34"/>
        <v>6232319.2005732618</v>
      </c>
    </row>
    <row r="190" spans="7:17">
      <c r="G190" s="20">
        <v>2052</v>
      </c>
      <c r="H190" s="64">
        <f t="shared" si="36"/>
        <v>4001.8595538278128</v>
      </c>
      <c r="I190" s="64">
        <f t="shared" si="36"/>
        <v>95117.103383279755</v>
      </c>
      <c r="J190" s="64">
        <f t="shared" si="36"/>
        <v>407644.72878548468</v>
      </c>
      <c r="K190" s="64">
        <f t="shared" si="36"/>
        <v>611467.09317822685</v>
      </c>
      <c r="L190" s="64">
        <f t="shared" si="36"/>
        <v>778230.84586319793</v>
      </c>
      <c r="M190" s="64">
        <f t="shared" si="36"/>
        <v>1000582.5161098257</v>
      </c>
      <c r="N190" s="64">
        <f t="shared" si="36"/>
        <v>1111758.3512331396</v>
      </c>
      <c r="O190" s="64">
        <f t="shared" si="36"/>
        <v>1111758.3512331396</v>
      </c>
      <c r="P190" s="64">
        <f t="shared" si="36"/>
        <v>1111758.3512331396</v>
      </c>
      <c r="Q190" s="65">
        <f t="shared" si="34"/>
        <v>6232319.2005732618</v>
      </c>
    </row>
    <row r="191" spans="7:17">
      <c r="G191" s="21">
        <v>2053</v>
      </c>
      <c r="H191" s="64">
        <f t="shared" si="36"/>
        <v>4001.8595538278128</v>
      </c>
      <c r="I191" s="64">
        <f t="shared" si="36"/>
        <v>95117.103383279755</v>
      </c>
      <c r="J191" s="64">
        <f t="shared" si="36"/>
        <v>407644.72878548468</v>
      </c>
      <c r="K191" s="64">
        <f t="shared" si="36"/>
        <v>611467.09317822685</v>
      </c>
      <c r="L191" s="64">
        <f t="shared" si="36"/>
        <v>778230.84586319793</v>
      </c>
      <c r="M191" s="64">
        <f t="shared" si="36"/>
        <v>1000582.5161098257</v>
      </c>
      <c r="N191" s="64">
        <f t="shared" si="36"/>
        <v>1111758.3512331396</v>
      </c>
      <c r="O191" s="64">
        <f t="shared" si="36"/>
        <v>1111758.3512331396</v>
      </c>
      <c r="P191" s="64">
        <f t="shared" si="36"/>
        <v>1111758.3512331396</v>
      </c>
      <c r="Q191" s="65">
        <f t="shared" si="34"/>
        <v>6232319.2005732618</v>
      </c>
    </row>
    <row r="192" spans="7:17">
      <c r="G192" s="20">
        <v>2054</v>
      </c>
      <c r="H192" s="64">
        <f t="shared" si="36"/>
        <v>4001.8595538278128</v>
      </c>
      <c r="I192" s="64">
        <f t="shared" si="36"/>
        <v>95117.103383279755</v>
      </c>
      <c r="J192" s="64">
        <f t="shared" si="36"/>
        <v>407644.72878548468</v>
      </c>
      <c r="K192" s="64">
        <f t="shared" si="36"/>
        <v>611467.09317822685</v>
      </c>
      <c r="L192" s="64">
        <f t="shared" si="36"/>
        <v>778230.84586319793</v>
      </c>
      <c r="M192" s="64">
        <f t="shared" si="36"/>
        <v>1000582.5161098257</v>
      </c>
      <c r="N192" s="64">
        <f t="shared" si="36"/>
        <v>1111758.3512331396</v>
      </c>
      <c r="O192" s="64">
        <f t="shared" si="36"/>
        <v>1111758.3512331396</v>
      </c>
      <c r="P192" s="64">
        <f t="shared" si="36"/>
        <v>1111758.3512331396</v>
      </c>
      <c r="Q192" s="65">
        <f t="shared" si="34"/>
        <v>6232319.2005732618</v>
      </c>
    </row>
    <row r="193" spans="7:17">
      <c r="G193" s="21">
        <v>2055</v>
      </c>
      <c r="H193" s="64">
        <f t="shared" si="36"/>
        <v>4001.8595538278128</v>
      </c>
      <c r="I193" s="64">
        <f t="shared" si="36"/>
        <v>95117.103383279755</v>
      </c>
      <c r="J193" s="64">
        <f t="shared" si="36"/>
        <v>407644.72878548468</v>
      </c>
      <c r="K193" s="64">
        <f t="shared" si="36"/>
        <v>611467.09317822685</v>
      </c>
      <c r="L193" s="64">
        <f t="shared" si="36"/>
        <v>778230.84586319793</v>
      </c>
      <c r="M193" s="64">
        <f t="shared" si="36"/>
        <v>1000582.5161098257</v>
      </c>
      <c r="N193" s="64">
        <f t="shared" si="36"/>
        <v>1111758.3512331396</v>
      </c>
      <c r="O193" s="64">
        <f t="shared" si="36"/>
        <v>1111758.3512331396</v>
      </c>
      <c r="P193" s="64">
        <f t="shared" si="36"/>
        <v>1111758.3512331396</v>
      </c>
      <c r="Q193" s="65">
        <f t="shared" si="34"/>
        <v>6232319.2005732618</v>
      </c>
    </row>
    <row r="194" spans="7:17">
      <c r="G194" s="20">
        <v>2056</v>
      </c>
      <c r="H194" s="64">
        <f t="shared" si="36"/>
        <v>4001.8595538278128</v>
      </c>
      <c r="I194" s="64">
        <f t="shared" si="36"/>
        <v>95117.103383279755</v>
      </c>
      <c r="J194" s="64">
        <f t="shared" si="36"/>
        <v>407644.72878548468</v>
      </c>
      <c r="K194" s="64">
        <f t="shared" si="36"/>
        <v>611467.09317822685</v>
      </c>
      <c r="L194" s="64">
        <f t="shared" si="36"/>
        <v>778230.84586319793</v>
      </c>
      <c r="M194" s="64">
        <f t="shared" si="36"/>
        <v>1000582.5161098257</v>
      </c>
      <c r="N194" s="64">
        <f t="shared" si="36"/>
        <v>1111758.3512331396</v>
      </c>
      <c r="O194" s="64">
        <f t="shared" si="36"/>
        <v>1111758.3512331396</v>
      </c>
      <c r="P194" s="64">
        <f t="shared" si="36"/>
        <v>1111758.3512331396</v>
      </c>
      <c r="Q194" s="65">
        <f t="shared" si="34"/>
        <v>6232319.2005732618</v>
      </c>
    </row>
    <row r="195" spans="7:17">
      <c r="G195" s="21">
        <v>2057</v>
      </c>
      <c r="H195" s="64">
        <f t="shared" ref="H195:P199" si="37">+SUM(H153,H111,H69)</f>
        <v>4001.8595538278128</v>
      </c>
      <c r="I195" s="64">
        <f t="shared" si="37"/>
        <v>95117.103383279755</v>
      </c>
      <c r="J195" s="64">
        <f t="shared" si="37"/>
        <v>407644.72878548468</v>
      </c>
      <c r="K195" s="64">
        <f t="shared" si="37"/>
        <v>611467.09317822685</v>
      </c>
      <c r="L195" s="64">
        <f t="shared" si="37"/>
        <v>778230.84586319793</v>
      </c>
      <c r="M195" s="64">
        <f t="shared" si="37"/>
        <v>1000582.5161098257</v>
      </c>
      <c r="N195" s="64">
        <f t="shared" si="37"/>
        <v>1111758.3512331396</v>
      </c>
      <c r="O195" s="64">
        <f t="shared" si="37"/>
        <v>1111758.3512331396</v>
      </c>
      <c r="P195" s="64">
        <f t="shared" si="37"/>
        <v>1111758.3512331396</v>
      </c>
      <c r="Q195" s="65">
        <f t="shared" si="34"/>
        <v>6232319.2005732618</v>
      </c>
    </row>
    <row r="196" spans="7:17">
      <c r="G196" s="20">
        <v>2058</v>
      </c>
      <c r="H196" s="64">
        <f t="shared" si="37"/>
        <v>4001.8595538278128</v>
      </c>
      <c r="I196" s="64">
        <f t="shared" si="37"/>
        <v>95117.103383279755</v>
      </c>
      <c r="J196" s="64">
        <f t="shared" si="37"/>
        <v>407644.72878548468</v>
      </c>
      <c r="K196" s="64">
        <f t="shared" si="37"/>
        <v>611467.09317822685</v>
      </c>
      <c r="L196" s="64">
        <f t="shared" si="37"/>
        <v>778230.84586319793</v>
      </c>
      <c r="M196" s="64">
        <f t="shared" si="37"/>
        <v>1000582.5161098257</v>
      </c>
      <c r="N196" s="64">
        <f t="shared" si="37"/>
        <v>1111758.3512331396</v>
      </c>
      <c r="O196" s="64">
        <f t="shared" si="37"/>
        <v>1111758.3512331396</v>
      </c>
      <c r="P196" s="64">
        <f t="shared" si="37"/>
        <v>1111758.3512331396</v>
      </c>
      <c r="Q196" s="65">
        <f t="shared" si="34"/>
        <v>6232319.2005732618</v>
      </c>
    </row>
    <row r="197" spans="7:17">
      <c r="G197" s="21">
        <v>2059</v>
      </c>
      <c r="H197" s="64">
        <f t="shared" si="37"/>
        <v>4001.8595538278128</v>
      </c>
      <c r="I197" s="64">
        <f t="shared" si="37"/>
        <v>95117.103383279755</v>
      </c>
      <c r="J197" s="64">
        <f t="shared" si="37"/>
        <v>407644.72878548468</v>
      </c>
      <c r="K197" s="64">
        <f t="shared" si="37"/>
        <v>611467.09317822685</v>
      </c>
      <c r="L197" s="64">
        <f t="shared" si="37"/>
        <v>778230.84586319793</v>
      </c>
      <c r="M197" s="64">
        <f t="shared" si="37"/>
        <v>1000582.5161098257</v>
      </c>
      <c r="N197" s="64">
        <f t="shared" si="37"/>
        <v>1111758.3512331396</v>
      </c>
      <c r="O197" s="64">
        <f t="shared" si="37"/>
        <v>1111758.3512331396</v>
      </c>
      <c r="P197" s="64">
        <f t="shared" si="37"/>
        <v>1111758.3512331396</v>
      </c>
      <c r="Q197" s="65">
        <f t="shared" si="34"/>
        <v>6232319.2005732618</v>
      </c>
    </row>
    <row r="198" spans="7:17">
      <c r="G198" s="20">
        <v>2060</v>
      </c>
      <c r="H198" s="64">
        <f t="shared" si="37"/>
        <v>4001.8595538278128</v>
      </c>
      <c r="I198" s="64">
        <f t="shared" si="37"/>
        <v>95117.103383279755</v>
      </c>
      <c r="J198" s="64">
        <f t="shared" si="37"/>
        <v>407644.72878548468</v>
      </c>
      <c r="K198" s="64">
        <f t="shared" si="37"/>
        <v>611467.09317822685</v>
      </c>
      <c r="L198" s="64">
        <f t="shared" si="37"/>
        <v>778230.84586319793</v>
      </c>
      <c r="M198" s="64">
        <f t="shared" si="37"/>
        <v>1000582.5161098257</v>
      </c>
      <c r="N198" s="64">
        <f t="shared" si="37"/>
        <v>1111758.3512331396</v>
      </c>
      <c r="O198" s="64">
        <f t="shared" si="37"/>
        <v>1111758.3512331396</v>
      </c>
      <c r="P198" s="64">
        <f t="shared" si="37"/>
        <v>1111758.3512331396</v>
      </c>
      <c r="Q198" s="65">
        <f t="shared" si="34"/>
        <v>6232319.2005732618</v>
      </c>
    </row>
    <row r="199" spans="7:17">
      <c r="G199" s="21">
        <v>2061</v>
      </c>
      <c r="H199" s="64">
        <f t="shared" si="37"/>
        <v>4001.8595538278128</v>
      </c>
      <c r="I199" s="64">
        <f t="shared" si="37"/>
        <v>95117.103383279755</v>
      </c>
      <c r="J199" s="64">
        <f t="shared" si="37"/>
        <v>407644.72878548468</v>
      </c>
      <c r="K199" s="64">
        <f t="shared" si="37"/>
        <v>611467.09317822685</v>
      </c>
      <c r="L199" s="64">
        <f t="shared" si="37"/>
        <v>778230.84586319793</v>
      </c>
      <c r="M199" s="64">
        <f t="shared" si="37"/>
        <v>1000582.5161098257</v>
      </c>
      <c r="N199" s="64">
        <f t="shared" si="37"/>
        <v>1111758.3512331396</v>
      </c>
      <c r="O199" s="64">
        <f t="shared" si="37"/>
        <v>1111758.3512331396</v>
      </c>
      <c r="P199" s="64">
        <f t="shared" si="37"/>
        <v>1111758.3512331396</v>
      </c>
      <c r="Q199" s="65">
        <f t="shared" si="34"/>
        <v>6232319.2005732618</v>
      </c>
    </row>
  </sheetData>
  <pageMargins left="0.7" right="0.7" top="0.75" bottom="0.75" header="0.3" footer="0.3"/>
  <pageSetup orientation="portrait" horizontalDpi="4294967293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FAE0F-42FC-764F-B1F1-25EEB300256C}">
  <sheetPr>
    <tabColor theme="6" tint="0.79998168889431442"/>
  </sheetPr>
  <dimension ref="B2:AT37"/>
  <sheetViews>
    <sheetView zoomScale="40" zoomScaleNormal="40" workbookViewId="0">
      <selection activeCell="F8" sqref="F8"/>
    </sheetView>
  </sheetViews>
  <sheetFormatPr defaultColWidth="10.6640625" defaultRowHeight="22.5"/>
  <cols>
    <col min="1" max="1" width="4.109375" style="146" customWidth="1"/>
    <col min="2" max="2" width="46.44140625" style="146" customWidth="1"/>
    <col min="3" max="3" width="21.109375" style="146" customWidth="1"/>
    <col min="4" max="4" width="13.33203125" style="146" customWidth="1"/>
    <col min="5" max="5" width="3" style="146" customWidth="1"/>
    <col min="6" max="45" width="10.88671875" style="146" bestFit="1" customWidth="1"/>
    <col min="46" max="16384" width="10.6640625" style="146"/>
  </cols>
  <sheetData>
    <row r="2" spans="2:46" ht="33.75">
      <c r="B2" s="161" t="s">
        <v>102</v>
      </c>
    </row>
    <row r="4" spans="2:46">
      <c r="F4" s="148" t="s">
        <v>103</v>
      </c>
    </row>
    <row r="5" spans="2:46" s="148" customFormat="1">
      <c r="B5" s="148" t="s">
        <v>104</v>
      </c>
      <c r="C5" s="148" t="s">
        <v>105</v>
      </c>
      <c r="D5" s="148" t="s">
        <v>106</v>
      </c>
      <c r="F5" s="148">
        <v>1</v>
      </c>
      <c r="G5" s="148">
        <v>2</v>
      </c>
      <c r="H5" s="148">
        <v>3</v>
      </c>
      <c r="I5" s="148">
        <v>4</v>
      </c>
      <c r="J5" s="148">
        <v>5</v>
      </c>
      <c r="K5" s="148">
        <v>6</v>
      </c>
      <c r="L5" s="148">
        <v>7</v>
      </c>
      <c r="M5" s="148">
        <v>8</v>
      </c>
      <c r="N5" s="148">
        <v>9</v>
      </c>
      <c r="O5" s="148">
        <v>10</v>
      </c>
      <c r="P5" s="148">
        <v>11</v>
      </c>
      <c r="Q5" s="148">
        <v>12</v>
      </c>
      <c r="R5" s="148">
        <v>13</v>
      </c>
      <c r="S5" s="148">
        <v>14</v>
      </c>
      <c r="T5" s="148">
        <v>15</v>
      </c>
      <c r="U5" s="148">
        <v>16</v>
      </c>
      <c r="V5" s="148">
        <v>17</v>
      </c>
      <c r="W5" s="148">
        <v>18</v>
      </c>
      <c r="X5" s="148">
        <v>19</v>
      </c>
      <c r="Y5" s="148">
        <v>20</v>
      </c>
      <c r="Z5" s="148">
        <v>21</v>
      </c>
      <c r="AA5" s="148">
        <v>22</v>
      </c>
      <c r="AB5" s="148">
        <v>23</v>
      </c>
      <c r="AC5" s="148">
        <v>24</v>
      </c>
      <c r="AD5" s="148">
        <v>25</v>
      </c>
      <c r="AE5" s="148">
        <v>26</v>
      </c>
      <c r="AF5" s="148">
        <v>27</v>
      </c>
      <c r="AG5" s="148">
        <v>28</v>
      </c>
      <c r="AH5" s="148">
        <v>29</v>
      </c>
      <c r="AI5" s="148">
        <v>30</v>
      </c>
      <c r="AJ5" s="148">
        <v>31</v>
      </c>
      <c r="AK5" s="148">
        <v>32</v>
      </c>
      <c r="AL5" s="148">
        <v>33</v>
      </c>
      <c r="AM5" s="148">
        <v>34</v>
      </c>
      <c r="AN5" s="148">
        <v>35</v>
      </c>
      <c r="AO5" s="148">
        <v>36</v>
      </c>
      <c r="AP5" s="148">
        <v>37</v>
      </c>
      <c r="AQ5" s="148">
        <v>38</v>
      </c>
      <c r="AR5" s="148">
        <v>39</v>
      </c>
      <c r="AS5" s="148">
        <v>40</v>
      </c>
    </row>
    <row r="6" spans="2:46">
      <c r="B6" s="149" t="s">
        <v>107</v>
      </c>
      <c r="C6" s="146" t="s">
        <v>9</v>
      </c>
      <c r="D6" s="146" t="s">
        <v>108</v>
      </c>
      <c r="F6" s="150">
        <f>'Curve Comparison'!F75</f>
        <v>4.7280000000000004E-3</v>
      </c>
      <c r="G6" s="150">
        <f>'Curve Comparison'!G75</f>
        <v>7.9080000000000001E-3</v>
      </c>
      <c r="H6" s="150">
        <f>'Curve Comparison'!H75</f>
        <v>1.2168E-2</v>
      </c>
      <c r="I6" s="150">
        <f>'Curve Comparison'!I75</f>
        <v>1.9584000000000001E-2</v>
      </c>
      <c r="J6" s="150">
        <f>'Curve Comparison'!J75</f>
        <v>3.6527999999999998E-2</v>
      </c>
      <c r="K6" s="150">
        <f>'Curve Comparison'!K75</f>
        <v>6.4416000000000001E-2</v>
      </c>
      <c r="L6" s="150">
        <f>'Curve Comparison'!L75</f>
        <v>9.2303999999999997E-2</v>
      </c>
      <c r="M6" s="150">
        <f>'Curve Comparison'!M75</f>
        <v>0.12019199999999999</v>
      </c>
      <c r="N6" s="150">
        <f>'Curve Comparison'!N75</f>
        <v>0.14807999999999999</v>
      </c>
      <c r="O6" s="150">
        <f>'Curve Comparison'!O75</f>
        <v>0.17596799999999999</v>
      </c>
      <c r="P6" s="150">
        <f>'Curve Comparison'!P75</f>
        <v>0.20385599999999998</v>
      </c>
      <c r="Q6" s="150">
        <f>'Curve Comparison'!Q75</f>
        <v>4.7280000000000004E-3</v>
      </c>
      <c r="R6" s="150">
        <f>'Curve Comparison'!R75</f>
        <v>7.9080000000000001E-3</v>
      </c>
      <c r="S6" s="150">
        <f>'Curve Comparison'!S75</f>
        <v>1.2168E-2</v>
      </c>
      <c r="T6" s="150">
        <f>'Curve Comparison'!T75</f>
        <v>1.9584000000000001E-2</v>
      </c>
      <c r="U6" s="150">
        <f>'Curve Comparison'!U75</f>
        <v>3.6527999999999998E-2</v>
      </c>
      <c r="V6" s="150">
        <f>'Curve Comparison'!V75</f>
        <v>6.4416000000000001E-2</v>
      </c>
      <c r="W6" s="150">
        <f>'Curve Comparison'!W75</f>
        <v>9.2303999999999997E-2</v>
      </c>
      <c r="X6" s="150">
        <f>'Curve Comparison'!X75</f>
        <v>0.12019199999999999</v>
      </c>
      <c r="Y6" s="150">
        <f>'Curve Comparison'!Y75</f>
        <v>0.14807999999999999</v>
      </c>
      <c r="Z6" s="150">
        <f>'Curve Comparison'!Z75</f>
        <v>0.17596799999999999</v>
      </c>
      <c r="AA6" s="150">
        <f>'Curve Comparison'!AA75</f>
        <v>0.20385599999999998</v>
      </c>
      <c r="AB6" s="150">
        <f>'Curve Comparison'!AB75</f>
        <v>4.7280000000000004E-3</v>
      </c>
      <c r="AC6" s="150">
        <f>'Curve Comparison'!AC75</f>
        <v>7.9080000000000001E-3</v>
      </c>
      <c r="AD6" s="150">
        <f>'Curve Comparison'!AD75</f>
        <v>1.2168E-2</v>
      </c>
      <c r="AE6" s="150">
        <f>'Curve Comparison'!AE75</f>
        <v>1.9584000000000001E-2</v>
      </c>
      <c r="AF6" s="150">
        <f>'Curve Comparison'!AF75</f>
        <v>3.6527999999999998E-2</v>
      </c>
      <c r="AG6" s="150">
        <f>'Curve Comparison'!AG75</f>
        <v>6.4416000000000001E-2</v>
      </c>
      <c r="AH6" s="150">
        <f>'Curve Comparison'!AH75</f>
        <v>9.2303999999999997E-2</v>
      </c>
      <c r="AI6" s="150">
        <f>'Curve Comparison'!AI75</f>
        <v>0.12019199999999999</v>
      </c>
      <c r="AJ6" s="150">
        <f>'Curve Comparison'!AJ75</f>
        <v>0.14807999999999999</v>
      </c>
      <c r="AK6" s="150">
        <f>'Curve Comparison'!AK75</f>
        <v>0.17596799999999999</v>
      </c>
      <c r="AL6" s="150">
        <f>'Curve Comparison'!AL75</f>
        <v>0.20385599999999998</v>
      </c>
      <c r="AM6" s="150">
        <f>'Curve Comparison'!AM75</f>
        <v>4.7280000000000004E-3</v>
      </c>
      <c r="AN6" s="150">
        <f>'Curve Comparison'!AN75</f>
        <v>7.9080000000000001E-3</v>
      </c>
      <c r="AO6" s="150">
        <f>'Curve Comparison'!AO75</f>
        <v>1.2168E-2</v>
      </c>
      <c r="AP6" s="150">
        <f>'Curve Comparison'!AP75</f>
        <v>1.9584000000000001E-2</v>
      </c>
      <c r="AQ6" s="150">
        <f>'Curve Comparison'!AQ75</f>
        <v>3.6527999999999998E-2</v>
      </c>
      <c r="AR6" s="150">
        <f>'Curve Comparison'!AR75</f>
        <v>6.4416000000000001E-2</v>
      </c>
      <c r="AS6" s="150">
        <f>'Curve Comparison'!AS75</f>
        <v>9.2303999999999997E-2</v>
      </c>
      <c r="AT6" s="150"/>
    </row>
    <row r="7" spans="2:46" hidden="1">
      <c r="B7" s="149" t="s">
        <v>109</v>
      </c>
      <c r="C7" s="146" t="s">
        <v>9</v>
      </c>
      <c r="D7" s="146" t="s">
        <v>110</v>
      </c>
      <c r="F7" s="150">
        <f>'Curve Comparison'!F85</f>
        <v>1.8613310245223038E-3</v>
      </c>
      <c r="G7" s="150">
        <f>'Curve Comparison'!G85</f>
        <v>1.0729354460064183E-2</v>
      </c>
      <c r="H7" s="150">
        <f>'Curve Comparison'!H85</f>
        <v>2.4761821046176361E-2</v>
      </c>
      <c r="I7" s="150">
        <f>'Curve Comparison'!I85</f>
        <v>4.4308104571972047E-2</v>
      </c>
      <c r="J7" s="150">
        <f>'Curve Comparison'!J85</f>
        <v>7.0881254571550617E-2</v>
      </c>
      <c r="K7" s="150">
        <f>'Curve Comparison'!K85</f>
        <v>0.10509494283876561</v>
      </c>
      <c r="L7" s="150">
        <f>'Curve Comparison'!L85</f>
        <v>0.14600063151862577</v>
      </c>
      <c r="M7" s="150">
        <f>'Curve Comparison'!M85</f>
        <v>0.19234777400272074</v>
      </c>
      <c r="N7" s="150">
        <f>'Curve Comparison'!N85</f>
        <v>0.24437196668468711</v>
      </c>
      <c r="O7" s="150">
        <f>'Curve Comparison'!O85</f>
        <v>0.30147679746424594</v>
      </c>
      <c r="P7" s="150">
        <f>'Curve Comparison'!P85</f>
        <v>0.37097670183301612</v>
      </c>
      <c r="Q7" s="150">
        <f>'Curve Comparison'!Q85</f>
        <v>1.8613310245223038E-3</v>
      </c>
      <c r="R7" s="150">
        <f>'Curve Comparison'!R85</f>
        <v>1.0729354460064183E-2</v>
      </c>
      <c r="S7" s="150">
        <f>'Curve Comparison'!S85</f>
        <v>2.4761821046176361E-2</v>
      </c>
      <c r="T7" s="150">
        <f>'Curve Comparison'!T85</f>
        <v>4.4308104571972047E-2</v>
      </c>
      <c r="U7" s="150">
        <f>'Curve Comparison'!U85</f>
        <v>7.0881254571550617E-2</v>
      </c>
      <c r="V7" s="150">
        <f>'Curve Comparison'!V85</f>
        <v>0.10509494283876561</v>
      </c>
      <c r="W7" s="150">
        <f>'Curve Comparison'!W85</f>
        <v>0.14600063151862577</v>
      </c>
      <c r="X7" s="150">
        <f>'Curve Comparison'!X85</f>
        <v>0.19234777400272074</v>
      </c>
      <c r="Y7" s="150">
        <f>'Curve Comparison'!Y85</f>
        <v>0.24437196668468711</v>
      </c>
      <c r="Z7" s="150">
        <f>'Curve Comparison'!Z85</f>
        <v>0.30147679746424594</v>
      </c>
      <c r="AA7" s="150">
        <f>'Curve Comparison'!AA85</f>
        <v>0.37097670183301612</v>
      </c>
      <c r="AB7" s="150">
        <f>'Curve Comparison'!AB85</f>
        <v>1.8613310245223038E-3</v>
      </c>
      <c r="AC7" s="150">
        <f>'Curve Comparison'!AC85</f>
        <v>1.0729354460064183E-2</v>
      </c>
      <c r="AD7" s="150">
        <f>'Curve Comparison'!AD85</f>
        <v>2.4761821046176361E-2</v>
      </c>
      <c r="AE7" s="150">
        <f>'Curve Comparison'!AE85</f>
        <v>4.4308104571972047E-2</v>
      </c>
      <c r="AF7" s="150">
        <f>'Curve Comparison'!AF85</f>
        <v>7.0881254571550617E-2</v>
      </c>
      <c r="AG7" s="150">
        <f>'Curve Comparison'!AG85</f>
        <v>0.10509494283876561</v>
      </c>
      <c r="AH7" s="150">
        <f>'Curve Comparison'!AH85</f>
        <v>0.14600063151862577</v>
      </c>
      <c r="AI7" s="150">
        <f>'Curve Comparison'!AI85</f>
        <v>0.19234777400272074</v>
      </c>
      <c r="AJ7" s="150">
        <f>'Curve Comparison'!AJ85</f>
        <v>0.24437196668468711</v>
      </c>
      <c r="AK7" s="150">
        <f>'Curve Comparison'!AK85</f>
        <v>0.30147679746424594</v>
      </c>
      <c r="AL7" s="150">
        <f>'Curve Comparison'!AL85</f>
        <v>0.37097670183301612</v>
      </c>
      <c r="AM7" s="150">
        <f>'Curve Comparison'!AM85</f>
        <v>1.8613310245223038E-3</v>
      </c>
      <c r="AN7" s="150">
        <f>'Curve Comparison'!AN85</f>
        <v>1.0729354460064183E-2</v>
      </c>
      <c r="AO7" s="150">
        <f>'Curve Comparison'!AO85</f>
        <v>2.4761821046176361E-2</v>
      </c>
      <c r="AP7" s="150">
        <f>'Curve Comparison'!AP85</f>
        <v>4.4308104571972047E-2</v>
      </c>
      <c r="AQ7" s="150">
        <f>'Curve Comparison'!AQ85</f>
        <v>7.0881254571550617E-2</v>
      </c>
      <c r="AR7" s="150">
        <f>'Curve Comparison'!AR85</f>
        <v>0.10509494283876561</v>
      </c>
      <c r="AS7" s="150">
        <f>'Curve Comparison'!AS85</f>
        <v>0.14600063151862577</v>
      </c>
      <c r="AT7" s="150"/>
    </row>
    <row r="8" spans="2:46">
      <c r="B8" s="149" t="s">
        <v>30</v>
      </c>
      <c r="C8" s="146" t="s">
        <v>9</v>
      </c>
      <c r="D8" s="146" t="s">
        <v>110</v>
      </c>
      <c r="F8" s="150">
        <f>'Curve Comparison'!F85</f>
        <v>1.8613310245223038E-3</v>
      </c>
      <c r="G8" s="150">
        <f>'Curve Comparison'!G85</f>
        <v>1.0729354460064183E-2</v>
      </c>
      <c r="H8" s="150">
        <f>'Curve Comparison'!H85</f>
        <v>2.4761821046176361E-2</v>
      </c>
      <c r="I8" s="150">
        <f>'Curve Comparison'!I85</f>
        <v>4.4308104571972047E-2</v>
      </c>
      <c r="J8" s="150">
        <f>'Curve Comparison'!J85</f>
        <v>7.0881254571550617E-2</v>
      </c>
      <c r="K8" s="150">
        <f>'Curve Comparison'!K85</f>
        <v>0.10509494283876561</v>
      </c>
      <c r="L8" s="150">
        <f>'Curve Comparison'!L85</f>
        <v>0.14600063151862577</v>
      </c>
      <c r="M8" s="150">
        <f>'Curve Comparison'!M85</f>
        <v>0.19234777400272074</v>
      </c>
      <c r="N8" s="150">
        <f>'Curve Comparison'!N85</f>
        <v>0.24437196668468711</v>
      </c>
      <c r="O8" s="150">
        <f>'Curve Comparison'!O85</f>
        <v>0.30147679746424594</v>
      </c>
      <c r="P8" s="150">
        <f>'Curve Comparison'!P85</f>
        <v>0.37097670183301612</v>
      </c>
      <c r="Q8" s="150">
        <f>'Curve Comparison'!Q85</f>
        <v>1.8613310245223038E-3</v>
      </c>
      <c r="R8" s="150">
        <f>'Curve Comparison'!R85</f>
        <v>1.0729354460064183E-2</v>
      </c>
      <c r="S8" s="150">
        <f>'Curve Comparison'!S85</f>
        <v>2.4761821046176361E-2</v>
      </c>
      <c r="T8" s="150">
        <f>'Curve Comparison'!T85</f>
        <v>4.4308104571972047E-2</v>
      </c>
      <c r="U8" s="150">
        <f>'Curve Comparison'!U85</f>
        <v>7.0881254571550617E-2</v>
      </c>
      <c r="V8" s="150">
        <f>'Curve Comparison'!V85</f>
        <v>0.10509494283876561</v>
      </c>
      <c r="W8" s="150">
        <f>'Curve Comparison'!W85</f>
        <v>0.14600063151862577</v>
      </c>
      <c r="X8" s="150">
        <f>'Curve Comparison'!X85</f>
        <v>0.19234777400272074</v>
      </c>
      <c r="Y8" s="150">
        <f>'Curve Comparison'!Y85</f>
        <v>0.24437196668468711</v>
      </c>
      <c r="Z8" s="150">
        <f>'Curve Comparison'!Z85</f>
        <v>0.30147679746424594</v>
      </c>
      <c r="AA8" s="150">
        <f>'Curve Comparison'!AA85</f>
        <v>0.37097670183301612</v>
      </c>
      <c r="AB8" s="150">
        <f>'Curve Comparison'!AB85</f>
        <v>1.8613310245223038E-3</v>
      </c>
      <c r="AC8" s="150">
        <f>'Curve Comparison'!AC85</f>
        <v>1.0729354460064183E-2</v>
      </c>
      <c r="AD8" s="150">
        <f>'Curve Comparison'!AD85</f>
        <v>2.4761821046176361E-2</v>
      </c>
      <c r="AE8" s="150">
        <f>'Curve Comparison'!AE85</f>
        <v>4.4308104571972047E-2</v>
      </c>
      <c r="AF8" s="150">
        <f>'Curve Comparison'!AF85</f>
        <v>7.0881254571550617E-2</v>
      </c>
      <c r="AG8" s="150">
        <f>'Curve Comparison'!AG85</f>
        <v>0.10509494283876561</v>
      </c>
      <c r="AH8" s="150">
        <f>'Curve Comparison'!AH85</f>
        <v>0.14600063151862577</v>
      </c>
      <c r="AI8" s="150">
        <f>'Curve Comparison'!AI85</f>
        <v>0.19234777400272074</v>
      </c>
      <c r="AJ8" s="150">
        <f>'Curve Comparison'!AJ85</f>
        <v>0.24437196668468711</v>
      </c>
      <c r="AK8" s="150">
        <f>'Curve Comparison'!AK85</f>
        <v>0.30147679746424594</v>
      </c>
      <c r="AL8" s="150">
        <f>'Curve Comparison'!AL85</f>
        <v>0.37097670183301612</v>
      </c>
      <c r="AM8" s="150">
        <f>'Curve Comparison'!AM85</f>
        <v>1.8613310245223038E-3</v>
      </c>
      <c r="AN8" s="150">
        <f>'Curve Comparison'!AN85</f>
        <v>1.0729354460064183E-2</v>
      </c>
      <c r="AO8" s="150">
        <f>'Curve Comparison'!AO85</f>
        <v>2.4761821046176361E-2</v>
      </c>
      <c r="AP8" s="150">
        <f>'Curve Comparison'!AP85</f>
        <v>4.4308104571972047E-2</v>
      </c>
      <c r="AQ8" s="150">
        <f>'Curve Comparison'!AQ85</f>
        <v>7.0881254571550617E-2</v>
      </c>
      <c r="AR8" s="150">
        <f>'Curve Comparison'!AR85</f>
        <v>0.10509494283876561</v>
      </c>
      <c r="AS8" s="150">
        <f>'Curve Comparison'!AS85</f>
        <v>0.14600063151862577</v>
      </c>
      <c r="AT8" s="150"/>
    </row>
    <row r="9" spans="2:46">
      <c r="B9" s="149" t="s">
        <v>31</v>
      </c>
      <c r="C9" s="146" t="s">
        <v>9</v>
      </c>
      <c r="D9" s="146" t="s">
        <v>110</v>
      </c>
      <c r="F9" s="150">
        <f>'Curve Comparison'!F88</f>
        <v>3.0424305838419696E-3</v>
      </c>
      <c r="G9" s="150">
        <f>'Curve Comparison'!G88</f>
        <v>1.7733488643563812E-2</v>
      </c>
      <c r="H9" s="150">
        <f>'Curve Comparison'!H88</f>
        <v>4.031407695233348E-2</v>
      </c>
      <c r="I9" s="150">
        <f>'Curve Comparison'!I88</f>
        <v>7.2387966132038822E-2</v>
      </c>
      <c r="J9" s="150">
        <f>'Curve Comparison'!J88</f>
        <v>0.11667541327347526</v>
      </c>
      <c r="K9" s="150">
        <f>'Curve Comparison'!K88</f>
        <v>0.17259988866951723</v>
      </c>
      <c r="L9" s="150">
        <f>'Curve Comparison'!L88</f>
        <v>0.23805453939324267</v>
      </c>
      <c r="M9" s="150">
        <f>'Curve Comparison'!M88</f>
        <v>0.32475378247498388</v>
      </c>
      <c r="N9" s="150">
        <f>'Curve Comparison'!N88</f>
        <v>0.4287694636940993</v>
      </c>
      <c r="O9" s="150">
        <f>'Curve Comparison'!O88</f>
        <v>0.54907295246839283</v>
      </c>
      <c r="P9" s="150">
        <f>'Curve Comparison'!P88</f>
        <v>0.68512768190617646</v>
      </c>
      <c r="Q9" s="150">
        <f>'Curve Comparison'!Q88</f>
        <v>0.83035492647679388</v>
      </c>
      <c r="R9" s="150">
        <f>'Curve Comparison'!R88</f>
        <v>0.97983187735160149</v>
      </c>
      <c r="S9" s="150">
        <f>'Curve Comparison'!S88</f>
        <v>1.1404464420195264</v>
      </c>
      <c r="T9" s="150">
        <f>'Curve Comparison'!T88</f>
        <v>1.3129332224879684</v>
      </c>
      <c r="U9" s="150">
        <f>'Curve Comparison'!U88</f>
        <v>3.0424305838419696E-3</v>
      </c>
      <c r="V9" s="150">
        <f>'Curve Comparison'!V88</f>
        <v>1.7733488643563812E-2</v>
      </c>
      <c r="W9" s="150">
        <f>'Curve Comparison'!W88</f>
        <v>4.031407695233348E-2</v>
      </c>
      <c r="X9" s="150">
        <f>'Curve Comparison'!X88</f>
        <v>7.2387966132038822E-2</v>
      </c>
      <c r="Y9" s="150">
        <f>'Curve Comparison'!Y88</f>
        <v>0.11667541327347526</v>
      </c>
      <c r="Z9" s="150">
        <f>'Curve Comparison'!Z88</f>
        <v>0.17259988866951723</v>
      </c>
      <c r="AA9" s="150">
        <f>'Curve Comparison'!AA88</f>
        <v>0.23805453939324267</v>
      </c>
      <c r="AB9" s="150">
        <f>'Curve Comparison'!AB88</f>
        <v>0.32475378247498388</v>
      </c>
      <c r="AC9" s="150">
        <f>'Curve Comparison'!AC88</f>
        <v>0.4287694636940993</v>
      </c>
      <c r="AD9" s="150">
        <f>'Curve Comparison'!AD88</f>
        <v>0.54907295246839283</v>
      </c>
      <c r="AE9" s="150">
        <f>'Curve Comparison'!AE88</f>
        <v>0.68512768190617646</v>
      </c>
      <c r="AF9" s="150">
        <f>'Curve Comparison'!AF88</f>
        <v>0.83035492647679388</v>
      </c>
      <c r="AG9" s="150">
        <f>'Curve Comparison'!AG88</f>
        <v>0.97983187735160149</v>
      </c>
      <c r="AH9" s="150">
        <f>'Curve Comparison'!AH88</f>
        <v>1.1404464420195264</v>
      </c>
      <c r="AI9" s="150">
        <f>'Curve Comparison'!AI88</f>
        <v>1.3129332224879684</v>
      </c>
      <c r="AJ9" s="150">
        <f>'Curve Comparison'!AJ88</f>
        <v>3.0424305838419696E-3</v>
      </c>
      <c r="AK9" s="150">
        <f>'Curve Comparison'!AK88</f>
        <v>1.7733488643563812E-2</v>
      </c>
      <c r="AL9" s="150">
        <f>'Curve Comparison'!AL88</f>
        <v>4.031407695233348E-2</v>
      </c>
      <c r="AM9" s="150">
        <f>'Curve Comparison'!AM88</f>
        <v>7.2387966132038822E-2</v>
      </c>
      <c r="AN9" s="150">
        <f>'Curve Comparison'!AN88</f>
        <v>0.11667541327347526</v>
      </c>
      <c r="AO9" s="150">
        <f>'Curve Comparison'!AO88</f>
        <v>0.17259988866951723</v>
      </c>
      <c r="AP9" s="150">
        <f>'Curve Comparison'!AP88</f>
        <v>0.23805453939324267</v>
      </c>
      <c r="AQ9" s="150">
        <f>'Curve Comparison'!AQ88</f>
        <v>0.32475378247498388</v>
      </c>
      <c r="AR9" s="150">
        <f>'Curve Comparison'!AR88</f>
        <v>0.4287694636940993</v>
      </c>
      <c r="AS9" s="150">
        <f>'Curve Comparison'!AS88</f>
        <v>0.54907295246839283</v>
      </c>
      <c r="AT9" s="150"/>
    </row>
    <row r="10" spans="2:46">
      <c r="B10" s="149" t="s">
        <v>111</v>
      </c>
      <c r="C10" s="146" t="s">
        <v>112</v>
      </c>
      <c r="D10" s="146" t="s">
        <v>110</v>
      </c>
      <c r="F10" s="150">
        <f>'Curve Comparison'!F91</f>
        <v>1.0321464225419271E-3</v>
      </c>
      <c r="G10" s="150">
        <f>'Curve Comparison'!G91</f>
        <v>6.0115270203998138E-3</v>
      </c>
      <c r="H10" s="150">
        <f>'Curve Comparison'!H91</f>
        <v>1.2624529676011353E-2</v>
      </c>
      <c r="I10" s="150">
        <f>'Curve Comparison'!I91</f>
        <v>2.2486877793298381E-2</v>
      </c>
      <c r="J10" s="150">
        <f>'Curve Comparison'!J91</f>
        <v>3.6929456729391061E-2</v>
      </c>
      <c r="K10" s="150">
        <f>'Curve Comparison'!K91</f>
        <v>5.5735041105005399E-2</v>
      </c>
      <c r="L10" s="150">
        <f>'Curve Comparison'!L91</f>
        <v>5.5735041105005399E-2</v>
      </c>
      <c r="M10" s="150">
        <f>'Curve Comparison'!M91</f>
        <v>5.5735041105005399E-2</v>
      </c>
      <c r="N10" s="150">
        <f>'Curve Comparison'!N91</f>
        <v>5.5735041105005399E-2</v>
      </c>
      <c r="O10" s="150">
        <f>'Curve Comparison'!O91</f>
        <v>5.5735041105005399E-2</v>
      </c>
      <c r="P10" s="150">
        <f>'Curve Comparison'!P91</f>
        <v>5.5735041105005399E-2</v>
      </c>
      <c r="Q10" s="150">
        <f>'Curve Comparison'!Q91</f>
        <v>5.5735041105005399E-2</v>
      </c>
      <c r="R10" s="150">
        <f>'Curve Comparison'!R91</f>
        <v>5.5735041105005399E-2</v>
      </c>
      <c r="S10" s="150">
        <f>'Curve Comparison'!S91</f>
        <v>5.5735041105005399E-2</v>
      </c>
      <c r="T10" s="150">
        <f>'Curve Comparison'!T91</f>
        <v>5.5735041105005399E-2</v>
      </c>
      <c r="U10" s="150">
        <f>'Curve Comparison'!U91</f>
        <v>5.5735041105005399E-2</v>
      </c>
      <c r="V10" s="150">
        <f>'Curve Comparison'!V91</f>
        <v>5.5735041105005399E-2</v>
      </c>
      <c r="W10" s="150">
        <f>'Curve Comparison'!W91</f>
        <v>5.5735041105005399E-2</v>
      </c>
      <c r="X10" s="150">
        <f>'Curve Comparison'!X91</f>
        <v>5.5735041105005399E-2</v>
      </c>
      <c r="Y10" s="150">
        <f>'Curve Comparison'!Y91</f>
        <v>5.5735041105005399E-2</v>
      </c>
      <c r="Z10" s="150">
        <f>'Curve Comparison'!Z91</f>
        <v>5.5735041105005399E-2</v>
      </c>
      <c r="AA10" s="150">
        <f>'Curve Comparison'!AA91</f>
        <v>5.5735041105005399E-2</v>
      </c>
      <c r="AB10" s="150">
        <f>'Curve Comparison'!AB91</f>
        <v>5.5735041105005399E-2</v>
      </c>
      <c r="AC10" s="150">
        <f>'Curve Comparison'!AC91</f>
        <v>5.5735041105005399E-2</v>
      </c>
      <c r="AD10" s="150">
        <f>'Curve Comparison'!AD91</f>
        <v>5.5735041105005399E-2</v>
      </c>
      <c r="AE10" s="150">
        <f>'Curve Comparison'!AE91</f>
        <v>5.5735041105005399E-2</v>
      </c>
      <c r="AF10" s="150">
        <f>'Curve Comparison'!AF91</f>
        <v>5.5735041105005399E-2</v>
      </c>
      <c r="AG10" s="150">
        <f>'Curve Comparison'!AG91</f>
        <v>5.5735041105005399E-2</v>
      </c>
      <c r="AH10" s="150">
        <f>'Curve Comparison'!AH91</f>
        <v>5.5735041105005399E-2</v>
      </c>
      <c r="AI10" s="150">
        <f>'Curve Comparison'!AI91</f>
        <v>5.5735041105005399E-2</v>
      </c>
      <c r="AJ10" s="150">
        <f>'Curve Comparison'!AJ91</f>
        <v>5.5735041105005399E-2</v>
      </c>
      <c r="AK10" s="150">
        <f>'Curve Comparison'!AK91</f>
        <v>5.5735041105005399E-2</v>
      </c>
      <c r="AL10" s="150">
        <f>'Curve Comparison'!AL91</f>
        <v>5.5735041105005399E-2</v>
      </c>
      <c r="AM10" s="150">
        <f>'Curve Comparison'!AM91</f>
        <v>5.5735041105005399E-2</v>
      </c>
      <c r="AN10" s="150">
        <f>'Curve Comparison'!AN91</f>
        <v>5.5735041105005399E-2</v>
      </c>
      <c r="AO10" s="150">
        <f>'Curve Comparison'!AO91</f>
        <v>5.5735041105005399E-2</v>
      </c>
      <c r="AP10" s="150">
        <f>'Curve Comparison'!AP91</f>
        <v>5.5735041105005399E-2</v>
      </c>
      <c r="AQ10" s="150">
        <f>'Curve Comparison'!AQ91</f>
        <v>5.5735041105005399E-2</v>
      </c>
      <c r="AR10" s="150">
        <f>'Curve Comparison'!AR91</f>
        <v>5.5735041105005399E-2</v>
      </c>
      <c r="AS10" s="150">
        <f>'Curve Comparison'!AS91</f>
        <v>5.5735041105005399E-2</v>
      </c>
      <c r="AT10" s="150"/>
    </row>
    <row r="11" spans="2:46">
      <c r="B11" s="149" t="s">
        <v>113</v>
      </c>
      <c r="C11" s="146" t="s">
        <v>114</v>
      </c>
      <c r="D11" s="146" t="s">
        <v>110</v>
      </c>
      <c r="F11" s="150">
        <f>'Curve Comparison'!F94</f>
        <v>6.7540053225408081E-4</v>
      </c>
      <c r="G11" s="150">
        <f>'Curve Comparison'!G94</f>
        <v>3.9156285619804986E-3</v>
      </c>
      <c r="H11" s="150">
        <f>'Curve Comparison'!H94</f>
        <v>8.644414151686243E-3</v>
      </c>
      <c r="I11" s="150">
        <f>'Curve Comparison'!I94</f>
        <v>1.5260138761026016E-2</v>
      </c>
      <c r="J11" s="150">
        <f>'Curve Comparison'!J94</f>
        <v>1.2208111008820813E-2</v>
      </c>
      <c r="K11" s="150">
        <f>'Curve Comparison'!K94</f>
        <v>1.9648155217542117E-2</v>
      </c>
      <c r="L11" s="150">
        <f>'Curve Comparison'!L94</f>
        <v>2.9335647517018927E-2</v>
      </c>
      <c r="M11" s="150">
        <f>'Curve Comparison'!M94</f>
        <v>1.5260138761026016E-2</v>
      </c>
      <c r="N11" s="150">
        <f>'Curve Comparison'!N94</f>
        <v>2.4560194021927644E-2</v>
      </c>
      <c r="O11" s="150">
        <f>'Curve Comparison'!O94</f>
        <v>3.6669559396273657E-2</v>
      </c>
      <c r="P11" s="150">
        <f>'Curve Comparison'!P94</f>
        <v>1.5260138761026016E-2</v>
      </c>
      <c r="Q11" s="150">
        <f>'Curve Comparison'!Q94</f>
        <v>2.4560194021927644E-2</v>
      </c>
      <c r="R11" s="150">
        <f>'Curve Comparison'!R94</f>
        <v>3.6669559396273657E-2</v>
      </c>
      <c r="S11" s="150">
        <f>'Curve Comparison'!S94</f>
        <v>1.5260138761026016E-2</v>
      </c>
      <c r="T11" s="150">
        <f>'Curve Comparison'!T94</f>
        <v>2.4560194021927644E-2</v>
      </c>
      <c r="U11" s="150">
        <f>'Curve Comparison'!U94</f>
        <v>3.6669559396273657E-2</v>
      </c>
      <c r="V11" s="150">
        <f>'Curve Comparison'!V94</f>
        <v>1.5260138761026016E-2</v>
      </c>
      <c r="W11" s="150">
        <f>'Curve Comparison'!W94</f>
        <v>2.4560194021927644E-2</v>
      </c>
      <c r="X11" s="150">
        <f>'Curve Comparison'!X94</f>
        <v>3.6669559396273657E-2</v>
      </c>
      <c r="Y11" s="150">
        <f>'Curve Comparison'!Y94</f>
        <v>1.5260138761026016E-2</v>
      </c>
      <c r="Z11" s="150">
        <f>'Curve Comparison'!Z94</f>
        <v>6.7540053225408081E-4</v>
      </c>
      <c r="AA11" s="150">
        <f>'Curve Comparison'!AA94</f>
        <v>3.9156285619804986E-3</v>
      </c>
      <c r="AB11" s="150">
        <f>'Curve Comparison'!AB94</f>
        <v>8.644414151686243E-3</v>
      </c>
      <c r="AC11" s="150">
        <f>'Curve Comparison'!AC94</f>
        <v>1.5260138761026016E-2</v>
      </c>
      <c r="AD11" s="150">
        <f>'Curve Comparison'!AD94</f>
        <v>1.2208111008820813E-2</v>
      </c>
      <c r="AE11" s="150">
        <f>'Curve Comparison'!AE94</f>
        <v>1.9648155217542117E-2</v>
      </c>
      <c r="AF11" s="150">
        <f>'Curve Comparison'!AF94</f>
        <v>2.9335647517018927E-2</v>
      </c>
      <c r="AG11" s="150">
        <f>'Curve Comparison'!AG94</f>
        <v>1.5260138761026016E-2</v>
      </c>
      <c r="AH11" s="150">
        <f>'Curve Comparison'!AH94</f>
        <v>2.4560194021927644E-2</v>
      </c>
      <c r="AI11" s="150">
        <f>'Curve Comparison'!AI94</f>
        <v>3.6669559396273657E-2</v>
      </c>
      <c r="AJ11" s="150">
        <f>'Curve Comparison'!AJ94</f>
        <v>1.5260138761026016E-2</v>
      </c>
      <c r="AK11" s="150">
        <f>'Curve Comparison'!AK94</f>
        <v>2.4560194021927644E-2</v>
      </c>
      <c r="AL11" s="150">
        <f>'Curve Comparison'!AL94</f>
        <v>3.6669559396273657E-2</v>
      </c>
      <c r="AM11" s="150">
        <f>'Curve Comparison'!AM94</f>
        <v>1.5260138761026016E-2</v>
      </c>
      <c r="AN11" s="150">
        <f>'Curve Comparison'!AN94</f>
        <v>2.4560194021927644E-2</v>
      </c>
      <c r="AO11" s="150">
        <f>'Curve Comparison'!AO94</f>
        <v>3.6669559396273657E-2</v>
      </c>
      <c r="AP11" s="150">
        <f>'Curve Comparison'!AP94</f>
        <v>1.5260138761026016E-2</v>
      </c>
      <c r="AQ11" s="150">
        <f>'Curve Comparison'!AQ94</f>
        <v>2.4560194021927644E-2</v>
      </c>
      <c r="AR11" s="150">
        <f>'Curve Comparison'!AR94</f>
        <v>3.6669559396273657E-2</v>
      </c>
      <c r="AS11" s="150">
        <f>'Curve Comparison'!AS94</f>
        <v>1.5260138761026016E-2</v>
      </c>
      <c r="AT11" s="150"/>
    </row>
    <row r="14" spans="2:46">
      <c r="B14" s="146" t="s">
        <v>115</v>
      </c>
      <c r="C14" s="147">
        <f>'Total CO2'!N54</f>
        <v>19829984.384646896</v>
      </c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</row>
    <row r="15" spans="2:46"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</row>
    <row r="34" spans="6:16"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</row>
    <row r="36" spans="6:16"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</row>
    <row r="37" spans="6:16"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26292-ACBD-8145-B7A8-29903B8BA483}">
  <sheetPr>
    <tabColor theme="7"/>
  </sheetPr>
  <dimension ref="A1:AN95"/>
  <sheetViews>
    <sheetView tabSelected="1" topLeftCell="A29" zoomScale="70" zoomScaleNormal="70" workbookViewId="0">
      <selection activeCell="N58" sqref="N58"/>
    </sheetView>
  </sheetViews>
  <sheetFormatPr defaultColWidth="9.88671875" defaultRowHeight="15"/>
  <cols>
    <col min="1" max="1" width="9.88671875" style="67"/>
    <col min="2" max="2" width="16.88671875" style="68" customWidth="1"/>
    <col min="3" max="3" width="5.5546875" style="82" bestFit="1" customWidth="1"/>
    <col min="4" max="4" width="15.88671875" style="68" customWidth="1"/>
    <col min="5" max="5" width="10.6640625" style="68" bestFit="1" customWidth="1"/>
    <col min="6" max="6" width="10.6640625" style="68" customWidth="1"/>
    <col min="7" max="7" width="23.33203125" style="68" bestFit="1" customWidth="1"/>
    <col min="8" max="8" width="10.88671875" style="68" bestFit="1" customWidth="1"/>
    <col min="9" max="9" width="1" style="67" customWidth="1"/>
    <col min="10" max="10" width="10.33203125" style="67" customWidth="1"/>
    <col min="11" max="11" width="16.88671875" style="68" bestFit="1" customWidth="1"/>
    <col min="12" max="12" width="24" style="68" customWidth="1"/>
    <col min="13" max="13" width="30.88671875" style="68" customWidth="1"/>
    <col min="14" max="15" width="20.5546875" style="68" customWidth="1"/>
    <col min="16" max="16" width="15" style="68" customWidth="1"/>
    <col min="17" max="17" width="7.88671875" style="68" customWidth="1"/>
    <col min="18" max="18" width="17.88671875" style="68" bestFit="1" customWidth="1"/>
    <col min="19" max="19" width="13.109375" style="67" bestFit="1" customWidth="1"/>
    <col min="20" max="20" width="9.88671875" style="67"/>
    <col min="21" max="22" width="11.5546875" style="67" hidden="1" customWidth="1"/>
    <col min="23" max="24" width="9.88671875" style="67" hidden="1" customWidth="1"/>
    <col min="25" max="16384" width="9.88671875" style="67"/>
  </cols>
  <sheetData>
    <row r="1" spans="1:40" ht="15.75" customHeight="1">
      <c r="C1" s="69" t="s">
        <v>116</v>
      </c>
      <c r="L1" s="86"/>
    </row>
    <row r="3" spans="1:40" ht="60.75" customHeight="1">
      <c r="B3" s="70" t="s">
        <v>117</v>
      </c>
      <c r="C3" s="71" t="s">
        <v>34</v>
      </c>
      <c r="D3" s="72" t="s">
        <v>35</v>
      </c>
      <c r="E3" s="73" t="s">
        <v>62</v>
      </c>
      <c r="F3" s="73" t="s">
        <v>118</v>
      </c>
      <c r="G3" s="74" t="s">
        <v>119</v>
      </c>
      <c r="H3" s="75" t="s">
        <v>120</v>
      </c>
      <c r="I3" s="76"/>
      <c r="J3" s="77" t="s">
        <v>34</v>
      </c>
      <c r="K3" s="70" t="s">
        <v>121</v>
      </c>
      <c r="L3" s="70" t="s">
        <v>122</v>
      </c>
      <c r="M3" s="70" t="s">
        <v>123</v>
      </c>
      <c r="N3" s="70" t="s">
        <v>124</v>
      </c>
      <c r="O3" s="78" t="s">
        <v>125</v>
      </c>
      <c r="P3" s="79" t="s">
        <v>126</v>
      </c>
      <c r="Q3" s="80"/>
      <c r="R3" s="81" t="s">
        <v>127</v>
      </c>
      <c r="V3" s="82" t="s">
        <v>128</v>
      </c>
      <c r="W3" s="82" t="s">
        <v>129</v>
      </c>
      <c r="AH3" s="67" t="str">
        <f>C3</f>
        <v>Year</v>
      </c>
      <c r="AI3" s="67" t="str">
        <f t="shared" ref="AI3:AL18" si="0">D3</f>
        <v>Ctree</v>
      </c>
      <c r="AJ3" s="67" t="str">
        <f t="shared" si="0"/>
        <v>SOC</v>
      </c>
      <c r="AK3" s="67" t="str">
        <f t="shared" si="0"/>
        <v>DW</v>
      </c>
      <c r="AL3" s="67" t="str">
        <f t="shared" si="0"/>
        <v>LI</v>
      </c>
      <c r="AM3" s="67" t="s">
        <v>130</v>
      </c>
      <c r="AN3" s="67" t="str">
        <f>H3</f>
        <v xml:space="preserve">TOTAL EST. </v>
      </c>
    </row>
    <row r="4" spans="1:40">
      <c r="A4" s="67">
        <v>1</v>
      </c>
      <c r="B4" s="83">
        <v>0</v>
      </c>
      <c r="C4" s="84">
        <v>2022</v>
      </c>
      <c r="D4" s="85" cm="1">
        <f t="array" ref="D4:D43">+TRANSPOSE(Summary!D47:AQ47)</f>
        <v>792.63168501134317</v>
      </c>
      <c r="E4" s="86">
        <f>+SUM(SOC!H160:P160)</f>
        <v>200.09297769139064</v>
      </c>
      <c r="F4" s="86">
        <f>1%*D4</f>
        <v>7.926316850113432</v>
      </c>
      <c r="G4" s="87">
        <f>1%*D4</f>
        <v>7.926316850113432</v>
      </c>
      <c r="H4" s="88">
        <f>+SUM(D4:G4)</f>
        <v>1008.5772964029605</v>
      </c>
      <c r="J4" s="89">
        <v>2022</v>
      </c>
      <c r="K4" s="83">
        <f>+(C55*H4)/365</f>
        <v>361.98253651722695</v>
      </c>
      <c r="L4" s="83">
        <f>+K4</f>
        <v>361.98253651722695</v>
      </c>
      <c r="M4" s="83">
        <f t="shared" ref="M4:M9" si="1">+L4-B4</f>
        <v>361.98253651722695</v>
      </c>
      <c r="N4" s="83">
        <f>+M4</f>
        <v>361.98253651722695</v>
      </c>
      <c r="O4" s="90"/>
      <c r="P4" s="91">
        <f>+L4*0.14</f>
        <v>50.677555112411774</v>
      </c>
      <c r="Q4" s="92"/>
      <c r="S4" s="93">
        <f>N54</f>
        <v>19829984.384646896</v>
      </c>
      <c r="T4" s="94"/>
      <c r="U4" s="95">
        <v>2022</v>
      </c>
      <c r="V4" s="96">
        <f>+K4</f>
        <v>361.98253651722695</v>
      </c>
      <c r="W4" s="97">
        <v>518.0555209782392</v>
      </c>
      <c r="X4" s="98">
        <f>+(W4-V4)/V4</f>
        <v>0.43116164100801768</v>
      </c>
      <c r="Z4" s="99"/>
      <c r="AH4" s="67">
        <f>C4</f>
        <v>2022</v>
      </c>
      <c r="AI4" s="93">
        <f t="shared" si="0"/>
        <v>792.63168501134317</v>
      </c>
      <c r="AJ4" s="93">
        <f t="shared" si="0"/>
        <v>200.09297769139064</v>
      </c>
      <c r="AK4" s="93">
        <f t="shared" si="0"/>
        <v>7.926316850113432</v>
      </c>
      <c r="AL4" s="93">
        <f t="shared" si="0"/>
        <v>7.926316850113432</v>
      </c>
      <c r="AM4" s="93">
        <f>AJ4+AK4+AL4</f>
        <v>215.94561139161752</v>
      </c>
      <c r="AN4" s="93">
        <f>H4</f>
        <v>1008.5772964029605</v>
      </c>
    </row>
    <row r="5" spans="1:40" ht="15.75" thickBot="1">
      <c r="A5" s="67">
        <v>2</v>
      </c>
      <c r="B5" s="83">
        <v>0</v>
      </c>
      <c r="C5" s="100">
        <v>2023</v>
      </c>
      <c r="D5" s="85">
        <v>12274.976440858503</v>
      </c>
      <c r="E5" s="86">
        <f>+SUM(SOC!H161:P161)</f>
        <v>5156.0411245467694</v>
      </c>
      <c r="F5" s="86">
        <f>1%*D5</f>
        <v>122.74976440858504</v>
      </c>
      <c r="G5" s="87">
        <f>1%*D5</f>
        <v>122.74976440858504</v>
      </c>
      <c r="H5" s="88">
        <f>+SUM(D5:G5)</f>
        <v>17676.517094222443</v>
      </c>
      <c r="J5" s="89">
        <v>2023</v>
      </c>
      <c r="K5" s="83">
        <f>+H5</f>
        <v>17676.517094222443</v>
      </c>
      <c r="L5" s="83">
        <f>+K5-K4</f>
        <v>17314.534557705218</v>
      </c>
      <c r="M5" s="83">
        <f t="shared" si="1"/>
        <v>17314.534557705218</v>
      </c>
      <c r="N5" s="83">
        <f>+N4+M5</f>
        <v>17676.517094222443</v>
      </c>
      <c r="O5" s="90">
        <f>+K5</f>
        <v>17676.517094222443</v>
      </c>
      <c r="P5" s="91">
        <f>+(N5-N4)*0.14</f>
        <v>2424.0348380787309</v>
      </c>
      <c r="Q5" s="92"/>
      <c r="R5" s="101" t="s">
        <v>131</v>
      </c>
      <c r="S5" s="93">
        <f>S4</f>
        <v>19829984.384646896</v>
      </c>
      <c r="T5" s="94"/>
      <c r="U5" s="95">
        <v>2023</v>
      </c>
      <c r="V5" s="96">
        <f>+K5</f>
        <v>17676.517094222443</v>
      </c>
      <c r="W5" s="97">
        <v>945.15472911297081</v>
      </c>
      <c r="X5" s="98">
        <f t="shared" ref="X5:X6" si="2">+(W5-V5)/V5</f>
        <v>-0.94653048877926893</v>
      </c>
      <c r="Z5" s="99"/>
      <c r="AH5" s="67">
        <f t="shared" ref="AH5:AL51" si="3">C5</f>
        <v>2023</v>
      </c>
      <c r="AI5" s="93">
        <f t="shared" si="0"/>
        <v>12274.976440858503</v>
      </c>
      <c r="AJ5" s="93">
        <f t="shared" si="0"/>
        <v>5156.0411245467694</v>
      </c>
      <c r="AK5" s="93">
        <f t="shared" si="0"/>
        <v>122.74976440858504</v>
      </c>
      <c r="AL5" s="93">
        <f t="shared" si="0"/>
        <v>122.74976440858504</v>
      </c>
      <c r="AM5" s="93">
        <f t="shared" ref="AM5:AM51" si="4">AJ5+AK5+AL5</f>
        <v>5401.5406533639398</v>
      </c>
      <c r="AN5" s="93">
        <f t="shared" ref="AN5:AN51" si="5">H5</f>
        <v>17676.517094222443</v>
      </c>
    </row>
    <row r="6" spans="1:40">
      <c r="A6" s="67">
        <v>3</v>
      </c>
      <c r="B6" s="83">
        <v>0</v>
      </c>
      <c r="C6" s="100">
        <v>2024</v>
      </c>
      <c r="D6" s="85">
        <v>76680.845615761122</v>
      </c>
      <c r="E6" s="86">
        <f>+SUM(SOC!H162:P162)</f>
        <v>30494.225710676379</v>
      </c>
      <c r="F6" s="86">
        <f t="shared" ref="F6:F51" si="6">1%*D6</f>
        <v>766.8084561576112</v>
      </c>
      <c r="G6" s="87">
        <f t="shared" ref="G6:G51" si="7">1%*D6</f>
        <v>766.8084561576112</v>
      </c>
      <c r="H6" s="88">
        <f>+SUM(D6:G6)</f>
        <v>108708.68823875271</v>
      </c>
      <c r="J6" s="89">
        <v>2024</v>
      </c>
      <c r="K6" s="83">
        <f t="shared" ref="K6:K43" si="8">+H6</f>
        <v>108708.68823875271</v>
      </c>
      <c r="L6" s="83">
        <f>+K6-K5</f>
        <v>91032.171144530264</v>
      </c>
      <c r="M6" s="83">
        <f t="shared" si="1"/>
        <v>91032.171144530264</v>
      </c>
      <c r="N6" s="83">
        <f t="shared" ref="N6:N16" si="9">+N5+M6</f>
        <v>108708.68823875271</v>
      </c>
      <c r="O6" s="90"/>
      <c r="P6" s="91">
        <f t="shared" ref="P6:P51" si="10">+(N6-N5)*0.14</f>
        <v>12744.503960234239</v>
      </c>
      <c r="Q6" s="92"/>
      <c r="R6" s="86"/>
      <c r="S6" s="93">
        <f t="shared" ref="S6:S51" si="11">S5</f>
        <v>19829984.384646896</v>
      </c>
      <c r="T6" s="94"/>
      <c r="U6" s="102" t="s">
        <v>132</v>
      </c>
      <c r="V6" s="96">
        <f>+V5+V4</f>
        <v>18038.499630739669</v>
      </c>
      <c r="W6" s="97">
        <f>+W5+W4</f>
        <v>1463.2102500912101</v>
      </c>
      <c r="X6" s="98">
        <f t="shared" si="2"/>
        <v>-0.91888403802732388</v>
      </c>
      <c r="Y6" s="93"/>
      <c r="Z6" s="99"/>
      <c r="AH6" s="67">
        <f t="shared" si="3"/>
        <v>2024</v>
      </c>
      <c r="AI6" s="93">
        <f t="shared" si="0"/>
        <v>76680.845615761122</v>
      </c>
      <c r="AJ6" s="93">
        <f t="shared" si="0"/>
        <v>30494.225710676379</v>
      </c>
      <c r="AK6" s="93">
        <f t="shared" si="0"/>
        <v>766.8084561576112</v>
      </c>
      <c r="AL6" s="93">
        <f t="shared" si="0"/>
        <v>766.8084561576112</v>
      </c>
      <c r="AM6" s="93">
        <f t="shared" si="4"/>
        <v>32027.8426229916</v>
      </c>
      <c r="AN6" s="93">
        <f t="shared" si="5"/>
        <v>108708.68823875271</v>
      </c>
    </row>
    <row r="7" spans="1:40">
      <c r="A7" s="67">
        <v>4</v>
      </c>
      <c r="B7" s="83">
        <v>0</v>
      </c>
      <c r="C7" s="100">
        <v>2025</v>
      </c>
      <c r="D7" s="85">
        <v>251824.35782640596</v>
      </c>
      <c r="E7" s="86">
        <f>+SUM(SOC!H163:P163)</f>
        <v>86405.764955717343</v>
      </c>
      <c r="F7" s="86">
        <f t="shared" si="6"/>
        <v>2518.2435782640596</v>
      </c>
      <c r="G7" s="87">
        <f t="shared" si="7"/>
        <v>2518.2435782640596</v>
      </c>
      <c r="H7" s="88">
        <f>+SUM(D7:G7)</f>
        <v>343266.60993865144</v>
      </c>
      <c r="J7" s="89">
        <v>2025</v>
      </c>
      <c r="K7" s="83">
        <f t="shared" si="8"/>
        <v>343266.60993865144</v>
      </c>
      <c r="L7" s="83">
        <f>+K7-K6</f>
        <v>234557.92169989872</v>
      </c>
      <c r="M7" s="83">
        <f t="shared" si="1"/>
        <v>234557.92169989872</v>
      </c>
      <c r="N7" s="83">
        <f>+N6+M7</f>
        <v>343266.60993865144</v>
      </c>
      <c r="O7" s="90"/>
      <c r="P7" s="91">
        <f t="shared" si="10"/>
        <v>32838.109037985821</v>
      </c>
      <c r="Q7" s="92"/>
      <c r="R7" s="86"/>
      <c r="S7" s="93">
        <f t="shared" si="11"/>
        <v>19829984.384646896</v>
      </c>
      <c r="T7" s="94"/>
      <c r="U7" s="103"/>
      <c r="AH7" s="67">
        <f t="shared" si="3"/>
        <v>2025</v>
      </c>
      <c r="AI7" s="93">
        <f t="shared" si="0"/>
        <v>251824.35782640596</v>
      </c>
      <c r="AJ7" s="93">
        <f t="shared" si="0"/>
        <v>86405.764955717343</v>
      </c>
      <c r="AK7" s="93">
        <f t="shared" si="0"/>
        <v>2518.2435782640596</v>
      </c>
      <c r="AL7" s="93">
        <f t="shared" si="0"/>
        <v>2518.2435782640596</v>
      </c>
      <c r="AM7" s="93">
        <f t="shared" si="4"/>
        <v>91442.252112245449</v>
      </c>
      <c r="AN7" s="93">
        <f t="shared" si="5"/>
        <v>343266.60993865144</v>
      </c>
    </row>
    <row r="8" spans="1:40">
      <c r="A8" s="67">
        <v>5</v>
      </c>
      <c r="B8" s="83">
        <v>0</v>
      </c>
      <c r="C8" s="100">
        <v>2026</v>
      </c>
      <c r="D8" s="85">
        <v>611700.83112368057</v>
      </c>
      <c r="E8" s="86">
        <f>+SUM(SOC!H164:P164)</f>
        <v>181228.84649391819</v>
      </c>
      <c r="F8" s="86">
        <f t="shared" si="6"/>
        <v>6117.0083112368056</v>
      </c>
      <c r="G8" s="87">
        <f t="shared" si="7"/>
        <v>6117.0083112368056</v>
      </c>
      <c r="H8" s="88">
        <f>+SUM(D8:G8)</f>
        <v>805163.69424007251</v>
      </c>
      <c r="J8" s="89">
        <v>2026</v>
      </c>
      <c r="K8" s="83">
        <f t="shared" si="8"/>
        <v>805163.69424007251</v>
      </c>
      <c r="L8" s="83">
        <f t="shared" ref="L8:L42" si="12">+K8-K7</f>
        <v>461897.08430142107</v>
      </c>
      <c r="M8" s="83">
        <f t="shared" si="1"/>
        <v>461897.08430142107</v>
      </c>
      <c r="N8" s="83">
        <f>+N7+M8</f>
        <v>805163.69424007251</v>
      </c>
      <c r="O8" s="90"/>
      <c r="P8" s="91">
        <f t="shared" si="10"/>
        <v>64665.591802198956</v>
      </c>
      <c r="Q8" s="92"/>
      <c r="R8" s="86"/>
      <c r="S8" s="93">
        <f>S7</f>
        <v>19829984.384646896</v>
      </c>
      <c r="T8" s="94"/>
      <c r="U8" s="94"/>
      <c r="AH8" s="67">
        <f t="shared" si="3"/>
        <v>2026</v>
      </c>
      <c r="AI8" s="93">
        <f t="shared" si="0"/>
        <v>611700.83112368057</v>
      </c>
      <c r="AJ8" s="93">
        <f t="shared" si="0"/>
        <v>181228.84649391819</v>
      </c>
      <c r="AK8" s="93">
        <f t="shared" si="0"/>
        <v>6117.0083112368056</v>
      </c>
      <c r="AL8" s="93">
        <f t="shared" si="0"/>
        <v>6117.0083112368056</v>
      </c>
      <c r="AM8" s="93">
        <f t="shared" si="4"/>
        <v>193462.86311639179</v>
      </c>
      <c r="AN8" s="93">
        <f t="shared" si="5"/>
        <v>805163.69424007251</v>
      </c>
    </row>
    <row r="9" spans="1:40">
      <c r="A9" s="67">
        <v>6</v>
      </c>
      <c r="B9" s="83">
        <v>0</v>
      </c>
      <c r="C9" s="100">
        <v>2027</v>
      </c>
      <c r="D9" s="85">
        <v>1264049.9162430451</v>
      </c>
      <c r="E9" s="86">
        <f>+SUM(SOC!H165:P165)</f>
        <v>326081.05383761035</v>
      </c>
      <c r="F9" s="86">
        <f t="shared" si="6"/>
        <v>12640.499162430451</v>
      </c>
      <c r="G9" s="87">
        <f t="shared" si="7"/>
        <v>12640.499162430451</v>
      </c>
      <c r="H9" s="88">
        <f t="shared" ref="H9:H12" si="13">+SUM(D9:G9)</f>
        <v>1615411.9684055164</v>
      </c>
      <c r="J9" s="89">
        <v>2027</v>
      </c>
      <c r="K9" s="83">
        <f t="shared" si="8"/>
        <v>1615411.9684055164</v>
      </c>
      <c r="L9" s="83">
        <f t="shared" si="12"/>
        <v>810248.27416544384</v>
      </c>
      <c r="M9" s="83">
        <f t="shared" si="1"/>
        <v>810248.27416544384</v>
      </c>
      <c r="N9" s="83">
        <f t="shared" si="9"/>
        <v>1615411.9684055164</v>
      </c>
      <c r="O9" s="90"/>
      <c r="P9" s="91">
        <f t="shared" si="10"/>
        <v>113434.75838316215</v>
      </c>
      <c r="Q9" s="92"/>
      <c r="R9" s="86"/>
      <c r="S9" s="93">
        <f t="shared" si="11"/>
        <v>19829984.384646896</v>
      </c>
      <c r="T9" s="94"/>
      <c r="U9" s="94"/>
      <c r="AH9" s="67">
        <f t="shared" si="3"/>
        <v>2027</v>
      </c>
      <c r="AI9" s="93">
        <f t="shared" si="0"/>
        <v>1264049.9162430451</v>
      </c>
      <c r="AJ9" s="93">
        <f t="shared" si="0"/>
        <v>326081.05383761035</v>
      </c>
      <c r="AK9" s="93">
        <f t="shared" si="0"/>
        <v>12640.499162430451</v>
      </c>
      <c r="AL9" s="93">
        <f t="shared" si="0"/>
        <v>12640.499162430451</v>
      </c>
      <c r="AM9" s="93">
        <f t="shared" si="4"/>
        <v>351362.05216247129</v>
      </c>
      <c r="AN9" s="93">
        <f t="shared" si="5"/>
        <v>1615411.9684055164</v>
      </c>
    </row>
    <row r="10" spans="1:40">
      <c r="A10" s="67">
        <v>7</v>
      </c>
      <c r="B10" s="83">
        <v>0</v>
      </c>
      <c r="C10" s="100">
        <v>2028</v>
      </c>
      <c r="D10" s="85">
        <v>2342916.3401857144</v>
      </c>
      <c r="E10" s="86">
        <f>+SUM(SOC!H166:P166)</f>
        <v>526521.17874295951</v>
      </c>
      <c r="F10" s="86">
        <f t="shared" si="6"/>
        <v>23429.163401857146</v>
      </c>
      <c r="G10" s="87">
        <f t="shared" si="7"/>
        <v>23429.163401857146</v>
      </c>
      <c r="H10" s="88">
        <f t="shared" si="13"/>
        <v>2916295.8457323881</v>
      </c>
      <c r="J10" s="89">
        <v>2028</v>
      </c>
      <c r="K10" s="83">
        <f t="shared" si="8"/>
        <v>2916295.8457323881</v>
      </c>
      <c r="L10" s="83">
        <f t="shared" si="12"/>
        <v>1300883.8773268717</v>
      </c>
      <c r="M10" s="83">
        <f t="shared" ref="M10:M13" si="14">+L10-B10</f>
        <v>1300883.8773268717</v>
      </c>
      <c r="N10" s="83">
        <f t="shared" si="9"/>
        <v>2916295.8457323881</v>
      </c>
      <c r="O10" s="90"/>
      <c r="P10" s="91">
        <f t="shared" si="10"/>
        <v>182123.74282576205</v>
      </c>
      <c r="Q10" s="92"/>
      <c r="R10" s="86"/>
      <c r="S10" s="93">
        <f t="shared" si="11"/>
        <v>19829984.384646896</v>
      </c>
      <c r="T10" s="94"/>
      <c r="U10" s="94"/>
      <c r="AH10" s="67">
        <f t="shared" si="3"/>
        <v>2028</v>
      </c>
      <c r="AI10" s="93">
        <f t="shared" si="0"/>
        <v>2342916.3401857144</v>
      </c>
      <c r="AJ10" s="93">
        <f t="shared" si="0"/>
        <v>526521.17874295951</v>
      </c>
      <c r="AK10" s="93">
        <f t="shared" si="0"/>
        <v>23429.163401857146</v>
      </c>
      <c r="AL10" s="93">
        <f t="shared" si="0"/>
        <v>23429.163401857146</v>
      </c>
      <c r="AM10" s="93">
        <f t="shared" si="4"/>
        <v>573379.50554667378</v>
      </c>
      <c r="AN10" s="93">
        <f t="shared" si="5"/>
        <v>2916295.8457323881</v>
      </c>
    </row>
    <row r="11" spans="1:40">
      <c r="A11" s="67">
        <v>8</v>
      </c>
      <c r="B11" s="83">
        <v>0</v>
      </c>
      <c r="C11" s="100">
        <v>2029</v>
      </c>
      <c r="D11" s="85">
        <v>4035500.04182368</v>
      </c>
      <c r="E11" s="86">
        <f>+SUM(SOC!H167:P167)</f>
        <v>782549.22120996553</v>
      </c>
      <c r="F11" s="86">
        <f t="shared" si="6"/>
        <v>40355.000418236799</v>
      </c>
      <c r="G11" s="87">
        <f t="shared" si="7"/>
        <v>40355.000418236799</v>
      </c>
      <c r="H11" s="88">
        <f t="shared" si="13"/>
        <v>4898759.2638701182</v>
      </c>
      <c r="J11" s="100">
        <v>2029</v>
      </c>
      <c r="K11" s="83">
        <f t="shared" si="8"/>
        <v>4898759.2638701182</v>
      </c>
      <c r="L11" s="83">
        <f t="shared" si="12"/>
        <v>1982463.4181377301</v>
      </c>
      <c r="M11" s="83">
        <f t="shared" si="14"/>
        <v>1982463.4181377301</v>
      </c>
      <c r="N11" s="83">
        <f t="shared" si="9"/>
        <v>4898759.2638701182</v>
      </c>
      <c r="O11" s="90"/>
      <c r="P11" s="91">
        <f t="shared" si="10"/>
        <v>277544.87853928225</v>
      </c>
      <c r="Q11" s="92"/>
      <c r="R11" s="86"/>
      <c r="S11" s="93">
        <f t="shared" si="11"/>
        <v>19829984.384646896</v>
      </c>
      <c r="T11" s="94"/>
      <c r="U11" s="94"/>
      <c r="AH11" s="67">
        <f t="shared" si="3"/>
        <v>2029</v>
      </c>
      <c r="AI11" s="93">
        <f t="shared" si="0"/>
        <v>4035500.04182368</v>
      </c>
      <c r="AJ11" s="93">
        <f t="shared" si="0"/>
        <v>782549.22120996553</v>
      </c>
      <c r="AK11" s="93">
        <f t="shared" si="0"/>
        <v>40355.000418236799</v>
      </c>
      <c r="AL11" s="93">
        <f t="shared" si="0"/>
        <v>40355.000418236799</v>
      </c>
      <c r="AM11" s="93">
        <f t="shared" si="4"/>
        <v>863259.22204643919</v>
      </c>
      <c r="AN11" s="93">
        <f t="shared" si="5"/>
        <v>4898759.2638701182</v>
      </c>
    </row>
    <row r="12" spans="1:40">
      <c r="A12" s="67">
        <v>9</v>
      </c>
      <c r="B12" s="83">
        <v>0</v>
      </c>
      <c r="C12" s="100">
        <v>2030</v>
      </c>
      <c r="D12" s="85">
        <v>6383800.6967051337</v>
      </c>
      <c r="E12" s="86">
        <f>+SUM(SOC!H168:P168)</f>
        <v>1094165.1812386287</v>
      </c>
      <c r="F12" s="86">
        <f t="shared" si="6"/>
        <v>63838.00696705134</v>
      </c>
      <c r="G12" s="87">
        <f t="shared" si="7"/>
        <v>63838.00696705134</v>
      </c>
      <c r="H12" s="88">
        <f t="shared" si="13"/>
        <v>7605641.8918778645</v>
      </c>
      <c r="J12" s="100">
        <v>2030</v>
      </c>
      <c r="K12" s="83">
        <f t="shared" si="8"/>
        <v>7605641.8918778645</v>
      </c>
      <c r="L12" s="83">
        <f t="shared" si="12"/>
        <v>2706882.6280077463</v>
      </c>
      <c r="M12" s="83">
        <f t="shared" si="14"/>
        <v>2706882.6280077463</v>
      </c>
      <c r="N12" s="83">
        <f t="shared" si="9"/>
        <v>7605641.8918778645</v>
      </c>
      <c r="O12" s="90">
        <f>+K12</f>
        <v>7605641.8918778645</v>
      </c>
      <c r="P12" s="91">
        <f t="shared" si="10"/>
        <v>378963.56792108453</v>
      </c>
      <c r="Q12" s="92"/>
      <c r="R12" s="86"/>
      <c r="S12" s="93">
        <f t="shared" si="11"/>
        <v>19829984.384646896</v>
      </c>
      <c r="T12" s="94"/>
      <c r="U12" s="94"/>
      <c r="AH12" s="67">
        <f t="shared" si="3"/>
        <v>2030</v>
      </c>
      <c r="AI12" s="93">
        <f t="shared" si="0"/>
        <v>6383800.6967051337</v>
      </c>
      <c r="AJ12" s="93">
        <f t="shared" si="0"/>
        <v>1094165.1812386287</v>
      </c>
      <c r="AK12" s="93">
        <f t="shared" si="0"/>
        <v>63838.00696705134</v>
      </c>
      <c r="AL12" s="93">
        <f t="shared" si="0"/>
        <v>63838.00696705134</v>
      </c>
      <c r="AM12" s="93">
        <f t="shared" si="4"/>
        <v>1221841.1951727315</v>
      </c>
      <c r="AN12" s="93">
        <f t="shared" si="5"/>
        <v>7605641.8918778645</v>
      </c>
    </row>
    <row r="13" spans="1:40">
      <c r="A13" s="67">
        <v>10</v>
      </c>
      <c r="B13" s="83">
        <v>0</v>
      </c>
      <c r="C13" s="100">
        <v>2031</v>
      </c>
      <c r="D13" s="85">
        <v>9291756.8735890891</v>
      </c>
      <c r="E13" s="86">
        <f>+SUM(SOC!H169:P169)</f>
        <v>1405781.1412672917</v>
      </c>
      <c r="F13" s="86">
        <f t="shared" si="6"/>
        <v>92917.568735890891</v>
      </c>
      <c r="G13" s="87">
        <f t="shared" si="7"/>
        <v>92917.568735890891</v>
      </c>
      <c r="H13" s="88">
        <f t="shared" ref="H13:H43" si="15">+SUM(D13:G13)</f>
        <v>10883373.152328162</v>
      </c>
      <c r="J13" s="100">
        <v>2031</v>
      </c>
      <c r="K13" s="83">
        <f t="shared" si="8"/>
        <v>10883373.152328162</v>
      </c>
      <c r="L13" s="83">
        <f t="shared" si="12"/>
        <v>3277731.260450297</v>
      </c>
      <c r="M13" s="83">
        <f t="shared" si="14"/>
        <v>3277731.260450297</v>
      </c>
      <c r="N13" s="83">
        <f t="shared" si="9"/>
        <v>10883373.152328162</v>
      </c>
      <c r="O13" s="90"/>
      <c r="P13" s="91">
        <f t="shared" si="10"/>
        <v>458882.37646304164</v>
      </c>
      <c r="Q13" s="92"/>
      <c r="R13" s="86"/>
      <c r="S13" s="93">
        <f t="shared" si="11"/>
        <v>19829984.384646896</v>
      </c>
      <c r="T13" s="94"/>
      <c r="U13" s="94"/>
      <c r="AH13" s="67">
        <f t="shared" si="3"/>
        <v>2031</v>
      </c>
      <c r="AI13" s="93">
        <f t="shared" si="0"/>
        <v>9291756.8735890891</v>
      </c>
      <c r="AJ13" s="93">
        <f t="shared" si="0"/>
        <v>1405781.1412672917</v>
      </c>
      <c r="AK13" s="93">
        <f t="shared" si="0"/>
        <v>92917.568735890891</v>
      </c>
      <c r="AL13" s="93">
        <f t="shared" si="0"/>
        <v>92917.568735890891</v>
      </c>
      <c r="AM13" s="93">
        <f t="shared" si="4"/>
        <v>1591616.2787390733</v>
      </c>
      <c r="AN13" s="93">
        <f t="shared" si="5"/>
        <v>10883373.152328162</v>
      </c>
    </row>
    <row r="14" spans="1:40">
      <c r="A14" s="67">
        <v>11</v>
      </c>
      <c r="B14" s="83">
        <v>0</v>
      </c>
      <c r="C14" s="100">
        <v>2032</v>
      </c>
      <c r="D14" s="85">
        <v>12807991.62084154</v>
      </c>
      <c r="E14" s="86">
        <f>+SUM(SOC!H170:P170)</f>
        <v>1717397.1012959545</v>
      </c>
      <c r="F14" s="86">
        <f t="shared" si="6"/>
        <v>128079.91620841541</v>
      </c>
      <c r="G14" s="87">
        <f t="shared" si="7"/>
        <v>128079.91620841541</v>
      </c>
      <c r="H14" s="88">
        <f t="shared" si="15"/>
        <v>14781548.554554328</v>
      </c>
      <c r="J14" s="100">
        <v>2032</v>
      </c>
      <c r="K14" s="83">
        <f t="shared" si="8"/>
        <v>14781548.554554328</v>
      </c>
      <c r="L14" s="83">
        <f t="shared" si="12"/>
        <v>3898175.4022261668</v>
      </c>
      <c r="M14" s="83">
        <f t="shared" ref="M14:M42" si="16">+L14-B14</f>
        <v>3898175.4022261668</v>
      </c>
      <c r="N14" s="83">
        <f t="shared" si="9"/>
        <v>14781548.554554328</v>
      </c>
      <c r="O14" s="90"/>
      <c r="P14" s="91">
        <f t="shared" si="10"/>
        <v>545744.55631166336</v>
      </c>
      <c r="Q14" s="92"/>
      <c r="R14" s="86"/>
      <c r="S14" s="93">
        <f t="shared" si="11"/>
        <v>19829984.384646896</v>
      </c>
      <c r="T14" s="94"/>
      <c r="U14" s="94"/>
      <c r="AH14" s="67">
        <f t="shared" si="3"/>
        <v>2032</v>
      </c>
      <c r="AI14" s="93">
        <f t="shared" si="0"/>
        <v>12807991.62084154</v>
      </c>
      <c r="AJ14" s="93">
        <f t="shared" si="0"/>
        <v>1717397.1012959545</v>
      </c>
      <c r="AK14" s="93">
        <f t="shared" si="0"/>
        <v>128079.91620841541</v>
      </c>
      <c r="AL14" s="93">
        <f t="shared" si="0"/>
        <v>128079.91620841541</v>
      </c>
      <c r="AM14" s="93">
        <f t="shared" si="4"/>
        <v>1973556.9337127851</v>
      </c>
      <c r="AN14" s="93">
        <f t="shared" si="5"/>
        <v>14781548.554554328</v>
      </c>
    </row>
    <row r="15" spans="1:40">
      <c r="A15" s="67">
        <v>12</v>
      </c>
      <c r="B15" s="83">
        <v>0</v>
      </c>
      <c r="C15" s="100">
        <v>2033</v>
      </c>
      <c r="D15" s="85">
        <v>16812206.133080952</v>
      </c>
      <c r="E15" s="86">
        <f>+SUM(SOC!H171:P171)</f>
        <v>2029013.0613246178</v>
      </c>
      <c r="F15" s="86">
        <f t="shared" si="6"/>
        <v>168122.06133080952</v>
      </c>
      <c r="G15" s="87">
        <f t="shared" si="7"/>
        <v>168122.06133080952</v>
      </c>
      <c r="H15" s="88">
        <f t="shared" si="15"/>
        <v>19177463.317067191</v>
      </c>
      <c r="J15" s="100">
        <v>2033</v>
      </c>
      <c r="K15" s="83">
        <f t="shared" si="8"/>
        <v>19177463.317067191</v>
      </c>
      <c r="L15" s="83">
        <f t="shared" si="12"/>
        <v>4395914.7625128627</v>
      </c>
      <c r="M15" s="83">
        <f>+L15-B15</f>
        <v>4395914.7625128627</v>
      </c>
      <c r="N15" s="83">
        <f t="shared" si="9"/>
        <v>19177463.317067191</v>
      </c>
      <c r="O15" s="90"/>
      <c r="P15" s="91">
        <f t="shared" si="10"/>
        <v>615428.06675180083</v>
      </c>
      <c r="Q15" s="92"/>
      <c r="R15" s="86"/>
      <c r="S15" s="93">
        <f t="shared" si="11"/>
        <v>19829984.384646896</v>
      </c>
      <c r="T15" s="94"/>
      <c r="U15" s="94"/>
      <c r="AH15" s="67">
        <f t="shared" si="3"/>
        <v>2033</v>
      </c>
      <c r="AI15" s="93">
        <f t="shared" si="0"/>
        <v>16812206.133080952</v>
      </c>
      <c r="AJ15" s="93">
        <f t="shared" si="0"/>
        <v>2029013.0613246178</v>
      </c>
      <c r="AK15" s="93">
        <f t="shared" si="0"/>
        <v>168122.06133080952</v>
      </c>
      <c r="AL15" s="93">
        <f t="shared" si="0"/>
        <v>168122.06133080952</v>
      </c>
      <c r="AM15" s="93">
        <f t="shared" si="4"/>
        <v>2365257.1839862373</v>
      </c>
      <c r="AN15" s="93">
        <f t="shared" si="5"/>
        <v>19177463.317067191</v>
      </c>
    </row>
    <row r="16" spans="1:40">
      <c r="A16" s="67">
        <v>13</v>
      </c>
      <c r="B16" s="83">
        <v>0</v>
      </c>
      <c r="C16" s="100">
        <v>2034</v>
      </c>
      <c r="D16" s="85">
        <v>20709629.333038315</v>
      </c>
      <c r="E16" s="86">
        <f>+SUM(SOC!H172:P172)</f>
        <v>2340629.0213532811</v>
      </c>
      <c r="F16" s="86">
        <f t="shared" si="6"/>
        <v>207096.29333038317</v>
      </c>
      <c r="G16" s="87">
        <f t="shared" si="7"/>
        <v>207096.29333038317</v>
      </c>
      <c r="H16" s="88">
        <f t="shared" si="15"/>
        <v>23464450.941052362</v>
      </c>
      <c r="J16" s="100">
        <v>2034</v>
      </c>
      <c r="K16" s="83">
        <f t="shared" si="8"/>
        <v>23464450.941052362</v>
      </c>
      <c r="L16" s="83">
        <f t="shared" si="12"/>
        <v>4286987.6239851713</v>
      </c>
      <c r="M16" s="83">
        <f>+L16-B16</f>
        <v>4286987.6239851713</v>
      </c>
      <c r="N16" s="83">
        <f t="shared" si="9"/>
        <v>23464450.941052362</v>
      </c>
      <c r="O16" s="90"/>
      <c r="P16" s="91">
        <f t="shared" si="10"/>
        <v>600178.26735792402</v>
      </c>
      <c r="Q16" s="92"/>
      <c r="R16" s="86"/>
      <c r="S16" s="93">
        <f t="shared" si="11"/>
        <v>19829984.384646896</v>
      </c>
      <c r="T16" s="94"/>
      <c r="U16" s="94"/>
      <c r="AH16" s="67">
        <f t="shared" si="3"/>
        <v>2034</v>
      </c>
      <c r="AI16" s="93">
        <f t="shared" si="0"/>
        <v>20709629.333038315</v>
      </c>
      <c r="AJ16" s="93">
        <f t="shared" si="0"/>
        <v>2340629.0213532811</v>
      </c>
      <c r="AK16" s="93">
        <f t="shared" si="0"/>
        <v>207096.29333038317</v>
      </c>
      <c r="AL16" s="93">
        <f t="shared" si="0"/>
        <v>207096.29333038317</v>
      </c>
      <c r="AM16" s="93">
        <f t="shared" si="4"/>
        <v>2754821.6080140471</v>
      </c>
      <c r="AN16" s="93">
        <f t="shared" si="5"/>
        <v>23464450.941052362</v>
      </c>
    </row>
    <row r="17" spans="1:40">
      <c r="A17" s="67">
        <v>14</v>
      </c>
      <c r="B17" s="83">
        <v>0</v>
      </c>
      <c r="C17" s="100">
        <v>2035</v>
      </c>
      <c r="D17" s="85">
        <v>23346745.918768454</v>
      </c>
      <c r="E17" s="86">
        <f>+SUM(SOC!H173:P173)</f>
        <v>2652244.9813819444</v>
      </c>
      <c r="F17" s="86">
        <f t="shared" si="6"/>
        <v>233467.45918768455</v>
      </c>
      <c r="G17" s="87">
        <f t="shared" si="7"/>
        <v>233467.45918768455</v>
      </c>
      <c r="H17" s="88">
        <f t="shared" si="15"/>
        <v>26465925.818525765</v>
      </c>
      <c r="J17" s="100">
        <v>2035</v>
      </c>
      <c r="K17" s="83">
        <f t="shared" si="8"/>
        <v>26465925.818525765</v>
      </c>
      <c r="L17" s="83">
        <f t="shared" si="12"/>
        <v>3001474.8774734028</v>
      </c>
      <c r="M17" s="83">
        <f t="shared" si="16"/>
        <v>3001474.8774734028</v>
      </c>
      <c r="N17" s="83">
        <f t="shared" ref="N17:N42" si="17">+N16+M17</f>
        <v>26465925.818525765</v>
      </c>
      <c r="O17" s="90"/>
      <c r="P17" s="91">
        <f t="shared" si="10"/>
        <v>420206.48284627643</v>
      </c>
      <c r="Q17" s="92"/>
      <c r="R17" s="86"/>
      <c r="S17" s="93">
        <f t="shared" si="11"/>
        <v>19829984.384646896</v>
      </c>
      <c r="T17" s="94"/>
      <c r="U17" s="94"/>
      <c r="AH17" s="67">
        <f t="shared" si="3"/>
        <v>2035</v>
      </c>
      <c r="AI17" s="93">
        <f t="shared" si="0"/>
        <v>23346745.918768454</v>
      </c>
      <c r="AJ17" s="93">
        <f t="shared" si="0"/>
        <v>2652244.9813819444</v>
      </c>
      <c r="AK17" s="93">
        <f t="shared" si="0"/>
        <v>233467.45918768455</v>
      </c>
      <c r="AL17" s="93">
        <f t="shared" si="0"/>
        <v>233467.45918768455</v>
      </c>
      <c r="AM17" s="93">
        <f t="shared" si="4"/>
        <v>3119179.8997573135</v>
      </c>
      <c r="AN17" s="93">
        <f t="shared" si="5"/>
        <v>26465925.818525765</v>
      </c>
    </row>
    <row r="18" spans="1:40">
      <c r="A18" s="67">
        <v>15</v>
      </c>
      <c r="B18" s="83">
        <v>0</v>
      </c>
      <c r="C18" s="100">
        <v>2036</v>
      </c>
      <c r="D18" s="85">
        <v>24940985.208334252</v>
      </c>
      <c r="E18" s="86">
        <f>+SUM(SOC!H174:P174)</f>
        <v>2963860.9414106072</v>
      </c>
      <c r="F18" s="86">
        <f t="shared" si="6"/>
        <v>249409.85208334253</v>
      </c>
      <c r="G18" s="87">
        <f t="shared" si="7"/>
        <v>249409.85208334253</v>
      </c>
      <c r="H18" s="88">
        <f t="shared" si="15"/>
        <v>28403665.853911549</v>
      </c>
      <c r="J18" s="100">
        <v>2036</v>
      </c>
      <c r="K18" s="83">
        <f t="shared" si="8"/>
        <v>28403665.853911549</v>
      </c>
      <c r="L18" s="83">
        <f t="shared" si="12"/>
        <v>1937740.0353857838</v>
      </c>
      <c r="M18" s="83">
        <f>+L18-B18</f>
        <v>1937740.0353857838</v>
      </c>
      <c r="N18" s="83">
        <f t="shared" si="17"/>
        <v>28403665.853911549</v>
      </c>
      <c r="O18" s="90"/>
      <c r="P18" s="91">
        <f t="shared" si="10"/>
        <v>271283.60495400976</v>
      </c>
      <c r="Q18" s="92"/>
      <c r="R18" s="86"/>
      <c r="S18" s="93">
        <f t="shared" si="11"/>
        <v>19829984.384646896</v>
      </c>
      <c r="T18" s="94"/>
      <c r="U18" s="94"/>
      <c r="AH18" s="67">
        <f t="shared" si="3"/>
        <v>2036</v>
      </c>
      <c r="AI18" s="93">
        <f t="shared" si="0"/>
        <v>24940985.208334252</v>
      </c>
      <c r="AJ18" s="93">
        <f t="shared" si="0"/>
        <v>2963860.9414106072</v>
      </c>
      <c r="AK18" s="93">
        <f t="shared" si="0"/>
        <v>249409.85208334253</v>
      </c>
      <c r="AL18" s="93">
        <f t="shared" si="0"/>
        <v>249409.85208334253</v>
      </c>
      <c r="AM18" s="93">
        <f t="shared" si="4"/>
        <v>3462680.6455772924</v>
      </c>
      <c r="AN18" s="93">
        <f t="shared" si="5"/>
        <v>28403665.853911549</v>
      </c>
    </row>
    <row r="19" spans="1:40">
      <c r="A19" s="67">
        <v>16</v>
      </c>
      <c r="B19" s="83">
        <v>0</v>
      </c>
      <c r="C19" s="100">
        <v>2037</v>
      </c>
      <c r="D19" s="85">
        <v>25373237.873210259</v>
      </c>
      <c r="E19" s="86">
        <f>+SUM(SOC!H175:P175)</f>
        <v>3275476.9014392705</v>
      </c>
      <c r="F19" s="86">
        <f t="shared" si="6"/>
        <v>253732.3787321026</v>
      </c>
      <c r="G19" s="87">
        <f t="shared" si="7"/>
        <v>253732.3787321026</v>
      </c>
      <c r="H19" s="88">
        <f t="shared" si="15"/>
        <v>29156179.532113738</v>
      </c>
      <c r="J19" s="100">
        <v>2037</v>
      </c>
      <c r="K19" s="83">
        <f t="shared" si="8"/>
        <v>29156179.532113738</v>
      </c>
      <c r="L19" s="83">
        <f t="shared" si="12"/>
        <v>752513.67820218951</v>
      </c>
      <c r="M19" s="83">
        <f t="shared" si="16"/>
        <v>752513.67820218951</v>
      </c>
      <c r="N19" s="83">
        <f t="shared" si="17"/>
        <v>29156179.532113738</v>
      </c>
      <c r="O19" s="90">
        <f>+S4-O12-O5</f>
        <v>12206665.97567481</v>
      </c>
      <c r="P19" s="91">
        <f t="shared" si="10"/>
        <v>105351.91494830654</v>
      </c>
      <c r="Q19" s="92"/>
      <c r="R19" s="86"/>
      <c r="S19" s="93">
        <f t="shared" si="11"/>
        <v>19829984.384646896</v>
      </c>
      <c r="T19" s="94"/>
      <c r="U19" s="94"/>
      <c r="AH19" s="67">
        <f t="shared" si="3"/>
        <v>2037</v>
      </c>
      <c r="AI19" s="93">
        <f t="shared" si="3"/>
        <v>25373237.873210259</v>
      </c>
      <c r="AJ19" s="93">
        <f t="shared" si="3"/>
        <v>3275476.9014392705</v>
      </c>
      <c r="AK19" s="93">
        <f t="shared" si="3"/>
        <v>253732.3787321026</v>
      </c>
      <c r="AL19" s="93">
        <f t="shared" si="3"/>
        <v>253732.3787321026</v>
      </c>
      <c r="AM19" s="93">
        <f t="shared" si="4"/>
        <v>3782941.6589034754</v>
      </c>
      <c r="AN19" s="93">
        <f t="shared" si="5"/>
        <v>29156179.532113738</v>
      </c>
    </row>
    <row r="20" spans="1:40">
      <c r="A20" s="67">
        <v>17</v>
      </c>
      <c r="B20" s="83">
        <v>0</v>
      </c>
      <c r="C20" s="100">
        <v>2038</v>
      </c>
      <c r="D20" s="85">
        <v>24810540.726197693</v>
      </c>
      <c r="E20" s="86">
        <f>+SUM(SOC!H176:P176)</f>
        <v>3587092.8614679333</v>
      </c>
      <c r="F20" s="86">
        <f t="shared" si="6"/>
        <v>248105.40726197694</v>
      </c>
      <c r="G20" s="87">
        <f t="shared" si="7"/>
        <v>248105.40726197694</v>
      </c>
      <c r="H20" s="88">
        <f t="shared" si="15"/>
        <v>28893844.402189575</v>
      </c>
      <c r="J20" s="100">
        <v>2038</v>
      </c>
      <c r="K20" s="83">
        <f t="shared" si="8"/>
        <v>28893844.402189575</v>
      </c>
      <c r="L20" s="83">
        <f t="shared" si="12"/>
        <v>-262335.12992416322</v>
      </c>
      <c r="M20" s="83">
        <f>+L20-B20</f>
        <v>-262335.12992416322</v>
      </c>
      <c r="N20" s="83">
        <f t="shared" si="17"/>
        <v>28893844.402189575</v>
      </c>
      <c r="O20" s="90"/>
      <c r="P20" s="91">
        <f t="shared" si="10"/>
        <v>-36726.918189382857</v>
      </c>
      <c r="Q20" s="92"/>
      <c r="R20" s="86"/>
      <c r="S20" s="93">
        <f t="shared" si="11"/>
        <v>19829984.384646896</v>
      </c>
      <c r="T20" s="94"/>
      <c r="U20" s="94"/>
      <c r="AH20" s="67">
        <f t="shared" si="3"/>
        <v>2038</v>
      </c>
      <c r="AI20" s="93">
        <f t="shared" si="3"/>
        <v>24810540.726197693</v>
      </c>
      <c r="AJ20" s="93">
        <f t="shared" si="3"/>
        <v>3587092.8614679333</v>
      </c>
      <c r="AK20" s="93">
        <f t="shared" si="3"/>
        <v>248105.40726197694</v>
      </c>
      <c r="AL20" s="93">
        <f t="shared" si="3"/>
        <v>248105.40726197694</v>
      </c>
      <c r="AM20" s="93">
        <f t="shared" si="4"/>
        <v>4083303.6759918872</v>
      </c>
      <c r="AN20" s="93">
        <f t="shared" si="5"/>
        <v>28893844.402189575</v>
      </c>
    </row>
    <row r="21" spans="1:40">
      <c r="A21" s="67">
        <v>18</v>
      </c>
      <c r="B21" s="83">
        <v>0</v>
      </c>
      <c r="C21" s="100">
        <v>2039</v>
      </c>
      <c r="D21" s="85">
        <v>22672990.200326815</v>
      </c>
      <c r="E21" s="86">
        <f>+SUM(SOC!H177:P177)</f>
        <v>3898708.8214965966</v>
      </c>
      <c r="F21" s="86">
        <f t="shared" si="6"/>
        <v>226729.90200326816</v>
      </c>
      <c r="G21" s="87">
        <f t="shared" si="7"/>
        <v>226729.90200326816</v>
      </c>
      <c r="H21" s="88">
        <f t="shared" si="15"/>
        <v>27025158.825829953</v>
      </c>
      <c r="J21" s="100">
        <v>2039</v>
      </c>
      <c r="K21" s="83">
        <f>+H21</f>
        <v>27025158.825829953</v>
      </c>
      <c r="L21" s="83">
        <f t="shared" si="12"/>
        <v>-1868685.5763596222</v>
      </c>
      <c r="M21" s="83">
        <f t="shared" si="16"/>
        <v>-1868685.5763596222</v>
      </c>
      <c r="N21" s="83">
        <f t="shared" si="17"/>
        <v>27025158.825829953</v>
      </c>
      <c r="O21" s="90"/>
      <c r="P21" s="91">
        <f t="shared" si="10"/>
        <v>-261615.98069034712</v>
      </c>
      <c r="Q21" s="92"/>
      <c r="R21" s="86"/>
      <c r="S21" s="93">
        <f t="shared" si="11"/>
        <v>19829984.384646896</v>
      </c>
      <c r="T21" s="94"/>
      <c r="U21" s="94"/>
      <c r="AH21" s="67">
        <f t="shared" si="3"/>
        <v>2039</v>
      </c>
      <c r="AI21" s="93">
        <f t="shared" si="3"/>
        <v>22672990.200326815</v>
      </c>
      <c r="AJ21" s="93">
        <f t="shared" si="3"/>
        <v>3898708.8214965966</v>
      </c>
      <c r="AK21" s="93">
        <f t="shared" si="3"/>
        <v>226729.90200326816</v>
      </c>
      <c r="AL21" s="93">
        <f t="shared" si="3"/>
        <v>226729.90200326816</v>
      </c>
      <c r="AM21" s="93">
        <f t="shared" si="4"/>
        <v>4352168.6255031331</v>
      </c>
      <c r="AN21" s="93">
        <f t="shared" si="5"/>
        <v>27025158.825829953</v>
      </c>
    </row>
    <row r="22" spans="1:40">
      <c r="A22" s="67">
        <v>19</v>
      </c>
      <c r="B22" s="83">
        <v>0</v>
      </c>
      <c r="C22" s="100">
        <v>2040</v>
      </c>
      <c r="D22" s="85">
        <v>19584882.166689593</v>
      </c>
      <c r="E22" s="86">
        <f>+SUM(SOC!H178:P178)</f>
        <v>4210324.7815252598</v>
      </c>
      <c r="F22" s="86">
        <f t="shared" si="6"/>
        <v>195848.82166689594</v>
      </c>
      <c r="G22" s="87">
        <f t="shared" si="7"/>
        <v>195848.82166689594</v>
      </c>
      <c r="H22" s="88">
        <f t="shared" si="15"/>
        <v>24186904.591548644</v>
      </c>
      <c r="J22" s="100">
        <v>2040</v>
      </c>
      <c r="K22" s="83">
        <f t="shared" si="8"/>
        <v>24186904.591548644</v>
      </c>
      <c r="L22" s="83">
        <f t="shared" si="12"/>
        <v>-2838254.2342813089</v>
      </c>
      <c r="M22" s="83">
        <f t="shared" si="16"/>
        <v>-2838254.2342813089</v>
      </c>
      <c r="N22" s="83">
        <f>+N21+M22</f>
        <v>24186904.591548644</v>
      </c>
      <c r="O22" s="90"/>
      <c r="P22" s="91">
        <f t="shared" si="10"/>
        <v>-397355.59279938327</v>
      </c>
      <c r="Q22" s="92"/>
      <c r="R22" s="86"/>
      <c r="S22" s="93">
        <f t="shared" si="11"/>
        <v>19829984.384646896</v>
      </c>
      <c r="T22" s="94"/>
      <c r="U22" s="94"/>
      <c r="AH22" s="67">
        <f t="shared" si="3"/>
        <v>2040</v>
      </c>
      <c r="AI22" s="93">
        <f t="shared" si="3"/>
        <v>19584882.166689593</v>
      </c>
      <c r="AJ22" s="93">
        <f t="shared" si="3"/>
        <v>4210324.7815252598</v>
      </c>
      <c r="AK22" s="93">
        <f t="shared" si="3"/>
        <v>195848.82166689594</v>
      </c>
      <c r="AL22" s="93">
        <f t="shared" si="3"/>
        <v>195848.82166689594</v>
      </c>
      <c r="AM22" s="93">
        <f t="shared" si="4"/>
        <v>4602022.4248590525</v>
      </c>
      <c r="AN22" s="93">
        <f t="shared" si="5"/>
        <v>24186904.591548644</v>
      </c>
    </row>
    <row r="23" spans="1:40">
      <c r="A23" s="67">
        <v>20</v>
      </c>
      <c r="B23" s="83">
        <v>0</v>
      </c>
      <c r="C23" s="100">
        <v>2041</v>
      </c>
      <c r="D23" s="85">
        <v>16169039.465253375</v>
      </c>
      <c r="E23" s="86">
        <f>+SUM(SOC!H179:P179)</f>
        <v>4521940.7415539231</v>
      </c>
      <c r="F23" s="86">
        <f t="shared" si="6"/>
        <v>161690.39465253375</v>
      </c>
      <c r="G23" s="87">
        <f t="shared" si="7"/>
        <v>161690.39465253375</v>
      </c>
      <c r="H23" s="88">
        <f t="shared" si="15"/>
        <v>21014360.996112369</v>
      </c>
      <c r="J23" s="100">
        <v>2041</v>
      </c>
      <c r="K23" s="83">
        <f t="shared" si="8"/>
        <v>21014360.996112369</v>
      </c>
      <c r="L23" s="83">
        <f t="shared" si="12"/>
        <v>-3172543.595436275</v>
      </c>
      <c r="M23" s="83">
        <f t="shared" si="16"/>
        <v>-3172543.595436275</v>
      </c>
      <c r="N23" s="83">
        <f t="shared" si="17"/>
        <v>21014360.996112369</v>
      </c>
      <c r="O23" s="90"/>
      <c r="P23" s="91">
        <f t="shared" si="10"/>
        <v>-444156.10336107854</v>
      </c>
      <c r="Q23" s="92"/>
      <c r="R23" s="86"/>
      <c r="S23" s="93">
        <f t="shared" si="11"/>
        <v>19829984.384646896</v>
      </c>
      <c r="T23" s="94"/>
      <c r="U23" s="94"/>
      <c r="AH23" s="67">
        <f t="shared" si="3"/>
        <v>2041</v>
      </c>
      <c r="AI23" s="93">
        <f t="shared" si="3"/>
        <v>16169039.465253375</v>
      </c>
      <c r="AJ23" s="93">
        <f t="shared" si="3"/>
        <v>4521940.7415539231</v>
      </c>
      <c r="AK23" s="93">
        <f t="shared" si="3"/>
        <v>161690.39465253375</v>
      </c>
      <c r="AL23" s="93">
        <f t="shared" si="3"/>
        <v>161690.39465253375</v>
      </c>
      <c r="AM23" s="93">
        <f t="shared" si="4"/>
        <v>4845321.5308589898</v>
      </c>
      <c r="AN23" s="93">
        <f t="shared" si="5"/>
        <v>21014360.996112369</v>
      </c>
    </row>
    <row r="24" spans="1:40">
      <c r="A24" s="67">
        <v>21</v>
      </c>
      <c r="B24" s="83">
        <v>0</v>
      </c>
      <c r="C24" s="100">
        <v>2042</v>
      </c>
      <c r="D24" s="85">
        <v>16823279.094807483</v>
      </c>
      <c r="E24" s="86">
        <f>+SUM(SOC!H180:P180)</f>
        <v>4833356.608604895</v>
      </c>
      <c r="F24" s="86">
        <f t="shared" si="6"/>
        <v>168232.79094807483</v>
      </c>
      <c r="G24" s="87">
        <f t="shared" si="7"/>
        <v>168232.79094807483</v>
      </c>
      <c r="H24" s="88">
        <f t="shared" si="15"/>
        <v>21993101.285308525</v>
      </c>
      <c r="J24" s="100">
        <v>2042</v>
      </c>
      <c r="K24" s="83">
        <f t="shared" si="8"/>
        <v>21993101.285308525</v>
      </c>
      <c r="L24" s="83">
        <f t="shared" si="12"/>
        <v>978740.28919615597</v>
      </c>
      <c r="M24" s="83">
        <f t="shared" si="16"/>
        <v>978740.28919615597</v>
      </c>
      <c r="N24" s="83">
        <f t="shared" si="17"/>
        <v>21993101.285308525</v>
      </c>
      <c r="O24" s="90"/>
      <c r="P24" s="91">
        <f t="shared" si="10"/>
        <v>137023.64048746185</v>
      </c>
      <c r="Q24" s="92"/>
      <c r="R24" s="86"/>
      <c r="S24" s="93">
        <f t="shared" si="11"/>
        <v>19829984.384646896</v>
      </c>
      <c r="T24" s="94"/>
      <c r="U24" s="94"/>
      <c r="AH24" s="67">
        <f t="shared" si="3"/>
        <v>2042</v>
      </c>
      <c r="AI24" s="93">
        <f t="shared" si="3"/>
        <v>16823279.094807483</v>
      </c>
      <c r="AJ24" s="93">
        <f t="shared" si="3"/>
        <v>4833356.608604895</v>
      </c>
      <c r="AK24" s="93">
        <f t="shared" si="3"/>
        <v>168232.79094807483</v>
      </c>
      <c r="AL24" s="93">
        <f t="shared" si="3"/>
        <v>168232.79094807483</v>
      </c>
      <c r="AM24" s="93">
        <f t="shared" si="4"/>
        <v>5169822.1905010454</v>
      </c>
      <c r="AN24" s="93">
        <f t="shared" si="5"/>
        <v>21993101.285308525</v>
      </c>
    </row>
    <row r="25" spans="1:40">
      <c r="A25" s="67">
        <v>22</v>
      </c>
      <c r="B25" s="83">
        <v>0</v>
      </c>
      <c r="C25" s="100">
        <v>2043</v>
      </c>
      <c r="D25" s="85">
        <v>17247828.205697078</v>
      </c>
      <c r="E25" s="86">
        <f>+SUM(SOC!H181:P181)</f>
        <v>5140016.6204867018</v>
      </c>
      <c r="F25" s="86">
        <f t="shared" si="6"/>
        <v>172478.28205697078</v>
      </c>
      <c r="G25" s="87">
        <f t="shared" si="7"/>
        <v>172478.28205697078</v>
      </c>
      <c r="H25" s="88">
        <f t="shared" si="15"/>
        <v>22732801.390297726</v>
      </c>
      <c r="J25" s="100">
        <v>2043</v>
      </c>
      <c r="K25" s="83">
        <f t="shared" si="8"/>
        <v>22732801.390297726</v>
      </c>
      <c r="L25" s="83">
        <f t="shared" si="12"/>
        <v>739700.10498920083</v>
      </c>
      <c r="M25" s="83">
        <f t="shared" si="16"/>
        <v>739700.10498920083</v>
      </c>
      <c r="N25" s="83">
        <f t="shared" si="17"/>
        <v>22732801.390297726</v>
      </c>
      <c r="O25" s="90"/>
      <c r="P25" s="91">
        <f t="shared" si="10"/>
        <v>103558.01469848813</v>
      </c>
      <c r="Q25" s="92"/>
      <c r="R25" s="86"/>
      <c r="S25" s="93">
        <f t="shared" si="11"/>
        <v>19829984.384646896</v>
      </c>
      <c r="T25" s="94"/>
      <c r="U25" s="94"/>
      <c r="AH25" s="67">
        <f t="shared" si="3"/>
        <v>2043</v>
      </c>
      <c r="AI25" s="93">
        <f t="shared" si="3"/>
        <v>17247828.205697078</v>
      </c>
      <c r="AJ25" s="93">
        <f t="shared" si="3"/>
        <v>5140016.6204867018</v>
      </c>
      <c r="AK25" s="93">
        <f t="shared" si="3"/>
        <v>172478.28205697078</v>
      </c>
      <c r="AL25" s="93">
        <f t="shared" si="3"/>
        <v>172478.28205697078</v>
      </c>
      <c r="AM25" s="93">
        <f t="shared" si="4"/>
        <v>5484973.1846006429</v>
      </c>
      <c r="AN25" s="93">
        <f t="shared" si="5"/>
        <v>22732801.390297726</v>
      </c>
    </row>
    <row r="26" spans="1:40">
      <c r="A26" s="67">
        <v>23</v>
      </c>
      <c r="B26" s="83">
        <v>0</v>
      </c>
      <c r="C26" s="100">
        <v>2044</v>
      </c>
      <c r="D26" s="85">
        <v>18152007.637021951</v>
      </c>
      <c r="E26" s="86">
        <f>+SUM(SOC!H182:P182)</f>
        <v>5426294.395929235</v>
      </c>
      <c r="F26" s="86">
        <f t="shared" si="6"/>
        <v>181520.07637021953</v>
      </c>
      <c r="G26" s="87">
        <f t="shared" si="7"/>
        <v>181520.07637021953</v>
      </c>
      <c r="H26" s="88">
        <f t="shared" si="15"/>
        <v>23941342.185691629</v>
      </c>
      <c r="J26" s="100">
        <v>2044</v>
      </c>
      <c r="K26" s="83">
        <f t="shared" si="8"/>
        <v>23941342.185691629</v>
      </c>
      <c r="L26" s="83">
        <f t="shared" si="12"/>
        <v>1208540.7953939028</v>
      </c>
      <c r="M26" s="83">
        <f t="shared" si="16"/>
        <v>1208540.7953939028</v>
      </c>
      <c r="N26" s="83">
        <f t="shared" si="17"/>
        <v>23941342.185691629</v>
      </c>
      <c r="O26" s="90"/>
      <c r="P26" s="91">
        <f t="shared" si="10"/>
        <v>169195.7113551464</v>
      </c>
      <c r="Q26" s="92"/>
      <c r="R26" s="86"/>
      <c r="S26" s="93">
        <f t="shared" si="11"/>
        <v>19829984.384646896</v>
      </c>
      <c r="T26" s="94"/>
      <c r="U26" s="94"/>
      <c r="AH26" s="67">
        <f t="shared" si="3"/>
        <v>2044</v>
      </c>
      <c r="AI26" s="93">
        <f t="shared" si="3"/>
        <v>18152007.637021951</v>
      </c>
      <c r="AJ26" s="93">
        <f t="shared" si="3"/>
        <v>5426294.395929235</v>
      </c>
      <c r="AK26" s="93">
        <f t="shared" si="3"/>
        <v>181520.07637021953</v>
      </c>
      <c r="AL26" s="93">
        <f t="shared" si="3"/>
        <v>181520.07637021953</v>
      </c>
      <c r="AM26" s="93">
        <f t="shared" si="4"/>
        <v>5789334.5486696744</v>
      </c>
      <c r="AN26" s="93">
        <f t="shared" si="5"/>
        <v>23941342.185691629</v>
      </c>
    </row>
    <row r="27" spans="1:40">
      <c r="A27" s="67">
        <v>24</v>
      </c>
      <c r="B27" s="83">
        <v>0</v>
      </c>
      <c r="C27" s="100">
        <v>2045</v>
      </c>
      <c r="D27" s="85">
        <v>18765413.524125271</v>
      </c>
      <c r="E27" s="86">
        <f>+SUM(SOC!H183:P183)</f>
        <v>5681998.8167128572</v>
      </c>
      <c r="F27" s="86">
        <f t="shared" si="6"/>
        <v>187654.13524125272</v>
      </c>
      <c r="G27" s="87">
        <f t="shared" si="7"/>
        <v>187654.13524125272</v>
      </c>
      <c r="H27" s="88">
        <f t="shared" si="15"/>
        <v>24822720.61132063</v>
      </c>
      <c r="J27" s="100">
        <v>2045</v>
      </c>
      <c r="K27" s="83">
        <f t="shared" si="8"/>
        <v>24822720.61132063</v>
      </c>
      <c r="L27" s="83">
        <f t="shared" si="12"/>
        <v>881378.42562900111</v>
      </c>
      <c r="M27" s="83">
        <f t="shared" si="16"/>
        <v>881378.42562900111</v>
      </c>
      <c r="N27" s="83">
        <f t="shared" si="17"/>
        <v>24822720.61132063</v>
      </c>
      <c r="O27" s="90"/>
      <c r="P27" s="91">
        <f t="shared" si="10"/>
        <v>123392.97958806017</v>
      </c>
      <c r="Q27" s="92"/>
      <c r="R27" s="86"/>
      <c r="S27" s="93">
        <f t="shared" si="11"/>
        <v>19829984.384646896</v>
      </c>
      <c r="T27" s="94"/>
      <c r="U27" s="94"/>
      <c r="AH27" s="67">
        <f t="shared" si="3"/>
        <v>2045</v>
      </c>
      <c r="AI27" s="93">
        <f t="shared" si="3"/>
        <v>18765413.524125271</v>
      </c>
      <c r="AJ27" s="93">
        <f t="shared" si="3"/>
        <v>5681998.8167128572</v>
      </c>
      <c r="AK27" s="93">
        <f t="shared" si="3"/>
        <v>187654.13524125272</v>
      </c>
      <c r="AL27" s="93">
        <f t="shared" si="3"/>
        <v>187654.13524125272</v>
      </c>
      <c r="AM27" s="93">
        <f t="shared" si="4"/>
        <v>6057307.087195362</v>
      </c>
      <c r="AN27" s="93">
        <f t="shared" si="5"/>
        <v>24822720.61132063</v>
      </c>
    </row>
    <row r="28" spans="1:40">
      <c r="A28" s="67">
        <v>25</v>
      </c>
      <c r="B28" s="83">
        <v>0</v>
      </c>
      <c r="C28" s="100">
        <v>2046</v>
      </c>
      <c r="D28" s="85">
        <v>20087915.563914951</v>
      </c>
      <c r="E28" s="86">
        <f>+SUM(SOC!H184:P184)</f>
        <v>5898791.6952033192</v>
      </c>
      <c r="F28" s="86">
        <f t="shared" si="6"/>
        <v>200879.15563914951</v>
      </c>
      <c r="G28" s="87">
        <f t="shared" si="7"/>
        <v>200879.15563914951</v>
      </c>
      <c r="H28" s="88">
        <f t="shared" si="15"/>
        <v>26388465.570396569</v>
      </c>
      <c r="J28" s="100">
        <v>2046</v>
      </c>
      <c r="K28" s="83">
        <f t="shared" si="8"/>
        <v>26388465.570396569</v>
      </c>
      <c r="L28" s="83">
        <f t="shared" si="12"/>
        <v>1565744.9590759389</v>
      </c>
      <c r="M28" s="83">
        <f>+L28-B28</f>
        <v>1565744.9590759389</v>
      </c>
      <c r="N28" s="83">
        <f t="shared" si="17"/>
        <v>26388465.570396569</v>
      </c>
      <c r="O28" s="90"/>
      <c r="P28" s="91">
        <f t="shared" si="10"/>
        <v>219204.29427063148</v>
      </c>
      <c r="Q28" s="92"/>
      <c r="R28" s="86"/>
      <c r="S28" s="93">
        <f t="shared" si="11"/>
        <v>19829984.384646896</v>
      </c>
      <c r="T28" s="94"/>
      <c r="U28" s="94"/>
      <c r="AH28" s="67">
        <f t="shared" si="3"/>
        <v>2046</v>
      </c>
      <c r="AI28" s="93">
        <f t="shared" si="3"/>
        <v>20087915.563914951</v>
      </c>
      <c r="AJ28" s="93">
        <f t="shared" si="3"/>
        <v>5898791.6952033192</v>
      </c>
      <c r="AK28" s="93">
        <f t="shared" si="3"/>
        <v>200879.15563914951</v>
      </c>
      <c r="AL28" s="93">
        <f t="shared" si="3"/>
        <v>200879.15563914951</v>
      </c>
      <c r="AM28" s="93">
        <f t="shared" si="4"/>
        <v>6300550.0064816177</v>
      </c>
      <c r="AN28" s="93">
        <f t="shared" si="5"/>
        <v>26388465.570396569</v>
      </c>
    </row>
    <row r="29" spans="1:40">
      <c r="A29" s="67">
        <v>26</v>
      </c>
      <c r="B29" s="83">
        <v>0</v>
      </c>
      <c r="C29" s="100">
        <v>2047</v>
      </c>
      <c r="D29" s="85">
        <v>20936802.37787075</v>
      </c>
      <c r="E29" s="86">
        <f>+SUM(SOC!H185:P185)</f>
        <v>6065555.4478882905</v>
      </c>
      <c r="F29" s="86">
        <f t="shared" si="6"/>
        <v>209368.02377870749</v>
      </c>
      <c r="G29" s="87">
        <f t="shared" si="7"/>
        <v>209368.02377870749</v>
      </c>
      <c r="H29" s="88">
        <f t="shared" si="15"/>
        <v>27421093.873316452</v>
      </c>
      <c r="J29" s="100">
        <v>2047</v>
      </c>
      <c r="K29" s="83">
        <f t="shared" si="8"/>
        <v>27421093.873316452</v>
      </c>
      <c r="L29" s="83">
        <f t="shared" si="12"/>
        <v>1032628.3029198833</v>
      </c>
      <c r="M29" s="83">
        <f t="shared" si="16"/>
        <v>1032628.3029198833</v>
      </c>
      <c r="N29" s="83">
        <f t="shared" si="17"/>
        <v>27421093.873316452</v>
      </c>
      <c r="O29" s="90"/>
      <c r="P29" s="91">
        <f t="shared" si="10"/>
        <v>144567.96240878367</v>
      </c>
      <c r="Q29" s="92"/>
      <c r="R29" s="86"/>
      <c r="S29" s="93">
        <f t="shared" si="11"/>
        <v>19829984.384646896</v>
      </c>
      <c r="T29" s="94"/>
      <c r="U29" s="94"/>
      <c r="AH29" s="67">
        <f t="shared" si="3"/>
        <v>2047</v>
      </c>
      <c r="AI29" s="93">
        <f t="shared" si="3"/>
        <v>20936802.37787075</v>
      </c>
      <c r="AJ29" s="93">
        <f t="shared" si="3"/>
        <v>6065555.4478882905</v>
      </c>
      <c r="AK29" s="93">
        <f t="shared" si="3"/>
        <v>209368.02377870749</v>
      </c>
      <c r="AL29" s="93">
        <f t="shared" si="3"/>
        <v>209368.02377870749</v>
      </c>
      <c r="AM29" s="93">
        <f t="shared" si="4"/>
        <v>6484291.495445706</v>
      </c>
      <c r="AN29" s="93">
        <f t="shared" si="5"/>
        <v>27421093.873316452</v>
      </c>
    </row>
    <row r="30" spans="1:40">
      <c r="A30" s="67">
        <v>27</v>
      </c>
      <c r="B30" s="83">
        <v>0</v>
      </c>
      <c r="C30" s="100">
        <v>2048</v>
      </c>
      <c r="D30" s="85">
        <v>20826082.541445792</v>
      </c>
      <c r="E30" s="86">
        <f>+SUM(SOC!H186:P186)</f>
        <v>6176731.283011605</v>
      </c>
      <c r="F30" s="86">
        <f t="shared" si="6"/>
        <v>208260.82541445791</v>
      </c>
      <c r="G30" s="87">
        <f t="shared" si="7"/>
        <v>208260.82541445791</v>
      </c>
      <c r="H30" s="88">
        <f t="shared" si="15"/>
        <v>27419335.475286309</v>
      </c>
      <c r="J30" s="100">
        <v>2048</v>
      </c>
      <c r="K30" s="83">
        <f t="shared" si="8"/>
        <v>27419335.475286309</v>
      </c>
      <c r="L30" s="83">
        <f t="shared" si="12"/>
        <v>-1758.3980301432312</v>
      </c>
      <c r="M30" s="83">
        <f t="shared" si="16"/>
        <v>-1758.3980301432312</v>
      </c>
      <c r="N30" s="83">
        <f t="shared" si="17"/>
        <v>27419335.475286309</v>
      </c>
      <c r="O30" s="90"/>
      <c r="P30" s="91">
        <f t="shared" si="10"/>
        <v>-246.17572422005239</v>
      </c>
      <c r="Q30" s="92"/>
      <c r="R30" s="86"/>
      <c r="S30" s="93">
        <f t="shared" si="11"/>
        <v>19829984.384646896</v>
      </c>
      <c r="T30" s="94"/>
      <c r="U30" s="94"/>
      <c r="AH30" s="67">
        <f t="shared" si="3"/>
        <v>2048</v>
      </c>
      <c r="AI30" s="93">
        <f t="shared" si="3"/>
        <v>20826082.541445792</v>
      </c>
      <c r="AJ30" s="93">
        <f t="shared" si="3"/>
        <v>6176731.283011605</v>
      </c>
      <c r="AK30" s="93">
        <f t="shared" si="3"/>
        <v>208260.82541445791</v>
      </c>
      <c r="AL30" s="93">
        <f t="shared" si="3"/>
        <v>208260.82541445791</v>
      </c>
      <c r="AM30" s="93">
        <f t="shared" si="4"/>
        <v>6593252.9338405216</v>
      </c>
      <c r="AN30" s="93">
        <f t="shared" si="5"/>
        <v>27419335.475286309</v>
      </c>
    </row>
    <row r="31" spans="1:40">
      <c r="A31" s="67">
        <v>28</v>
      </c>
      <c r="B31" s="83">
        <v>0</v>
      </c>
      <c r="C31" s="100">
        <v>2049</v>
      </c>
      <c r="D31" s="85">
        <v>19482514.92668286</v>
      </c>
      <c r="E31" s="86">
        <f>+SUM(SOC!H187:P187)</f>
        <v>6232319.2005732618</v>
      </c>
      <c r="F31" s="86">
        <f t="shared" si="6"/>
        <v>194825.14926682861</v>
      </c>
      <c r="G31" s="87">
        <f t="shared" si="7"/>
        <v>194825.14926682861</v>
      </c>
      <c r="H31" s="88">
        <f t="shared" si="15"/>
        <v>26104484.425789777</v>
      </c>
      <c r="J31" s="100">
        <v>2049</v>
      </c>
      <c r="K31" s="83">
        <f t="shared" si="8"/>
        <v>26104484.425789777</v>
      </c>
      <c r="L31" s="83">
        <f t="shared" si="12"/>
        <v>-1314851.0494965315</v>
      </c>
      <c r="M31" s="83">
        <f t="shared" si="16"/>
        <v>-1314851.0494965315</v>
      </c>
      <c r="N31" s="83">
        <f t="shared" si="17"/>
        <v>26104484.425789777</v>
      </c>
      <c r="O31" s="90"/>
      <c r="P31" s="91">
        <f t="shared" si="10"/>
        <v>-184079.14692951442</v>
      </c>
      <c r="Q31" s="92"/>
      <c r="R31" s="86"/>
      <c r="S31" s="93">
        <f t="shared" si="11"/>
        <v>19829984.384646896</v>
      </c>
      <c r="T31" s="94"/>
      <c r="U31" s="94"/>
      <c r="AH31" s="67">
        <f t="shared" si="3"/>
        <v>2049</v>
      </c>
      <c r="AI31" s="93">
        <f t="shared" si="3"/>
        <v>19482514.92668286</v>
      </c>
      <c r="AJ31" s="93">
        <f t="shared" si="3"/>
        <v>6232319.2005732618</v>
      </c>
      <c r="AK31" s="93">
        <f t="shared" si="3"/>
        <v>194825.14926682861</v>
      </c>
      <c r="AL31" s="93">
        <f t="shared" si="3"/>
        <v>194825.14926682861</v>
      </c>
      <c r="AM31" s="93">
        <f t="shared" si="4"/>
        <v>6621969.4991069194</v>
      </c>
      <c r="AN31" s="93">
        <f t="shared" si="5"/>
        <v>26104484.425789777</v>
      </c>
    </row>
    <row r="32" spans="1:40">
      <c r="A32" s="67">
        <v>29</v>
      </c>
      <c r="B32" s="83">
        <v>0</v>
      </c>
      <c r="C32" s="100">
        <v>2050</v>
      </c>
      <c r="D32" s="85">
        <v>17853051.081297353</v>
      </c>
      <c r="E32" s="86">
        <f>+SUM(SOC!H188:P188)</f>
        <v>6232319.2005732618</v>
      </c>
      <c r="F32" s="86">
        <f>1%*D32</f>
        <v>178530.51081297355</v>
      </c>
      <c r="G32" s="87">
        <f t="shared" si="7"/>
        <v>178530.51081297355</v>
      </c>
      <c r="H32" s="88">
        <f t="shared" si="15"/>
        <v>24442431.303496558</v>
      </c>
      <c r="J32" s="100">
        <v>2050</v>
      </c>
      <c r="K32" s="83">
        <f t="shared" si="8"/>
        <v>24442431.303496558</v>
      </c>
      <c r="L32" s="83">
        <f t="shared" si="12"/>
        <v>-1662053.122293219</v>
      </c>
      <c r="M32" s="83">
        <f t="shared" si="16"/>
        <v>-1662053.122293219</v>
      </c>
      <c r="N32" s="83">
        <f t="shared" si="17"/>
        <v>24442431.303496558</v>
      </c>
      <c r="O32" s="90"/>
      <c r="P32" s="91">
        <f t="shared" si="10"/>
        <v>-232687.43712105067</v>
      </c>
      <c r="Q32" s="92"/>
      <c r="R32" s="86"/>
      <c r="S32" s="93">
        <f t="shared" si="11"/>
        <v>19829984.384646896</v>
      </c>
      <c r="T32" s="94"/>
      <c r="U32" s="94"/>
      <c r="AH32" s="67">
        <f t="shared" si="3"/>
        <v>2050</v>
      </c>
      <c r="AI32" s="93">
        <f t="shared" si="3"/>
        <v>17853051.081297353</v>
      </c>
      <c r="AJ32" s="93">
        <f t="shared" si="3"/>
        <v>6232319.2005732618</v>
      </c>
      <c r="AK32" s="93">
        <f t="shared" si="3"/>
        <v>178530.51081297355</v>
      </c>
      <c r="AL32" s="93">
        <f t="shared" si="3"/>
        <v>178530.51081297355</v>
      </c>
      <c r="AM32" s="93">
        <f t="shared" si="4"/>
        <v>6589380.222199209</v>
      </c>
      <c r="AN32" s="93">
        <f t="shared" si="5"/>
        <v>24442431.303496558</v>
      </c>
    </row>
    <row r="33" spans="1:40">
      <c r="A33" s="67">
        <v>30</v>
      </c>
      <c r="B33" s="83">
        <v>0</v>
      </c>
      <c r="C33" s="100">
        <v>2051</v>
      </c>
      <c r="D33" s="85">
        <v>16275914.171609383</v>
      </c>
      <c r="E33" s="86">
        <f>+SUM(SOC!H189:P189)</f>
        <v>6232319.2005732618</v>
      </c>
      <c r="F33" s="86">
        <f t="shared" si="6"/>
        <v>162759.14171609384</v>
      </c>
      <c r="G33" s="87">
        <f t="shared" si="7"/>
        <v>162759.14171609384</v>
      </c>
      <c r="H33" s="88">
        <f t="shared" si="15"/>
        <v>22833751.655614831</v>
      </c>
      <c r="J33" s="100">
        <v>2051</v>
      </c>
      <c r="K33" s="83">
        <f>+H33</f>
        <v>22833751.655614831</v>
      </c>
      <c r="L33" s="83">
        <f t="shared" si="12"/>
        <v>-1608679.6478817277</v>
      </c>
      <c r="M33" s="83">
        <f t="shared" si="16"/>
        <v>-1608679.6478817277</v>
      </c>
      <c r="N33" s="83">
        <f t="shared" si="17"/>
        <v>22833751.655614831</v>
      </c>
      <c r="O33" s="90"/>
      <c r="P33" s="91">
        <f t="shared" si="10"/>
        <v>-225215.1507034419</v>
      </c>
      <c r="Q33" s="92"/>
      <c r="R33" s="86"/>
      <c r="S33" s="93">
        <f t="shared" si="11"/>
        <v>19829984.384646896</v>
      </c>
      <c r="T33" s="94"/>
      <c r="U33" s="94"/>
      <c r="AH33" s="67">
        <f t="shared" si="3"/>
        <v>2051</v>
      </c>
      <c r="AI33" s="93">
        <f t="shared" si="3"/>
        <v>16275914.171609383</v>
      </c>
      <c r="AJ33" s="93">
        <f t="shared" si="3"/>
        <v>6232319.2005732618</v>
      </c>
      <c r="AK33" s="93">
        <f t="shared" si="3"/>
        <v>162759.14171609384</v>
      </c>
      <c r="AL33" s="93">
        <f t="shared" si="3"/>
        <v>162759.14171609384</v>
      </c>
      <c r="AM33" s="93">
        <f t="shared" si="4"/>
        <v>6557837.4840054493</v>
      </c>
      <c r="AN33" s="93">
        <f t="shared" si="5"/>
        <v>22833751.655614831</v>
      </c>
    </row>
    <row r="34" spans="1:40">
      <c r="A34" s="67">
        <v>31</v>
      </c>
      <c r="B34" s="83">
        <v>0</v>
      </c>
      <c r="C34" s="100">
        <v>2052</v>
      </c>
      <c r="D34" s="85">
        <v>14487579.726954985</v>
      </c>
      <c r="E34" s="86">
        <f>+SUM(SOC!H190:P190)</f>
        <v>6232319.2005732618</v>
      </c>
      <c r="F34" s="86">
        <f t="shared" si="6"/>
        <v>144875.79726954986</v>
      </c>
      <c r="G34" s="87">
        <f t="shared" si="7"/>
        <v>144875.79726954986</v>
      </c>
      <c r="H34" s="88">
        <f t="shared" si="15"/>
        <v>21009650.522067346</v>
      </c>
      <c r="J34" s="100">
        <v>2052</v>
      </c>
      <c r="K34" s="83">
        <f t="shared" si="8"/>
        <v>21009650.522067346</v>
      </c>
      <c r="L34" s="83">
        <f t="shared" si="12"/>
        <v>-1824101.1335474849</v>
      </c>
      <c r="M34" s="83">
        <f t="shared" si="16"/>
        <v>-1824101.1335474849</v>
      </c>
      <c r="N34" s="83">
        <f t="shared" si="17"/>
        <v>21009650.522067346</v>
      </c>
      <c r="O34" s="90"/>
      <c r="P34" s="91">
        <f t="shared" si="10"/>
        <v>-255374.15869664791</v>
      </c>
      <c r="Q34" s="92"/>
      <c r="R34" s="86"/>
      <c r="S34" s="93">
        <f t="shared" si="11"/>
        <v>19829984.384646896</v>
      </c>
      <c r="T34" s="94"/>
      <c r="U34" s="94"/>
      <c r="AH34" s="67">
        <f t="shared" si="3"/>
        <v>2052</v>
      </c>
      <c r="AI34" s="93">
        <f t="shared" si="3"/>
        <v>14487579.726954985</v>
      </c>
      <c r="AJ34" s="93">
        <f t="shared" si="3"/>
        <v>6232319.2005732618</v>
      </c>
      <c r="AK34" s="93">
        <f t="shared" si="3"/>
        <v>144875.79726954986</v>
      </c>
      <c r="AL34" s="93">
        <f t="shared" si="3"/>
        <v>144875.79726954986</v>
      </c>
      <c r="AM34" s="93">
        <f t="shared" si="4"/>
        <v>6522070.7951123621</v>
      </c>
      <c r="AN34" s="93">
        <f t="shared" si="5"/>
        <v>21009650.522067346</v>
      </c>
    </row>
    <row r="35" spans="1:40">
      <c r="A35" s="67">
        <v>32</v>
      </c>
      <c r="B35" s="83">
        <v>0</v>
      </c>
      <c r="C35" s="100">
        <v>2053</v>
      </c>
      <c r="D35" s="85">
        <v>17459430.431180801</v>
      </c>
      <c r="E35" s="86">
        <f>+SUM(SOC!H191:P191)</f>
        <v>6232319.2005732618</v>
      </c>
      <c r="F35" s="86">
        <f t="shared" si="6"/>
        <v>174594.30431180802</v>
      </c>
      <c r="G35" s="87">
        <f t="shared" si="7"/>
        <v>174594.30431180802</v>
      </c>
      <c r="H35" s="88">
        <f t="shared" si="15"/>
        <v>24040938.240377679</v>
      </c>
      <c r="J35" s="100">
        <v>2053</v>
      </c>
      <c r="K35" s="83">
        <f t="shared" si="8"/>
        <v>24040938.240377679</v>
      </c>
      <c r="L35" s="83">
        <f t="shared" si="12"/>
        <v>3031287.7183103338</v>
      </c>
      <c r="M35" s="83">
        <f t="shared" si="16"/>
        <v>3031287.7183103338</v>
      </c>
      <c r="N35" s="83">
        <f t="shared" si="17"/>
        <v>24040938.240377679</v>
      </c>
      <c r="O35" s="90"/>
      <c r="P35" s="91">
        <f t="shared" si="10"/>
        <v>424380.28056344675</v>
      </c>
      <c r="Q35" s="92"/>
      <c r="R35" s="86"/>
      <c r="S35" s="93">
        <f t="shared" si="11"/>
        <v>19829984.384646896</v>
      </c>
      <c r="T35" s="94"/>
      <c r="U35" s="94"/>
      <c r="AH35" s="67">
        <f t="shared" si="3"/>
        <v>2053</v>
      </c>
      <c r="AI35" s="93">
        <f t="shared" si="3"/>
        <v>17459430.431180801</v>
      </c>
      <c r="AJ35" s="93">
        <f t="shared" si="3"/>
        <v>6232319.2005732618</v>
      </c>
      <c r="AK35" s="93">
        <f t="shared" si="3"/>
        <v>174594.30431180802</v>
      </c>
      <c r="AL35" s="93">
        <f t="shared" si="3"/>
        <v>174594.30431180802</v>
      </c>
      <c r="AM35" s="93">
        <f t="shared" si="4"/>
        <v>6581507.8091968782</v>
      </c>
      <c r="AN35" s="93">
        <f t="shared" si="5"/>
        <v>24040938.240377679</v>
      </c>
    </row>
    <row r="36" spans="1:40">
      <c r="A36" s="67">
        <v>33</v>
      </c>
      <c r="B36" s="83">
        <v>0</v>
      </c>
      <c r="C36" s="100">
        <v>2054</v>
      </c>
      <c r="D36" s="85">
        <v>20065726.985579412</v>
      </c>
      <c r="E36" s="86">
        <f>+SUM(SOC!H192:P192)</f>
        <v>6232319.2005732618</v>
      </c>
      <c r="F36" s="86">
        <f t="shared" si="6"/>
        <v>200657.26985579412</v>
      </c>
      <c r="G36" s="87">
        <f t="shared" si="7"/>
        <v>200657.26985579412</v>
      </c>
      <c r="H36" s="88">
        <f t="shared" si="15"/>
        <v>26699360.725864261</v>
      </c>
      <c r="J36" s="100">
        <v>2054</v>
      </c>
      <c r="K36" s="83">
        <f t="shared" si="8"/>
        <v>26699360.725864261</v>
      </c>
      <c r="L36" s="83">
        <f t="shared" si="12"/>
        <v>2658422.4854865819</v>
      </c>
      <c r="M36" s="83">
        <f t="shared" si="16"/>
        <v>2658422.4854865819</v>
      </c>
      <c r="N36" s="83">
        <f t="shared" si="17"/>
        <v>26699360.725864261</v>
      </c>
      <c r="O36" s="90"/>
      <c r="P36" s="91">
        <f t="shared" si="10"/>
        <v>372179.14796812151</v>
      </c>
      <c r="Q36" s="92"/>
      <c r="R36" s="86"/>
      <c r="S36" s="93">
        <f t="shared" si="11"/>
        <v>19829984.384646896</v>
      </c>
      <c r="T36" s="94"/>
      <c r="U36" s="94"/>
      <c r="AH36" s="67">
        <f t="shared" si="3"/>
        <v>2054</v>
      </c>
      <c r="AI36" s="93">
        <f t="shared" si="3"/>
        <v>20065726.985579412</v>
      </c>
      <c r="AJ36" s="93">
        <f t="shared" si="3"/>
        <v>6232319.2005732618</v>
      </c>
      <c r="AK36" s="93">
        <f t="shared" si="3"/>
        <v>200657.26985579412</v>
      </c>
      <c r="AL36" s="93">
        <f t="shared" si="3"/>
        <v>200657.26985579412</v>
      </c>
      <c r="AM36" s="93">
        <f t="shared" si="4"/>
        <v>6633633.7402848508</v>
      </c>
      <c r="AN36" s="93">
        <f t="shared" si="5"/>
        <v>26699360.725864261</v>
      </c>
    </row>
    <row r="37" spans="1:40">
      <c r="A37" s="67">
        <v>34</v>
      </c>
      <c r="B37" s="83">
        <v>0</v>
      </c>
      <c r="C37" s="100">
        <v>2055</v>
      </c>
      <c r="D37" s="85">
        <v>22810011.1552747</v>
      </c>
      <c r="E37" s="86">
        <f>+SUM(SOC!H193:P193)</f>
        <v>6232319.2005732618</v>
      </c>
      <c r="F37" s="86">
        <f t="shared" si="6"/>
        <v>228100.111552747</v>
      </c>
      <c r="G37" s="87">
        <f t="shared" si="7"/>
        <v>228100.111552747</v>
      </c>
      <c r="H37" s="88">
        <f t="shared" si="15"/>
        <v>29498530.57895346</v>
      </c>
      <c r="J37" s="100">
        <v>2055</v>
      </c>
      <c r="K37" s="83">
        <f t="shared" si="8"/>
        <v>29498530.57895346</v>
      </c>
      <c r="L37" s="83">
        <f t="shared" si="12"/>
        <v>2799169.8530891985</v>
      </c>
      <c r="M37" s="83">
        <f t="shared" si="16"/>
        <v>2799169.8530891985</v>
      </c>
      <c r="N37" s="83">
        <f t="shared" si="17"/>
        <v>29498530.57895346</v>
      </c>
      <c r="O37" s="90"/>
      <c r="P37" s="91">
        <f t="shared" si="10"/>
        <v>391883.77943248785</v>
      </c>
      <c r="Q37" s="92"/>
      <c r="R37" s="86"/>
      <c r="S37" s="93">
        <f t="shared" si="11"/>
        <v>19829984.384646896</v>
      </c>
      <c r="T37" s="94"/>
      <c r="U37" s="94"/>
      <c r="AH37" s="67">
        <f t="shared" si="3"/>
        <v>2055</v>
      </c>
      <c r="AI37" s="93">
        <f t="shared" si="3"/>
        <v>22810011.1552747</v>
      </c>
      <c r="AJ37" s="93">
        <f t="shared" si="3"/>
        <v>6232319.2005732618</v>
      </c>
      <c r="AK37" s="93">
        <f t="shared" si="3"/>
        <v>228100.111552747</v>
      </c>
      <c r="AL37" s="93">
        <f t="shared" si="3"/>
        <v>228100.111552747</v>
      </c>
      <c r="AM37" s="93">
        <f t="shared" si="4"/>
        <v>6688519.4236787558</v>
      </c>
      <c r="AN37" s="93">
        <f t="shared" si="5"/>
        <v>29498530.57895346</v>
      </c>
    </row>
    <row r="38" spans="1:40">
      <c r="A38" s="67">
        <v>35</v>
      </c>
      <c r="B38" s="83">
        <v>0</v>
      </c>
      <c r="C38" s="100">
        <v>2056</v>
      </c>
      <c r="D38" s="85">
        <v>25113467.274367258</v>
      </c>
      <c r="E38" s="86">
        <f>+SUM(SOC!H194:P194)</f>
        <v>6232319.2005732618</v>
      </c>
      <c r="F38" s="86">
        <f t="shared" si="6"/>
        <v>251134.67274367259</v>
      </c>
      <c r="G38" s="87">
        <f t="shared" si="7"/>
        <v>251134.67274367259</v>
      </c>
      <c r="H38" s="88">
        <f t="shared" si="15"/>
        <v>31848055.820427869</v>
      </c>
      <c r="J38" s="100">
        <v>2056</v>
      </c>
      <c r="K38" s="83">
        <f t="shared" si="8"/>
        <v>31848055.820427869</v>
      </c>
      <c r="L38" s="83">
        <f t="shared" si="12"/>
        <v>2349525.2414744087</v>
      </c>
      <c r="M38" s="83">
        <f t="shared" si="16"/>
        <v>2349525.2414744087</v>
      </c>
      <c r="N38" s="83">
        <f t="shared" si="17"/>
        <v>31848055.820427869</v>
      </c>
      <c r="O38" s="90"/>
      <c r="P38" s="91">
        <f t="shared" si="10"/>
        <v>328933.53380641725</v>
      </c>
      <c r="Q38" s="92"/>
      <c r="R38" s="86"/>
      <c r="S38" s="93">
        <f t="shared" si="11"/>
        <v>19829984.384646896</v>
      </c>
      <c r="T38" s="94"/>
      <c r="U38" s="94"/>
      <c r="AH38" s="67">
        <f t="shared" si="3"/>
        <v>2056</v>
      </c>
      <c r="AI38" s="93">
        <f t="shared" si="3"/>
        <v>25113467.274367258</v>
      </c>
      <c r="AJ38" s="93">
        <f t="shared" si="3"/>
        <v>6232319.2005732618</v>
      </c>
      <c r="AK38" s="93">
        <f t="shared" si="3"/>
        <v>251134.67274367259</v>
      </c>
      <c r="AL38" s="93">
        <f t="shared" si="3"/>
        <v>251134.67274367259</v>
      </c>
      <c r="AM38" s="93">
        <f t="shared" si="4"/>
        <v>6734588.5460606068</v>
      </c>
      <c r="AN38" s="93">
        <f t="shared" si="5"/>
        <v>31848055.820427869</v>
      </c>
    </row>
    <row r="39" spans="1:40">
      <c r="A39" s="67">
        <v>36</v>
      </c>
      <c r="B39" s="83">
        <v>0</v>
      </c>
      <c r="C39" s="100">
        <v>2057</v>
      </c>
      <c r="D39" s="85">
        <v>25280130.098847296</v>
      </c>
      <c r="E39" s="86">
        <f>+SUM(SOC!H195:P195)</f>
        <v>6232319.2005732618</v>
      </c>
      <c r="F39" s="86">
        <f>1%*D39</f>
        <v>252801.30098847297</v>
      </c>
      <c r="G39" s="87">
        <f>1%*D39</f>
        <v>252801.30098847297</v>
      </c>
      <c r="H39" s="88">
        <f>+SUM(D39:G39)</f>
        <v>32018051.901397504</v>
      </c>
      <c r="J39" s="100">
        <v>2057</v>
      </c>
      <c r="K39" s="83">
        <f t="shared" si="8"/>
        <v>32018051.901397504</v>
      </c>
      <c r="L39" s="83">
        <f t="shared" si="12"/>
        <v>169996.0809696354</v>
      </c>
      <c r="M39" s="83">
        <f>+L39-B39</f>
        <v>169996.0809696354</v>
      </c>
      <c r="N39" s="83">
        <f t="shared" si="17"/>
        <v>32018051.901397504</v>
      </c>
      <c r="O39" s="90"/>
      <c r="P39" s="91">
        <f t="shared" si="10"/>
        <v>23799.45133574896</v>
      </c>
      <c r="Q39" s="92"/>
      <c r="R39" s="86"/>
      <c r="S39" s="93">
        <f t="shared" si="11"/>
        <v>19829984.384646896</v>
      </c>
      <c r="T39" s="94"/>
      <c r="U39" s="94"/>
      <c r="AH39" s="67">
        <f t="shared" si="3"/>
        <v>2057</v>
      </c>
      <c r="AI39" s="93">
        <f t="shared" si="3"/>
        <v>25280130.098847296</v>
      </c>
      <c r="AJ39" s="93">
        <f t="shared" si="3"/>
        <v>6232319.2005732618</v>
      </c>
      <c r="AK39" s="93">
        <f t="shared" si="3"/>
        <v>252801.30098847297</v>
      </c>
      <c r="AL39" s="93">
        <f t="shared" si="3"/>
        <v>252801.30098847297</v>
      </c>
      <c r="AM39" s="93">
        <f t="shared" si="4"/>
        <v>6737921.8025502078</v>
      </c>
      <c r="AN39" s="93">
        <f t="shared" si="5"/>
        <v>32018051.901397504</v>
      </c>
    </row>
    <row r="40" spans="1:40">
      <c r="A40" s="67">
        <v>37</v>
      </c>
      <c r="B40" s="83">
        <v>0</v>
      </c>
      <c r="C40" s="100">
        <v>2058</v>
      </c>
      <c r="D40" s="85">
        <v>24409204.692735359</v>
      </c>
      <c r="E40" s="86">
        <f>+SUM(SOC!H196:P196)</f>
        <v>6232319.2005732618</v>
      </c>
      <c r="F40" s="86">
        <f>1%*D40</f>
        <v>244092.0469273536</v>
      </c>
      <c r="G40" s="87">
        <f>1%*D40</f>
        <v>244092.0469273536</v>
      </c>
      <c r="H40" s="88">
        <f t="shared" si="15"/>
        <v>31129707.987163331</v>
      </c>
      <c r="J40" s="100">
        <v>2058</v>
      </c>
      <c r="K40" s="83">
        <f t="shared" si="8"/>
        <v>31129707.987163331</v>
      </c>
      <c r="L40" s="83">
        <f t="shared" si="12"/>
        <v>-888343.91423417255</v>
      </c>
      <c r="M40" s="83">
        <f t="shared" si="16"/>
        <v>-888343.91423417255</v>
      </c>
      <c r="N40" s="83">
        <f t="shared" si="17"/>
        <v>31129707.987163331</v>
      </c>
      <c r="O40" s="90"/>
      <c r="P40" s="91">
        <f t="shared" si="10"/>
        <v>-124368.14799278417</v>
      </c>
      <c r="Q40" s="92"/>
      <c r="R40" s="86"/>
      <c r="S40" s="93">
        <f t="shared" si="11"/>
        <v>19829984.384646896</v>
      </c>
      <c r="T40" s="94"/>
      <c r="U40" s="94"/>
      <c r="AH40" s="67">
        <f t="shared" si="3"/>
        <v>2058</v>
      </c>
      <c r="AI40" s="93">
        <f t="shared" si="3"/>
        <v>24409204.692735359</v>
      </c>
      <c r="AJ40" s="93">
        <f t="shared" si="3"/>
        <v>6232319.2005732618</v>
      </c>
      <c r="AK40" s="93">
        <f t="shared" si="3"/>
        <v>244092.0469273536</v>
      </c>
      <c r="AL40" s="93">
        <f t="shared" si="3"/>
        <v>244092.0469273536</v>
      </c>
      <c r="AM40" s="93">
        <f t="shared" si="4"/>
        <v>6720503.2944279686</v>
      </c>
      <c r="AN40" s="93">
        <f t="shared" si="5"/>
        <v>31129707.987163331</v>
      </c>
    </row>
    <row r="41" spans="1:40">
      <c r="A41" s="67">
        <v>38</v>
      </c>
      <c r="B41" s="83">
        <v>0</v>
      </c>
      <c r="C41" s="100">
        <v>2059</v>
      </c>
      <c r="D41" s="85">
        <v>22309186.991590671</v>
      </c>
      <c r="E41" s="86">
        <f>+SUM(SOC!H197:P197)</f>
        <v>6232319.2005732618</v>
      </c>
      <c r="F41" s="86">
        <f t="shared" si="6"/>
        <v>223091.86991590672</v>
      </c>
      <c r="G41" s="87">
        <f t="shared" si="7"/>
        <v>223091.86991590672</v>
      </c>
      <c r="H41" s="88">
        <f t="shared" si="15"/>
        <v>28987689.931995746</v>
      </c>
      <c r="J41" s="100">
        <v>2059</v>
      </c>
      <c r="K41" s="83">
        <f t="shared" si="8"/>
        <v>28987689.931995746</v>
      </c>
      <c r="L41" s="83">
        <f t="shared" si="12"/>
        <v>-2142018.0551675856</v>
      </c>
      <c r="M41" s="83">
        <f t="shared" si="16"/>
        <v>-2142018.0551675856</v>
      </c>
      <c r="N41" s="83">
        <f>+N40+M41</f>
        <v>28987689.931995746</v>
      </c>
      <c r="O41" s="90"/>
      <c r="P41" s="91">
        <f t="shared" si="10"/>
        <v>-299882.52772346203</v>
      </c>
      <c r="Q41" s="92"/>
      <c r="R41" s="86"/>
      <c r="S41" s="93">
        <f t="shared" si="11"/>
        <v>19829984.384646896</v>
      </c>
      <c r="T41" s="94"/>
      <c r="U41" s="94"/>
      <c r="AH41" s="67">
        <f t="shared" si="3"/>
        <v>2059</v>
      </c>
      <c r="AI41" s="93">
        <f t="shared" si="3"/>
        <v>22309186.991590671</v>
      </c>
      <c r="AJ41" s="93">
        <f t="shared" si="3"/>
        <v>6232319.2005732618</v>
      </c>
      <c r="AK41" s="93">
        <f t="shared" si="3"/>
        <v>223091.86991590672</v>
      </c>
      <c r="AL41" s="93">
        <f t="shared" si="3"/>
        <v>223091.86991590672</v>
      </c>
      <c r="AM41" s="93">
        <f t="shared" si="4"/>
        <v>6678502.9404050745</v>
      </c>
      <c r="AN41" s="93">
        <f t="shared" si="5"/>
        <v>28987689.931995746</v>
      </c>
    </row>
    <row r="42" spans="1:40">
      <c r="A42" s="67">
        <v>39</v>
      </c>
      <c r="B42" s="83">
        <v>0</v>
      </c>
      <c r="C42" s="100">
        <v>2060</v>
      </c>
      <c r="D42" s="85">
        <v>18488635.157072581</v>
      </c>
      <c r="E42" s="86">
        <f>+SUM(SOC!H198:P198)</f>
        <v>6232319.2005732618</v>
      </c>
      <c r="F42" s="86">
        <f t="shared" si="6"/>
        <v>184886.35157072582</v>
      </c>
      <c r="G42" s="87">
        <f t="shared" si="7"/>
        <v>184886.35157072582</v>
      </c>
      <c r="H42" s="88">
        <f t="shared" si="15"/>
        <v>25090727.060787294</v>
      </c>
      <c r="J42" s="100">
        <v>2060</v>
      </c>
      <c r="K42" s="83">
        <f t="shared" si="8"/>
        <v>25090727.060787294</v>
      </c>
      <c r="L42" s="83">
        <f t="shared" si="12"/>
        <v>-3896962.8712084517</v>
      </c>
      <c r="M42" s="83">
        <f t="shared" si="16"/>
        <v>-3896962.8712084517</v>
      </c>
      <c r="N42" s="83">
        <f t="shared" si="17"/>
        <v>25090727.060787294</v>
      </c>
      <c r="O42" s="90"/>
      <c r="P42" s="91">
        <f t="shared" si="10"/>
        <v>-545574.80196918326</v>
      </c>
      <c r="Q42" s="92"/>
      <c r="R42" s="86"/>
      <c r="S42" s="93">
        <f t="shared" si="11"/>
        <v>19829984.384646896</v>
      </c>
      <c r="T42" s="94"/>
      <c r="U42" s="94"/>
      <c r="AH42" s="67">
        <f t="shared" si="3"/>
        <v>2060</v>
      </c>
      <c r="AI42" s="93">
        <f t="shared" si="3"/>
        <v>18488635.157072581</v>
      </c>
      <c r="AJ42" s="93">
        <f t="shared" si="3"/>
        <v>6232319.2005732618</v>
      </c>
      <c r="AK42" s="93">
        <f t="shared" si="3"/>
        <v>184886.35157072582</v>
      </c>
      <c r="AL42" s="93">
        <f t="shared" si="3"/>
        <v>184886.35157072582</v>
      </c>
      <c r="AM42" s="93">
        <f t="shared" si="4"/>
        <v>6602091.9037147127</v>
      </c>
      <c r="AN42" s="93">
        <f t="shared" si="5"/>
        <v>25090727.060787294</v>
      </c>
    </row>
    <row r="43" spans="1:40">
      <c r="A43" s="67">
        <v>40</v>
      </c>
      <c r="B43" s="83">
        <v>0</v>
      </c>
      <c r="C43" s="100">
        <v>2061</v>
      </c>
      <c r="D43" s="85">
        <v>16451620.777040433</v>
      </c>
      <c r="E43" s="86">
        <f>+SUM(SOC!H199:P199)</f>
        <v>6232319.2005732618</v>
      </c>
      <c r="F43" s="86">
        <f t="shared" si="6"/>
        <v>164516.20777040435</v>
      </c>
      <c r="G43" s="87">
        <f t="shared" si="7"/>
        <v>164516.20777040435</v>
      </c>
      <c r="H43" s="88">
        <f t="shared" si="15"/>
        <v>23012972.393154502</v>
      </c>
      <c r="J43" s="100">
        <v>2061</v>
      </c>
      <c r="K43" s="83">
        <f t="shared" si="8"/>
        <v>23012972.393154502</v>
      </c>
      <c r="L43" s="83">
        <f>+K43-K42</f>
        <v>-2077754.6676327921</v>
      </c>
      <c r="M43" s="83">
        <f>+L43-B43</f>
        <v>-2077754.6676327921</v>
      </c>
      <c r="N43" s="83">
        <f>+N42+M43</f>
        <v>23012972.393154502</v>
      </c>
      <c r="O43" s="90"/>
      <c r="P43" s="91">
        <f>+(N43-N42)*0.14</f>
        <v>-290885.65346859093</v>
      </c>
      <c r="Q43" s="92"/>
      <c r="R43" s="86"/>
      <c r="S43" s="93">
        <f>S42</f>
        <v>19829984.384646896</v>
      </c>
      <c r="T43" s="94"/>
      <c r="U43" s="94"/>
      <c r="AH43" s="67">
        <f t="shared" si="3"/>
        <v>2061</v>
      </c>
      <c r="AI43" s="93">
        <f t="shared" si="3"/>
        <v>16451620.777040433</v>
      </c>
      <c r="AJ43" s="93">
        <f t="shared" si="3"/>
        <v>6232319.2005732618</v>
      </c>
      <c r="AK43" s="93">
        <f t="shared" si="3"/>
        <v>164516.20777040435</v>
      </c>
      <c r="AL43" s="93">
        <f t="shared" si="3"/>
        <v>164516.20777040435</v>
      </c>
      <c r="AM43" s="93">
        <f t="shared" si="4"/>
        <v>6561351.6161140706</v>
      </c>
      <c r="AN43" s="93">
        <f t="shared" si="5"/>
        <v>23012972.393154502</v>
      </c>
    </row>
    <row r="44" spans="1:40" hidden="1">
      <c r="A44" s="67">
        <v>41</v>
      </c>
      <c r="B44" s="83">
        <v>0</v>
      </c>
      <c r="C44" s="100">
        <v>2062</v>
      </c>
      <c r="D44" s="85" t="e">
        <f>Summary!#REF!</f>
        <v>#REF!</v>
      </c>
      <c r="E44" s="86">
        <f>+SUM(SOC!B59:D59)</f>
        <v>0</v>
      </c>
      <c r="F44" s="86" t="e">
        <f t="shared" si="6"/>
        <v>#REF!</v>
      </c>
      <c r="G44" s="87" t="e">
        <f t="shared" si="7"/>
        <v>#REF!</v>
      </c>
      <c r="H44" s="88" t="e">
        <f t="shared" ref="H44:H51" si="18">+SUM(D44:G44)</f>
        <v>#REF!</v>
      </c>
      <c r="J44" s="100">
        <v>2062</v>
      </c>
      <c r="K44" s="83">
        <f t="shared" ref="K44:K51" si="19">+H43</f>
        <v>23012972.393154502</v>
      </c>
      <c r="L44" s="83">
        <f t="shared" ref="L44:L51" si="20">+K44-K43</f>
        <v>0</v>
      </c>
      <c r="M44" s="83">
        <f t="shared" ref="M44:M51" si="21">+L44-B44</f>
        <v>0</v>
      </c>
      <c r="N44" s="83">
        <f t="shared" ref="N44:N51" si="22">+N43+M44</f>
        <v>23012972.393154502</v>
      </c>
      <c r="O44" s="90"/>
      <c r="P44" s="91">
        <f t="shared" si="10"/>
        <v>0</v>
      </c>
      <c r="Q44" s="92"/>
      <c r="R44" s="86"/>
      <c r="S44" s="93">
        <f t="shared" si="11"/>
        <v>19829984.384646896</v>
      </c>
      <c r="T44" s="94"/>
      <c r="U44" s="94"/>
      <c r="AH44" s="67">
        <f t="shared" si="3"/>
        <v>2062</v>
      </c>
      <c r="AI44" s="67" t="e">
        <f t="shared" si="3"/>
        <v>#REF!</v>
      </c>
      <c r="AJ44" s="67">
        <f t="shared" si="3"/>
        <v>0</v>
      </c>
      <c r="AK44" s="67" t="e">
        <f t="shared" si="3"/>
        <v>#REF!</v>
      </c>
      <c r="AL44" s="67" t="e">
        <f t="shared" si="3"/>
        <v>#REF!</v>
      </c>
      <c r="AM44" s="67" t="e">
        <f t="shared" si="4"/>
        <v>#REF!</v>
      </c>
      <c r="AN44" s="67" t="e">
        <f t="shared" si="5"/>
        <v>#REF!</v>
      </c>
    </row>
    <row r="45" spans="1:40" hidden="1">
      <c r="A45" s="67">
        <v>42</v>
      </c>
      <c r="B45" s="83">
        <v>0</v>
      </c>
      <c r="C45" s="100">
        <v>2063</v>
      </c>
      <c r="D45" s="85" t="e">
        <f>+Summary!#REF!</f>
        <v>#REF!</v>
      </c>
      <c r="E45" s="86">
        <f>+SUM(SOC!B60:D60)</f>
        <v>0</v>
      </c>
      <c r="F45" s="86" t="e">
        <f t="shared" si="6"/>
        <v>#REF!</v>
      </c>
      <c r="G45" s="87" t="e">
        <f t="shared" si="7"/>
        <v>#REF!</v>
      </c>
      <c r="H45" s="88" t="e">
        <f t="shared" si="18"/>
        <v>#REF!</v>
      </c>
      <c r="J45" s="100">
        <v>2063</v>
      </c>
      <c r="K45" s="83" t="e">
        <f t="shared" si="19"/>
        <v>#REF!</v>
      </c>
      <c r="L45" s="83" t="e">
        <f t="shared" si="20"/>
        <v>#REF!</v>
      </c>
      <c r="M45" s="83" t="e">
        <f t="shared" si="21"/>
        <v>#REF!</v>
      </c>
      <c r="N45" s="83" t="e">
        <f t="shared" si="22"/>
        <v>#REF!</v>
      </c>
      <c r="O45" s="90"/>
      <c r="P45" s="91" t="e">
        <f t="shared" si="10"/>
        <v>#REF!</v>
      </c>
      <c r="Q45" s="92"/>
      <c r="R45" s="86"/>
      <c r="S45" s="93">
        <f t="shared" si="11"/>
        <v>19829984.384646896</v>
      </c>
      <c r="T45" s="94"/>
      <c r="U45" s="94"/>
      <c r="AH45" s="67">
        <f t="shared" si="3"/>
        <v>2063</v>
      </c>
      <c r="AI45" s="67" t="e">
        <f t="shared" si="3"/>
        <v>#REF!</v>
      </c>
      <c r="AJ45" s="67">
        <f t="shared" si="3"/>
        <v>0</v>
      </c>
      <c r="AK45" s="67" t="e">
        <f t="shared" si="3"/>
        <v>#REF!</v>
      </c>
      <c r="AL45" s="67" t="e">
        <f t="shared" si="3"/>
        <v>#REF!</v>
      </c>
      <c r="AM45" s="67" t="e">
        <f t="shared" si="4"/>
        <v>#REF!</v>
      </c>
      <c r="AN45" s="67" t="e">
        <f t="shared" si="5"/>
        <v>#REF!</v>
      </c>
    </row>
    <row r="46" spans="1:40" hidden="1">
      <c r="A46" s="67">
        <v>43</v>
      </c>
      <c r="B46" s="83">
        <v>0</v>
      </c>
      <c r="C46" s="100">
        <v>2064</v>
      </c>
      <c r="D46" s="85" t="e">
        <f>+Summary!#REF!</f>
        <v>#REF!</v>
      </c>
      <c r="E46" s="86">
        <f>+SUM(SOC!B61:D61)</f>
        <v>0</v>
      </c>
      <c r="F46" s="86" t="e">
        <f t="shared" si="6"/>
        <v>#REF!</v>
      </c>
      <c r="G46" s="87" t="e">
        <f t="shared" si="7"/>
        <v>#REF!</v>
      </c>
      <c r="H46" s="88" t="e">
        <f t="shared" si="18"/>
        <v>#REF!</v>
      </c>
      <c r="J46" s="100">
        <v>2064</v>
      </c>
      <c r="K46" s="83" t="e">
        <f t="shared" si="19"/>
        <v>#REF!</v>
      </c>
      <c r="L46" s="83" t="e">
        <f t="shared" si="20"/>
        <v>#REF!</v>
      </c>
      <c r="M46" s="83" t="e">
        <f t="shared" si="21"/>
        <v>#REF!</v>
      </c>
      <c r="N46" s="83" t="e">
        <f t="shared" si="22"/>
        <v>#REF!</v>
      </c>
      <c r="O46" s="90"/>
      <c r="P46" s="91" t="e">
        <f t="shared" si="10"/>
        <v>#REF!</v>
      </c>
      <c r="Q46" s="92"/>
      <c r="R46" s="86"/>
      <c r="S46" s="93">
        <f t="shared" si="11"/>
        <v>19829984.384646896</v>
      </c>
      <c r="T46" s="94"/>
      <c r="U46" s="94"/>
      <c r="AH46" s="67">
        <f t="shared" si="3"/>
        <v>2064</v>
      </c>
      <c r="AI46" s="67" t="e">
        <f t="shared" si="3"/>
        <v>#REF!</v>
      </c>
      <c r="AJ46" s="67">
        <f t="shared" si="3"/>
        <v>0</v>
      </c>
      <c r="AK46" s="67" t="e">
        <f t="shared" si="3"/>
        <v>#REF!</v>
      </c>
      <c r="AL46" s="67" t="e">
        <f t="shared" si="3"/>
        <v>#REF!</v>
      </c>
      <c r="AM46" s="67" t="e">
        <f t="shared" si="4"/>
        <v>#REF!</v>
      </c>
      <c r="AN46" s="67" t="e">
        <f t="shared" si="5"/>
        <v>#REF!</v>
      </c>
    </row>
    <row r="47" spans="1:40" hidden="1">
      <c r="A47" s="67">
        <v>44</v>
      </c>
      <c r="B47" s="83">
        <v>0</v>
      </c>
      <c r="C47" s="100">
        <v>2065</v>
      </c>
      <c r="D47" s="85" t="e">
        <f>+Summary!#REF!</f>
        <v>#REF!</v>
      </c>
      <c r="E47" s="86">
        <f>+SUM(SOC!B62:D62)</f>
        <v>0</v>
      </c>
      <c r="F47" s="86" t="e">
        <f t="shared" si="6"/>
        <v>#REF!</v>
      </c>
      <c r="G47" s="87" t="e">
        <f t="shared" si="7"/>
        <v>#REF!</v>
      </c>
      <c r="H47" s="88" t="e">
        <f t="shared" si="18"/>
        <v>#REF!</v>
      </c>
      <c r="J47" s="100">
        <v>2065</v>
      </c>
      <c r="K47" s="83" t="e">
        <f t="shared" si="19"/>
        <v>#REF!</v>
      </c>
      <c r="L47" s="83" t="e">
        <f t="shared" si="20"/>
        <v>#REF!</v>
      </c>
      <c r="M47" s="83" t="e">
        <f t="shared" si="21"/>
        <v>#REF!</v>
      </c>
      <c r="N47" s="83" t="e">
        <f t="shared" si="22"/>
        <v>#REF!</v>
      </c>
      <c r="O47" s="90"/>
      <c r="P47" s="91" t="e">
        <f t="shared" si="10"/>
        <v>#REF!</v>
      </c>
      <c r="Q47" s="92"/>
      <c r="R47" s="86"/>
      <c r="S47" s="93">
        <f t="shared" si="11"/>
        <v>19829984.384646896</v>
      </c>
      <c r="T47" s="94"/>
      <c r="U47" s="94"/>
      <c r="AH47" s="67">
        <f t="shared" si="3"/>
        <v>2065</v>
      </c>
      <c r="AI47" s="67" t="e">
        <f t="shared" si="3"/>
        <v>#REF!</v>
      </c>
      <c r="AJ47" s="67">
        <f t="shared" si="3"/>
        <v>0</v>
      </c>
      <c r="AK47" s="67" t="e">
        <f t="shared" si="3"/>
        <v>#REF!</v>
      </c>
      <c r="AL47" s="67" t="e">
        <f t="shared" si="3"/>
        <v>#REF!</v>
      </c>
      <c r="AM47" s="67" t="e">
        <f t="shared" si="4"/>
        <v>#REF!</v>
      </c>
      <c r="AN47" s="67" t="e">
        <f t="shared" si="5"/>
        <v>#REF!</v>
      </c>
    </row>
    <row r="48" spans="1:40" hidden="1">
      <c r="A48" s="67">
        <v>45</v>
      </c>
      <c r="B48" s="83">
        <v>0</v>
      </c>
      <c r="C48" s="100">
        <v>2066</v>
      </c>
      <c r="D48" s="85" t="e">
        <f>+Summary!#REF!</f>
        <v>#REF!</v>
      </c>
      <c r="E48" s="86">
        <f>+SUM(SOC!B63:D63)</f>
        <v>0</v>
      </c>
      <c r="F48" s="86" t="e">
        <f t="shared" si="6"/>
        <v>#REF!</v>
      </c>
      <c r="G48" s="87" t="e">
        <f t="shared" si="7"/>
        <v>#REF!</v>
      </c>
      <c r="H48" s="88" t="e">
        <f t="shared" si="18"/>
        <v>#REF!</v>
      </c>
      <c r="J48" s="100">
        <v>2066</v>
      </c>
      <c r="K48" s="83" t="e">
        <f t="shared" si="19"/>
        <v>#REF!</v>
      </c>
      <c r="L48" s="83" t="e">
        <f t="shared" si="20"/>
        <v>#REF!</v>
      </c>
      <c r="M48" s="83" t="e">
        <f t="shared" si="21"/>
        <v>#REF!</v>
      </c>
      <c r="N48" s="83" t="e">
        <f t="shared" si="22"/>
        <v>#REF!</v>
      </c>
      <c r="O48" s="90"/>
      <c r="P48" s="91" t="e">
        <f t="shared" si="10"/>
        <v>#REF!</v>
      </c>
      <c r="Q48" s="92"/>
      <c r="R48" s="86"/>
      <c r="S48" s="93">
        <f t="shared" si="11"/>
        <v>19829984.384646896</v>
      </c>
      <c r="T48" s="94"/>
      <c r="U48" s="94"/>
      <c r="AH48" s="67">
        <f t="shared" si="3"/>
        <v>2066</v>
      </c>
      <c r="AI48" s="67" t="e">
        <f t="shared" si="3"/>
        <v>#REF!</v>
      </c>
      <c r="AJ48" s="67">
        <f t="shared" si="3"/>
        <v>0</v>
      </c>
      <c r="AK48" s="67" t="e">
        <f t="shared" si="3"/>
        <v>#REF!</v>
      </c>
      <c r="AL48" s="67" t="e">
        <f t="shared" si="3"/>
        <v>#REF!</v>
      </c>
      <c r="AM48" s="67" t="e">
        <f t="shared" si="4"/>
        <v>#REF!</v>
      </c>
      <c r="AN48" s="67" t="e">
        <f t="shared" si="5"/>
        <v>#REF!</v>
      </c>
    </row>
    <row r="49" spans="1:40" hidden="1">
      <c r="A49" s="67">
        <v>46</v>
      </c>
      <c r="B49" s="83">
        <v>0</v>
      </c>
      <c r="C49" s="100">
        <v>2067</v>
      </c>
      <c r="D49" s="85" t="e">
        <f>+Summary!#REF!</f>
        <v>#REF!</v>
      </c>
      <c r="E49" s="86">
        <f>+SUM(SOC!B64:D64)</f>
        <v>0</v>
      </c>
      <c r="F49" s="86" t="e">
        <f t="shared" si="6"/>
        <v>#REF!</v>
      </c>
      <c r="G49" s="87" t="e">
        <f t="shared" si="7"/>
        <v>#REF!</v>
      </c>
      <c r="H49" s="88" t="e">
        <f t="shared" si="18"/>
        <v>#REF!</v>
      </c>
      <c r="J49" s="100">
        <v>2067</v>
      </c>
      <c r="K49" s="83" t="e">
        <f t="shared" si="19"/>
        <v>#REF!</v>
      </c>
      <c r="L49" s="83" t="e">
        <f t="shared" si="20"/>
        <v>#REF!</v>
      </c>
      <c r="M49" s="83" t="e">
        <f t="shared" si="21"/>
        <v>#REF!</v>
      </c>
      <c r="N49" s="83" t="e">
        <f t="shared" si="22"/>
        <v>#REF!</v>
      </c>
      <c r="O49" s="90"/>
      <c r="P49" s="91" t="e">
        <f t="shared" si="10"/>
        <v>#REF!</v>
      </c>
      <c r="Q49" s="92"/>
      <c r="R49" s="86"/>
      <c r="S49" s="93">
        <f t="shared" si="11"/>
        <v>19829984.384646896</v>
      </c>
      <c r="T49" s="94"/>
      <c r="U49" s="94"/>
      <c r="AH49" s="67">
        <f t="shared" si="3"/>
        <v>2067</v>
      </c>
      <c r="AI49" s="67" t="e">
        <f t="shared" si="3"/>
        <v>#REF!</v>
      </c>
      <c r="AJ49" s="67">
        <f t="shared" si="3"/>
        <v>0</v>
      </c>
      <c r="AK49" s="67" t="e">
        <f t="shared" si="3"/>
        <v>#REF!</v>
      </c>
      <c r="AL49" s="67" t="e">
        <f t="shared" si="3"/>
        <v>#REF!</v>
      </c>
      <c r="AM49" s="67" t="e">
        <f t="shared" si="4"/>
        <v>#REF!</v>
      </c>
      <c r="AN49" s="67" t="e">
        <f t="shared" si="5"/>
        <v>#REF!</v>
      </c>
    </row>
    <row r="50" spans="1:40" hidden="1">
      <c r="A50" s="67">
        <v>47</v>
      </c>
      <c r="B50" s="83">
        <v>0</v>
      </c>
      <c r="C50" s="100">
        <v>2068</v>
      </c>
      <c r="D50" s="85" t="e">
        <f>+Summary!#REF!</f>
        <v>#REF!</v>
      </c>
      <c r="E50" s="86">
        <f>+SUM(SOC!B65:D65)</f>
        <v>0</v>
      </c>
      <c r="F50" s="86" t="e">
        <f t="shared" si="6"/>
        <v>#REF!</v>
      </c>
      <c r="G50" s="87" t="e">
        <f t="shared" si="7"/>
        <v>#REF!</v>
      </c>
      <c r="H50" s="88" t="e">
        <f t="shared" si="18"/>
        <v>#REF!</v>
      </c>
      <c r="J50" s="100">
        <v>2068</v>
      </c>
      <c r="K50" s="83" t="e">
        <f t="shared" si="19"/>
        <v>#REF!</v>
      </c>
      <c r="L50" s="83" t="e">
        <f t="shared" si="20"/>
        <v>#REF!</v>
      </c>
      <c r="M50" s="83" t="e">
        <f t="shared" si="21"/>
        <v>#REF!</v>
      </c>
      <c r="N50" s="83" t="e">
        <f t="shared" si="22"/>
        <v>#REF!</v>
      </c>
      <c r="O50" s="90"/>
      <c r="P50" s="91" t="e">
        <f t="shared" si="10"/>
        <v>#REF!</v>
      </c>
      <c r="Q50" s="92"/>
      <c r="R50" s="86"/>
      <c r="S50" s="93">
        <f t="shared" si="11"/>
        <v>19829984.384646896</v>
      </c>
      <c r="T50" s="94"/>
      <c r="U50" s="94"/>
      <c r="AH50" s="67">
        <f t="shared" si="3"/>
        <v>2068</v>
      </c>
      <c r="AI50" s="67" t="e">
        <f t="shared" si="3"/>
        <v>#REF!</v>
      </c>
      <c r="AJ50" s="67">
        <f t="shared" si="3"/>
        <v>0</v>
      </c>
      <c r="AK50" s="67" t="e">
        <f t="shared" si="3"/>
        <v>#REF!</v>
      </c>
      <c r="AL50" s="67" t="e">
        <f t="shared" si="3"/>
        <v>#REF!</v>
      </c>
      <c r="AM50" s="67" t="e">
        <f t="shared" si="4"/>
        <v>#REF!</v>
      </c>
      <c r="AN50" s="67" t="e">
        <f t="shared" si="5"/>
        <v>#REF!</v>
      </c>
    </row>
    <row r="51" spans="1:40" hidden="1">
      <c r="A51" s="67">
        <v>48</v>
      </c>
      <c r="B51" s="83">
        <v>0</v>
      </c>
      <c r="C51" s="100">
        <v>2069</v>
      </c>
      <c r="D51" s="104" t="e">
        <f>+Summary!#REF!</f>
        <v>#REF!</v>
      </c>
      <c r="E51" s="105">
        <f>+SUM(SOC!B66:D66)</f>
        <v>0</v>
      </c>
      <c r="F51" s="105" t="e">
        <f t="shared" si="6"/>
        <v>#REF!</v>
      </c>
      <c r="G51" s="106" t="e">
        <f t="shared" si="7"/>
        <v>#REF!</v>
      </c>
      <c r="H51" s="107" t="e">
        <f t="shared" si="18"/>
        <v>#REF!</v>
      </c>
      <c r="J51" s="108">
        <v>2069</v>
      </c>
      <c r="K51" s="109" t="e">
        <f t="shared" si="19"/>
        <v>#REF!</v>
      </c>
      <c r="L51" s="83" t="e">
        <f t="shared" si="20"/>
        <v>#REF!</v>
      </c>
      <c r="M51" s="83" t="e">
        <f t="shared" si="21"/>
        <v>#REF!</v>
      </c>
      <c r="N51" s="83" t="e">
        <f t="shared" si="22"/>
        <v>#REF!</v>
      </c>
      <c r="O51" s="90"/>
      <c r="P51" s="91" t="e">
        <f t="shared" si="10"/>
        <v>#REF!</v>
      </c>
      <c r="Q51" s="92"/>
      <c r="R51" s="86"/>
      <c r="S51" s="93">
        <f t="shared" si="11"/>
        <v>19829984.384646896</v>
      </c>
      <c r="T51" s="94"/>
      <c r="U51" s="94"/>
      <c r="AH51" s="67">
        <f t="shared" si="3"/>
        <v>2069</v>
      </c>
      <c r="AI51" s="67" t="e">
        <f t="shared" si="3"/>
        <v>#REF!</v>
      </c>
      <c r="AJ51" s="67">
        <f t="shared" si="3"/>
        <v>0</v>
      </c>
      <c r="AK51" s="67" t="e">
        <f t="shared" si="3"/>
        <v>#REF!</v>
      </c>
      <c r="AL51" s="67" t="e">
        <f t="shared" si="3"/>
        <v>#REF!</v>
      </c>
      <c r="AM51" s="67" t="e">
        <f t="shared" si="4"/>
        <v>#REF!</v>
      </c>
      <c r="AN51" s="67" t="e">
        <f t="shared" si="5"/>
        <v>#REF!</v>
      </c>
    </row>
    <row r="52" spans="1:40">
      <c r="N52" s="86"/>
      <c r="T52" s="94"/>
      <c r="U52" s="94"/>
    </row>
    <row r="53" spans="1:40">
      <c r="B53" s="110" t="s">
        <v>133</v>
      </c>
      <c r="D53" s="86">
        <f>+SUM(D4:D43)</f>
        <v>624825348.57209587</v>
      </c>
      <c r="E53" s="86">
        <f>+SUM(E4:E43)</f>
        <v>155878166.43709773</v>
      </c>
      <c r="F53" s="86">
        <f t="shared" ref="F53:G53" si="23">+SUM(F4:F43)</f>
        <v>6248253.4857209604</v>
      </c>
      <c r="G53" s="86">
        <f t="shared" si="23"/>
        <v>6248253.4857209604</v>
      </c>
      <c r="H53" s="111"/>
      <c r="K53" s="111"/>
      <c r="L53" s="111"/>
      <c r="M53" s="81" t="s">
        <v>134</v>
      </c>
      <c r="N53" s="86">
        <f>SUM(N4:N43)</f>
        <v>793199375.38587582</v>
      </c>
      <c r="O53" s="111"/>
      <c r="P53" s="111"/>
      <c r="Q53" s="111"/>
      <c r="R53" s="111"/>
    </row>
    <row r="54" spans="1:40" ht="15.75" thickBot="1">
      <c r="B54" s="68" t="s">
        <v>135</v>
      </c>
      <c r="M54" s="81" t="s">
        <v>127</v>
      </c>
      <c r="N54" s="86">
        <f>+N53/40</f>
        <v>19829984.384646896</v>
      </c>
      <c r="O54" s="112" t="s">
        <v>136</v>
      </c>
    </row>
    <row r="55" spans="1:40">
      <c r="B55" s="82"/>
      <c r="C55" s="82">
        <v>131</v>
      </c>
      <c r="D55" s="68" t="s">
        <v>137</v>
      </c>
      <c r="E55" s="68" t="s">
        <v>138</v>
      </c>
      <c r="F55" s="68" t="s">
        <v>139</v>
      </c>
      <c r="G55" s="68" t="str">
        <f>+_xlfn.CONCAT(D55," ",E55, " ",F55)</f>
        <v>22-Aug-2022 to 31-Dec-2022</v>
      </c>
      <c r="J55" s="82">
        <v>2022</v>
      </c>
      <c r="K55" s="82">
        <v>2023</v>
      </c>
      <c r="L55" s="82"/>
      <c r="M55" s="113"/>
      <c r="N55" s="86"/>
      <c r="O55" s="114" t="s">
        <v>140</v>
      </c>
      <c r="P55" s="82"/>
      <c r="Q55" s="82"/>
      <c r="R55" s="82"/>
    </row>
    <row r="56" spans="1:40">
      <c r="B56" s="82"/>
      <c r="D56" s="68" t="s">
        <v>141</v>
      </c>
      <c r="E56" s="68" t="s">
        <v>138</v>
      </c>
      <c r="F56" s="68" t="s">
        <v>142</v>
      </c>
      <c r="G56" s="68" t="str">
        <f t="shared" ref="G56:G95" si="24">+_xlfn.CONCAT(D56," ",E56, " ",F56)</f>
        <v>01-Jan-2023 to 31-Dec-2023</v>
      </c>
      <c r="J56" s="82">
        <v>2023</v>
      </c>
      <c r="K56" s="82">
        <v>2024</v>
      </c>
      <c r="L56" s="82"/>
      <c r="M56" s="82"/>
      <c r="N56" s="82"/>
      <c r="O56" s="82"/>
      <c r="P56" s="82"/>
      <c r="Q56" s="82"/>
      <c r="R56" s="82"/>
    </row>
    <row r="57" spans="1:40">
      <c r="B57" s="82"/>
      <c r="D57" s="68" t="s">
        <v>143</v>
      </c>
      <c r="E57" s="68" t="s">
        <v>138</v>
      </c>
      <c r="F57" s="68" t="s">
        <v>144</v>
      </c>
      <c r="G57" s="68" t="str">
        <f t="shared" si="24"/>
        <v>01-Jan-2024 to 31-Dec-2024</v>
      </c>
      <c r="J57" s="82">
        <v>2024</v>
      </c>
      <c r="K57" s="82">
        <v>2025</v>
      </c>
      <c r="L57" s="82"/>
      <c r="M57" s="82" t="s">
        <v>145</v>
      </c>
      <c r="N57" s="115">
        <f>+N54*0.14</f>
        <v>2776197.8138505658</v>
      </c>
      <c r="O57" s="82"/>
      <c r="P57" s="82"/>
      <c r="Q57" s="82"/>
      <c r="R57" s="82"/>
    </row>
    <row r="58" spans="1:40">
      <c r="B58" s="82"/>
      <c r="D58" s="68" t="s">
        <v>146</v>
      </c>
      <c r="E58" s="68" t="s">
        <v>138</v>
      </c>
      <c r="F58" s="68" t="s">
        <v>147</v>
      </c>
      <c r="G58" s="68" t="str">
        <f t="shared" si="24"/>
        <v>01-Jan-2025 to 31-Dec-2025</v>
      </c>
      <c r="J58" s="82">
        <v>2025</v>
      </c>
      <c r="K58" s="82">
        <v>2026</v>
      </c>
      <c r="L58" s="82"/>
      <c r="M58" s="82" t="s">
        <v>148</v>
      </c>
      <c r="N58" s="115">
        <f>+N54-N57</f>
        <v>17053786.57079633</v>
      </c>
      <c r="O58" s="82"/>
      <c r="P58" s="82"/>
      <c r="Q58" s="82"/>
      <c r="R58" s="82"/>
    </row>
    <row r="59" spans="1:40" ht="18">
      <c r="B59" s="82"/>
      <c r="D59" s="68" t="s">
        <v>149</v>
      </c>
      <c r="E59" s="68" t="s">
        <v>138</v>
      </c>
      <c r="F59" s="68" t="s">
        <v>150</v>
      </c>
      <c r="G59" s="68" t="str">
        <f t="shared" si="24"/>
        <v>01-Jan-2026 to 31-Dec-2026</v>
      </c>
      <c r="J59" s="82">
        <v>2026</v>
      </c>
      <c r="K59" s="82">
        <v>2027</v>
      </c>
      <c r="L59" s="82"/>
      <c r="M59" s="82"/>
      <c r="N59" s="116"/>
      <c r="O59" s="82"/>
      <c r="P59" s="82"/>
      <c r="Q59" s="82"/>
      <c r="R59" s="82"/>
    </row>
    <row r="60" spans="1:40">
      <c r="B60" s="82"/>
      <c r="D60" s="68" t="s">
        <v>151</v>
      </c>
      <c r="E60" s="68" t="s">
        <v>138</v>
      </c>
      <c r="F60" s="68" t="s">
        <v>152</v>
      </c>
      <c r="G60" s="68" t="str">
        <f t="shared" si="24"/>
        <v>01-Jan-2027 to 31-Dec-2027</v>
      </c>
      <c r="J60" s="82">
        <v>2027</v>
      </c>
      <c r="K60" s="82">
        <v>2028</v>
      </c>
      <c r="L60" s="82"/>
      <c r="M60" s="82"/>
      <c r="O60" s="82"/>
      <c r="P60" s="82"/>
      <c r="Q60" s="82"/>
      <c r="R60" s="82"/>
    </row>
    <row r="61" spans="1:40">
      <c r="B61" s="82"/>
      <c r="D61" s="68" t="s">
        <v>153</v>
      </c>
      <c r="E61" s="68" t="s">
        <v>138</v>
      </c>
      <c r="F61" s="68" t="s">
        <v>154</v>
      </c>
      <c r="G61" s="68" t="str">
        <f t="shared" si="24"/>
        <v>01-Jan-2028 to 31-Dec-2028</v>
      </c>
      <c r="J61" s="82">
        <v>2028</v>
      </c>
      <c r="K61" s="82">
        <v>2029</v>
      </c>
      <c r="L61" s="82"/>
      <c r="M61" s="82"/>
      <c r="N61" s="115">
        <f>SUM(L4:L16)-N54</f>
        <v>3634466.556405466</v>
      </c>
      <c r="O61" s="82"/>
      <c r="P61" s="82"/>
      <c r="Q61" s="82"/>
      <c r="R61" s="82"/>
    </row>
    <row r="62" spans="1:40">
      <c r="B62" s="82"/>
      <c r="D62" s="68" t="s">
        <v>155</v>
      </c>
      <c r="E62" s="68" t="s">
        <v>138</v>
      </c>
      <c r="F62" s="68" t="s">
        <v>156</v>
      </c>
      <c r="G62" s="68" t="str">
        <f t="shared" si="24"/>
        <v>01-Jan-2029 to 31-Dec-2029</v>
      </c>
      <c r="J62" s="82">
        <v>2029</v>
      </c>
      <c r="K62" s="82">
        <v>2030</v>
      </c>
      <c r="L62" s="82"/>
      <c r="M62" s="82"/>
      <c r="N62" s="115">
        <f>N61+L16</f>
        <v>7921454.1803906374</v>
      </c>
      <c r="O62" s="82"/>
      <c r="P62" s="82"/>
      <c r="Q62" s="82"/>
      <c r="R62" s="82"/>
    </row>
    <row r="63" spans="1:40">
      <c r="B63" s="82"/>
      <c r="D63" s="68" t="s">
        <v>157</v>
      </c>
      <c r="E63" s="68" t="s">
        <v>138</v>
      </c>
      <c r="F63" s="68" t="s">
        <v>158</v>
      </c>
      <c r="G63" s="68" t="str">
        <f t="shared" si="24"/>
        <v>01-Jan-2030 to 31-Dec-2030</v>
      </c>
      <c r="J63" s="82">
        <v>2030</v>
      </c>
      <c r="K63" s="82">
        <v>2031</v>
      </c>
      <c r="L63" s="82"/>
      <c r="M63" s="82"/>
      <c r="N63" s="82"/>
      <c r="O63" s="82"/>
      <c r="P63" s="82"/>
      <c r="Q63" s="82"/>
      <c r="R63" s="82"/>
    </row>
    <row r="64" spans="1:40">
      <c r="B64" s="82"/>
      <c r="D64" s="68" t="s">
        <v>159</v>
      </c>
      <c r="E64" s="68" t="s">
        <v>138</v>
      </c>
      <c r="F64" s="68" t="s">
        <v>160</v>
      </c>
      <c r="G64" s="68" t="str">
        <f t="shared" si="24"/>
        <v>01-Jan-2031 to 31-Dec-2031</v>
      </c>
      <c r="J64" s="82">
        <v>2031</v>
      </c>
      <c r="K64" s="82">
        <v>2032</v>
      </c>
      <c r="L64" s="82"/>
      <c r="M64" s="82">
        <f>6/365</f>
        <v>1.643835616438356E-2</v>
      </c>
      <c r="N64" s="82"/>
      <c r="O64" s="82"/>
      <c r="P64" s="82"/>
      <c r="Q64" s="82"/>
      <c r="R64" s="82"/>
    </row>
    <row r="65" spans="2:18">
      <c r="B65" s="82"/>
      <c r="D65" s="68" t="s">
        <v>161</v>
      </c>
      <c r="E65" s="68" t="s">
        <v>138</v>
      </c>
      <c r="F65" s="68" t="s">
        <v>162</v>
      </c>
      <c r="G65" s="68" t="str">
        <f t="shared" si="24"/>
        <v>01-Jan-2032 to 31-Dec-2032</v>
      </c>
      <c r="J65" s="82">
        <v>2032</v>
      </c>
      <c r="K65" s="82">
        <v>2033</v>
      </c>
      <c r="L65" s="82"/>
      <c r="M65" s="82">
        <f>1+M64</f>
        <v>1.0164383561643835</v>
      </c>
      <c r="N65" s="82"/>
      <c r="O65" s="82"/>
      <c r="P65" s="82"/>
      <c r="Q65" s="82"/>
      <c r="R65" s="82"/>
    </row>
    <row r="66" spans="2:18">
      <c r="B66" s="82"/>
      <c r="D66" s="68" t="s">
        <v>163</v>
      </c>
      <c r="E66" s="68" t="s">
        <v>138</v>
      </c>
      <c r="F66" s="68" t="s">
        <v>164</v>
      </c>
      <c r="G66" s="68" t="str">
        <f t="shared" si="24"/>
        <v>01-Jan-2033 to 31-Dec-2033</v>
      </c>
      <c r="J66" s="82">
        <v>2033</v>
      </c>
      <c r="K66" s="82">
        <v>2034</v>
      </c>
      <c r="L66" s="82"/>
      <c r="M66" s="82">
        <f>1463/M65</f>
        <v>1439.3396226415095</v>
      </c>
      <c r="N66" s="82"/>
      <c r="O66" s="82"/>
      <c r="P66" s="82"/>
      <c r="Q66" s="82"/>
      <c r="R66" s="82"/>
    </row>
    <row r="67" spans="2:18">
      <c r="B67" s="82"/>
      <c r="D67" s="68" t="s">
        <v>165</v>
      </c>
      <c r="E67" s="68" t="s">
        <v>138</v>
      </c>
      <c r="F67" s="68" t="s">
        <v>166</v>
      </c>
      <c r="G67" s="68" t="str">
        <f t="shared" si="24"/>
        <v>01-Jan-2034 to 31-Dec-2034</v>
      </c>
      <c r="J67" s="82">
        <v>2034</v>
      </c>
      <c r="K67" s="82">
        <v>2035</v>
      </c>
      <c r="L67" s="82"/>
      <c r="M67" s="82"/>
      <c r="N67" s="82"/>
      <c r="O67" s="82"/>
      <c r="P67" s="82"/>
      <c r="Q67" s="82"/>
      <c r="R67" s="82"/>
    </row>
    <row r="68" spans="2:18">
      <c r="B68" s="82"/>
      <c r="D68" s="68" t="s">
        <v>167</v>
      </c>
      <c r="E68" s="68" t="s">
        <v>138</v>
      </c>
      <c r="F68" s="68" t="s">
        <v>168</v>
      </c>
      <c r="G68" s="68" t="str">
        <f t="shared" si="24"/>
        <v>01-Jan-2035 to 31-Dec-2035</v>
      </c>
      <c r="J68" s="82">
        <v>2035</v>
      </c>
      <c r="K68" s="82">
        <v>2036</v>
      </c>
      <c r="L68" s="82"/>
      <c r="M68" s="82"/>
      <c r="N68" s="82"/>
      <c r="O68" s="82"/>
      <c r="P68" s="82"/>
      <c r="Q68" s="82"/>
      <c r="R68" s="82"/>
    </row>
    <row r="69" spans="2:18">
      <c r="B69" s="82"/>
      <c r="D69" s="68" t="s">
        <v>169</v>
      </c>
      <c r="E69" s="68" t="s">
        <v>138</v>
      </c>
      <c r="F69" s="68" t="s">
        <v>170</v>
      </c>
      <c r="G69" s="68" t="str">
        <f t="shared" si="24"/>
        <v>01-Jan-2036 to 31-Dec-2036</v>
      </c>
      <c r="J69" s="82">
        <v>2036</v>
      </c>
      <c r="K69" s="82">
        <v>2037</v>
      </c>
      <c r="L69" s="82"/>
      <c r="M69" s="82"/>
      <c r="N69" s="82"/>
      <c r="O69" s="82"/>
      <c r="P69" s="82"/>
      <c r="Q69" s="82"/>
      <c r="R69" s="82"/>
    </row>
    <row r="70" spans="2:18">
      <c r="B70" s="82"/>
      <c r="D70" s="68" t="s">
        <v>171</v>
      </c>
      <c r="E70" s="68" t="s">
        <v>138</v>
      </c>
      <c r="F70" s="68" t="s">
        <v>172</v>
      </c>
      <c r="G70" s="68" t="str">
        <f t="shared" si="24"/>
        <v>01-Jan-2037 to 31-Dec-2037</v>
      </c>
      <c r="J70" s="82">
        <v>2037</v>
      </c>
      <c r="K70" s="82">
        <v>2038</v>
      </c>
      <c r="L70" s="82"/>
      <c r="M70" s="82"/>
      <c r="N70" s="82"/>
      <c r="O70" s="82"/>
      <c r="P70" s="82"/>
      <c r="Q70" s="82"/>
      <c r="R70" s="82"/>
    </row>
    <row r="71" spans="2:18">
      <c r="B71" s="82"/>
      <c r="D71" s="68" t="s">
        <v>173</v>
      </c>
      <c r="E71" s="68" t="s">
        <v>138</v>
      </c>
      <c r="F71" s="68" t="s">
        <v>174</v>
      </c>
      <c r="G71" s="68" t="str">
        <f t="shared" si="24"/>
        <v>01-Jan-2038 to 31-Dec-2038</v>
      </c>
      <c r="J71" s="82">
        <v>2038</v>
      </c>
      <c r="K71" s="82">
        <v>2039</v>
      </c>
      <c r="L71" s="82"/>
      <c r="M71" s="82"/>
      <c r="N71" s="82"/>
      <c r="O71" s="82"/>
      <c r="P71" s="82"/>
      <c r="Q71" s="82"/>
      <c r="R71" s="82"/>
    </row>
    <row r="72" spans="2:18">
      <c r="B72" s="82"/>
      <c r="D72" s="68" t="s">
        <v>175</v>
      </c>
      <c r="E72" s="68" t="s">
        <v>138</v>
      </c>
      <c r="F72" s="68" t="s">
        <v>176</v>
      </c>
      <c r="G72" s="68" t="str">
        <f t="shared" si="24"/>
        <v>01-Jan-2039 to 31-Dec-2039</v>
      </c>
      <c r="J72" s="82">
        <v>2039</v>
      </c>
      <c r="K72" s="82">
        <v>2040</v>
      </c>
      <c r="L72" s="82"/>
      <c r="M72" s="82"/>
      <c r="N72" s="82"/>
      <c r="O72" s="82"/>
      <c r="P72" s="82"/>
      <c r="Q72" s="82"/>
      <c r="R72" s="82"/>
    </row>
    <row r="73" spans="2:18">
      <c r="B73" s="82"/>
      <c r="D73" s="68" t="s">
        <v>177</v>
      </c>
      <c r="E73" s="68" t="s">
        <v>138</v>
      </c>
      <c r="F73" s="68" t="s">
        <v>178</v>
      </c>
      <c r="G73" s="68" t="str">
        <f t="shared" si="24"/>
        <v>01-Jan-2040 to 31-Dec-2040</v>
      </c>
      <c r="J73" s="82">
        <v>2040</v>
      </c>
      <c r="K73" s="82">
        <v>2041</v>
      </c>
      <c r="L73" s="82"/>
      <c r="M73" s="82"/>
      <c r="N73" s="82"/>
      <c r="O73" s="82"/>
      <c r="P73" s="82"/>
      <c r="Q73" s="82"/>
      <c r="R73" s="82"/>
    </row>
    <row r="74" spans="2:18">
      <c r="B74" s="82"/>
      <c r="D74" s="68" t="s">
        <v>179</v>
      </c>
      <c r="E74" s="68" t="s">
        <v>138</v>
      </c>
      <c r="F74" s="68" t="s">
        <v>180</v>
      </c>
      <c r="G74" s="68" t="str">
        <f t="shared" si="24"/>
        <v>01-Jan-2041 to 31-Dec-2041</v>
      </c>
      <c r="J74" s="82">
        <v>2041</v>
      </c>
      <c r="K74" s="82">
        <v>2042</v>
      </c>
      <c r="L74" s="82"/>
      <c r="M74" s="82"/>
      <c r="N74" s="82"/>
      <c r="O74" s="82"/>
      <c r="P74" s="82"/>
      <c r="Q74" s="82"/>
      <c r="R74" s="82"/>
    </row>
    <row r="75" spans="2:18">
      <c r="B75" s="82"/>
      <c r="D75" s="68" t="s">
        <v>181</v>
      </c>
      <c r="E75" s="68" t="s">
        <v>138</v>
      </c>
      <c r="F75" s="68" t="s">
        <v>182</v>
      </c>
      <c r="G75" s="68" t="str">
        <f t="shared" si="24"/>
        <v>01-Jan-2042 to 31-Dec-2042</v>
      </c>
      <c r="J75" s="82">
        <v>2042</v>
      </c>
      <c r="K75" s="82">
        <v>2043</v>
      </c>
      <c r="L75" s="82"/>
      <c r="M75" s="82"/>
      <c r="N75" s="82"/>
      <c r="O75" s="82"/>
      <c r="P75" s="82"/>
      <c r="Q75" s="82"/>
      <c r="R75" s="82"/>
    </row>
    <row r="76" spans="2:18">
      <c r="B76" s="82"/>
      <c r="D76" s="68" t="s">
        <v>183</v>
      </c>
      <c r="E76" s="68" t="s">
        <v>138</v>
      </c>
      <c r="F76" s="68" t="s">
        <v>184</v>
      </c>
      <c r="G76" s="68" t="str">
        <f t="shared" si="24"/>
        <v>01-Jan-2043 to 31-Dec-2043</v>
      </c>
      <c r="J76" s="82">
        <v>2043</v>
      </c>
      <c r="K76" s="82">
        <v>2044</v>
      </c>
      <c r="L76" s="82"/>
      <c r="M76" s="82"/>
      <c r="N76" s="82"/>
      <c r="O76" s="82"/>
      <c r="P76" s="82"/>
      <c r="Q76" s="82"/>
      <c r="R76" s="82"/>
    </row>
    <row r="77" spans="2:18">
      <c r="B77" s="82"/>
      <c r="D77" s="68" t="s">
        <v>185</v>
      </c>
      <c r="E77" s="68" t="s">
        <v>138</v>
      </c>
      <c r="F77" s="68" t="s">
        <v>186</v>
      </c>
      <c r="G77" s="68" t="str">
        <f t="shared" si="24"/>
        <v>01-Jan-2044 to 31-Dec-2044</v>
      </c>
      <c r="J77" s="82">
        <v>2044</v>
      </c>
      <c r="K77" s="82">
        <v>2045</v>
      </c>
      <c r="L77" s="82"/>
      <c r="M77" s="82"/>
      <c r="N77" s="82"/>
      <c r="O77" s="82"/>
      <c r="P77" s="82"/>
      <c r="Q77" s="82"/>
      <c r="R77" s="82"/>
    </row>
    <row r="78" spans="2:18">
      <c r="B78" s="82"/>
      <c r="D78" s="68" t="s">
        <v>187</v>
      </c>
      <c r="E78" s="68" t="s">
        <v>138</v>
      </c>
      <c r="F78" s="68" t="s">
        <v>188</v>
      </c>
      <c r="G78" s="68" t="str">
        <f t="shared" si="24"/>
        <v>01-Jan-2045 to 31-Dec-2045</v>
      </c>
      <c r="J78" s="82">
        <v>2045</v>
      </c>
      <c r="K78" s="82">
        <v>2046</v>
      </c>
      <c r="L78" s="82"/>
      <c r="M78" s="82"/>
      <c r="N78" s="82"/>
      <c r="O78" s="82"/>
      <c r="P78" s="82"/>
      <c r="Q78" s="82"/>
      <c r="R78" s="82"/>
    </row>
    <row r="79" spans="2:18">
      <c r="B79" s="82"/>
      <c r="D79" s="68" t="s">
        <v>189</v>
      </c>
      <c r="E79" s="68" t="s">
        <v>138</v>
      </c>
      <c r="F79" s="68" t="s">
        <v>190</v>
      </c>
      <c r="G79" s="68" t="str">
        <f t="shared" si="24"/>
        <v>01-Jan-2046 to 31-Dec-2046</v>
      </c>
      <c r="J79" s="82">
        <v>2046</v>
      </c>
      <c r="K79" s="82">
        <v>2047</v>
      </c>
      <c r="L79" s="82"/>
      <c r="M79" s="82"/>
      <c r="N79" s="82"/>
      <c r="O79" s="82"/>
      <c r="P79" s="82"/>
      <c r="Q79" s="82"/>
      <c r="R79" s="82"/>
    </row>
    <row r="80" spans="2:18">
      <c r="B80" s="82"/>
      <c r="D80" s="68" t="s">
        <v>191</v>
      </c>
      <c r="E80" s="68" t="s">
        <v>138</v>
      </c>
      <c r="F80" s="68" t="s">
        <v>192</v>
      </c>
      <c r="G80" s="68" t="str">
        <f t="shared" si="24"/>
        <v>01-Jan-2047 to 31-Dec-2047</v>
      </c>
      <c r="J80" s="82">
        <v>2047</v>
      </c>
      <c r="K80" s="82">
        <v>2048</v>
      </c>
      <c r="L80" s="82"/>
      <c r="M80" s="82"/>
      <c r="N80" s="82"/>
      <c r="O80" s="82"/>
      <c r="P80" s="82"/>
      <c r="Q80" s="82"/>
      <c r="R80" s="82"/>
    </row>
    <row r="81" spans="2:18">
      <c r="B81" s="82"/>
      <c r="D81" s="68" t="s">
        <v>193</v>
      </c>
      <c r="E81" s="68" t="s">
        <v>138</v>
      </c>
      <c r="F81" s="68" t="s">
        <v>194</v>
      </c>
      <c r="G81" s="68" t="str">
        <f t="shared" si="24"/>
        <v>01-Jan-2048 to 31-Dec-2048</v>
      </c>
      <c r="J81" s="82">
        <v>2048</v>
      </c>
      <c r="K81" s="82">
        <v>2049</v>
      </c>
      <c r="L81" s="82"/>
      <c r="M81" s="82"/>
      <c r="N81" s="82"/>
      <c r="O81" s="82"/>
      <c r="P81" s="82"/>
      <c r="Q81" s="82"/>
      <c r="R81" s="82"/>
    </row>
    <row r="82" spans="2:18">
      <c r="B82" s="82"/>
      <c r="D82" s="68" t="s">
        <v>195</v>
      </c>
      <c r="E82" s="68" t="s">
        <v>138</v>
      </c>
      <c r="F82" s="68" t="s">
        <v>196</v>
      </c>
      <c r="G82" s="68" t="str">
        <f t="shared" si="24"/>
        <v>01-Jan-2049 to 31-Dec-2049</v>
      </c>
      <c r="J82" s="82">
        <v>2049</v>
      </c>
      <c r="K82" s="82">
        <v>2050</v>
      </c>
      <c r="L82" s="82"/>
      <c r="M82" s="82"/>
      <c r="N82" s="82"/>
      <c r="O82" s="82"/>
      <c r="P82" s="82"/>
      <c r="Q82" s="82"/>
      <c r="R82" s="82"/>
    </row>
    <row r="83" spans="2:18">
      <c r="B83" s="82"/>
      <c r="D83" s="68" t="s">
        <v>197</v>
      </c>
      <c r="E83" s="68" t="s">
        <v>138</v>
      </c>
      <c r="F83" s="68" t="s">
        <v>198</v>
      </c>
      <c r="G83" s="68" t="str">
        <f t="shared" si="24"/>
        <v>01-Jan-2050 to 31-Dec-2050</v>
      </c>
      <c r="J83" s="82">
        <v>2050</v>
      </c>
      <c r="K83" s="82">
        <v>2051</v>
      </c>
      <c r="L83" s="82"/>
      <c r="M83" s="82"/>
      <c r="N83" s="82"/>
      <c r="O83" s="82"/>
      <c r="P83" s="82"/>
      <c r="Q83" s="82"/>
      <c r="R83" s="82"/>
    </row>
    <row r="84" spans="2:18">
      <c r="B84" s="82"/>
      <c r="D84" s="68" t="s">
        <v>199</v>
      </c>
      <c r="E84" s="68" t="s">
        <v>138</v>
      </c>
      <c r="F84" s="68" t="s">
        <v>200</v>
      </c>
      <c r="G84" s="68" t="str">
        <f t="shared" si="24"/>
        <v>01-Jan-2051 to 31-Dec-2051</v>
      </c>
      <c r="J84" s="82">
        <v>2051</v>
      </c>
      <c r="K84" s="82">
        <v>2052</v>
      </c>
      <c r="L84" s="82"/>
      <c r="M84" s="82"/>
      <c r="N84" s="82"/>
      <c r="O84" s="82"/>
      <c r="P84" s="82"/>
      <c r="Q84" s="82"/>
      <c r="R84" s="82"/>
    </row>
    <row r="85" spans="2:18">
      <c r="B85" s="82"/>
      <c r="D85" s="68" t="s">
        <v>201</v>
      </c>
      <c r="E85" s="68" t="s">
        <v>138</v>
      </c>
      <c r="F85" s="68" t="s">
        <v>202</v>
      </c>
      <c r="G85" s="68" t="str">
        <f t="shared" si="24"/>
        <v>01-Jan-2052 to 31-Dec-2052</v>
      </c>
      <c r="J85" s="82">
        <v>2052</v>
      </c>
      <c r="K85" s="82">
        <v>2053</v>
      </c>
      <c r="L85" s="82"/>
      <c r="M85" s="82"/>
      <c r="N85" s="82"/>
      <c r="O85" s="82"/>
      <c r="P85" s="82"/>
      <c r="Q85" s="82"/>
      <c r="R85" s="82"/>
    </row>
    <row r="86" spans="2:18">
      <c r="B86" s="82"/>
      <c r="D86" s="68" t="s">
        <v>203</v>
      </c>
      <c r="E86" s="68" t="s">
        <v>138</v>
      </c>
      <c r="F86" s="68" t="s">
        <v>204</v>
      </c>
      <c r="G86" s="68" t="str">
        <f t="shared" si="24"/>
        <v>01-Jan-2053 to 31-Dec-2053</v>
      </c>
      <c r="J86" s="82">
        <v>2053</v>
      </c>
      <c r="K86" s="82">
        <v>2054</v>
      </c>
      <c r="L86" s="82"/>
      <c r="M86" s="82"/>
      <c r="N86" s="82"/>
      <c r="O86" s="82"/>
      <c r="P86" s="82"/>
      <c r="Q86" s="82"/>
      <c r="R86" s="82"/>
    </row>
    <row r="87" spans="2:18">
      <c r="B87" s="82"/>
      <c r="D87" s="68" t="s">
        <v>205</v>
      </c>
      <c r="E87" s="68" t="s">
        <v>138</v>
      </c>
      <c r="F87" s="68" t="s">
        <v>206</v>
      </c>
      <c r="G87" s="68" t="str">
        <f t="shared" si="24"/>
        <v>01-Jan-2054 to 31-Dec-2054</v>
      </c>
      <c r="J87" s="82">
        <v>2054</v>
      </c>
      <c r="K87" s="82">
        <v>2055</v>
      </c>
      <c r="L87" s="82"/>
      <c r="M87" s="82"/>
      <c r="N87" s="82"/>
      <c r="O87" s="82"/>
      <c r="P87" s="82"/>
      <c r="Q87" s="82"/>
      <c r="R87" s="82"/>
    </row>
    <row r="88" spans="2:18">
      <c r="B88" s="82"/>
      <c r="D88" s="68" t="s">
        <v>207</v>
      </c>
      <c r="E88" s="68" t="s">
        <v>138</v>
      </c>
      <c r="F88" s="68" t="s">
        <v>208</v>
      </c>
      <c r="G88" s="68" t="str">
        <f t="shared" si="24"/>
        <v>01-Jan-2055 to 31-Dec-2055</v>
      </c>
      <c r="J88" s="82">
        <v>2055</v>
      </c>
      <c r="K88" s="82">
        <v>2056</v>
      </c>
      <c r="L88" s="82"/>
      <c r="M88" s="82"/>
      <c r="N88" s="82"/>
      <c r="O88" s="82"/>
      <c r="P88" s="82"/>
      <c r="Q88" s="82"/>
      <c r="R88" s="82"/>
    </row>
    <row r="89" spans="2:18">
      <c r="B89" s="82"/>
      <c r="D89" s="68" t="s">
        <v>209</v>
      </c>
      <c r="E89" s="68" t="s">
        <v>138</v>
      </c>
      <c r="F89" s="68" t="s">
        <v>210</v>
      </c>
      <c r="G89" s="68" t="str">
        <f t="shared" si="24"/>
        <v>01-Jan-2056 to 31-Dec-2056</v>
      </c>
      <c r="J89" s="82">
        <v>2056</v>
      </c>
      <c r="K89" s="82">
        <v>2057</v>
      </c>
      <c r="L89" s="82"/>
      <c r="M89" s="82"/>
      <c r="N89" s="82"/>
      <c r="O89" s="82"/>
      <c r="P89" s="82"/>
      <c r="Q89" s="82"/>
      <c r="R89" s="82"/>
    </row>
    <row r="90" spans="2:18">
      <c r="B90" s="82"/>
      <c r="D90" s="68" t="s">
        <v>211</v>
      </c>
      <c r="E90" s="68" t="s">
        <v>138</v>
      </c>
      <c r="F90" s="68" t="s">
        <v>212</v>
      </c>
      <c r="G90" s="68" t="str">
        <f t="shared" si="24"/>
        <v>01-Jan-2057 to 31-Dec-2057</v>
      </c>
      <c r="J90" s="82">
        <v>2057</v>
      </c>
      <c r="K90" s="82">
        <v>2058</v>
      </c>
      <c r="L90" s="82"/>
      <c r="M90" s="82"/>
      <c r="N90" s="82"/>
      <c r="O90" s="82"/>
      <c r="P90" s="82"/>
      <c r="Q90" s="82"/>
      <c r="R90" s="82"/>
    </row>
    <row r="91" spans="2:18">
      <c r="B91" s="82"/>
      <c r="D91" s="68" t="s">
        <v>213</v>
      </c>
      <c r="E91" s="68" t="s">
        <v>138</v>
      </c>
      <c r="F91" s="68" t="s">
        <v>214</v>
      </c>
      <c r="G91" s="68" t="str">
        <f t="shared" si="24"/>
        <v>01-Jan-2058 to 31-Dec-2058</v>
      </c>
      <c r="J91" s="82">
        <v>2058</v>
      </c>
      <c r="K91" s="82">
        <v>2059</v>
      </c>
      <c r="L91" s="82"/>
      <c r="M91" s="82"/>
      <c r="N91" s="82"/>
      <c r="O91" s="82"/>
      <c r="P91" s="82"/>
      <c r="Q91" s="82"/>
      <c r="R91" s="82"/>
    </row>
    <row r="92" spans="2:18">
      <c r="B92" s="82"/>
      <c r="D92" s="68" t="s">
        <v>215</v>
      </c>
      <c r="E92" s="68" t="s">
        <v>138</v>
      </c>
      <c r="F92" s="68" t="s">
        <v>216</v>
      </c>
      <c r="G92" s="68" t="str">
        <f t="shared" si="24"/>
        <v>01-Jan-2059 to 31-Dec-2059</v>
      </c>
      <c r="J92" s="82">
        <v>2059</v>
      </c>
      <c r="K92" s="82">
        <v>2060</v>
      </c>
      <c r="L92" s="82"/>
      <c r="M92" s="82"/>
      <c r="N92" s="82"/>
      <c r="O92" s="82"/>
      <c r="P92" s="82"/>
      <c r="Q92" s="82"/>
      <c r="R92" s="82"/>
    </row>
    <row r="93" spans="2:18">
      <c r="B93" s="82"/>
      <c r="D93" s="68" t="s">
        <v>217</v>
      </c>
      <c r="E93" s="68" t="s">
        <v>138</v>
      </c>
      <c r="F93" s="68" t="s">
        <v>218</v>
      </c>
      <c r="G93" s="68" t="str">
        <f t="shared" si="24"/>
        <v>01-Jan-2060 to 31-Dec-2060</v>
      </c>
      <c r="J93" s="82">
        <v>2060</v>
      </c>
      <c r="K93" s="82">
        <v>2061</v>
      </c>
      <c r="L93" s="82"/>
      <c r="M93" s="82"/>
      <c r="N93" s="82"/>
      <c r="O93" s="82"/>
      <c r="P93" s="82"/>
      <c r="Q93" s="82"/>
      <c r="R93" s="82"/>
    </row>
    <row r="94" spans="2:18">
      <c r="B94" s="82"/>
      <c r="D94" s="68" t="s">
        <v>219</v>
      </c>
      <c r="E94" s="68" t="s">
        <v>138</v>
      </c>
      <c r="F94" s="68" t="s">
        <v>220</v>
      </c>
      <c r="G94" s="68" t="str">
        <f t="shared" si="24"/>
        <v>01-Jan-2061 to 31-Dec-2061</v>
      </c>
      <c r="J94" s="82">
        <v>2061</v>
      </c>
      <c r="K94" s="82">
        <v>2062</v>
      </c>
      <c r="L94" s="82"/>
      <c r="M94" s="82"/>
      <c r="N94" s="82"/>
      <c r="O94" s="82"/>
      <c r="P94" s="82"/>
      <c r="Q94" s="82"/>
      <c r="R94" s="82"/>
    </row>
    <row r="95" spans="2:18">
      <c r="D95" s="68" t="s">
        <v>221</v>
      </c>
      <c r="E95" s="68" t="s">
        <v>138</v>
      </c>
      <c r="F95" s="68" t="s">
        <v>222</v>
      </c>
      <c r="G95" s="68" t="str">
        <f t="shared" si="24"/>
        <v>01-Jan-2062 to 21-Aug-2062</v>
      </c>
    </row>
  </sheetData>
  <pageMargins left="0.7" right="0.7" top="0.75" bottom="0.75" header="0.3" footer="0.3"/>
  <pageSetup orientation="portrait" horizontalDpi="4294967293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2A7D0-0751-424A-A65E-35B353A3862E}">
  <sheetPr>
    <tabColor theme="7" tint="0.59999389629810485"/>
  </sheetPr>
  <dimension ref="B1:AQ78"/>
  <sheetViews>
    <sheetView topLeftCell="A55" zoomScale="70" zoomScaleNormal="70" workbookViewId="0">
      <selection activeCell="L78" sqref="L78"/>
    </sheetView>
  </sheetViews>
  <sheetFormatPr defaultColWidth="9.88671875" defaultRowHeight="19.5"/>
  <cols>
    <col min="1" max="1" width="9.88671875" style="166"/>
    <col min="2" max="2" width="30.44140625" style="198" customWidth="1"/>
    <col min="3" max="5" width="10" style="166" bestFit="1" customWidth="1"/>
    <col min="6" max="10" width="10.44140625" style="166" bestFit="1" customWidth="1"/>
    <col min="11" max="11" width="10.88671875" style="166" bestFit="1" customWidth="1"/>
    <col min="12" max="12" width="11.5546875" style="166" customWidth="1"/>
    <col min="13" max="42" width="10.44140625" style="166" bestFit="1" customWidth="1"/>
    <col min="43" max="43" width="11" style="166" bestFit="1" customWidth="1"/>
    <col min="44" max="16384" width="9.88671875" style="166"/>
  </cols>
  <sheetData>
    <row r="1" spans="2:43">
      <c r="C1" s="167" t="s">
        <v>223</v>
      </c>
      <c r="D1" s="168" t="s">
        <v>224</v>
      </c>
      <c r="E1" s="169" t="s">
        <v>60</v>
      </c>
    </row>
    <row r="2" spans="2:43">
      <c r="B2" s="199"/>
      <c r="C2" s="170"/>
    </row>
    <row r="3" spans="2:43">
      <c r="B3" s="200" t="s">
        <v>223</v>
      </c>
    </row>
    <row r="4" spans="2:43">
      <c r="B4" s="201" t="s">
        <v>225</v>
      </c>
    </row>
    <row r="6" spans="2:43">
      <c r="B6" s="202" t="s">
        <v>226</v>
      </c>
      <c r="C6" s="173">
        <v>2022</v>
      </c>
      <c r="D6" s="173">
        <v>2023</v>
      </c>
      <c r="E6" s="173">
        <v>2024</v>
      </c>
      <c r="F6" s="173">
        <v>2025</v>
      </c>
      <c r="G6" s="173">
        <v>2026</v>
      </c>
      <c r="H6" s="173">
        <v>2027</v>
      </c>
      <c r="I6" s="173">
        <v>2028</v>
      </c>
      <c r="J6" s="173">
        <v>2029</v>
      </c>
      <c r="K6" s="173">
        <v>2030</v>
      </c>
      <c r="L6" s="173">
        <v>2031</v>
      </c>
      <c r="M6" s="173">
        <v>2032</v>
      </c>
      <c r="N6" s="173">
        <v>2033</v>
      </c>
      <c r="O6" s="173">
        <v>2034</v>
      </c>
      <c r="P6" s="173">
        <v>2035</v>
      </c>
      <c r="Q6" s="173">
        <v>2036</v>
      </c>
      <c r="R6" s="173">
        <v>2037</v>
      </c>
      <c r="S6" s="173">
        <v>2038</v>
      </c>
      <c r="T6" s="173">
        <v>2039</v>
      </c>
      <c r="U6" s="173">
        <v>2040</v>
      </c>
      <c r="V6" s="173">
        <v>2041</v>
      </c>
      <c r="W6" s="173">
        <v>2042</v>
      </c>
      <c r="X6" s="173">
        <v>2043</v>
      </c>
      <c r="Y6" s="173">
        <v>2044</v>
      </c>
      <c r="Z6" s="173">
        <v>2045</v>
      </c>
      <c r="AA6" s="173">
        <v>2046</v>
      </c>
      <c r="AB6" s="173">
        <v>2047</v>
      </c>
      <c r="AC6" s="173">
        <v>2048</v>
      </c>
      <c r="AD6" s="173">
        <v>2049</v>
      </c>
      <c r="AE6" s="173">
        <v>2050</v>
      </c>
      <c r="AF6" s="173">
        <v>2051</v>
      </c>
      <c r="AG6" s="173">
        <v>2052</v>
      </c>
      <c r="AH6" s="173">
        <v>2053</v>
      </c>
      <c r="AI6" s="173">
        <v>2054</v>
      </c>
      <c r="AJ6" s="173">
        <v>2055</v>
      </c>
      <c r="AK6" s="173">
        <v>2056</v>
      </c>
      <c r="AL6" s="173">
        <v>2057</v>
      </c>
      <c r="AM6" s="173">
        <v>2058</v>
      </c>
      <c r="AN6" s="173">
        <v>2059</v>
      </c>
      <c r="AO6" s="173">
        <v>2060</v>
      </c>
      <c r="AP6" s="173">
        <v>2061</v>
      </c>
    </row>
    <row r="7" spans="2:43" hidden="1">
      <c r="B7" s="203" t="s">
        <v>227</v>
      </c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</row>
    <row r="8" spans="2:43" hidden="1">
      <c r="B8" s="203" t="s">
        <v>228</v>
      </c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</row>
    <row r="9" spans="2:43" s="179" customFormat="1">
      <c r="B9" s="202" t="s">
        <v>229</v>
      </c>
      <c r="C9" s="176">
        <v>36039</v>
      </c>
      <c r="D9" s="176">
        <v>630000</v>
      </c>
      <c r="E9" s="176">
        <v>2924999.9999999991</v>
      </c>
      <c r="F9" s="176">
        <v>4050000</v>
      </c>
      <c r="G9" s="176">
        <v>5154545.4545454541</v>
      </c>
      <c r="H9" s="176">
        <v>6627272.7272727257</v>
      </c>
      <c r="I9" s="176">
        <v>7363636.3636363624</v>
      </c>
      <c r="J9" s="176">
        <v>7363636.3636363624</v>
      </c>
      <c r="K9" s="176">
        <v>7363636.3636363624</v>
      </c>
      <c r="L9" s="176">
        <v>0</v>
      </c>
      <c r="M9" s="176">
        <v>0</v>
      </c>
      <c r="N9" s="176">
        <v>0</v>
      </c>
      <c r="O9" s="176">
        <v>0</v>
      </c>
      <c r="P9" s="176">
        <v>0</v>
      </c>
      <c r="Q9" s="177">
        <v>0</v>
      </c>
      <c r="R9" s="177">
        <v>0</v>
      </c>
      <c r="S9" s="177">
        <v>0</v>
      </c>
      <c r="T9" s="177">
        <v>0</v>
      </c>
      <c r="U9" s="177">
        <v>0</v>
      </c>
      <c r="V9" s="177">
        <v>0</v>
      </c>
      <c r="W9" s="177">
        <v>0</v>
      </c>
      <c r="X9" s="177">
        <v>0</v>
      </c>
      <c r="Y9" s="177">
        <v>0</v>
      </c>
      <c r="Z9" s="177">
        <v>0</v>
      </c>
      <c r="AA9" s="177">
        <v>0</v>
      </c>
      <c r="AB9" s="177">
        <v>0</v>
      </c>
      <c r="AC9" s="177">
        <v>0</v>
      </c>
      <c r="AD9" s="177">
        <v>0</v>
      </c>
      <c r="AE9" s="177">
        <v>0</v>
      </c>
      <c r="AF9" s="177">
        <v>0</v>
      </c>
      <c r="AG9" s="177">
        <v>0</v>
      </c>
      <c r="AH9" s="177">
        <v>0</v>
      </c>
      <c r="AI9" s="177">
        <v>0</v>
      </c>
      <c r="AJ9" s="177">
        <v>0</v>
      </c>
      <c r="AK9" s="177">
        <v>0</v>
      </c>
      <c r="AL9" s="177">
        <v>0</v>
      </c>
      <c r="AM9" s="177">
        <v>0</v>
      </c>
      <c r="AN9" s="177">
        <v>0</v>
      </c>
      <c r="AO9" s="177">
        <v>0</v>
      </c>
      <c r="AP9" s="177">
        <v>0</v>
      </c>
      <c r="AQ9" s="178">
        <f>+SUM(C9:AP9)</f>
        <v>41513766.272727266</v>
      </c>
    </row>
    <row r="10" spans="2:43" s="172" customFormat="1">
      <c r="B10" s="204" t="s">
        <v>230</v>
      </c>
      <c r="C10" s="180">
        <f>+C9</f>
        <v>36039</v>
      </c>
      <c r="D10" s="180">
        <f>+C10+D9</f>
        <v>666039</v>
      </c>
      <c r="E10" s="180">
        <f>+D10+E9</f>
        <v>3591038.9999999991</v>
      </c>
      <c r="F10" s="180">
        <f>+E10+F9</f>
        <v>7641038.9999999991</v>
      </c>
      <c r="G10" s="180">
        <f>+F10+G9</f>
        <v>12795584.454545453</v>
      </c>
      <c r="H10" s="180">
        <f>+G10+H9</f>
        <v>19422857.18181818</v>
      </c>
      <c r="I10" s="180">
        <f t="shared" ref="I10:AP10" si="0">+H10+I9</f>
        <v>26786493.545454543</v>
      </c>
      <c r="J10" s="180">
        <f t="shared" si="0"/>
        <v>34150129.909090906</v>
      </c>
      <c r="K10" s="180">
        <f t="shared" si="0"/>
        <v>41513766.272727266</v>
      </c>
      <c r="L10" s="180">
        <f t="shared" si="0"/>
        <v>41513766.272727266</v>
      </c>
      <c r="M10" s="180">
        <f t="shared" si="0"/>
        <v>41513766.272727266</v>
      </c>
      <c r="N10" s="180">
        <f t="shared" si="0"/>
        <v>41513766.272727266</v>
      </c>
      <c r="O10" s="180">
        <f t="shared" si="0"/>
        <v>41513766.272727266</v>
      </c>
      <c r="P10" s="180">
        <f t="shared" si="0"/>
        <v>41513766.272727266</v>
      </c>
      <c r="Q10" s="180">
        <f t="shared" si="0"/>
        <v>41513766.272727266</v>
      </c>
      <c r="R10" s="180">
        <f t="shared" si="0"/>
        <v>41513766.272727266</v>
      </c>
      <c r="S10" s="180">
        <f t="shared" si="0"/>
        <v>41513766.272727266</v>
      </c>
      <c r="T10" s="180">
        <f t="shared" si="0"/>
        <v>41513766.272727266</v>
      </c>
      <c r="U10" s="180">
        <f t="shared" si="0"/>
        <v>41513766.272727266</v>
      </c>
      <c r="V10" s="180">
        <f t="shared" si="0"/>
        <v>41513766.272727266</v>
      </c>
      <c r="W10" s="180">
        <f t="shared" si="0"/>
        <v>41513766.272727266</v>
      </c>
      <c r="X10" s="180">
        <f t="shared" si="0"/>
        <v>41513766.272727266</v>
      </c>
      <c r="Y10" s="180">
        <f t="shared" si="0"/>
        <v>41513766.272727266</v>
      </c>
      <c r="Z10" s="180">
        <f t="shared" si="0"/>
        <v>41513766.272727266</v>
      </c>
      <c r="AA10" s="180">
        <f t="shared" si="0"/>
        <v>41513766.272727266</v>
      </c>
      <c r="AB10" s="180">
        <f t="shared" si="0"/>
        <v>41513766.272727266</v>
      </c>
      <c r="AC10" s="180">
        <f t="shared" si="0"/>
        <v>41513766.272727266</v>
      </c>
      <c r="AD10" s="180">
        <f t="shared" si="0"/>
        <v>41513766.272727266</v>
      </c>
      <c r="AE10" s="180">
        <f t="shared" si="0"/>
        <v>41513766.272727266</v>
      </c>
      <c r="AF10" s="180">
        <f t="shared" si="0"/>
        <v>41513766.272727266</v>
      </c>
      <c r="AG10" s="180">
        <f t="shared" si="0"/>
        <v>41513766.272727266</v>
      </c>
      <c r="AH10" s="180">
        <f t="shared" si="0"/>
        <v>41513766.272727266</v>
      </c>
      <c r="AI10" s="180">
        <f t="shared" si="0"/>
        <v>41513766.272727266</v>
      </c>
      <c r="AJ10" s="180">
        <f t="shared" si="0"/>
        <v>41513766.272727266</v>
      </c>
      <c r="AK10" s="180">
        <f t="shared" si="0"/>
        <v>41513766.272727266</v>
      </c>
      <c r="AL10" s="180">
        <f t="shared" si="0"/>
        <v>41513766.272727266</v>
      </c>
      <c r="AM10" s="180">
        <f t="shared" si="0"/>
        <v>41513766.272727266</v>
      </c>
      <c r="AN10" s="180">
        <f t="shared" si="0"/>
        <v>41513766.272727266</v>
      </c>
      <c r="AO10" s="180">
        <f t="shared" si="0"/>
        <v>41513766.272727266</v>
      </c>
      <c r="AP10" s="180">
        <f t="shared" si="0"/>
        <v>41513766.272727266</v>
      </c>
      <c r="AQ10" s="178"/>
    </row>
    <row r="11" spans="2:43" s="172" customFormat="1">
      <c r="B11" s="205"/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1"/>
      <c r="Z11" s="181"/>
      <c r="AA11" s="181"/>
      <c r="AB11" s="181"/>
      <c r="AC11" s="181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81"/>
      <c r="AO11" s="181"/>
      <c r="AP11" s="181"/>
    </row>
    <row r="12" spans="2:43" s="172" customFormat="1">
      <c r="B12" s="205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</row>
    <row r="13" spans="2:43">
      <c r="B13" s="199"/>
      <c r="C13" s="182"/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</row>
    <row r="14" spans="2:43">
      <c r="B14" s="200" t="s">
        <v>224</v>
      </c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</row>
    <row r="15" spans="2:43">
      <c r="B15" s="199"/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</row>
    <row r="16" spans="2:43">
      <c r="B16" s="206" t="s">
        <v>226</v>
      </c>
      <c r="C16" s="183">
        <v>2022</v>
      </c>
      <c r="D16" s="183">
        <v>2023</v>
      </c>
      <c r="E16" s="183">
        <v>2024</v>
      </c>
      <c r="F16" s="183">
        <v>2025</v>
      </c>
      <c r="G16" s="183">
        <v>2026</v>
      </c>
      <c r="H16" s="183">
        <v>2027</v>
      </c>
      <c r="I16" s="183">
        <v>2028</v>
      </c>
      <c r="J16" s="183">
        <v>2029</v>
      </c>
      <c r="K16" s="183">
        <v>2030</v>
      </c>
      <c r="L16" s="183">
        <v>2031</v>
      </c>
      <c r="M16" s="183">
        <v>2032</v>
      </c>
      <c r="N16" s="183">
        <v>2033</v>
      </c>
      <c r="O16" s="183">
        <v>2034</v>
      </c>
      <c r="P16" s="183">
        <v>2035</v>
      </c>
      <c r="Q16" s="183">
        <v>2036</v>
      </c>
      <c r="R16" s="183">
        <v>2037</v>
      </c>
      <c r="S16" s="183">
        <v>2038</v>
      </c>
      <c r="T16" s="183">
        <v>2039</v>
      </c>
      <c r="U16" s="183">
        <v>2040</v>
      </c>
      <c r="V16" s="183">
        <v>2041</v>
      </c>
      <c r="W16" s="183">
        <v>2042</v>
      </c>
      <c r="X16" s="183">
        <v>2043</v>
      </c>
      <c r="Y16" s="183">
        <v>2044</v>
      </c>
      <c r="Z16" s="183">
        <v>2045</v>
      </c>
      <c r="AA16" s="183">
        <v>2046</v>
      </c>
      <c r="AB16" s="183">
        <v>2047</v>
      </c>
      <c r="AC16" s="183">
        <v>2048</v>
      </c>
      <c r="AD16" s="183">
        <v>2049</v>
      </c>
      <c r="AE16" s="183">
        <v>2050</v>
      </c>
      <c r="AF16" s="183">
        <v>2051</v>
      </c>
      <c r="AG16" s="183">
        <v>2052</v>
      </c>
      <c r="AH16" s="183">
        <v>2053</v>
      </c>
      <c r="AI16" s="183">
        <v>2054</v>
      </c>
      <c r="AJ16" s="183">
        <v>2055</v>
      </c>
      <c r="AK16" s="183">
        <v>2056</v>
      </c>
      <c r="AL16" s="183">
        <v>2057</v>
      </c>
      <c r="AM16" s="183">
        <v>2058</v>
      </c>
      <c r="AN16" s="183">
        <v>2059</v>
      </c>
      <c r="AO16" s="183">
        <v>2060</v>
      </c>
      <c r="AP16" s="183">
        <v>2061</v>
      </c>
    </row>
    <row r="17" spans="2:43">
      <c r="B17" s="203" t="s">
        <v>231</v>
      </c>
      <c r="C17" s="174">
        <f t="shared" ref="C17:K19" si="1">+C$20*C31</f>
        <v>44877.24</v>
      </c>
      <c r="D17" s="174">
        <f t="shared" si="1"/>
        <v>766080</v>
      </c>
      <c r="E17" s="174">
        <f t="shared" si="1"/>
        <v>3556800</v>
      </c>
      <c r="F17" s="174">
        <f t="shared" si="1"/>
        <v>4924800</v>
      </c>
      <c r="G17" s="174">
        <f t="shared" si="1"/>
        <v>6267927.2727272725</v>
      </c>
      <c r="H17" s="174">
        <f t="shared" si="1"/>
        <v>8058763.6363636348</v>
      </c>
      <c r="I17" s="174">
        <f t="shared" si="1"/>
        <v>8954181.8181818165</v>
      </c>
      <c r="J17" s="174">
        <f t="shared" si="1"/>
        <v>8954181.8181818165</v>
      </c>
      <c r="K17" s="174">
        <f t="shared" si="1"/>
        <v>8954181.8181818165</v>
      </c>
      <c r="L17" s="182">
        <f t="shared" ref="L17:AP19" si="2">+L23</f>
        <v>44877.24</v>
      </c>
      <c r="M17" s="182">
        <f t="shared" si="2"/>
        <v>766080</v>
      </c>
      <c r="N17" s="182">
        <f t="shared" si="2"/>
        <v>3556800</v>
      </c>
      <c r="O17" s="182">
        <f t="shared" si="2"/>
        <v>4924800</v>
      </c>
      <c r="P17" s="182">
        <f t="shared" si="2"/>
        <v>6267927.2727272725</v>
      </c>
      <c r="Q17" s="182">
        <f t="shared" si="2"/>
        <v>8058763.6363636348</v>
      </c>
      <c r="R17" s="182">
        <f t="shared" si="2"/>
        <v>8954181.8181818165</v>
      </c>
      <c r="S17" s="182">
        <f t="shared" si="2"/>
        <v>8954181.8181818165</v>
      </c>
      <c r="T17" s="182">
        <f t="shared" si="2"/>
        <v>8954181.8181818165</v>
      </c>
      <c r="U17" s="182">
        <f t="shared" si="2"/>
        <v>44877.24</v>
      </c>
      <c r="V17" s="182">
        <f t="shared" si="2"/>
        <v>766080</v>
      </c>
      <c r="W17" s="182">
        <f t="shared" si="2"/>
        <v>3556800</v>
      </c>
      <c r="X17" s="182">
        <f t="shared" si="2"/>
        <v>4924800</v>
      </c>
      <c r="Y17" s="182">
        <f t="shared" si="2"/>
        <v>6267927.2727272725</v>
      </c>
      <c r="Z17" s="182">
        <f t="shared" si="2"/>
        <v>8058763.6363636348</v>
      </c>
      <c r="AA17" s="182">
        <f t="shared" si="2"/>
        <v>8954181.8181818165</v>
      </c>
      <c r="AB17" s="182">
        <f t="shared" si="2"/>
        <v>8954181.8181818165</v>
      </c>
      <c r="AC17" s="182">
        <f t="shared" si="2"/>
        <v>8954181.8181818165</v>
      </c>
      <c r="AD17" s="182">
        <f t="shared" si="2"/>
        <v>44877.24</v>
      </c>
      <c r="AE17" s="182">
        <f t="shared" si="2"/>
        <v>766080</v>
      </c>
      <c r="AF17" s="182">
        <f t="shared" si="2"/>
        <v>3556800</v>
      </c>
      <c r="AG17" s="182">
        <f t="shared" si="2"/>
        <v>4924800</v>
      </c>
      <c r="AH17" s="182">
        <f t="shared" si="2"/>
        <v>6267927.2727272725</v>
      </c>
      <c r="AI17" s="182">
        <f t="shared" si="2"/>
        <v>8058763.6363636348</v>
      </c>
      <c r="AJ17" s="182">
        <f t="shared" si="2"/>
        <v>8954181.8181818165</v>
      </c>
      <c r="AK17" s="182">
        <f t="shared" si="2"/>
        <v>8954181.8181818165</v>
      </c>
      <c r="AL17" s="182">
        <f t="shared" si="2"/>
        <v>8954181.8181818165</v>
      </c>
      <c r="AM17" s="182">
        <f t="shared" si="2"/>
        <v>44877.24</v>
      </c>
      <c r="AN17" s="182">
        <f t="shared" si="2"/>
        <v>766080</v>
      </c>
      <c r="AO17" s="182">
        <f t="shared" si="2"/>
        <v>3556800</v>
      </c>
      <c r="AP17" s="182">
        <f t="shared" si="2"/>
        <v>4924800</v>
      </c>
    </row>
    <row r="18" spans="2:43">
      <c r="B18" s="203" t="s">
        <v>232</v>
      </c>
      <c r="C18" s="174">
        <f t="shared" si="1"/>
        <v>34904.520000000004</v>
      </c>
      <c r="D18" s="174">
        <f t="shared" si="1"/>
        <v>161280</v>
      </c>
      <c r="E18" s="174">
        <f t="shared" si="1"/>
        <v>748800</v>
      </c>
      <c r="F18" s="174">
        <f t="shared" si="1"/>
        <v>1036800</v>
      </c>
      <c r="G18" s="174">
        <f t="shared" si="1"/>
        <v>1319563.6363636362</v>
      </c>
      <c r="H18" s="174">
        <f t="shared" si="1"/>
        <v>1696581.8181818179</v>
      </c>
      <c r="I18" s="174">
        <f t="shared" si="1"/>
        <v>1885090.9090909087</v>
      </c>
      <c r="J18" s="174">
        <f t="shared" si="1"/>
        <v>1885090.9090909087</v>
      </c>
      <c r="K18" s="174">
        <f t="shared" si="1"/>
        <v>1885090.9090909087</v>
      </c>
      <c r="L18" s="174"/>
      <c r="M18" s="174">
        <f>+M24</f>
        <v>34904.520000000004</v>
      </c>
      <c r="N18" s="174">
        <f t="shared" si="2"/>
        <v>161280</v>
      </c>
      <c r="O18" s="174">
        <f t="shared" si="2"/>
        <v>748800</v>
      </c>
      <c r="P18" s="174">
        <f t="shared" si="2"/>
        <v>1036800</v>
      </c>
      <c r="Q18" s="174">
        <f t="shared" si="2"/>
        <v>1319563.6363636362</v>
      </c>
      <c r="R18" s="174">
        <f t="shared" si="2"/>
        <v>1696581.8181818179</v>
      </c>
      <c r="S18" s="174">
        <f t="shared" si="2"/>
        <v>1885090.9090909087</v>
      </c>
      <c r="T18" s="174">
        <f t="shared" si="2"/>
        <v>1885090.9090909087</v>
      </c>
      <c r="U18" s="174">
        <f t="shared" si="2"/>
        <v>1885090.9090909087</v>
      </c>
      <c r="V18" s="174">
        <f t="shared" si="2"/>
        <v>0</v>
      </c>
      <c r="W18" s="174">
        <f t="shared" si="2"/>
        <v>34904.520000000004</v>
      </c>
      <c r="X18" s="174">
        <f t="shared" si="2"/>
        <v>161280</v>
      </c>
      <c r="Y18" s="174">
        <f t="shared" si="2"/>
        <v>748800</v>
      </c>
      <c r="Z18" s="174">
        <f t="shared" si="2"/>
        <v>1036800</v>
      </c>
      <c r="AA18" s="174">
        <f t="shared" si="2"/>
        <v>1319563.6363636362</v>
      </c>
      <c r="AB18" s="174">
        <f t="shared" si="2"/>
        <v>1696581.8181818179</v>
      </c>
      <c r="AC18" s="174">
        <f t="shared" si="2"/>
        <v>1885090.9090909087</v>
      </c>
      <c r="AD18" s="174">
        <f t="shared" si="2"/>
        <v>1885090.9090909087</v>
      </c>
      <c r="AE18" s="174">
        <f t="shared" si="2"/>
        <v>1885090.9090909087</v>
      </c>
      <c r="AF18" s="174">
        <f t="shared" si="2"/>
        <v>0</v>
      </c>
      <c r="AG18" s="174">
        <f t="shared" si="2"/>
        <v>34904.520000000004</v>
      </c>
      <c r="AH18" s="174">
        <f t="shared" si="2"/>
        <v>161280</v>
      </c>
      <c r="AI18" s="174">
        <f t="shared" si="2"/>
        <v>748800</v>
      </c>
      <c r="AJ18" s="174">
        <f t="shared" si="2"/>
        <v>1036800</v>
      </c>
      <c r="AK18" s="174">
        <f t="shared" si="2"/>
        <v>1319563.6363636362</v>
      </c>
      <c r="AL18" s="174">
        <f t="shared" si="2"/>
        <v>1696581.8181818179</v>
      </c>
      <c r="AM18" s="174">
        <f t="shared" si="2"/>
        <v>1885090.9090909087</v>
      </c>
      <c r="AN18" s="174">
        <f t="shared" si="2"/>
        <v>1885090.9090909087</v>
      </c>
      <c r="AO18" s="174">
        <f t="shared" si="2"/>
        <v>1885090.9090909087</v>
      </c>
      <c r="AP18" s="174">
        <f t="shared" si="2"/>
        <v>0</v>
      </c>
    </row>
    <row r="19" spans="2:43">
      <c r="B19" s="203" t="s">
        <v>233</v>
      </c>
      <c r="C19" s="174">
        <f t="shared" si="1"/>
        <v>44877.24</v>
      </c>
      <c r="D19" s="174">
        <f t="shared" si="1"/>
        <v>80640</v>
      </c>
      <c r="E19" s="174">
        <f t="shared" si="1"/>
        <v>374400</v>
      </c>
      <c r="F19" s="174">
        <f t="shared" si="1"/>
        <v>518400</v>
      </c>
      <c r="G19" s="174">
        <f t="shared" si="1"/>
        <v>659781.81818181812</v>
      </c>
      <c r="H19" s="174">
        <f t="shared" si="1"/>
        <v>848290.90909090894</v>
      </c>
      <c r="I19" s="174">
        <f t="shared" si="1"/>
        <v>942545.45454545435</v>
      </c>
      <c r="J19" s="174">
        <f t="shared" si="1"/>
        <v>942545.45454545435</v>
      </c>
      <c r="K19" s="174">
        <f t="shared" si="1"/>
        <v>942545.45454545435</v>
      </c>
      <c r="L19" s="174"/>
      <c r="M19" s="174"/>
      <c r="N19" s="174"/>
      <c r="O19" s="174"/>
      <c r="P19" s="174"/>
      <c r="Q19" s="174">
        <f>+Q25</f>
        <v>44877.24</v>
      </c>
      <c r="R19" s="174">
        <f t="shared" si="2"/>
        <v>80640</v>
      </c>
      <c r="S19" s="174">
        <f t="shared" si="2"/>
        <v>374400</v>
      </c>
      <c r="T19" s="174">
        <f t="shared" si="2"/>
        <v>518400</v>
      </c>
      <c r="U19" s="174">
        <f t="shared" si="2"/>
        <v>659781.81818181812</v>
      </c>
      <c r="V19" s="174">
        <f t="shared" si="2"/>
        <v>848290.90909090894</v>
      </c>
      <c r="W19" s="174">
        <f t="shared" si="2"/>
        <v>942545.45454545435</v>
      </c>
      <c r="X19" s="174">
        <f t="shared" si="2"/>
        <v>942545.45454545435</v>
      </c>
      <c r="Y19" s="174">
        <f t="shared" si="2"/>
        <v>942545.45454545435</v>
      </c>
      <c r="Z19" s="174">
        <f t="shared" si="2"/>
        <v>0</v>
      </c>
      <c r="AA19" s="174">
        <f t="shared" si="2"/>
        <v>0</v>
      </c>
      <c r="AB19" s="174">
        <f t="shared" si="2"/>
        <v>0</v>
      </c>
      <c r="AC19" s="174">
        <f t="shared" si="2"/>
        <v>0</v>
      </c>
      <c r="AD19" s="174">
        <f t="shared" si="2"/>
        <v>0</v>
      </c>
      <c r="AE19" s="174">
        <f t="shared" si="2"/>
        <v>44877.24</v>
      </c>
      <c r="AF19" s="174">
        <f t="shared" si="2"/>
        <v>80640</v>
      </c>
      <c r="AG19" s="174">
        <f t="shared" si="2"/>
        <v>374400</v>
      </c>
      <c r="AH19" s="174">
        <f t="shared" si="2"/>
        <v>518400</v>
      </c>
      <c r="AI19" s="174">
        <f t="shared" si="2"/>
        <v>659781.81818181812</v>
      </c>
      <c r="AJ19" s="174">
        <f t="shared" si="2"/>
        <v>848290.90909090894</v>
      </c>
      <c r="AK19" s="174">
        <f t="shared" si="2"/>
        <v>942545.45454545435</v>
      </c>
      <c r="AL19" s="174">
        <f t="shared" si="2"/>
        <v>942545.45454545435</v>
      </c>
      <c r="AM19" s="174">
        <f t="shared" si="2"/>
        <v>942545.45454545435</v>
      </c>
      <c r="AN19" s="174">
        <f t="shared" si="2"/>
        <v>0</v>
      </c>
      <c r="AO19" s="174">
        <f t="shared" si="2"/>
        <v>0</v>
      </c>
      <c r="AP19" s="174">
        <f t="shared" si="2"/>
        <v>0</v>
      </c>
    </row>
    <row r="20" spans="2:43" s="179" customFormat="1">
      <c r="B20" s="206" t="s">
        <v>234</v>
      </c>
      <c r="C20" s="184">
        <v>124659</v>
      </c>
      <c r="D20" s="184">
        <v>1008000</v>
      </c>
      <c r="E20" s="184">
        <v>4680000</v>
      </c>
      <c r="F20" s="184">
        <v>6480000</v>
      </c>
      <c r="G20" s="184">
        <v>8247272.7272727266</v>
      </c>
      <c r="H20" s="184">
        <v>10603636.363636361</v>
      </c>
      <c r="I20" s="184">
        <v>11781818.18181818</v>
      </c>
      <c r="J20" s="184">
        <v>11781818.18181818</v>
      </c>
      <c r="K20" s="184">
        <v>11781818.18181818</v>
      </c>
      <c r="L20" s="184">
        <v>10061.672727272724</v>
      </c>
      <c r="M20" s="184">
        <v>843549.38181818172</v>
      </c>
      <c r="N20" s="184">
        <v>2862196.3636363633</v>
      </c>
      <c r="O20" s="184">
        <v>5042618.1818181807</v>
      </c>
      <c r="P20" s="184">
        <v>7210472.7272727266</v>
      </c>
      <c r="Q20" s="184">
        <v>9388388.9454545435</v>
      </c>
      <c r="R20" s="184">
        <v>10738734.545454543</v>
      </c>
      <c r="S20" s="184">
        <v>11122036.363636361</v>
      </c>
      <c r="T20" s="184">
        <v>11310545.454545453</v>
      </c>
      <c r="U20" s="184">
        <v>2554934.4</v>
      </c>
      <c r="V20" s="184">
        <v>1684014.5454545452</v>
      </c>
      <c r="W20" s="184">
        <v>3636625.7454545456</v>
      </c>
      <c r="X20" s="184">
        <v>5595578.1818181807</v>
      </c>
      <c r="Y20" s="184">
        <v>7775999.9999999981</v>
      </c>
      <c r="Z20" s="184">
        <v>9001309.0909090899</v>
      </c>
      <c r="AA20" s="184">
        <v>10273745.454545453</v>
      </c>
      <c r="AB20" s="184">
        <v>10650763.636363635</v>
      </c>
      <c r="AC20" s="184">
        <v>10839272.727272725</v>
      </c>
      <c r="AD20" s="184">
        <v>1895152.5818181816</v>
      </c>
      <c r="AE20" s="184">
        <v>2730876.2181818178</v>
      </c>
      <c r="AF20" s="184">
        <v>2774225.4545454546</v>
      </c>
      <c r="AG20" s="184">
        <v>4767680.2909090901</v>
      </c>
      <c r="AH20" s="184">
        <v>6915141.8181818174</v>
      </c>
      <c r="AI20" s="184">
        <v>9284072.7272727266</v>
      </c>
      <c r="AJ20" s="184">
        <v>10745018.181818182</v>
      </c>
      <c r="AK20" s="184">
        <v>11216290.909090908</v>
      </c>
      <c r="AL20" s="184">
        <v>11593309.09090909</v>
      </c>
      <c r="AM20" s="184">
        <v>2837698.0363636366</v>
      </c>
      <c r="AN20" s="184">
        <v>2720814.5454545454</v>
      </c>
      <c r="AO20" s="184">
        <v>4571345.4545454541</v>
      </c>
      <c r="AP20" s="184">
        <v>4477090.9090909082</v>
      </c>
      <c r="AQ20" s="178">
        <f>+SUM(C20:AP20)</f>
        <v>263558586.27272725</v>
      </c>
    </row>
    <row r="21" spans="2:43" s="179" customFormat="1" ht="5.25" customHeight="1">
      <c r="B21" s="207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</row>
    <row r="22" spans="2:43">
      <c r="B22" s="206" t="s">
        <v>235</v>
      </c>
      <c r="C22" s="183">
        <v>2022</v>
      </c>
      <c r="D22" s="183">
        <v>2023</v>
      </c>
      <c r="E22" s="183">
        <v>2024</v>
      </c>
      <c r="F22" s="183">
        <v>2025</v>
      </c>
      <c r="G22" s="183">
        <v>2026</v>
      </c>
      <c r="H22" s="183">
        <v>2027</v>
      </c>
      <c r="I22" s="183">
        <v>2028</v>
      </c>
      <c r="J22" s="183">
        <v>2029</v>
      </c>
      <c r="K22" s="183">
        <v>2030</v>
      </c>
      <c r="L22" s="183">
        <v>2031</v>
      </c>
      <c r="M22" s="183">
        <v>2032</v>
      </c>
      <c r="N22" s="183">
        <v>2033</v>
      </c>
      <c r="O22" s="183">
        <v>2034</v>
      </c>
      <c r="P22" s="183">
        <v>2035</v>
      </c>
      <c r="Q22" s="183">
        <v>2036</v>
      </c>
      <c r="R22" s="183">
        <v>2037</v>
      </c>
      <c r="S22" s="183">
        <v>2038</v>
      </c>
      <c r="T22" s="183">
        <v>2039</v>
      </c>
      <c r="U22" s="183">
        <v>2040</v>
      </c>
      <c r="V22" s="183">
        <v>2041</v>
      </c>
      <c r="W22" s="183">
        <v>2042</v>
      </c>
      <c r="X22" s="183">
        <v>2043</v>
      </c>
      <c r="Y22" s="183">
        <v>2044</v>
      </c>
      <c r="Z22" s="183">
        <v>2045</v>
      </c>
      <c r="AA22" s="183">
        <v>2046</v>
      </c>
      <c r="AB22" s="183">
        <v>2047</v>
      </c>
      <c r="AC22" s="183">
        <v>2048</v>
      </c>
      <c r="AD22" s="183">
        <v>2049</v>
      </c>
      <c r="AE22" s="183">
        <v>2050</v>
      </c>
      <c r="AF22" s="183">
        <v>2051</v>
      </c>
      <c r="AG22" s="183">
        <v>2052</v>
      </c>
      <c r="AH22" s="183">
        <v>2053</v>
      </c>
      <c r="AI22" s="183">
        <v>2054</v>
      </c>
      <c r="AJ22" s="183">
        <v>2055</v>
      </c>
      <c r="AK22" s="183">
        <v>2056</v>
      </c>
      <c r="AL22" s="183">
        <v>2057</v>
      </c>
      <c r="AM22" s="183">
        <v>2058</v>
      </c>
      <c r="AN22" s="183">
        <v>2059</v>
      </c>
      <c r="AO22" s="183">
        <v>2060</v>
      </c>
      <c r="AP22" s="183">
        <v>2061</v>
      </c>
    </row>
    <row r="23" spans="2:43" s="179" customFormat="1">
      <c r="B23" s="203" t="s">
        <v>231</v>
      </c>
      <c r="C23" s="185"/>
      <c r="D23" s="185"/>
      <c r="E23" s="185"/>
      <c r="F23" s="185"/>
      <c r="G23" s="185"/>
      <c r="H23" s="185"/>
      <c r="I23" s="185"/>
      <c r="J23" s="185"/>
      <c r="K23" s="185"/>
      <c r="L23" s="185">
        <f>+C17</f>
        <v>44877.24</v>
      </c>
      <c r="M23" s="185">
        <f>+D17</f>
        <v>766080</v>
      </c>
      <c r="N23" s="185">
        <f t="shared" ref="N23:AP23" si="3">+E17</f>
        <v>3556800</v>
      </c>
      <c r="O23" s="185">
        <f t="shared" si="3"/>
        <v>4924800</v>
      </c>
      <c r="P23" s="185">
        <f t="shared" si="3"/>
        <v>6267927.2727272725</v>
      </c>
      <c r="Q23" s="185">
        <f t="shared" si="3"/>
        <v>8058763.6363636348</v>
      </c>
      <c r="R23" s="185">
        <f t="shared" si="3"/>
        <v>8954181.8181818165</v>
      </c>
      <c r="S23" s="185">
        <f t="shared" si="3"/>
        <v>8954181.8181818165</v>
      </c>
      <c r="T23" s="185">
        <f t="shared" si="3"/>
        <v>8954181.8181818165</v>
      </c>
      <c r="U23" s="185">
        <f t="shared" si="3"/>
        <v>44877.24</v>
      </c>
      <c r="V23" s="185">
        <f t="shared" si="3"/>
        <v>766080</v>
      </c>
      <c r="W23" s="185">
        <f t="shared" si="3"/>
        <v>3556800</v>
      </c>
      <c r="X23" s="185">
        <f t="shared" si="3"/>
        <v>4924800</v>
      </c>
      <c r="Y23" s="185">
        <f t="shared" si="3"/>
        <v>6267927.2727272725</v>
      </c>
      <c r="Z23" s="185">
        <f t="shared" si="3"/>
        <v>8058763.6363636348</v>
      </c>
      <c r="AA23" s="185">
        <f t="shared" si="3"/>
        <v>8954181.8181818165</v>
      </c>
      <c r="AB23" s="185">
        <f t="shared" si="3"/>
        <v>8954181.8181818165</v>
      </c>
      <c r="AC23" s="185">
        <f t="shared" si="3"/>
        <v>8954181.8181818165</v>
      </c>
      <c r="AD23" s="185">
        <f t="shared" si="3"/>
        <v>44877.24</v>
      </c>
      <c r="AE23" s="185">
        <f t="shared" si="3"/>
        <v>766080</v>
      </c>
      <c r="AF23" s="185">
        <f t="shared" si="3"/>
        <v>3556800</v>
      </c>
      <c r="AG23" s="185">
        <f t="shared" si="3"/>
        <v>4924800</v>
      </c>
      <c r="AH23" s="185">
        <f t="shared" si="3"/>
        <v>6267927.2727272725</v>
      </c>
      <c r="AI23" s="185">
        <f t="shared" si="3"/>
        <v>8058763.6363636348</v>
      </c>
      <c r="AJ23" s="185">
        <f t="shared" si="3"/>
        <v>8954181.8181818165</v>
      </c>
      <c r="AK23" s="185">
        <f t="shared" si="3"/>
        <v>8954181.8181818165</v>
      </c>
      <c r="AL23" s="185">
        <f t="shared" si="3"/>
        <v>8954181.8181818165</v>
      </c>
      <c r="AM23" s="185">
        <f t="shared" si="3"/>
        <v>44877.24</v>
      </c>
      <c r="AN23" s="185">
        <f t="shared" si="3"/>
        <v>766080</v>
      </c>
      <c r="AO23" s="185">
        <f t="shared" si="3"/>
        <v>3556800</v>
      </c>
      <c r="AP23" s="185">
        <f t="shared" si="3"/>
        <v>4924800</v>
      </c>
    </row>
    <row r="24" spans="2:43" s="179" customFormat="1">
      <c r="B24" s="203" t="s">
        <v>232</v>
      </c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>
        <f>+C18</f>
        <v>34904.520000000004</v>
      </c>
      <c r="N24" s="185">
        <f t="shared" ref="N24:AP24" si="4">+D18</f>
        <v>161280</v>
      </c>
      <c r="O24" s="185">
        <f t="shared" si="4"/>
        <v>748800</v>
      </c>
      <c r="P24" s="185">
        <f t="shared" si="4"/>
        <v>1036800</v>
      </c>
      <c r="Q24" s="185">
        <f t="shared" si="4"/>
        <v>1319563.6363636362</v>
      </c>
      <c r="R24" s="185">
        <f t="shared" si="4"/>
        <v>1696581.8181818179</v>
      </c>
      <c r="S24" s="185">
        <f t="shared" si="4"/>
        <v>1885090.9090909087</v>
      </c>
      <c r="T24" s="185">
        <f t="shared" si="4"/>
        <v>1885090.9090909087</v>
      </c>
      <c r="U24" s="185">
        <f t="shared" si="4"/>
        <v>1885090.9090909087</v>
      </c>
      <c r="V24" s="185">
        <f t="shared" si="4"/>
        <v>0</v>
      </c>
      <c r="W24" s="185">
        <f t="shared" si="4"/>
        <v>34904.520000000004</v>
      </c>
      <c r="X24" s="185">
        <f t="shared" si="4"/>
        <v>161280</v>
      </c>
      <c r="Y24" s="185">
        <f t="shared" si="4"/>
        <v>748800</v>
      </c>
      <c r="Z24" s="185">
        <f t="shared" si="4"/>
        <v>1036800</v>
      </c>
      <c r="AA24" s="185">
        <f t="shared" si="4"/>
        <v>1319563.6363636362</v>
      </c>
      <c r="AB24" s="185">
        <f t="shared" si="4"/>
        <v>1696581.8181818179</v>
      </c>
      <c r="AC24" s="185">
        <f t="shared" si="4"/>
        <v>1885090.9090909087</v>
      </c>
      <c r="AD24" s="185">
        <f t="shared" si="4"/>
        <v>1885090.9090909087</v>
      </c>
      <c r="AE24" s="185">
        <f t="shared" si="4"/>
        <v>1885090.9090909087</v>
      </c>
      <c r="AF24" s="185">
        <f t="shared" si="4"/>
        <v>0</v>
      </c>
      <c r="AG24" s="185">
        <f t="shared" si="4"/>
        <v>34904.520000000004</v>
      </c>
      <c r="AH24" s="185">
        <f t="shared" si="4"/>
        <v>161280</v>
      </c>
      <c r="AI24" s="185">
        <f t="shared" si="4"/>
        <v>748800</v>
      </c>
      <c r="AJ24" s="185">
        <f t="shared" si="4"/>
        <v>1036800</v>
      </c>
      <c r="AK24" s="185">
        <f t="shared" si="4"/>
        <v>1319563.6363636362</v>
      </c>
      <c r="AL24" s="185">
        <f t="shared" si="4"/>
        <v>1696581.8181818179</v>
      </c>
      <c r="AM24" s="185">
        <f t="shared" si="4"/>
        <v>1885090.9090909087</v>
      </c>
      <c r="AN24" s="185">
        <f t="shared" si="4"/>
        <v>1885090.9090909087</v>
      </c>
      <c r="AO24" s="185">
        <f t="shared" si="4"/>
        <v>1885090.9090909087</v>
      </c>
      <c r="AP24" s="185">
        <f t="shared" si="4"/>
        <v>0</v>
      </c>
    </row>
    <row r="25" spans="2:43" s="179" customFormat="1">
      <c r="B25" s="203" t="s">
        <v>233</v>
      </c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>
        <f>+C19</f>
        <v>44877.24</v>
      </c>
      <c r="R25" s="185">
        <f t="shared" ref="R25:AP25" si="5">+D19</f>
        <v>80640</v>
      </c>
      <c r="S25" s="185">
        <f t="shared" si="5"/>
        <v>374400</v>
      </c>
      <c r="T25" s="185">
        <f t="shared" si="5"/>
        <v>518400</v>
      </c>
      <c r="U25" s="185">
        <f t="shared" si="5"/>
        <v>659781.81818181812</v>
      </c>
      <c r="V25" s="185">
        <f t="shared" si="5"/>
        <v>848290.90909090894</v>
      </c>
      <c r="W25" s="185">
        <f t="shared" si="5"/>
        <v>942545.45454545435</v>
      </c>
      <c r="X25" s="185">
        <f t="shared" si="5"/>
        <v>942545.45454545435</v>
      </c>
      <c r="Y25" s="185">
        <f t="shared" si="5"/>
        <v>942545.45454545435</v>
      </c>
      <c r="Z25" s="185">
        <f t="shared" si="5"/>
        <v>0</v>
      </c>
      <c r="AA25" s="185">
        <f t="shared" si="5"/>
        <v>0</v>
      </c>
      <c r="AB25" s="185">
        <f t="shared" si="5"/>
        <v>0</v>
      </c>
      <c r="AC25" s="185">
        <f t="shared" si="5"/>
        <v>0</v>
      </c>
      <c r="AD25" s="185">
        <f t="shared" si="5"/>
        <v>0</v>
      </c>
      <c r="AE25" s="185">
        <f t="shared" si="5"/>
        <v>44877.24</v>
      </c>
      <c r="AF25" s="185">
        <f t="shared" si="5"/>
        <v>80640</v>
      </c>
      <c r="AG25" s="185">
        <f t="shared" si="5"/>
        <v>374400</v>
      </c>
      <c r="AH25" s="185">
        <f t="shared" si="5"/>
        <v>518400</v>
      </c>
      <c r="AI25" s="185">
        <f t="shared" si="5"/>
        <v>659781.81818181812</v>
      </c>
      <c r="AJ25" s="185">
        <f t="shared" si="5"/>
        <v>848290.90909090894</v>
      </c>
      <c r="AK25" s="185">
        <f t="shared" si="5"/>
        <v>942545.45454545435</v>
      </c>
      <c r="AL25" s="185">
        <f t="shared" si="5"/>
        <v>942545.45454545435</v>
      </c>
      <c r="AM25" s="185">
        <f t="shared" si="5"/>
        <v>942545.45454545435</v>
      </c>
      <c r="AN25" s="185">
        <f t="shared" si="5"/>
        <v>0</v>
      </c>
      <c r="AO25" s="185">
        <f t="shared" si="5"/>
        <v>0</v>
      </c>
      <c r="AP25" s="185">
        <f t="shared" si="5"/>
        <v>0</v>
      </c>
    </row>
    <row r="26" spans="2:43" s="179" customFormat="1">
      <c r="B26" s="206" t="s">
        <v>236</v>
      </c>
      <c r="C26" s="184">
        <f>+SUM(C23:C25)</f>
        <v>0</v>
      </c>
      <c r="D26" s="184">
        <f t="shared" ref="D26:AP26" si="6">+SUM(D23:D25)</f>
        <v>0</v>
      </c>
      <c r="E26" s="184">
        <f t="shared" si="6"/>
        <v>0</v>
      </c>
      <c r="F26" s="184">
        <f t="shared" si="6"/>
        <v>0</v>
      </c>
      <c r="G26" s="184">
        <f t="shared" si="6"/>
        <v>0</v>
      </c>
      <c r="H26" s="184">
        <f t="shared" si="6"/>
        <v>0</v>
      </c>
      <c r="I26" s="184">
        <f t="shared" si="6"/>
        <v>0</v>
      </c>
      <c r="J26" s="184">
        <f t="shared" si="6"/>
        <v>0</v>
      </c>
      <c r="K26" s="184">
        <f t="shared" si="6"/>
        <v>0</v>
      </c>
      <c r="L26" s="184">
        <f t="shared" si="6"/>
        <v>44877.24</v>
      </c>
      <c r="M26" s="184">
        <f t="shared" si="6"/>
        <v>800984.52</v>
      </c>
      <c r="N26" s="184">
        <f t="shared" si="6"/>
        <v>3718080</v>
      </c>
      <c r="O26" s="184">
        <f t="shared" si="6"/>
        <v>5673600</v>
      </c>
      <c r="P26" s="184">
        <f t="shared" si="6"/>
        <v>7304727.2727272725</v>
      </c>
      <c r="Q26" s="184">
        <f t="shared" si="6"/>
        <v>9423204.5127272718</v>
      </c>
      <c r="R26" s="184">
        <f t="shared" si="6"/>
        <v>10731403.636363635</v>
      </c>
      <c r="S26" s="184">
        <f t="shared" si="6"/>
        <v>11213672.727272725</v>
      </c>
      <c r="T26" s="184">
        <f t="shared" si="6"/>
        <v>11357672.727272725</v>
      </c>
      <c r="U26" s="184">
        <f t="shared" si="6"/>
        <v>2589749.9672727268</v>
      </c>
      <c r="V26" s="184">
        <f t="shared" si="6"/>
        <v>1614370.9090909089</v>
      </c>
      <c r="W26" s="184">
        <f t="shared" si="6"/>
        <v>4534249.9745454546</v>
      </c>
      <c r="X26" s="184">
        <f t="shared" si="6"/>
        <v>6028625.4545454541</v>
      </c>
      <c r="Y26" s="184">
        <f t="shared" si="6"/>
        <v>7959272.7272727266</v>
      </c>
      <c r="Z26" s="184">
        <f t="shared" si="6"/>
        <v>9095563.6363636348</v>
      </c>
      <c r="AA26" s="184">
        <f t="shared" si="6"/>
        <v>10273745.454545453</v>
      </c>
      <c r="AB26" s="184">
        <f t="shared" si="6"/>
        <v>10650763.636363635</v>
      </c>
      <c r="AC26" s="184">
        <f t="shared" si="6"/>
        <v>10839272.727272725</v>
      </c>
      <c r="AD26" s="184">
        <f t="shared" si="6"/>
        <v>1929968.1490909087</v>
      </c>
      <c r="AE26" s="184">
        <f t="shared" si="6"/>
        <v>2696048.1490909089</v>
      </c>
      <c r="AF26" s="184">
        <f t="shared" si="6"/>
        <v>3637440</v>
      </c>
      <c r="AG26" s="184">
        <f t="shared" si="6"/>
        <v>5334104.5199999996</v>
      </c>
      <c r="AH26" s="184">
        <f t="shared" si="6"/>
        <v>6947607.2727272725</v>
      </c>
      <c r="AI26" s="184">
        <f t="shared" si="6"/>
        <v>9467345.4545454532</v>
      </c>
      <c r="AJ26" s="184">
        <f t="shared" si="6"/>
        <v>10839272.727272725</v>
      </c>
      <c r="AK26" s="184">
        <f t="shared" si="6"/>
        <v>11216290.909090908</v>
      </c>
      <c r="AL26" s="184">
        <f t="shared" si="6"/>
        <v>11593309.09090909</v>
      </c>
      <c r="AM26" s="184">
        <f t="shared" si="6"/>
        <v>2872513.6036363631</v>
      </c>
      <c r="AN26" s="184">
        <f t="shared" si="6"/>
        <v>2651170.9090909087</v>
      </c>
      <c r="AO26" s="184">
        <f t="shared" si="6"/>
        <v>5441890.9090909082</v>
      </c>
      <c r="AP26" s="184">
        <f t="shared" si="6"/>
        <v>4924800</v>
      </c>
    </row>
    <row r="27" spans="2:43" s="179" customFormat="1" ht="13.5" customHeight="1" thickBot="1">
      <c r="B27" s="208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</row>
    <row r="28" spans="2:43" s="172" customFormat="1" ht="20.25" thickBot="1">
      <c r="B28" s="209" t="s">
        <v>230</v>
      </c>
      <c r="C28" s="187">
        <f>+C20</f>
        <v>124659</v>
      </c>
      <c r="D28" s="187">
        <f t="shared" ref="D28:AN28" si="7">+C28+D20-D26</f>
        <v>1132659</v>
      </c>
      <c r="E28" s="187">
        <f t="shared" si="7"/>
        <v>5812659</v>
      </c>
      <c r="F28" s="187">
        <f t="shared" si="7"/>
        <v>12292659</v>
      </c>
      <c r="G28" s="187">
        <f t="shared" si="7"/>
        <v>20539931.727272727</v>
      </c>
      <c r="H28" s="187">
        <f t="shared" si="7"/>
        <v>31143568.090909086</v>
      </c>
      <c r="I28" s="187">
        <f t="shared" si="7"/>
        <v>42925386.272727266</v>
      </c>
      <c r="J28" s="187">
        <f t="shared" si="7"/>
        <v>54707204.454545446</v>
      </c>
      <c r="K28" s="187">
        <f t="shared" si="7"/>
        <v>66489022.636363626</v>
      </c>
      <c r="L28" s="187">
        <f t="shared" si="7"/>
        <v>66454207.069090895</v>
      </c>
      <c r="M28" s="187">
        <f t="shared" si="7"/>
        <v>66496771.930909075</v>
      </c>
      <c r="N28" s="187">
        <f t="shared" si="7"/>
        <v>65640888.294545442</v>
      </c>
      <c r="O28" s="187">
        <f t="shared" si="7"/>
        <v>65009906.476363629</v>
      </c>
      <c r="P28" s="187">
        <f t="shared" si="7"/>
        <v>64915651.930909075</v>
      </c>
      <c r="Q28" s="187">
        <f t="shared" si="7"/>
        <v>64880836.363636345</v>
      </c>
      <c r="R28" s="187">
        <f t="shared" si="7"/>
        <v>64888167.272727259</v>
      </c>
      <c r="S28" s="187">
        <f t="shared" si="7"/>
        <v>64796530.909090899</v>
      </c>
      <c r="T28" s="187">
        <f t="shared" si="7"/>
        <v>64749403.636363618</v>
      </c>
      <c r="U28" s="187">
        <f t="shared" si="7"/>
        <v>64714588.069090888</v>
      </c>
      <c r="V28" s="187">
        <f t="shared" si="7"/>
        <v>64784231.705454528</v>
      </c>
      <c r="W28" s="187">
        <f t="shared" si="7"/>
        <v>63886607.476363622</v>
      </c>
      <c r="X28" s="187">
        <f t="shared" si="7"/>
        <v>63453560.203636348</v>
      </c>
      <c r="Y28" s="187">
        <f t="shared" si="7"/>
        <v>63270287.476363622</v>
      </c>
      <c r="Z28" s="187">
        <f t="shared" si="7"/>
        <v>63176032.930909075</v>
      </c>
      <c r="AA28" s="187">
        <f t="shared" si="7"/>
        <v>63176032.930909082</v>
      </c>
      <c r="AB28" s="187">
        <f t="shared" si="7"/>
        <v>63176032.93090909</v>
      </c>
      <c r="AC28" s="187">
        <f t="shared" si="7"/>
        <v>63176032.93090909</v>
      </c>
      <c r="AD28" s="187">
        <f t="shared" si="7"/>
        <v>63141217.36363636</v>
      </c>
      <c r="AE28" s="187">
        <f t="shared" si="7"/>
        <v>63176045.43272727</v>
      </c>
      <c r="AF28" s="187">
        <f t="shared" si="7"/>
        <v>62312830.887272723</v>
      </c>
      <c r="AG28" s="187">
        <f t="shared" si="7"/>
        <v>61746406.658181816</v>
      </c>
      <c r="AH28" s="187">
        <f t="shared" si="7"/>
        <v>61713941.203636356</v>
      </c>
      <c r="AI28" s="187">
        <f t="shared" si="7"/>
        <v>61530668.476363629</v>
      </c>
      <c r="AJ28" s="187">
        <f t="shared" si="7"/>
        <v>61436413.93090909</v>
      </c>
      <c r="AK28" s="187">
        <f t="shared" si="7"/>
        <v>61436413.930909097</v>
      </c>
      <c r="AL28" s="187">
        <f t="shared" si="7"/>
        <v>61436413.930909097</v>
      </c>
      <c r="AM28" s="187">
        <f t="shared" si="7"/>
        <v>61401598.363636374</v>
      </c>
      <c r="AN28" s="187">
        <f t="shared" si="7"/>
        <v>61471242.000000015</v>
      </c>
      <c r="AO28" s="187">
        <f>+AN28+AO20-AO26</f>
        <v>60600696.545454562</v>
      </c>
      <c r="AP28" s="187">
        <f>+AO28+AP20-AP26</f>
        <v>60152987.454545468</v>
      </c>
      <c r="AQ28" s="178"/>
    </row>
    <row r="29" spans="2:43">
      <c r="B29" s="199"/>
      <c r="C29" s="182"/>
      <c r="D29" s="182"/>
    </row>
    <row r="30" spans="2:43">
      <c r="B30" s="199"/>
      <c r="C30" s="182"/>
      <c r="D30" s="182"/>
    </row>
    <row r="31" spans="2:43">
      <c r="B31" s="199" t="s">
        <v>237</v>
      </c>
      <c r="C31" s="188">
        <v>0.36</v>
      </c>
      <c r="D31" s="188">
        <v>0.76</v>
      </c>
      <c r="E31" s="188">
        <v>0.76</v>
      </c>
      <c r="F31" s="188">
        <v>0.76</v>
      </c>
      <c r="G31" s="188">
        <v>0.76</v>
      </c>
      <c r="H31" s="188">
        <v>0.76</v>
      </c>
      <c r="I31" s="188">
        <v>0.76</v>
      </c>
      <c r="J31" s="188">
        <v>0.76</v>
      </c>
      <c r="K31" s="188">
        <v>0.76</v>
      </c>
      <c r="L31" s="188">
        <v>0.76</v>
      </c>
      <c r="M31" s="188">
        <v>0.76</v>
      </c>
      <c r="N31" s="188">
        <v>0.76</v>
      </c>
      <c r="O31" s="188">
        <v>0.76</v>
      </c>
      <c r="P31" s="188">
        <v>0.76</v>
      </c>
      <c r="Q31" s="188">
        <v>0.76</v>
      </c>
      <c r="R31" s="188">
        <v>0.76</v>
      </c>
      <c r="S31" s="188">
        <v>0.76</v>
      </c>
      <c r="T31" s="188">
        <v>0.76</v>
      </c>
      <c r="U31" s="188">
        <v>0.76</v>
      </c>
    </row>
    <row r="32" spans="2:43">
      <c r="B32" s="199" t="s">
        <v>238</v>
      </c>
      <c r="C32" s="188">
        <v>0.28000000000000003</v>
      </c>
      <c r="D32" s="188">
        <v>0.16</v>
      </c>
      <c r="E32" s="188">
        <v>0.16</v>
      </c>
      <c r="F32" s="188">
        <v>0.16</v>
      </c>
      <c r="G32" s="188">
        <v>0.16</v>
      </c>
      <c r="H32" s="188">
        <v>0.16</v>
      </c>
      <c r="I32" s="188">
        <v>0.16</v>
      </c>
      <c r="J32" s="188">
        <v>0.16</v>
      </c>
      <c r="K32" s="188">
        <v>0.16</v>
      </c>
      <c r="L32" s="188">
        <v>0.16</v>
      </c>
      <c r="M32" s="188">
        <v>0.16</v>
      </c>
      <c r="N32" s="188">
        <v>0.16</v>
      </c>
      <c r="O32" s="188">
        <v>0.16</v>
      </c>
      <c r="P32" s="188">
        <v>0.16</v>
      </c>
      <c r="Q32" s="188">
        <v>0.16</v>
      </c>
      <c r="R32" s="188">
        <v>0.16</v>
      </c>
      <c r="S32" s="188">
        <v>0.16</v>
      </c>
      <c r="T32" s="188">
        <v>0.16</v>
      </c>
      <c r="U32" s="188">
        <v>0.16</v>
      </c>
    </row>
    <row r="33" spans="2:43">
      <c r="B33" s="199" t="s">
        <v>239</v>
      </c>
      <c r="C33" s="188">
        <v>0.36</v>
      </c>
      <c r="D33" s="188">
        <v>0.08</v>
      </c>
      <c r="E33" s="188">
        <v>0.08</v>
      </c>
      <c r="F33" s="188">
        <v>0.08</v>
      </c>
      <c r="G33" s="188">
        <v>0.08</v>
      </c>
      <c r="H33" s="188">
        <v>0.08</v>
      </c>
      <c r="I33" s="188">
        <v>0.08</v>
      </c>
      <c r="J33" s="188">
        <v>0.08</v>
      </c>
      <c r="K33" s="188">
        <v>0.08</v>
      </c>
      <c r="L33" s="188">
        <v>0.08</v>
      </c>
      <c r="M33" s="188">
        <v>0.08</v>
      </c>
      <c r="N33" s="188">
        <v>0.08</v>
      </c>
      <c r="O33" s="188">
        <v>0.08</v>
      </c>
      <c r="P33" s="188">
        <v>0.08</v>
      </c>
      <c r="Q33" s="188">
        <v>0.08</v>
      </c>
      <c r="R33" s="188">
        <v>0.08</v>
      </c>
      <c r="S33" s="188">
        <v>0.08</v>
      </c>
      <c r="T33" s="188">
        <v>0.08</v>
      </c>
      <c r="U33" s="188">
        <v>0.08</v>
      </c>
    </row>
    <row r="34" spans="2:43">
      <c r="B34" s="199"/>
      <c r="C34" s="182"/>
      <c r="D34" s="182"/>
      <c r="E34" s="182"/>
      <c r="F34" s="182"/>
      <c r="G34" s="182"/>
      <c r="H34" s="182"/>
      <c r="I34" s="182"/>
      <c r="J34" s="182"/>
      <c r="K34" s="182"/>
    </row>
    <row r="35" spans="2:43">
      <c r="B35" s="200" t="s">
        <v>60</v>
      </c>
      <c r="C35" s="182"/>
      <c r="D35" s="182"/>
    </row>
    <row r="36" spans="2:43">
      <c r="B36" s="199"/>
      <c r="C36" s="182"/>
      <c r="D36" s="182"/>
    </row>
    <row r="37" spans="2:43" s="179" customFormat="1">
      <c r="B37" s="210" t="s">
        <v>226</v>
      </c>
      <c r="C37" s="189">
        <v>2022</v>
      </c>
      <c r="D37" s="189">
        <v>2023</v>
      </c>
      <c r="E37" s="189">
        <v>2024</v>
      </c>
      <c r="F37" s="189">
        <v>2025</v>
      </c>
      <c r="G37" s="189">
        <v>2026</v>
      </c>
      <c r="H37" s="189">
        <v>2027</v>
      </c>
      <c r="I37" s="189">
        <v>2028</v>
      </c>
      <c r="J37" s="189">
        <v>2029</v>
      </c>
      <c r="K37" s="189">
        <v>2030</v>
      </c>
      <c r="L37" s="189">
        <v>2031</v>
      </c>
      <c r="M37" s="189">
        <v>2032</v>
      </c>
      <c r="N37" s="189">
        <v>2033</v>
      </c>
      <c r="O37" s="189">
        <v>2034</v>
      </c>
      <c r="P37" s="189">
        <v>2035</v>
      </c>
      <c r="Q37" s="189">
        <v>2036</v>
      </c>
      <c r="R37" s="189">
        <v>2037</v>
      </c>
      <c r="S37" s="189">
        <v>2038</v>
      </c>
      <c r="T37" s="189">
        <v>2039</v>
      </c>
      <c r="U37" s="189">
        <v>2040</v>
      </c>
      <c r="V37" s="189">
        <v>2041</v>
      </c>
      <c r="W37" s="189">
        <v>2042</v>
      </c>
      <c r="X37" s="189">
        <v>2043</v>
      </c>
      <c r="Y37" s="189">
        <v>2044</v>
      </c>
      <c r="Z37" s="189">
        <v>2045</v>
      </c>
      <c r="AA37" s="189">
        <v>2046</v>
      </c>
      <c r="AB37" s="189">
        <v>2047</v>
      </c>
      <c r="AC37" s="189">
        <v>2048</v>
      </c>
      <c r="AD37" s="189">
        <v>2049</v>
      </c>
      <c r="AE37" s="189">
        <v>2050</v>
      </c>
      <c r="AF37" s="189">
        <v>2051</v>
      </c>
      <c r="AG37" s="189">
        <v>2052</v>
      </c>
      <c r="AH37" s="189">
        <v>2053</v>
      </c>
      <c r="AI37" s="189">
        <v>2054</v>
      </c>
      <c r="AJ37" s="189">
        <v>2055</v>
      </c>
      <c r="AK37" s="189">
        <v>2056</v>
      </c>
      <c r="AL37" s="189">
        <v>2057</v>
      </c>
      <c r="AM37" s="189">
        <v>2058</v>
      </c>
      <c r="AN37" s="189">
        <v>2059</v>
      </c>
      <c r="AO37" s="189">
        <v>2060</v>
      </c>
      <c r="AP37" s="189">
        <v>2061</v>
      </c>
    </row>
    <row r="38" spans="2:43">
      <c r="B38" s="203" t="s">
        <v>240</v>
      </c>
      <c r="C38" s="174">
        <v>986</v>
      </c>
      <c r="D38" s="174">
        <v>59958</v>
      </c>
      <c r="E38" s="174"/>
      <c r="F38" s="174"/>
      <c r="G38" s="174"/>
      <c r="H38" s="174"/>
      <c r="I38" s="174"/>
      <c r="J38" s="174"/>
      <c r="K38" s="174"/>
      <c r="L38" s="174">
        <f>+L47</f>
        <v>0</v>
      </c>
      <c r="M38" s="174">
        <f>+M47</f>
        <v>0</v>
      </c>
      <c r="N38" s="174">
        <f t="shared" ref="N38:AP44" si="8">+N47</f>
        <v>0</v>
      </c>
      <c r="O38" s="174">
        <f t="shared" si="8"/>
        <v>0</v>
      </c>
      <c r="P38" s="174">
        <f t="shared" si="8"/>
        <v>0</v>
      </c>
      <c r="Q38" s="174">
        <f t="shared" si="8"/>
        <v>0</v>
      </c>
      <c r="R38" s="174">
        <f t="shared" si="8"/>
        <v>0</v>
      </c>
      <c r="S38" s="174">
        <f t="shared" si="8"/>
        <v>0</v>
      </c>
      <c r="T38" s="174">
        <f t="shared" si="8"/>
        <v>0</v>
      </c>
      <c r="U38" s="174">
        <f t="shared" si="8"/>
        <v>0</v>
      </c>
      <c r="V38" s="174">
        <f t="shared" si="8"/>
        <v>0</v>
      </c>
      <c r="W38" s="174">
        <f t="shared" si="8"/>
        <v>0</v>
      </c>
      <c r="X38" s="174">
        <f t="shared" si="8"/>
        <v>0</v>
      </c>
      <c r="Y38" s="174">
        <f t="shared" si="8"/>
        <v>0</v>
      </c>
      <c r="Z38" s="174">
        <f t="shared" si="8"/>
        <v>0</v>
      </c>
      <c r="AA38" s="174">
        <f t="shared" si="8"/>
        <v>0</v>
      </c>
      <c r="AB38" s="174">
        <f t="shared" si="8"/>
        <v>0</v>
      </c>
      <c r="AC38" s="174">
        <f t="shared" si="8"/>
        <v>0</v>
      </c>
      <c r="AD38" s="174">
        <f t="shared" si="8"/>
        <v>0</v>
      </c>
      <c r="AE38" s="174">
        <f t="shared" si="8"/>
        <v>0</v>
      </c>
      <c r="AF38" s="174">
        <f t="shared" si="8"/>
        <v>0</v>
      </c>
      <c r="AG38" s="174">
        <f t="shared" si="8"/>
        <v>0</v>
      </c>
      <c r="AH38" s="174">
        <f t="shared" si="8"/>
        <v>0</v>
      </c>
      <c r="AI38" s="174">
        <f t="shared" si="8"/>
        <v>0</v>
      </c>
      <c r="AJ38" s="174">
        <f t="shared" si="8"/>
        <v>0</v>
      </c>
      <c r="AK38" s="174">
        <f t="shared" si="8"/>
        <v>0</v>
      </c>
      <c r="AL38" s="174">
        <f t="shared" si="8"/>
        <v>0</v>
      </c>
      <c r="AM38" s="174">
        <f t="shared" si="8"/>
        <v>0</v>
      </c>
      <c r="AN38" s="174">
        <f t="shared" si="8"/>
        <v>0</v>
      </c>
      <c r="AO38" s="174">
        <f t="shared" si="8"/>
        <v>0</v>
      </c>
      <c r="AP38" s="174">
        <f t="shared" si="8"/>
        <v>0</v>
      </c>
    </row>
    <row r="39" spans="2:43">
      <c r="B39" s="203" t="s">
        <v>241</v>
      </c>
      <c r="C39" s="174">
        <v>551</v>
      </c>
      <c r="D39" s="174"/>
      <c r="E39" s="174"/>
      <c r="F39" s="174"/>
      <c r="G39" s="174"/>
      <c r="H39" s="174"/>
      <c r="I39" s="174"/>
      <c r="J39" s="174"/>
      <c r="K39" s="174"/>
      <c r="L39" s="174">
        <f t="shared" ref="L39:M43" si="9">+L48</f>
        <v>0</v>
      </c>
      <c r="M39" s="174">
        <f t="shared" si="9"/>
        <v>0</v>
      </c>
      <c r="N39" s="174">
        <f t="shared" si="8"/>
        <v>0</v>
      </c>
      <c r="O39" s="174">
        <f t="shared" si="8"/>
        <v>0</v>
      </c>
      <c r="P39" s="174">
        <f t="shared" si="8"/>
        <v>0</v>
      </c>
      <c r="Q39" s="174">
        <f t="shared" si="8"/>
        <v>0</v>
      </c>
      <c r="R39" s="174">
        <f t="shared" si="8"/>
        <v>0</v>
      </c>
      <c r="S39" s="174">
        <f t="shared" si="8"/>
        <v>0</v>
      </c>
      <c r="T39" s="174">
        <f t="shared" si="8"/>
        <v>0</v>
      </c>
      <c r="U39" s="174">
        <f t="shared" si="8"/>
        <v>0</v>
      </c>
      <c r="V39" s="174">
        <f t="shared" si="8"/>
        <v>0</v>
      </c>
      <c r="W39" s="174">
        <f t="shared" si="8"/>
        <v>0</v>
      </c>
      <c r="X39" s="174">
        <f t="shared" si="8"/>
        <v>0</v>
      </c>
      <c r="Y39" s="174">
        <f t="shared" si="8"/>
        <v>0</v>
      </c>
      <c r="Z39" s="174">
        <f t="shared" si="8"/>
        <v>0</v>
      </c>
      <c r="AA39" s="174">
        <f t="shared" si="8"/>
        <v>0</v>
      </c>
      <c r="AB39" s="174">
        <f t="shared" si="8"/>
        <v>0</v>
      </c>
      <c r="AC39" s="174">
        <f t="shared" si="8"/>
        <v>0</v>
      </c>
      <c r="AD39" s="174">
        <f t="shared" si="8"/>
        <v>0</v>
      </c>
      <c r="AE39" s="174">
        <f t="shared" si="8"/>
        <v>0</v>
      </c>
      <c r="AF39" s="174">
        <f t="shared" si="8"/>
        <v>0</v>
      </c>
      <c r="AG39" s="174">
        <f t="shared" si="8"/>
        <v>0</v>
      </c>
      <c r="AH39" s="174">
        <f t="shared" si="8"/>
        <v>0</v>
      </c>
      <c r="AI39" s="174">
        <f t="shared" si="8"/>
        <v>0</v>
      </c>
      <c r="AJ39" s="174">
        <f t="shared" si="8"/>
        <v>0</v>
      </c>
      <c r="AK39" s="174">
        <f t="shared" si="8"/>
        <v>0</v>
      </c>
      <c r="AL39" s="174">
        <f t="shared" si="8"/>
        <v>0</v>
      </c>
      <c r="AM39" s="174">
        <f t="shared" si="8"/>
        <v>0</v>
      </c>
      <c r="AN39" s="174">
        <f t="shared" si="8"/>
        <v>0</v>
      </c>
      <c r="AO39" s="174">
        <f t="shared" si="8"/>
        <v>0</v>
      </c>
      <c r="AP39" s="174">
        <f t="shared" si="8"/>
        <v>0</v>
      </c>
    </row>
    <row r="40" spans="2:43">
      <c r="B40" s="203" t="s">
        <v>242</v>
      </c>
      <c r="C40" s="174">
        <v>13113</v>
      </c>
      <c r="D40" s="174"/>
      <c r="E40" s="174"/>
      <c r="F40" s="174"/>
      <c r="G40" s="174"/>
      <c r="H40" s="174"/>
      <c r="I40" s="174"/>
      <c r="J40" s="174"/>
      <c r="K40" s="174"/>
      <c r="L40" s="174">
        <f t="shared" si="9"/>
        <v>0</v>
      </c>
      <c r="M40" s="174">
        <f t="shared" si="9"/>
        <v>0</v>
      </c>
      <c r="N40" s="174">
        <f t="shared" si="8"/>
        <v>0</v>
      </c>
      <c r="O40" s="174">
        <f t="shared" si="8"/>
        <v>0</v>
      </c>
      <c r="P40" s="174">
        <f t="shared" si="8"/>
        <v>0</v>
      </c>
      <c r="Q40" s="174">
        <f t="shared" si="8"/>
        <v>0</v>
      </c>
      <c r="R40" s="174">
        <f t="shared" si="8"/>
        <v>0</v>
      </c>
      <c r="S40" s="174">
        <f t="shared" si="8"/>
        <v>0</v>
      </c>
      <c r="T40" s="174">
        <f t="shared" si="8"/>
        <v>0</v>
      </c>
      <c r="U40" s="174">
        <f t="shared" si="8"/>
        <v>0</v>
      </c>
      <c r="V40" s="174">
        <f t="shared" si="8"/>
        <v>0</v>
      </c>
      <c r="W40" s="174">
        <f t="shared" si="8"/>
        <v>0</v>
      </c>
      <c r="X40" s="174">
        <f t="shared" si="8"/>
        <v>0</v>
      </c>
      <c r="Y40" s="174">
        <f t="shared" si="8"/>
        <v>0</v>
      </c>
      <c r="Z40" s="174">
        <f t="shared" si="8"/>
        <v>0</v>
      </c>
      <c r="AA40" s="174">
        <f t="shared" si="8"/>
        <v>0</v>
      </c>
      <c r="AB40" s="174">
        <f t="shared" si="8"/>
        <v>0</v>
      </c>
      <c r="AC40" s="174">
        <f t="shared" si="8"/>
        <v>0</v>
      </c>
      <c r="AD40" s="174">
        <f t="shared" si="8"/>
        <v>0</v>
      </c>
      <c r="AE40" s="174">
        <f t="shared" si="8"/>
        <v>0</v>
      </c>
      <c r="AF40" s="174">
        <f t="shared" si="8"/>
        <v>0</v>
      </c>
      <c r="AG40" s="174">
        <f t="shared" si="8"/>
        <v>0</v>
      </c>
      <c r="AH40" s="174">
        <f t="shared" si="8"/>
        <v>0</v>
      </c>
      <c r="AI40" s="174">
        <f t="shared" si="8"/>
        <v>0</v>
      </c>
      <c r="AJ40" s="174">
        <f t="shared" si="8"/>
        <v>0</v>
      </c>
      <c r="AK40" s="174">
        <f t="shared" si="8"/>
        <v>0</v>
      </c>
      <c r="AL40" s="174">
        <f t="shared" si="8"/>
        <v>0</v>
      </c>
      <c r="AM40" s="174">
        <f t="shared" si="8"/>
        <v>0</v>
      </c>
      <c r="AN40" s="174">
        <f t="shared" si="8"/>
        <v>0</v>
      </c>
      <c r="AO40" s="174">
        <f t="shared" si="8"/>
        <v>0</v>
      </c>
      <c r="AP40" s="174">
        <f t="shared" si="8"/>
        <v>0</v>
      </c>
    </row>
    <row r="41" spans="2:43">
      <c r="B41" s="203" t="s">
        <v>243</v>
      </c>
      <c r="C41" s="174"/>
      <c r="D41" s="174">
        <v>386</v>
      </c>
      <c r="E41" s="174"/>
      <c r="F41" s="174"/>
      <c r="G41" s="174"/>
      <c r="H41" s="174"/>
      <c r="I41" s="174"/>
      <c r="J41" s="174"/>
      <c r="K41" s="174"/>
      <c r="L41" s="174">
        <f t="shared" si="9"/>
        <v>0</v>
      </c>
      <c r="M41" s="174">
        <f t="shared" si="9"/>
        <v>0</v>
      </c>
      <c r="N41" s="174">
        <f t="shared" si="8"/>
        <v>0</v>
      </c>
      <c r="O41" s="174">
        <f t="shared" si="8"/>
        <v>0</v>
      </c>
      <c r="P41" s="174">
        <f t="shared" si="8"/>
        <v>0</v>
      </c>
      <c r="Q41" s="174">
        <f t="shared" si="8"/>
        <v>0</v>
      </c>
      <c r="R41" s="174">
        <f t="shared" si="8"/>
        <v>0</v>
      </c>
      <c r="S41" s="174">
        <f t="shared" si="8"/>
        <v>0</v>
      </c>
      <c r="T41" s="174">
        <f t="shared" si="8"/>
        <v>0</v>
      </c>
      <c r="U41" s="174">
        <f t="shared" si="8"/>
        <v>0</v>
      </c>
      <c r="V41" s="174">
        <f t="shared" si="8"/>
        <v>0</v>
      </c>
      <c r="W41" s="174">
        <f t="shared" si="8"/>
        <v>0</v>
      </c>
      <c r="X41" s="174">
        <f t="shared" si="8"/>
        <v>0</v>
      </c>
      <c r="Y41" s="174">
        <f t="shared" si="8"/>
        <v>0</v>
      </c>
      <c r="Z41" s="174">
        <f t="shared" si="8"/>
        <v>0</v>
      </c>
      <c r="AA41" s="174">
        <f t="shared" si="8"/>
        <v>0</v>
      </c>
      <c r="AB41" s="174">
        <f t="shared" si="8"/>
        <v>0</v>
      </c>
      <c r="AC41" s="174">
        <f t="shared" si="8"/>
        <v>0</v>
      </c>
      <c r="AD41" s="174">
        <f t="shared" si="8"/>
        <v>0</v>
      </c>
      <c r="AE41" s="174">
        <f t="shared" si="8"/>
        <v>0</v>
      </c>
      <c r="AF41" s="174">
        <f t="shared" si="8"/>
        <v>0</v>
      </c>
      <c r="AG41" s="174">
        <f t="shared" si="8"/>
        <v>0</v>
      </c>
      <c r="AH41" s="174">
        <f t="shared" si="8"/>
        <v>0</v>
      </c>
      <c r="AI41" s="174">
        <f t="shared" si="8"/>
        <v>0</v>
      </c>
      <c r="AJ41" s="174">
        <f t="shared" si="8"/>
        <v>0</v>
      </c>
      <c r="AK41" s="174">
        <f t="shared" si="8"/>
        <v>0</v>
      </c>
      <c r="AL41" s="174">
        <f t="shared" si="8"/>
        <v>0</v>
      </c>
      <c r="AM41" s="174">
        <f t="shared" si="8"/>
        <v>0</v>
      </c>
      <c r="AN41" s="174">
        <f t="shared" si="8"/>
        <v>0</v>
      </c>
      <c r="AO41" s="174">
        <f t="shared" si="8"/>
        <v>0</v>
      </c>
      <c r="AP41" s="174">
        <f t="shared" si="8"/>
        <v>0</v>
      </c>
    </row>
    <row r="42" spans="2:43">
      <c r="B42" s="203" t="s">
        <v>244</v>
      </c>
      <c r="C42" s="174"/>
      <c r="D42" s="174">
        <v>140</v>
      </c>
      <c r="E42" s="174"/>
      <c r="F42" s="174"/>
      <c r="G42" s="174"/>
      <c r="H42" s="174"/>
      <c r="I42" s="174"/>
      <c r="J42" s="174"/>
      <c r="K42" s="174"/>
      <c r="L42" s="174">
        <f t="shared" si="9"/>
        <v>0</v>
      </c>
      <c r="M42" s="174">
        <f t="shared" si="9"/>
        <v>0</v>
      </c>
      <c r="N42" s="174">
        <f t="shared" si="8"/>
        <v>0</v>
      </c>
      <c r="O42" s="174">
        <f t="shared" si="8"/>
        <v>0</v>
      </c>
      <c r="P42" s="174">
        <f t="shared" si="8"/>
        <v>0</v>
      </c>
      <c r="Q42" s="174">
        <f t="shared" si="8"/>
        <v>0</v>
      </c>
      <c r="R42" s="174">
        <f t="shared" si="8"/>
        <v>0</v>
      </c>
      <c r="S42" s="174">
        <f t="shared" si="8"/>
        <v>0</v>
      </c>
      <c r="T42" s="174">
        <f t="shared" si="8"/>
        <v>0</v>
      </c>
      <c r="U42" s="174">
        <f t="shared" si="8"/>
        <v>0</v>
      </c>
      <c r="V42" s="174">
        <f t="shared" si="8"/>
        <v>0</v>
      </c>
      <c r="W42" s="174">
        <f t="shared" si="8"/>
        <v>0</v>
      </c>
      <c r="X42" s="174">
        <f t="shared" si="8"/>
        <v>0</v>
      </c>
      <c r="Y42" s="174">
        <f t="shared" si="8"/>
        <v>0</v>
      </c>
      <c r="Z42" s="174">
        <f t="shared" si="8"/>
        <v>0</v>
      </c>
      <c r="AA42" s="174">
        <f t="shared" si="8"/>
        <v>0</v>
      </c>
      <c r="AB42" s="174">
        <f t="shared" si="8"/>
        <v>0</v>
      </c>
      <c r="AC42" s="174">
        <f t="shared" si="8"/>
        <v>0</v>
      </c>
      <c r="AD42" s="174">
        <f t="shared" si="8"/>
        <v>0</v>
      </c>
      <c r="AE42" s="174">
        <f t="shared" si="8"/>
        <v>0</v>
      </c>
      <c r="AF42" s="174">
        <f t="shared" si="8"/>
        <v>0</v>
      </c>
      <c r="AG42" s="174">
        <f t="shared" si="8"/>
        <v>0</v>
      </c>
      <c r="AH42" s="174">
        <f t="shared" si="8"/>
        <v>0</v>
      </c>
      <c r="AI42" s="174">
        <f t="shared" si="8"/>
        <v>0</v>
      </c>
      <c r="AJ42" s="174">
        <f t="shared" si="8"/>
        <v>0</v>
      </c>
      <c r="AK42" s="174">
        <f t="shared" si="8"/>
        <v>0</v>
      </c>
      <c r="AL42" s="174">
        <f t="shared" si="8"/>
        <v>0</v>
      </c>
      <c r="AM42" s="174">
        <f t="shared" si="8"/>
        <v>0</v>
      </c>
      <c r="AN42" s="174">
        <f t="shared" si="8"/>
        <v>0</v>
      </c>
      <c r="AO42" s="174">
        <f t="shared" si="8"/>
        <v>0</v>
      </c>
      <c r="AP42" s="174">
        <f t="shared" si="8"/>
        <v>0</v>
      </c>
    </row>
    <row r="43" spans="2:43">
      <c r="B43" s="203" t="s">
        <v>245</v>
      </c>
      <c r="C43" s="174"/>
      <c r="D43" s="174">
        <v>2672</v>
      </c>
      <c r="E43" s="174"/>
      <c r="F43" s="174"/>
      <c r="G43" s="174"/>
      <c r="H43" s="174"/>
      <c r="I43" s="174"/>
      <c r="J43" s="174"/>
      <c r="K43" s="174"/>
      <c r="L43" s="174">
        <f t="shared" si="9"/>
        <v>0</v>
      </c>
      <c r="M43" s="174">
        <f t="shared" si="9"/>
        <v>0</v>
      </c>
      <c r="N43" s="174">
        <f t="shared" si="8"/>
        <v>0</v>
      </c>
      <c r="O43" s="174">
        <f t="shared" si="8"/>
        <v>0</v>
      </c>
      <c r="P43" s="174">
        <f t="shared" si="8"/>
        <v>0</v>
      </c>
      <c r="Q43" s="174">
        <f t="shared" si="8"/>
        <v>0</v>
      </c>
      <c r="R43" s="174">
        <f t="shared" si="8"/>
        <v>0</v>
      </c>
      <c r="S43" s="174">
        <f t="shared" si="8"/>
        <v>0</v>
      </c>
      <c r="T43" s="174">
        <f t="shared" si="8"/>
        <v>0</v>
      </c>
      <c r="U43" s="174">
        <f t="shared" si="8"/>
        <v>0</v>
      </c>
      <c r="V43" s="174">
        <f t="shared" si="8"/>
        <v>0</v>
      </c>
      <c r="W43" s="174">
        <f t="shared" si="8"/>
        <v>0</v>
      </c>
      <c r="X43" s="174">
        <f t="shared" si="8"/>
        <v>0</v>
      </c>
      <c r="Y43" s="174">
        <f t="shared" si="8"/>
        <v>0</v>
      </c>
      <c r="Z43" s="174">
        <f t="shared" si="8"/>
        <v>0</v>
      </c>
      <c r="AA43" s="174">
        <f t="shared" si="8"/>
        <v>0</v>
      </c>
      <c r="AB43" s="174">
        <f t="shared" si="8"/>
        <v>0</v>
      </c>
      <c r="AC43" s="174">
        <f t="shared" si="8"/>
        <v>0</v>
      </c>
      <c r="AD43" s="174">
        <f t="shared" si="8"/>
        <v>0</v>
      </c>
      <c r="AE43" s="174">
        <f t="shared" si="8"/>
        <v>0</v>
      </c>
      <c r="AF43" s="174">
        <f t="shared" si="8"/>
        <v>0</v>
      </c>
      <c r="AG43" s="174">
        <f t="shared" si="8"/>
        <v>0</v>
      </c>
      <c r="AH43" s="174">
        <f t="shared" si="8"/>
        <v>0</v>
      </c>
      <c r="AI43" s="174">
        <f t="shared" si="8"/>
        <v>0</v>
      </c>
      <c r="AJ43" s="174">
        <f t="shared" si="8"/>
        <v>0</v>
      </c>
      <c r="AK43" s="174">
        <f t="shared" si="8"/>
        <v>0</v>
      </c>
      <c r="AL43" s="174">
        <f t="shared" si="8"/>
        <v>0</v>
      </c>
      <c r="AM43" s="174">
        <f t="shared" si="8"/>
        <v>0</v>
      </c>
      <c r="AN43" s="174">
        <f t="shared" si="8"/>
        <v>0</v>
      </c>
      <c r="AO43" s="174">
        <f t="shared" si="8"/>
        <v>0</v>
      </c>
      <c r="AP43" s="174">
        <f t="shared" si="8"/>
        <v>0</v>
      </c>
    </row>
    <row r="44" spans="2:43" s="179" customFormat="1">
      <c r="B44" s="210" t="s">
        <v>234</v>
      </c>
      <c r="C44" s="190">
        <v>13413</v>
      </c>
      <c r="D44" s="190">
        <v>756000</v>
      </c>
      <c r="E44" s="190">
        <v>3510000</v>
      </c>
      <c r="F44" s="190">
        <v>4860000</v>
      </c>
      <c r="G44" s="190">
        <v>6185454.5454545449</v>
      </c>
      <c r="H44" s="190">
        <v>7952727.2727272706</v>
      </c>
      <c r="I44" s="190">
        <v>8836363.6363636348</v>
      </c>
      <c r="J44" s="190">
        <v>8836363.6363636348</v>
      </c>
      <c r="K44" s="190">
        <v>8836363.6363636348</v>
      </c>
      <c r="L44" s="190">
        <f>+SUM(L38:L43)</f>
        <v>0</v>
      </c>
      <c r="M44" s="190">
        <f t="shared" ref="M44" si="10">+SUM(M38:M43)</f>
        <v>0</v>
      </c>
      <c r="N44" s="190">
        <f>+N53</f>
        <v>0</v>
      </c>
      <c r="O44" s="190">
        <f t="shared" si="8"/>
        <v>0</v>
      </c>
      <c r="P44" s="190">
        <f t="shared" si="8"/>
        <v>0</v>
      </c>
      <c r="Q44" s="190">
        <f t="shared" si="8"/>
        <v>0</v>
      </c>
      <c r="R44" s="190">
        <f t="shared" si="8"/>
        <v>0</v>
      </c>
      <c r="S44" s="190">
        <f t="shared" si="8"/>
        <v>0</v>
      </c>
      <c r="T44" s="190">
        <f t="shared" si="8"/>
        <v>0</v>
      </c>
      <c r="U44" s="190">
        <f>+SUM(U38:U43)</f>
        <v>0</v>
      </c>
      <c r="V44" s="190">
        <f>+SUM(V38:V43)</f>
        <v>0</v>
      </c>
      <c r="W44" s="190">
        <f t="shared" si="8"/>
        <v>0</v>
      </c>
      <c r="X44" s="190">
        <f t="shared" si="8"/>
        <v>0</v>
      </c>
      <c r="Y44" s="190">
        <f t="shared" si="8"/>
        <v>0</v>
      </c>
      <c r="Z44" s="190">
        <f t="shared" si="8"/>
        <v>0</v>
      </c>
      <c r="AA44" s="190">
        <f t="shared" si="8"/>
        <v>0</v>
      </c>
      <c r="AB44" s="190">
        <f t="shared" si="8"/>
        <v>0</v>
      </c>
      <c r="AC44" s="190">
        <f t="shared" si="8"/>
        <v>0</v>
      </c>
      <c r="AD44" s="190">
        <f>+SUM(AD38:AD43)</f>
        <v>0</v>
      </c>
      <c r="AE44" s="190">
        <f>+SUM(AE38:AE43)</f>
        <v>0</v>
      </c>
      <c r="AF44" s="190">
        <f>+AF53</f>
        <v>0</v>
      </c>
      <c r="AG44" s="190">
        <f>+AG53</f>
        <v>0</v>
      </c>
      <c r="AH44" s="190">
        <f t="shared" si="8"/>
        <v>0</v>
      </c>
      <c r="AI44" s="190">
        <f t="shared" si="8"/>
        <v>0</v>
      </c>
      <c r="AJ44" s="190">
        <f t="shared" si="8"/>
        <v>0</v>
      </c>
      <c r="AK44" s="190">
        <f t="shared" si="8"/>
        <v>0</v>
      </c>
      <c r="AL44" s="190"/>
      <c r="AM44" s="190"/>
      <c r="AN44" s="190"/>
      <c r="AO44" s="190"/>
      <c r="AP44" s="190"/>
      <c r="AQ44" s="178">
        <f>+SUM(C44:K44)</f>
        <v>49786685.727272719</v>
      </c>
    </row>
    <row r="45" spans="2:43" s="179" customFormat="1" ht="6" customHeight="1">
      <c r="B45" s="211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</row>
    <row r="46" spans="2:43" s="179" customFormat="1">
      <c r="B46" s="210" t="s">
        <v>235</v>
      </c>
      <c r="C46" s="189">
        <v>2022</v>
      </c>
      <c r="D46" s="189">
        <v>2023</v>
      </c>
      <c r="E46" s="189">
        <v>2024</v>
      </c>
      <c r="F46" s="189">
        <v>2025</v>
      </c>
      <c r="G46" s="189">
        <v>2026</v>
      </c>
      <c r="H46" s="189">
        <v>2027</v>
      </c>
      <c r="I46" s="189">
        <v>2028</v>
      </c>
      <c r="J46" s="189">
        <v>2029</v>
      </c>
      <c r="K46" s="189">
        <v>2030</v>
      </c>
      <c r="L46" s="189">
        <v>2031</v>
      </c>
      <c r="M46" s="189">
        <v>2032</v>
      </c>
      <c r="N46" s="189">
        <v>2033</v>
      </c>
      <c r="O46" s="189">
        <v>2034</v>
      </c>
      <c r="P46" s="189">
        <v>2035</v>
      </c>
      <c r="Q46" s="189">
        <v>2036</v>
      </c>
      <c r="R46" s="189">
        <v>2037</v>
      </c>
      <c r="S46" s="189">
        <v>2038</v>
      </c>
      <c r="T46" s="189">
        <v>2039</v>
      </c>
      <c r="U46" s="189">
        <v>2040</v>
      </c>
      <c r="V46" s="189">
        <v>2041</v>
      </c>
      <c r="W46" s="189">
        <v>2042</v>
      </c>
      <c r="X46" s="189">
        <v>2043</v>
      </c>
      <c r="Y46" s="189">
        <v>2044</v>
      </c>
      <c r="Z46" s="189">
        <v>2045</v>
      </c>
      <c r="AA46" s="189">
        <v>2046</v>
      </c>
      <c r="AB46" s="189">
        <v>2047</v>
      </c>
      <c r="AC46" s="189">
        <v>2048</v>
      </c>
      <c r="AD46" s="189">
        <v>2049</v>
      </c>
      <c r="AE46" s="189">
        <v>2050</v>
      </c>
      <c r="AF46" s="189">
        <v>2051</v>
      </c>
      <c r="AG46" s="189">
        <v>2052</v>
      </c>
      <c r="AH46" s="189">
        <v>2053</v>
      </c>
      <c r="AI46" s="189">
        <v>2054</v>
      </c>
      <c r="AJ46" s="189">
        <v>2055</v>
      </c>
      <c r="AK46" s="189">
        <v>2056</v>
      </c>
      <c r="AL46" s="189">
        <v>2057</v>
      </c>
      <c r="AM46" s="189">
        <v>2058</v>
      </c>
      <c r="AN46" s="189">
        <v>2059</v>
      </c>
      <c r="AO46" s="189">
        <v>2060</v>
      </c>
      <c r="AP46" s="189">
        <v>2061</v>
      </c>
    </row>
    <row r="47" spans="2:43">
      <c r="B47" s="203" t="s">
        <v>240</v>
      </c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</row>
    <row r="48" spans="2:43">
      <c r="B48" s="203" t="s">
        <v>241</v>
      </c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</row>
    <row r="49" spans="2:42">
      <c r="B49" s="203" t="s">
        <v>242</v>
      </c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</row>
    <row r="50" spans="2:42">
      <c r="B50" s="203" t="s">
        <v>243</v>
      </c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</row>
    <row r="51" spans="2:42">
      <c r="B51" s="203" t="s">
        <v>244</v>
      </c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</row>
    <row r="52" spans="2:42">
      <c r="B52" s="203" t="s">
        <v>245</v>
      </c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</row>
    <row r="53" spans="2:42" s="179" customFormat="1">
      <c r="B53" s="210" t="s">
        <v>236</v>
      </c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0"/>
      <c r="AI53" s="190"/>
      <c r="AJ53" s="190"/>
      <c r="AK53" s="190"/>
      <c r="AL53" s="190"/>
      <c r="AM53" s="190"/>
      <c r="AN53" s="190"/>
      <c r="AO53" s="190"/>
      <c r="AP53" s="190"/>
    </row>
    <row r="54" spans="2:42" s="179" customFormat="1">
      <c r="B54" s="210"/>
      <c r="C54" s="190"/>
      <c r="D54" s="19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0"/>
      <c r="AI54" s="190"/>
      <c r="AJ54" s="190"/>
      <c r="AK54" s="190"/>
      <c r="AL54" s="190"/>
      <c r="AM54" s="190"/>
      <c r="AN54" s="190"/>
      <c r="AO54" s="190"/>
      <c r="AP54" s="190"/>
    </row>
    <row r="55" spans="2:42" s="172" customFormat="1">
      <c r="B55" s="212" t="s">
        <v>230</v>
      </c>
      <c r="C55" s="191">
        <f>+C44</f>
        <v>13413</v>
      </c>
      <c r="D55" s="191">
        <f>+D44+C55-D53</f>
        <v>769413</v>
      </c>
      <c r="E55" s="191">
        <f t="shared" ref="E55:AP55" si="11">+E44+D55-E53</f>
        <v>4279413</v>
      </c>
      <c r="F55" s="191">
        <f t="shared" si="11"/>
        <v>9139413</v>
      </c>
      <c r="G55" s="191">
        <f t="shared" si="11"/>
        <v>15324867.545454545</v>
      </c>
      <c r="H55" s="191">
        <f t="shared" si="11"/>
        <v>23277594.818181816</v>
      </c>
      <c r="I55" s="191">
        <f t="shared" si="11"/>
        <v>32113958.454545453</v>
      </c>
      <c r="J55" s="191">
        <f>+J44+I55-J53</f>
        <v>40950322.090909086</v>
      </c>
      <c r="K55" s="191">
        <f>+K44+J55-K53</f>
        <v>49786685.727272719</v>
      </c>
      <c r="L55" s="191">
        <f>+L44+K55-L53</f>
        <v>49786685.727272719</v>
      </c>
      <c r="M55" s="191">
        <f t="shared" si="11"/>
        <v>49786685.727272719</v>
      </c>
      <c r="N55" s="191">
        <f t="shared" si="11"/>
        <v>49786685.727272719</v>
      </c>
      <c r="O55" s="191">
        <f t="shared" si="11"/>
        <v>49786685.727272719</v>
      </c>
      <c r="P55" s="191">
        <f t="shared" si="11"/>
        <v>49786685.727272719</v>
      </c>
      <c r="Q55" s="191">
        <f t="shared" si="11"/>
        <v>49786685.727272719</v>
      </c>
      <c r="R55" s="191">
        <f t="shared" si="11"/>
        <v>49786685.727272719</v>
      </c>
      <c r="S55" s="191">
        <f t="shared" si="11"/>
        <v>49786685.727272719</v>
      </c>
      <c r="T55" s="191">
        <f t="shared" si="11"/>
        <v>49786685.727272719</v>
      </c>
      <c r="U55" s="191">
        <f t="shared" si="11"/>
        <v>49786685.727272719</v>
      </c>
      <c r="V55" s="191">
        <f t="shared" si="11"/>
        <v>49786685.727272719</v>
      </c>
      <c r="W55" s="191">
        <f t="shared" si="11"/>
        <v>49786685.727272719</v>
      </c>
      <c r="X55" s="191">
        <f t="shared" si="11"/>
        <v>49786685.727272719</v>
      </c>
      <c r="Y55" s="191">
        <f t="shared" si="11"/>
        <v>49786685.727272719</v>
      </c>
      <c r="Z55" s="191">
        <f t="shared" si="11"/>
        <v>49786685.727272719</v>
      </c>
      <c r="AA55" s="191">
        <f t="shared" si="11"/>
        <v>49786685.727272719</v>
      </c>
      <c r="AB55" s="191">
        <f>+AB44+AA55-AB53</f>
        <v>49786685.727272719</v>
      </c>
      <c r="AC55" s="191">
        <f t="shared" si="11"/>
        <v>49786685.727272719</v>
      </c>
      <c r="AD55" s="191">
        <f t="shared" si="11"/>
        <v>49786685.727272719</v>
      </c>
      <c r="AE55" s="191">
        <f t="shared" si="11"/>
        <v>49786685.727272719</v>
      </c>
      <c r="AF55" s="191">
        <f t="shared" si="11"/>
        <v>49786685.727272719</v>
      </c>
      <c r="AG55" s="191">
        <f t="shared" si="11"/>
        <v>49786685.727272719</v>
      </c>
      <c r="AH55" s="191">
        <f t="shared" si="11"/>
        <v>49786685.727272719</v>
      </c>
      <c r="AI55" s="191">
        <f t="shared" si="11"/>
        <v>49786685.727272719</v>
      </c>
      <c r="AJ55" s="191">
        <f t="shared" si="11"/>
        <v>49786685.727272719</v>
      </c>
      <c r="AK55" s="191">
        <f t="shared" si="11"/>
        <v>49786685.727272719</v>
      </c>
      <c r="AL55" s="191">
        <f t="shared" si="11"/>
        <v>49786685.727272719</v>
      </c>
      <c r="AM55" s="191">
        <f t="shared" si="11"/>
        <v>49786685.727272719</v>
      </c>
      <c r="AN55" s="191">
        <f t="shared" si="11"/>
        <v>49786685.727272719</v>
      </c>
      <c r="AO55" s="191">
        <f t="shared" si="11"/>
        <v>49786685.727272719</v>
      </c>
      <c r="AP55" s="191">
        <f t="shared" si="11"/>
        <v>49786685.727272719</v>
      </c>
    </row>
    <row r="58" spans="2:42">
      <c r="B58" s="200" t="s">
        <v>246</v>
      </c>
    </row>
    <row r="59" spans="2:42">
      <c r="C59" s="192">
        <v>0.6</v>
      </c>
      <c r="D59" s="192">
        <v>0.6</v>
      </c>
      <c r="E59" s="192">
        <v>0.65</v>
      </c>
      <c r="F59" s="192">
        <v>0.6</v>
      </c>
      <c r="G59" s="192">
        <v>0.6</v>
      </c>
      <c r="H59" s="192">
        <v>0.6</v>
      </c>
      <c r="I59" s="192">
        <v>0.6</v>
      </c>
      <c r="J59" s="192">
        <v>0.6</v>
      </c>
      <c r="K59" s="192">
        <v>0.6</v>
      </c>
      <c r="L59" s="192">
        <v>0.6</v>
      </c>
      <c r="M59" s="192">
        <v>0.6</v>
      </c>
      <c r="N59" s="192">
        <v>0.6</v>
      </c>
      <c r="O59" s="192">
        <v>0.6</v>
      </c>
      <c r="P59" s="192">
        <v>0.6</v>
      </c>
      <c r="Q59" s="192">
        <v>0.6</v>
      </c>
      <c r="R59" s="192">
        <v>0.6</v>
      </c>
      <c r="S59" s="192">
        <v>0.6</v>
      </c>
      <c r="T59" s="192">
        <v>0.6</v>
      </c>
      <c r="U59" s="192">
        <v>0.6</v>
      </c>
      <c r="V59" s="192">
        <v>0.6</v>
      </c>
      <c r="W59" s="192">
        <v>0.6</v>
      </c>
      <c r="X59" s="192">
        <v>0.6</v>
      </c>
      <c r="Y59" s="192">
        <v>0.6</v>
      </c>
      <c r="Z59" s="192">
        <v>0.6</v>
      </c>
      <c r="AA59" s="192">
        <v>0.6</v>
      </c>
      <c r="AB59" s="192">
        <v>0.6</v>
      </c>
      <c r="AC59" s="192">
        <v>0.6</v>
      </c>
      <c r="AD59" s="192">
        <v>0.6</v>
      </c>
      <c r="AE59" s="192">
        <v>0.6</v>
      </c>
      <c r="AF59" s="192">
        <v>0.6</v>
      </c>
      <c r="AG59" s="192">
        <v>0.6</v>
      </c>
      <c r="AH59" s="192">
        <v>0.6</v>
      </c>
      <c r="AI59" s="192">
        <v>0.6</v>
      </c>
      <c r="AJ59" s="192">
        <v>0.6</v>
      </c>
      <c r="AK59" s="192">
        <v>0.6</v>
      </c>
      <c r="AL59" s="192">
        <v>0.6</v>
      </c>
      <c r="AM59" s="192">
        <v>0.6</v>
      </c>
      <c r="AN59" s="192">
        <v>0.6</v>
      </c>
    </row>
    <row r="60" spans="2:42">
      <c r="C60" s="192">
        <v>0.6</v>
      </c>
      <c r="D60" s="192">
        <v>0.6</v>
      </c>
      <c r="E60" s="192">
        <v>0.65</v>
      </c>
      <c r="F60" s="192">
        <v>0.6</v>
      </c>
      <c r="G60" s="192">
        <v>0.6</v>
      </c>
      <c r="H60" s="192">
        <v>0.6</v>
      </c>
      <c r="I60" s="192">
        <v>0.6</v>
      </c>
      <c r="J60" s="192">
        <v>0.6</v>
      </c>
      <c r="K60" s="192">
        <v>0.6</v>
      </c>
      <c r="L60" s="192">
        <v>0.6</v>
      </c>
      <c r="M60" s="192">
        <v>0.6</v>
      </c>
      <c r="N60" s="192">
        <v>0.6</v>
      </c>
      <c r="O60" s="192">
        <v>0.6</v>
      </c>
      <c r="P60" s="192">
        <v>0.6</v>
      </c>
      <c r="Q60" s="192">
        <v>0.6</v>
      </c>
      <c r="R60" s="192">
        <v>0.6</v>
      </c>
      <c r="S60" s="192">
        <v>0.6</v>
      </c>
      <c r="T60" s="192">
        <v>0.6</v>
      </c>
      <c r="U60" s="192">
        <v>0.6</v>
      </c>
      <c r="V60" s="192">
        <v>0.6</v>
      </c>
      <c r="W60" s="192">
        <v>0.6</v>
      </c>
      <c r="X60" s="192">
        <v>0.6</v>
      </c>
      <c r="Y60" s="192">
        <v>0.6</v>
      </c>
      <c r="Z60" s="192">
        <v>0.6</v>
      </c>
      <c r="AA60" s="192">
        <v>0.6</v>
      </c>
      <c r="AB60" s="192">
        <v>0.6</v>
      </c>
      <c r="AC60" s="192">
        <v>0.6</v>
      </c>
      <c r="AD60" s="192">
        <v>0.6</v>
      </c>
      <c r="AE60" s="192">
        <v>0.6</v>
      </c>
      <c r="AF60" s="192">
        <v>0.6</v>
      </c>
      <c r="AG60" s="192">
        <v>0.6</v>
      </c>
      <c r="AH60" s="192">
        <v>0.6</v>
      </c>
      <c r="AI60" s="192">
        <v>0.6</v>
      </c>
      <c r="AJ60" s="192">
        <v>0.6</v>
      </c>
      <c r="AK60" s="192">
        <v>0.6</v>
      </c>
      <c r="AL60" s="192">
        <v>0.6</v>
      </c>
      <c r="AM60" s="192">
        <v>0.6</v>
      </c>
      <c r="AN60" s="192">
        <v>0.6</v>
      </c>
    </row>
    <row r="61" spans="2:42">
      <c r="C61" s="192">
        <v>0.6</v>
      </c>
      <c r="D61" s="192">
        <v>0.6</v>
      </c>
      <c r="E61" s="192">
        <v>0.65</v>
      </c>
      <c r="F61" s="192">
        <v>0.6</v>
      </c>
      <c r="G61" s="192">
        <v>0.6</v>
      </c>
      <c r="H61" s="192">
        <v>0.6</v>
      </c>
      <c r="I61" s="192">
        <v>0.6</v>
      </c>
      <c r="J61" s="192">
        <v>0.6</v>
      </c>
      <c r="K61" s="192">
        <v>0.6</v>
      </c>
      <c r="L61" s="192">
        <v>0.6</v>
      </c>
      <c r="M61" s="192">
        <v>0.6</v>
      </c>
      <c r="N61" s="192">
        <v>0.6</v>
      </c>
      <c r="O61" s="192">
        <v>0.6</v>
      </c>
      <c r="P61" s="192">
        <v>0.6</v>
      </c>
      <c r="Q61" s="192">
        <v>0.6</v>
      </c>
      <c r="R61" s="192">
        <v>0.6</v>
      </c>
      <c r="S61" s="192">
        <v>0.6</v>
      </c>
      <c r="T61" s="192">
        <v>0.6</v>
      </c>
      <c r="U61" s="192">
        <v>0.6</v>
      </c>
      <c r="V61" s="192">
        <v>0.6</v>
      </c>
      <c r="W61" s="192">
        <v>0.6</v>
      </c>
      <c r="X61" s="192">
        <v>0.6</v>
      </c>
      <c r="Y61" s="192">
        <v>0.6</v>
      </c>
      <c r="Z61" s="192">
        <v>0.6</v>
      </c>
      <c r="AA61" s="192">
        <v>0.6</v>
      </c>
      <c r="AB61" s="192">
        <v>0.6</v>
      </c>
      <c r="AC61" s="192">
        <v>0.6</v>
      </c>
      <c r="AD61" s="192">
        <v>0.6</v>
      </c>
      <c r="AE61" s="192">
        <v>0.6</v>
      </c>
      <c r="AF61" s="192">
        <v>0.6</v>
      </c>
      <c r="AG61" s="192">
        <v>0.6</v>
      </c>
      <c r="AH61" s="192">
        <v>0.6</v>
      </c>
      <c r="AI61" s="192">
        <v>0.6</v>
      </c>
      <c r="AJ61" s="192">
        <v>0.6</v>
      </c>
      <c r="AK61" s="192">
        <v>0.6</v>
      </c>
      <c r="AL61" s="192">
        <v>0.6</v>
      </c>
      <c r="AM61" s="192">
        <v>0.6</v>
      </c>
      <c r="AN61" s="192">
        <v>0.6</v>
      </c>
    </row>
    <row r="62" spans="2:42"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192"/>
    </row>
    <row r="63" spans="2:42">
      <c r="B63" s="200" t="s">
        <v>247</v>
      </c>
      <c r="C63" s="171" t="s">
        <v>248</v>
      </c>
      <c r="D63" s="171" t="s">
        <v>249</v>
      </c>
      <c r="E63" s="19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</row>
    <row r="64" spans="2:42">
      <c r="B64" s="202" t="s">
        <v>2</v>
      </c>
      <c r="C64" s="193">
        <v>1</v>
      </c>
      <c r="D64" s="174">
        <f>10000/(C64^2)</f>
        <v>10000</v>
      </c>
      <c r="E64" s="192"/>
      <c r="F64" s="192"/>
      <c r="G64" s="192"/>
      <c r="H64" s="192"/>
      <c r="I64" s="192"/>
      <c r="J64" s="192"/>
      <c r="K64" s="192"/>
      <c r="L64" s="192"/>
      <c r="M64" s="192"/>
      <c r="N64" s="192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2"/>
      <c r="AA64" s="192"/>
      <c r="AB64" s="192"/>
      <c r="AC64" s="192"/>
      <c r="AD64" s="192"/>
      <c r="AE64" s="192"/>
      <c r="AF64" s="192"/>
      <c r="AG64" s="192"/>
      <c r="AH64" s="192"/>
      <c r="AI64" s="192"/>
      <c r="AJ64" s="192"/>
      <c r="AK64" s="192"/>
      <c r="AL64" s="192"/>
      <c r="AM64" s="192"/>
      <c r="AN64" s="192"/>
    </row>
    <row r="65" spans="2:42">
      <c r="B65" s="206" t="s">
        <v>9</v>
      </c>
      <c r="C65" s="193">
        <v>4</v>
      </c>
      <c r="D65" s="174">
        <f>10000/(C65^2)</f>
        <v>625</v>
      </c>
      <c r="E65" s="192"/>
      <c r="F65" s="192"/>
      <c r="G65" s="192"/>
      <c r="H65" s="192"/>
      <c r="I65" s="192"/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T65" s="192"/>
      <c r="U65" s="192"/>
      <c r="V65" s="192"/>
      <c r="W65" s="192"/>
      <c r="X65" s="192"/>
      <c r="Y65" s="192"/>
      <c r="Z65" s="192"/>
      <c r="AA65" s="192"/>
      <c r="AB65" s="192"/>
      <c r="AC65" s="192"/>
      <c r="AD65" s="192"/>
      <c r="AE65" s="192"/>
      <c r="AF65" s="192"/>
      <c r="AG65" s="192"/>
      <c r="AH65" s="192"/>
      <c r="AI65" s="192"/>
      <c r="AJ65" s="192"/>
      <c r="AK65" s="192"/>
      <c r="AL65" s="192"/>
      <c r="AM65" s="192"/>
      <c r="AN65" s="192"/>
    </row>
    <row r="66" spans="2:42">
      <c r="B66" s="213" t="s">
        <v>250</v>
      </c>
      <c r="C66" s="193">
        <v>2</v>
      </c>
      <c r="D66" s="174">
        <f>10000/(C66^2)</f>
        <v>2500</v>
      </c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</row>
    <row r="67" spans="2:42">
      <c r="C67" s="192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</row>
    <row r="68" spans="2:42">
      <c r="B68" s="200" t="s">
        <v>251</v>
      </c>
    </row>
    <row r="69" spans="2:42">
      <c r="B69" s="202" t="s">
        <v>2</v>
      </c>
      <c r="C69" s="182">
        <v>28.712347119940731</v>
      </c>
      <c r="D69" s="182">
        <f>D9/D59/$D$64</f>
        <v>105</v>
      </c>
      <c r="E69" s="182">
        <f t="shared" ref="E69:K69" si="12">E9/E59/$D$64</f>
        <v>449.99999999999983</v>
      </c>
      <c r="F69" s="182">
        <f t="shared" si="12"/>
        <v>675</v>
      </c>
      <c r="G69" s="182">
        <f t="shared" si="12"/>
        <v>859.09090909090901</v>
      </c>
      <c r="H69" s="182">
        <f t="shared" si="12"/>
        <v>1104.5454545454543</v>
      </c>
      <c r="I69" s="182">
        <f t="shared" si="12"/>
        <v>1227.2727272727273</v>
      </c>
      <c r="J69" s="182">
        <f t="shared" si="12"/>
        <v>1227.2727272727273</v>
      </c>
      <c r="K69" s="182">
        <f t="shared" si="12"/>
        <v>1227.2727272727273</v>
      </c>
    </row>
    <row r="70" spans="2:42">
      <c r="B70" s="206" t="s">
        <v>9</v>
      </c>
      <c r="C70" s="194">
        <v>99.31608756138327</v>
      </c>
      <c r="D70" s="182">
        <f>D20/D60/$D$65</f>
        <v>2688</v>
      </c>
      <c r="E70" s="182">
        <f t="shared" ref="E70:K70" si="13">E20/E60/$D$65</f>
        <v>11520</v>
      </c>
      <c r="F70" s="182">
        <f t="shared" si="13"/>
        <v>17280</v>
      </c>
      <c r="G70" s="182">
        <f t="shared" si="13"/>
        <v>21992.727272727272</v>
      </c>
      <c r="H70" s="182">
        <f t="shared" si="13"/>
        <v>28276.363636363632</v>
      </c>
      <c r="I70" s="182">
        <f t="shared" si="13"/>
        <v>31418.181818181813</v>
      </c>
      <c r="J70" s="182">
        <f t="shared" si="13"/>
        <v>31418.181818181813</v>
      </c>
      <c r="K70" s="182">
        <f t="shared" si="13"/>
        <v>31418.181818181813</v>
      </c>
    </row>
    <row r="71" spans="2:42">
      <c r="B71" s="213" t="s">
        <v>250</v>
      </c>
      <c r="C71" s="195">
        <v>10.686165318676018</v>
      </c>
      <c r="D71" s="196">
        <f>D44/D61/$D$66</f>
        <v>504</v>
      </c>
      <c r="E71" s="196">
        <f>E44/E61/$D$66</f>
        <v>2160</v>
      </c>
      <c r="F71" s="196">
        <f>F44/F61/$D$66</f>
        <v>3240</v>
      </c>
      <c r="G71" s="196">
        <f t="shared" ref="G71:K71" si="14">G44/G61/$D$66</f>
        <v>4123.6363636363631</v>
      </c>
      <c r="H71" s="196">
        <f t="shared" si="14"/>
        <v>5301.8181818181802</v>
      </c>
      <c r="I71" s="196">
        <f t="shared" si="14"/>
        <v>5890.9090909090901</v>
      </c>
      <c r="J71" s="196">
        <f t="shared" si="14"/>
        <v>5890.9090909090901</v>
      </c>
      <c r="K71" s="196">
        <f t="shared" si="14"/>
        <v>5890.9090909090901</v>
      </c>
      <c r="L71" s="197"/>
      <c r="M71" s="197"/>
      <c r="N71" s="197"/>
      <c r="O71" s="197"/>
      <c r="P71" s="197"/>
      <c r="Q71" s="197"/>
      <c r="R71" s="197"/>
      <c r="S71" s="197"/>
      <c r="T71" s="197"/>
      <c r="U71" s="197"/>
      <c r="V71" s="197"/>
      <c r="W71" s="197"/>
      <c r="X71" s="197"/>
      <c r="Y71" s="197"/>
      <c r="Z71" s="197"/>
      <c r="AA71" s="197"/>
      <c r="AB71" s="197"/>
      <c r="AC71" s="197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</row>
    <row r="72" spans="2:42">
      <c r="B72" s="214" t="s">
        <v>11</v>
      </c>
      <c r="C72" s="182">
        <f>SUM(C69:C71)</f>
        <v>138.71460000000002</v>
      </c>
      <c r="D72" s="182">
        <f>SUM(D69:D71)</f>
        <v>3297</v>
      </c>
      <c r="E72" s="182">
        <f>SUM(E69:E71)</f>
        <v>14130</v>
      </c>
      <c r="F72" s="182">
        <f t="shared" ref="F72:AP72" si="15">SUM(F69:F71)</f>
        <v>21195</v>
      </c>
      <c r="G72" s="182">
        <f t="shared" si="15"/>
        <v>26975.454545454544</v>
      </c>
      <c r="H72" s="182">
        <f t="shared" si="15"/>
        <v>34682.727272727265</v>
      </c>
      <c r="I72" s="182">
        <f t="shared" si="15"/>
        <v>38536.363636363632</v>
      </c>
      <c r="J72" s="182">
        <f t="shared" si="15"/>
        <v>38536.363636363632</v>
      </c>
      <c r="K72" s="182">
        <f t="shared" si="15"/>
        <v>38536.363636363632</v>
      </c>
      <c r="L72" s="182">
        <f t="shared" si="15"/>
        <v>0</v>
      </c>
      <c r="M72" s="182">
        <f t="shared" si="15"/>
        <v>0</v>
      </c>
      <c r="N72" s="182">
        <f t="shared" si="15"/>
        <v>0</v>
      </c>
      <c r="O72" s="182">
        <f t="shared" si="15"/>
        <v>0</v>
      </c>
      <c r="P72" s="182">
        <f t="shared" si="15"/>
        <v>0</v>
      </c>
      <c r="Q72" s="182">
        <f t="shared" si="15"/>
        <v>0</v>
      </c>
      <c r="R72" s="182">
        <f t="shared" si="15"/>
        <v>0</v>
      </c>
      <c r="S72" s="182">
        <f t="shared" si="15"/>
        <v>0</v>
      </c>
      <c r="T72" s="182">
        <f t="shared" si="15"/>
        <v>0</v>
      </c>
      <c r="U72" s="182">
        <f t="shared" si="15"/>
        <v>0</v>
      </c>
      <c r="V72" s="182">
        <f t="shared" si="15"/>
        <v>0</v>
      </c>
      <c r="W72" s="182">
        <f t="shared" si="15"/>
        <v>0</v>
      </c>
      <c r="X72" s="182">
        <f t="shared" si="15"/>
        <v>0</v>
      </c>
      <c r="Y72" s="182">
        <f t="shared" si="15"/>
        <v>0</v>
      </c>
      <c r="Z72" s="182">
        <f t="shared" si="15"/>
        <v>0</v>
      </c>
      <c r="AA72" s="182">
        <f t="shared" si="15"/>
        <v>0</v>
      </c>
      <c r="AB72" s="182">
        <f t="shared" si="15"/>
        <v>0</v>
      </c>
      <c r="AC72" s="182">
        <f t="shared" si="15"/>
        <v>0</v>
      </c>
      <c r="AD72" s="182">
        <f t="shared" si="15"/>
        <v>0</v>
      </c>
      <c r="AE72" s="182">
        <f t="shared" si="15"/>
        <v>0</v>
      </c>
      <c r="AF72" s="182">
        <f t="shared" si="15"/>
        <v>0</v>
      </c>
      <c r="AG72" s="182">
        <f t="shared" si="15"/>
        <v>0</v>
      </c>
      <c r="AH72" s="182">
        <f t="shared" si="15"/>
        <v>0</v>
      </c>
      <c r="AI72" s="182">
        <f t="shared" si="15"/>
        <v>0</v>
      </c>
      <c r="AJ72" s="182">
        <f t="shared" si="15"/>
        <v>0</v>
      </c>
      <c r="AK72" s="182">
        <f t="shared" si="15"/>
        <v>0</v>
      </c>
      <c r="AL72" s="182">
        <f t="shared" si="15"/>
        <v>0</v>
      </c>
      <c r="AM72" s="182">
        <f t="shared" si="15"/>
        <v>0</v>
      </c>
      <c r="AN72" s="182">
        <f t="shared" si="15"/>
        <v>0</v>
      </c>
      <c r="AO72" s="182">
        <f t="shared" si="15"/>
        <v>0</v>
      </c>
      <c r="AP72" s="182">
        <f t="shared" si="15"/>
        <v>0</v>
      </c>
    </row>
    <row r="73" spans="2:42">
      <c r="B73" s="214"/>
      <c r="C73" s="182"/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182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82"/>
    </row>
    <row r="74" spans="2:42">
      <c r="B74" s="198" t="s">
        <v>252</v>
      </c>
      <c r="C74" s="182">
        <f>+SUM(C44,C20,C9)/C72</f>
        <v>1255.1742931169465</v>
      </c>
      <c r="D74" s="182">
        <f t="shared" ref="D74:L74" si="16">+SUM(D44,D20,D9)/D72</f>
        <v>726.1146496815287</v>
      </c>
      <c r="E74" s="182">
        <f t="shared" si="16"/>
        <v>786.62420382165601</v>
      </c>
      <c r="F74" s="182">
        <f t="shared" si="16"/>
        <v>726.1146496815287</v>
      </c>
      <c r="G74" s="182">
        <f t="shared" si="16"/>
        <v>726.1146496815287</v>
      </c>
      <c r="H74" s="182">
        <f t="shared" si="16"/>
        <v>726.1146496815287</v>
      </c>
      <c r="I74" s="182">
        <f t="shared" si="16"/>
        <v>726.11464968152859</v>
      </c>
      <c r="J74" s="182">
        <f t="shared" si="16"/>
        <v>726.11464968152859</v>
      </c>
      <c r="K74" s="182">
        <f t="shared" si="16"/>
        <v>726.11464968152859</v>
      </c>
      <c r="L74" s="182" t="e">
        <f t="shared" si="16"/>
        <v>#DIV/0!</v>
      </c>
    </row>
    <row r="76" spans="2:42">
      <c r="C76" s="166" t="s">
        <v>253</v>
      </c>
      <c r="D76" s="166" t="s">
        <v>254</v>
      </c>
      <c r="E76" s="166" t="s">
        <v>255</v>
      </c>
      <c r="F76" s="166" t="s">
        <v>256</v>
      </c>
      <c r="G76" s="166" t="s">
        <v>257</v>
      </c>
      <c r="H76" s="166" t="s">
        <v>258</v>
      </c>
      <c r="I76" s="166" t="s">
        <v>259</v>
      </c>
      <c r="J76" s="166" t="s">
        <v>260</v>
      </c>
      <c r="K76" s="166" t="s">
        <v>261</v>
      </c>
      <c r="L76" s="166" t="s">
        <v>262</v>
      </c>
    </row>
    <row r="77" spans="2:42">
      <c r="B77" s="198" t="s">
        <v>2</v>
      </c>
      <c r="C77" s="166">
        <v>9</v>
      </c>
      <c r="D77" s="166">
        <f>9+C77</f>
        <v>18</v>
      </c>
      <c r="E77" s="166">
        <f t="shared" ref="E77:H77" si="17">9+D77</f>
        <v>27</v>
      </c>
      <c r="F77" s="166">
        <f t="shared" si="17"/>
        <v>36</v>
      </c>
      <c r="G77" s="166">
        <f t="shared" si="17"/>
        <v>45</v>
      </c>
      <c r="H77" s="166">
        <f t="shared" si="17"/>
        <v>54</v>
      </c>
      <c r="I77" s="166">
        <f>+H77</f>
        <v>54</v>
      </c>
      <c r="J77" s="166">
        <f t="shared" ref="J77:L77" si="18">+I77</f>
        <v>54</v>
      </c>
      <c r="K77" s="166">
        <f t="shared" si="18"/>
        <v>54</v>
      </c>
      <c r="L77" s="166">
        <f t="shared" si="18"/>
        <v>54</v>
      </c>
    </row>
    <row r="78" spans="2:42"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FD352-F0EB-474E-99BF-B8FF44876514}">
  <dimension ref="B2:AB55"/>
  <sheetViews>
    <sheetView zoomScale="80" zoomScaleNormal="80" workbookViewId="0">
      <selection activeCell="E1" sqref="E1:E1048576"/>
    </sheetView>
  </sheetViews>
  <sheetFormatPr defaultColWidth="11.5546875" defaultRowHeight="18"/>
  <cols>
    <col min="1" max="1" width="1.88671875" style="248" customWidth="1"/>
    <col min="2" max="2" width="0" style="248" hidden="1" customWidth="1"/>
    <col min="3" max="4" width="11.5546875" style="337"/>
    <col min="5" max="5" width="11.5546875" style="337" hidden="1" customWidth="1"/>
    <col min="6" max="6" width="11.5546875" style="337"/>
    <col min="7" max="7" width="11.5546875" style="265"/>
    <col min="8" max="9" width="11.5546875" style="337" hidden="1" customWidth="1"/>
    <col min="10" max="12" width="11.5546875" style="263"/>
    <col min="13" max="13" width="13.44140625" style="263" customWidth="1"/>
    <col min="14" max="14" width="7.88671875" style="248" customWidth="1"/>
    <col min="15" max="15" width="0" style="248" hidden="1" customWidth="1"/>
    <col min="16" max="17" width="11.5546875" style="248"/>
    <col min="18" max="18" width="0" style="248" hidden="1" customWidth="1"/>
    <col min="19" max="19" width="11.5546875" style="248"/>
    <col min="20" max="20" width="12.88671875" style="248" customWidth="1"/>
    <col min="21" max="22" width="11.5546875" style="248" hidden="1" customWidth="1"/>
    <col min="23" max="26" width="11.5546875" style="261"/>
    <col min="27" max="27" width="6" style="248" customWidth="1"/>
    <col min="28" max="28" width="13.33203125" style="249" customWidth="1"/>
    <col min="29" max="16384" width="11.5546875" style="248"/>
  </cols>
  <sheetData>
    <row r="2" spans="2:28">
      <c r="B2" s="489" t="s">
        <v>263</v>
      </c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O2" s="489" t="s">
        <v>264</v>
      </c>
      <c r="P2" s="489"/>
      <c r="Q2" s="489"/>
      <c r="R2" s="489"/>
      <c r="S2" s="489"/>
      <c r="T2" s="489"/>
      <c r="U2" s="489"/>
      <c r="V2" s="489"/>
      <c r="W2" s="489"/>
      <c r="X2" s="489"/>
      <c r="Y2" s="489"/>
      <c r="Z2" s="489"/>
    </row>
    <row r="3" spans="2:28" s="253" customFormat="1" ht="20.25" thickBot="1">
      <c r="B3" s="488" t="s">
        <v>265</v>
      </c>
      <c r="C3" s="488"/>
      <c r="D3" s="488"/>
      <c r="E3" s="488"/>
      <c r="F3" s="488"/>
      <c r="G3" s="488"/>
      <c r="H3" s="488"/>
      <c r="I3" s="488"/>
      <c r="J3" s="490" t="s">
        <v>266</v>
      </c>
      <c r="K3" s="490"/>
      <c r="L3" s="490"/>
      <c r="M3" s="490"/>
      <c r="O3" s="488" t="s">
        <v>265</v>
      </c>
      <c r="P3" s="488"/>
      <c r="Q3" s="488"/>
      <c r="R3" s="488"/>
      <c r="S3" s="488"/>
      <c r="T3" s="488"/>
      <c r="U3" s="488"/>
      <c r="V3" s="488"/>
      <c r="W3" s="490" t="s">
        <v>266</v>
      </c>
      <c r="X3" s="490"/>
      <c r="Y3" s="490"/>
      <c r="Z3" s="490"/>
      <c r="AB3" s="254"/>
    </row>
    <row r="4" spans="2:28" ht="75.75" thickBot="1">
      <c r="B4" s="270" t="s">
        <v>267</v>
      </c>
      <c r="C4" s="270" t="s">
        <v>18</v>
      </c>
      <c r="D4" s="270" t="s">
        <v>268</v>
      </c>
      <c r="E4" s="270" t="s">
        <v>269</v>
      </c>
      <c r="F4" s="271" t="s">
        <v>270</v>
      </c>
      <c r="G4" s="270" t="s">
        <v>271</v>
      </c>
      <c r="H4" s="270" t="s">
        <v>272</v>
      </c>
      <c r="I4" s="271" t="s">
        <v>273</v>
      </c>
      <c r="J4" s="329" t="s">
        <v>274</v>
      </c>
      <c r="K4" s="330" t="s">
        <v>275</v>
      </c>
      <c r="L4" s="331" t="s">
        <v>276</v>
      </c>
      <c r="M4" s="332" t="s">
        <v>277</v>
      </c>
      <c r="O4" s="270" t="s">
        <v>267</v>
      </c>
      <c r="P4" s="270" t="s">
        <v>18</v>
      </c>
      <c r="Q4" s="270" t="s">
        <v>268</v>
      </c>
      <c r="R4" s="270" t="s">
        <v>269</v>
      </c>
      <c r="S4" s="271" t="s">
        <v>270</v>
      </c>
      <c r="T4" s="270" t="s">
        <v>271</v>
      </c>
      <c r="U4" s="267" t="s">
        <v>278</v>
      </c>
      <c r="V4" s="267" t="s">
        <v>279</v>
      </c>
      <c r="W4" s="329" t="s">
        <v>274</v>
      </c>
      <c r="X4" s="330" t="s">
        <v>275</v>
      </c>
      <c r="Y4" s="331" t="s">
        <v>276</v>
      </c>
      <c r="Z4" s="332" t="s">
        <v>277</v>
      </c>
      <c r="AB4" s="255" t="s">
        <v>280</v>
      </c>
    </row>
    <row r="5" spans="2:28">
      <c r="B5" s="250">
        <v>0</v>
      </c>
      <c r="C5" s="251" t="s">
        <v>281</v>
      </c>
      <c r="D5" s="251" t="s">
        <v>282</v>
      </c>
      <c r="E5" s="251">
        <v>1.68</v>
      </c>
      <c r="F5" s="333">
        <f>E5*_xlfn.XLOOKUP(Summary!$C$26,'Curve Comparison'!$B$3:$B$9,'Curve Comparison'!$D$3:$D$9)</f>
        <v>1.2923076923076922</v>
      </c>
      <c r="G5" s="264">
        <v>2.86</v>
      </c>
      <c r="H5" s="251" t="s">
        <v>283</v>
      </c>
      <c r="I5" s="251" t="s">
        <v>284</v>
      </c>
      <c r="J5" s="339">
        <v>0.68230000000000002</v>
      </c>
      <c r="K5" s="346">
        <f>(0.0673*(J5*(F5^2)*G5)^0.976)/1000</f>
        <v>2.1319379929262899E-4</v>
      </c>
      <c r="L5" s="346">
        <f>+EXP(-1.085+0.9256*LN(K5))/K5</f>
        <v>0.63376705441874093</v>
      </c>
      <c r="M5" s="344">
        <f>+K5*(1+L5)</f>
        <v>3.483090054906587E-4</v>
      </c>
      <c r="O5" s="250">
        <v>0</v>
      </c>
      <c r="P5" s="251" t="s">
        <v>281</v>
      </c>
      <c r="Q5" s="334" t="s">
        <v>282</v>
      </c>
      <c r="R5" s="334">
        <v>2.69</v>
      </c>
      <c r="S5" s="333">
        <f>R5*_xlfn.XLOOKUP(Summary!$C$26,'Curve Comparison'!$B$3:$B$9,'Curve Comparison'!$D$3:$D$9)</f>
        <v>2.069230769230769</v>
      </c>
      <c r="T5" s="334">
        <v>3.89</v>
      </c>
      <c r="U5" s="251" t="s">
        <v>285</v>
      </c>
      <c r="V5" s="251" t="s">
        <v>286</v>
      </c>
      <c r="W5" s="347">
        <v>0.59640000000000004</v>
      </c>
      <c r="X5" s="347">
        <f>(0.0673*(W5*(S5^2)*T5)^0.976)/1000</f>
        <v>6.3268805261928736E-4</v>
      </c>
      <c r="Y5" s="347">
        <f>+EXP(-1.085+0.9256*LN(X5))/X5</f>
        <v>0.58449658542981975</v>
      </c>
      <c r="Z5" s="341">
        <f>+X5*(1+Y5)</f>
        <v>1.0024920590175029E-3</v>
      </c>
      <c r="AB5" s="256">
        <f>AVERAGE(Z5,M5)</f>
        <v>6.7540053225408081E-4</v>
      </c>
    </row>
    <row r="6" spans="2:28">
      <c r="B6" s="252">
        <v>1</v>
      </c>
      <c r="C6" s="334" t="s">
        <v>287</v>
      </c>
      <c r="D6" s="334" t="s">
        <v>282</v>
      </c>
      <c r="E6" s="334">
        <v>3.35</v>
      </c>
      <c r="F6" s="333">
        <f>E6*_xlfn.XLOOKUP(Summary!$C$26,'Curve Comparison'!$B$3:$B$9,'Curve Comparison'!$D$3:$D$9)</f>
        <v>2.5769230769230766</v>
      </c>
      <c r="G6" s="266">
        <v>4.5199999999999996</v>
      </c>
      <c r="H6" s="334" t="s">
        <v>288</v>
      </c>
      <c r="I6" s="334" t="s">
        <v>289</v>
      </c>
      <c r="J6" s="340">
        <v>0.68230000000000002</v>
      </c>
      <c r="K6" s="346">
        <f t="shared" ref="K6:K55" si="0">(0.0673*(J6*(F6^2)*G6)^0.976)/1000</f>
        <v>1.2819178019212157E-3</v>
      </c>
      <c r="L6" s="346">
        <f t="shared" ref="L6:L55" si="1">+EXP(-1.085+0.9256*LN(K6))/K6</f>
        <v>0.55458189812208647</v>
      </c>
      <c r="M6" s="345">
        <f t="shared" ref="M6:M55" si="2">+K6*(1+L6)</f>
        <v>1.9928462097471762E-3</v>
      </c>
      <c r="O6" s="252">
        <v>1</v>
      </c>
      <c r="P6" s="334" t="s">
        <v>287</v>
      </c>
      <c r="Q6" s="334" t="s">
        <v>282</v>
      </c>
      <c r="R6" s="334">
        <v>5.38</v>
      </c>
      <c r="S6" s="333">
        <f>R6*_xlfn.XLOOKUP(Summary!$C$26,'Curve Comparison'!$B$3:$B$9,'Curve Comparison'!$D$3:$D$9)</f>
        <v>4.138461538461538</v>
      </c>
      <c r="T6" s="334">
        <v>6.21</v>
      </c>
      <c r="U6" s="334" t="s">
        <v>290</v>
      </c>
      <c r="V6" s="334" t="s">
        <v>291</v>
      </c>
      <c r="W6" s="340">
        <f>+W5</f>
        <v>0.59640000000000004</v>
      </c>
      <c r="X6" s="347">
        <f t="shared" ref="X6:X55" si="3">(0.0673*(W6*(S6^2)*T6)^0.976)/1000</f>
        <v>3.8642638835877491E-3</v>
      </c>
      <c r="Y6" s="340">
        <f t="shared" ref="Y6:Y55" si="4">+EXP(-1.085+0.9256*LN(X6))/X6</f>
        <v>0.51087272766506542</v>
      </c>
      <c r="Z6" s="341">
        <f t="shared" ref="Z6:Z55" si="5">+X6*(1+Y6)</f>
        <v>5.8384109142138214E-3</v>
      </c>
      <c r="AB6" s="256">
        <f t="shared" ref="AB6:AB55" si="6">AVERAGE(Z6,M6)</f>
        <v>3.9156285619804986E-3</v>
      </c>
    </row>
    <row r="7" spans="2:28">
      <c r="B7" s="252">
        <v>2</v>
      </c>
      <c r="C7" s="334" t="s">
        <v>292</v>
      </c>
      <c r="D7" s="334" t="s">
        <v>282</v>
      </c>
      <c r="E7" s="334">
        <v>4.91</v>
      </c>
      <c r="F7" s="333">
        <f>E7*_xlfn.XLOOKUP(Summary!$C$26,'Curve Comparison'!$B$3:$B$9,'Curve Comparison'!$D$3:$D$9)</f>
        <v>3.7769230769230768</v>
      </c>
      <c r="G7" s="266">
        <v>5.57</v>
      </c>
      <c r="H7" s="334" t="s">
        <v>293</v>
      </c>
      <c r="I7" s="334" t="s">
        <v>294</v>
      </c>
      <c r="J7" s="340">
        <v>0.68230000000000002</v>
      </c>
      <c r="K7" s="346">
        <f t="shared" si="0"/>
        <v>3.315151239465193E-3</v>
      </c>
      <c r="L7" s="346">
        <f t="shared" si="1"/>
        <v>0.51673162041900633</v>
      </c>
      <c r="M7" s="345">
        <f t="shared" si="2"/>
        <v>5.0281947113681195E-3</v>
      </c>
      <c r="O7" s="252">
        <v>2</v>
      </c>
      <c r="P7" s="334" t="s">
        <v>292</v>
      </c>
      <c r="Q7" s="334" t="s">
        <v>282</v>
      </c>
      <c r="R7" s="334">
        <v>7.07</v>
      </c>
      <c r="S7" s="333">
        <f>R7*_xlfn.XLOOKUP(Summary!$C$26,'Curve Comparison'!$B$3:$B$9,'Curve Comparison'!$D$3:$D$9)</f>
        <v>5.4384615384615378</v>
      </c>
      <c r="T7" s="334">
        <v>7.84</v>
      </c>
      <c r="U7" s="334" t="s">
        <v>295</v>
      </c>
      <c r="V7" s="334" t="s">
        <v>296</v>
      </c>
      <c r="W7" s="340">
        <f t="shared" ref="W7:W55" si="7">+W6</f>
        <v>0.59640000000000004</v>
      </c>
      <c r="X7" s="347">
        <f t="shared" si="3"/>
        <v>8.2687820520564535E-3</v>
      </c>
      <c r="Y7" s="340">
        <f t="shared" si="4"/>
        <v>0.4827617313912797</v>
      </c>
      <c r="Z7" s="341">
        <f t="shared" si="5"/>
        <v>1.2260633592004366E-2</v>
      </c>
      <c r="AB7" s="256">
        <f t="shared" si="6"/>
        <v>8.644414151686243E-3</v>
      </c>
    </row>
    <row r="8" spans="2:28">
      <c r="B8" s="252">
        <v>3</v>
      </c>
      <c r="C8" s="334" t="s">
        <v>297</v>
      </c>
      <c r="D8" s="334" t="s">
        <v>298</v>
      </c>
      <c r="E8" s="334">
        <v>6.01</v>
      </c>
      <c r="F8" s="333">
        <f>E8*_xlfn.XLOOKUP(Summary!$C$26,'Curve Comparison'!$B$3:$B$9,'Curve Comparison'!$D$3:$D$9)</f>
        <v>4.6230769230769226</v>
      </c>
      <c r="G8" s="266">
        <v>6.6</v>
      </c>
      <c r="H8" s="334" t="s">
        <v>299</v>
      </c>
      <c r="I8" s="334" t="s">
        <v>300</v>
      </c>
      <c r="J8" s="340">
        <v>0.68230000000000002</v>
      </c>
      <c r="K8" s="346">
        <f t="shared" si="0"/>
        <v>5.8049094994831246E-3</v>
      </c>
      <c r="L8" s="346">
        <f t="shared" si="1"/>
        <v>0.4956374402913129</v>
      </c>
      <c r="M8" s="345">
        <f t="shared" si="2"/>
        <v>8.6820399849296664E-3</v>
      </c>
      <c r="O8" s="252">
        <v>3</v>
      </c>
      <c r="P8" s="334" t="s">
        <v>297</v>
      </c>
      <c r="Q8" s="334" t="s">
        <v>301</v>
      </c>
      <c r="R8" s="334">
        <v>8.6999999999999993</v>
      </c>
      <c r="S8" s="333">
        <f>R8*_xlfn.XLOOKUP(Summary!$C$26,'Curve Comparison'!$B$3:$B$9,'Curve Comparison'!$D$3:$D$9)</f>
        <v>6.6923076923076907</v>
      </c>
      <c r="T8" s="334">
        <v>9.49</v>
      </c>
      <c r="U8" s="334" t="s">
        <v>302</v>
      </c>
      <c r="V8" s="334" t="s">
        <v>303</v>
      </c>
      <c r="W8" s="340">
        <f t="shared" si="7"/>
        <v>0.59640000000000004</v>
      </c>
      <c r="X8" s="347">
        <f t="shared" si="3"/>
        <v>1.4937426333797176E-2</v>
      </c>
      <c r="Y8" s="340">
        <f t="shared" si="4"/>
        <v>0.46198127101129355</v>
      </c>
      <c r="Z8" s="341">
        <f t="shared" si="5"/>
        <v>2.1838237537122364E-2</v>
      </c>
      <c r="AB8" s="256">
        <f t="shared" si="6"/>
        <v>1.5260138761026016E-2</v>
      </c>
    </row>
    <row r="9" spans="2:28">
      <c r="B9" s="252">
        <v>4</v>
      </c>
      <c r="C9" s="334" t="s">
        <v>304</v>
      </c>
      <c r="D9" s="334" t="s">
        <v>305</v>
      </c>
      <c r="E9" s="334">
        <v>6.99</v>
      </c>
      <c r="F9" s="333">
        <f>E9*_xlfn.XLOOKUP(Summary!$C$26,'Curve Comparison'!$B$3:$B$9,'Curve Comparison'!$D$3:$D$9)</f>
        <v>5.3769230769230765</v>
      </c>
      <c r="G9" s="266">
        <v>7.61</v>
      </c>
      <c r="H9" s="334" t="s">
        <v>306</v>
      </c>
      <c r="I9" s="334" t="s">
        <v>307</v>
      </c>
      <c r="J9" s="340">
        <v>0.68230000000000002</v>
      </c>
      <c r="K9" s="346">
        <f t="shared" si="0"/>
        <v>8.9579467185680588E-3</v>
      </c>
      <c r="L9" s="346">
        <f t="shared" si="1"/>
        <v>0.47989494644410491</v>
      </c>
      <c r="M9" s="345">
        <f t="shared" si="2"/>
        <v>1.3256820079324423E-2</v>
      </c>
      <c r="O9" s="252">
        <v>4</v>
      </c>
      <c r="P9" s="334" t="s">
        <v>304</v>
      </c>
      <c r="Q9" s="334" t="s">
        <v>308</v>
      </c>
      <c r="R9" s="334">
        <v>10.43</v>
      </c>
      <c r="S9" s="333">
        <f>R9*_xlfn.XLOOKUP(Summary!$C$26,'Curve Comparison'!$B$3:$B$9,'Curve Comparison'!$D$3:$D$9)</f>
        <v>8.023076923076923</v>
      </c>
      <c r="T9" s="334">
        <v>11.11</v>
      </c>
      <c r="U9" s="334" t="s">
        <v>309</v>
      </c>
      <c r="V9" s="334" t="s">
        <v>310</v>
      </c>
      <c r="W9" s="340">
        <f t="shared" si="7"/>
        <v>0.59640000000000004</v>
      </c>
      <c r="X9" s="347">
        <f t="shared" si="3"/>
        <v>2.4821628060306994E-2</v>
      </c>
      <c r="Y9" s="340">
        <f t="shared" si="4"/>
        <v>0.4448515575769732</v>
      </c>
      <c r="Z9" s="341">
        <f t="shared" si="5"/>
        <v>3.5863567964530864E-2</v>
      </c>
      <c r="AB9" s="256">
        <f t="shared" si="6"/>
        <v>2.4560194021927644E-2</v>
      </c>
    </row>
    <row r="10" spans="2:28">
      <c r="B10" s="252">
        <v>5</v>
      </c>
      <c r="C10" s="334" t="s">
        <v>311</v>
      </c>
      <c r="D10" s="334" t="s">
        <v>312</v>
      </c>
      <c r="E10" s="334">
        <v>7.98</v>
      </c>
      <c r="F10" s="333">
        <f>E10*_xlfn.XLOOKUP(Summary!$C$26,'Curve Comparison'!$B$3:$B$9,'Curve Comparison'!$D$3:$D$9)</f>
        <v>6.138461538461538</v>
      </c>
      <c r="G10" s="266">
        <v>8.6199999999999992</v>
      </c>
      <c r="H10" s="334" t="s">
        <v>313</v>
      </c>
      <c r="I10" s="334" t="s">
        <v>314</v>
      </c>
      <c r="J10" s="340">
        <v>0.68230000000000002</v>
      </c>
      <c r="K10" s="346">
        <f t="shared" si="0"/>
        <v>1.3101539732441131E-2</v>
      </c>
      <c r="L10" s="346">
        <f t="shared" si="1"/>
        <v>0.46651080300436937</v>
      </c>
      <c r="M10" s="345">
        <f t="shared" si="2"/>
        <v>1.9213549553615893E-2</v>
      </c>
      <c r="O10" s="252">
        <v>5</v>
      </c>
      <c r="P10" s="334" t="s">
        <v>311</v>
      </c>
      <c r="Q10" s="334" t="s">
        <v>315</v>
      </c>
      <c r="R10" s="334">
        <v>12.23</v>
      </c>
      <c r="S10" s="333">
        <f>R10*_xlfn.XLOOKUP(Summary!$C$26,'Curve Comparison'!$B$3:$B$9,'Curve Comparison'!$D$3:$D$9)</f>
        <v>9.407692307692308</v>
      </c>
      <c r="T10" s="334">
        <v>12.44</v>
      </c>
      <c r="U10" s="334" t="s">
        <v>316</v>
      </c>
      <c r="V10" s="334" t="s">
        <v>317</v>
      </c>
      <c r="W10" s="340">
        <f t="shared" si="7"/>
        <v>0.59640000000000004</v>
      </c>
      <c r="X10" s="347">
        <f t="shared" si="3"/>
        <v>3.7820172680482267E-2</v>
      </c>
      <c r="Y10" s="340">
        <f t="shared" si="4"/>
        <v>0.43112961688997881</v>
      </c>
      <c r="Z10" s="341">
        <f t="shared" si="5"/>
        <v>5.4125569238931429E-2</v>
      </c>
      <c r="AB10" s="256">
        <f t="shared" si="6"/>
        <v>3.6669559396273657E-2</v>
      </c>
    </row>
    <row r="11" spans="2:28">
      <c r="B11" s="252">
        <v>6</v>
      </c>
      <c r="C11" s="334" t="s">
        <v>318</v>
      </c>
      <c r="D11" s="334" t="s">
        <v>319</v>
      </c>
      <c r="E11" s="334">
        <v>9.0299999999999994</v>
      </c>
      <c r="F11" s="333">
        <f>E11*_xlfn.XLOOKUP(Summary!$C$26,'Curve Comparison'!$B$3:$B$9,'Curve Comparison'!$D$3:$D$9)</f>
        <v>6.9461538461538455</v>
      </c>
      <c r="G11" s="266">
        <v>9.6199999999999992</v>
      </c>
      <c r="H11" s="334" t="s">
        <v>320</v>
      </c>
      <c r="I11" s="334" t="s">
        <v>321</v>
      </c>
      <c r="J11" s="340">
        <v>0.68230000000000002</v>
      </c>
      <c r="K11" s="346">
        <f t="shared" si="0"/>
        <v>1.8562606647339892E-2</v>
      </c>
      <c r="L11" s="346">
        <f t="shared" si="1"/>
        <v>0.45457311696821079</v>
      </c>
      <c r="M11" s="345">
        <f t="shared" si="2"/>
        <v>2.7000668610076016E-2</v>
      </c>
      <c r="O11" s="252">
        <v>6</v>
      </c>
      <c r="P11" s="334" t="s">
        <v>318</v>
      </c>
      <c r="Q11" s="334" t="s">
        <v>322</v>
      </c>
      <c r="R11" s="334">
        <v>14.06</v>
      </c>
      <c r="S11" s="333">
        <f>R11*_xlfn.XLOOKUP(Summary!$C$26,'Curve Comparison'!$B$3:$B$9,'Curve Comparison'!$D$3:$D$9)</f>
        <v>10.815384615384614</v>
      </c>
      <c r="T11" s="334">
        <v>13.68</v>
      </c>
      <c r="U11" s="334" t="s">
        <v>323</v>
      </c>
      <c r="V11" s="334" t="s">
        <v>324</v>
      </c>
      <c r="W11" s="340">
        <f t="shared" si="7"/>
        <v>0.59640000000000004</v>
      </c>
      <c r="X11" s="347">
        <f t="shared" si="3"/>
        <v>5.4476569214872372E-2</v>
      </c>
      <c r="Y11" s="340">
        <f t="shared" si="4"/>
        <v>0.4195816454761066</v>
      </c>
      <c r="Z11" s="341">
        <f t="shared" si="5"/>
        <v>7.7333937765941538E-2</v>
      </c>
      <c r="AB11" s="256">
        <f t="shared" si="6"/>
        <v>5.2167303188008773E-2</v>
      </c>
    </row>
    <row r="12" spans="2:28">
      <c r="B12" s="252">
        <v>7</v>
      </c>
      <c r="C12" s="334" t="s">
        <v>325</v>
      </c>
      <c r="D12" s="334" t="s">
        <v>326</v>
      </c>
      <c r="E12" s="334">
        <v>10.119999999999999</v>
      </c>
      <c r="F12" s="333">
        <f>E12*_xlfn.XLOOKUP(Summary!$C$26,'Curve Comparison'!$B$3:$B$9,'Curve Comparison'!$D$3:$D$9)</f>
        <v>7.7846153846153836</v>
      </c>
      <c r="G12" s="266">
        <v>10.52</v>
      </c>
      <c r="H12" s="334" t="s">
        <v>327</v>
      </c>
      <c r="I12" s="334" t="s">
        <v>328</v>
      </c>
      <c r="J12" s="340">
        <v>0.68230000000000002</v>
      </c>
      <c r="K12" s="346">
        <f t="shared" si="0"/>
        <v>2.5302144133409123E-2</v>
      </c>
      <c r="L12" s="346">
        <f t="shared" si="1"/>
        <v>0.44421741663497311</v>
      </c>
      <c r="M12" s="345">
        <f t="shared" si="2"/>
        <v>3.654179723567786E-2</v>
      </c>
      <c r="O12" s="252">
        <v>7</v>
      </c>
      <c r="P12" s="334" t="s">
        <v>325</v>
      </c>
      <c r="Q12" s="334" t="s">
        <v>329</v>
      </c>
      <c r="R12" s="334">
        <v>15.95</v>
      </c>
      <c r="S12" s="333">
        <f>R12*_xlfn.XLOOKUP(Summary!$C$26,'Curve Comparison'!$B$3:$B$9,'Curve Comparison'!$D$3:$D$9)</f>
        <v>12.269230769230768</v>
      </c>
      <c r="T12" s="334">
        <v>14.8</v>
      </c>
      <c r="U12" s="334" t="s">
        <v>330</v>
      </c>
      <c r="V12" s="334" t="s">
        <v>331</v>
      </c>
      <c r="W12" s="340">
        <f t="shared" si="7"/>
        <v>0.59640000000000004</v>
      </c>
      <c r="X12" s="347">
        <f t="shared" si="3"/>
        <v>7.5246563072657119E-2</v>
      </c>
      <c r="Y12" s="340">
        <f t="shared" si="4"/>
        <v>0.40961879819006913</v>
      </c>
      <c r="Z12" s="341">
        <f t="shared" si="5"/>
        <v>0.10606896980641217</v>
      </c>
      <c r="AB12" s="256">
        <f t="shared" si="6"/>
        <v>7.1305383521045013E-2</v>
      </c>
    </row>
    <row r="13" spans="2:28">
      <c r="B13" s="252">
        <v>8</v>
      </c>
      <c r="C13" s="334" t="s">
        <v>332</v>
      </c>
      <c r="D13" s="334" t="s">
        <v>333</v>
      </c>
      <c r="E13" s="334">
        <v>11.19</v>
      </c>
      <c r="F13" s="333">
        <f>E13*_xlfn.XLOOKUP(Summary!$C$26,'Curve Comparison'!$B$3:$B$9,'Curve Comparison'!$D$3:$D$9)</f>
        <v>8.6076923076923073</v>
      </c>
      <c r="G13" s="266">
        <v>11.33</v>
      </c>
      <c r="H13" s="334" t="s">
        <v>334</v>
      </c>
      <c r="I13" s="334" t="s">
        <v>335</v>
      </c>
      <c r="J13" s="340">
        <v>0.68230000000000002</v>
      </c>
      <c r="K13" s="346">
        <f t="shared" si="0"/>
        <v>3.3098043607617818E-2</v>
      </c>
      <c r="L13" s="346">
        <f t="shared" si="1"/>
        <v>0.43542884372730867</v>
      </c>
      <c r="M13" s="345">
        <f t="shared" si="2"/>
        <v>4.7509886465318882E-2</v>
      </c>
      <c r="O13" s="252">
        <v>8</v>
      </c>
      <c r="P13" s="334" t="s">
        <v>332</v>
      </c>
      <c r="Q13" s="334" t="s">
        <v>336</v>
      </c>
      <c r="R13" s="334">
        <v>17.87</v>
      </c>
      <c r="S13" s="333">
        <f>R13*_xlfn.XLOOKUP(Summary!$C$26,'Curve Comparison'!$B$3:$B$9,'Curve Comparison'!$D$3:$D$9)</f>
        <v>13.746153846153845</v>
      </c>
      <c r="T13" s="334">
        <v>15.84</v>
      </c>
      <c r="U13" s="334" t="s">
        <v>337</v>
      </c>
      <c r="V13" s="334" t="s">
        <v>338</v>
      </c>
      <c r="W13" s="340">
        <f t="shared" si="7"/>
        <v>0.59640000000000004</v>
      </c>
      <c r="X13" s="347">
        <f t="shared" si="3"/>
        <v>0.10037615406128887</v>
      </c>
      <c r="Y13" s="340">
        <f t="shared" si="4"/>
        <v>0.40093057246242331</v>
      </c>
      <c r="Z13" s="341">
        <f t="shared" si="5"/>
        <v>0.14062002297065782</v>
      </c>
      <c r="AB13" s="256">
        <f t="shared" si="6"/>
        <v>9.4064954717988342E-2</v>
      </c>
    </row>
    <row r="14" spans="2:28">
      <c r="B14" s="252">
        <v>9</v>
      </c>
      <c r="C14" s="334" t="s">
        <v>339</v>
      </c>
      <c r="D14" s="334" t="s">
        <v>340</v>
      </c>
      <c r="E14" s="334">
        <v>12.28</v>
      </c>
      <c r="F14" s="333">
        <f>E14*_xlfn.XLOOKUP(Summary!$C$26,'Curve Comparison'!$B$3:$B$9,'Curve Comparison'!$D$3:$D$9)</f>
        <v>9.4461538461538446</v>
      </c>
      <c r="G14" s="266">
        <v>12.08</v>
      </c>
      <c r="H14" s="334" t="s">
        <v>341</v>
      </c>
      <c r="I14" s="334" t="s">
        <v>342</v>
      </c>
      <c r="J14" s="340">
        <v>0.68230000000000002</v>
      </c>
      <c r="K14" s="346">
        <f t="shared" si="0"/>
        <v>4.2244496938563539E-2</v>
      </c>
      <c r="L14" s="346">
        <f t="shared" si="1"/>
        <v>0.42759556148964367</v>
      </c>
      <c r="M14" s="345">
        <f t="shared" si="2"/>
        <v>6.0308056326856145E-2</v>
      </c>
      <c r="O14" s="252">
        <v>9</v>
      </c>
      <c r="P14" s="334" t="s">
        <v>339</v>
      </c>
      <c r="Q14" s="334" t="s">
        <v>343</v>
      </c>
      <c r="R14" s="334">
        <v>19.79</v>
      </c>
      <c r="S14" s="333">
        <f>R14*_xlfn.XLOOKUP(Summary!$C$26,'Curve Comparison'!$B$3:$B$9,'Curve Comparison'!$D$3:$D$9)</f>
        <v>15.223076923076921</v>
      </c>
      <c r="T14" s="334">
        <v>16.79</v>
      </c>
      <c r="U14" s="334" t="s">
        <v>344</v>
      </c>
      <c r="V14" s="334" t="s">
        <v>345</v>
      </c>
      <c r="W14" s="340">
        <f t="shared" si="7"/>
        <v>0.59640000000000004</v>
      </c>
      <c r="X14" s="347">
        <f t="shared" si="3"/>
        <v>0.12966836708020013</v>
      </c>
      <c r="Y14" s="340">
        <f t="shared" si="4"/>
        <v>0.3933649265074331</v>
      </c>
      <c r="Z14" s="341">
        <f t="shared" si="5"/>
        <v>0.18067535476704191</v>
      </c>
      <c r="AB14" s="256">
        <f t="shared" si="6"/>
        <v>0.12049170554694903</v>
      </c>
    </row>
    <row r="15" spans="2:28">
      <c r="B15" s="252">
        <v>10</v>
      </c>
      <c r="C15" s="334" t="s">
        <v>346</v>
      </c>
      <c r="D15" s="334" t="s">
        <v>347</v>
      </c>
      <c r="E15" s="334">
        <v>13.4</v>
      </c>
      <c r="F15" s="333">
        <f>E15*_xlfn.XLOOKUP(Summary!$C$26,'Curve Comparison'!$B$3:$B$9,'Curve Comparison'!$D$3:$D$9)</f>
        <v>10.307692307692307</v>
      </c>
      <c r="G15" s="266">
        <v>12.8</v>
      </c>
      <c r="H15" s="334" t="s">
        <v>348</v>
      </c>
      <c r="I15" s="334" t="s">
        <v>349</v>
      </c>
      <c r="J15" s="340">
        <v>0.68230000000000002</v>
      </c>
      <c r="K15" s="346">
        <f t="shared" si="0"/>
        <v>5.3003323180973283E-2</v>
      </c>
      <c r="L15" s="346">
        <f t="shared" si="1"/>
        <v>0.42043836304844889</v>
      </c>
      <c r="M15" s="345">
        <f t="shared" si="2"/>
        <v>7.52879536153096E-2</v>
      </c>
      <c r="O15" s="252">
        <v>10</v>
      </c>
      <c r="P15" s="334" t="s">
        <v>346</v>
      </c>
      <c r="Q15" s="334" t="s">
        <v>350</v>
      </c>
      <c r="R15" s="334">
        <v>21.61</v>
      </c>
      <c r="S15" s="333">
        <f>R15*_xlfn.XLOOKUP(Summary!$C$26,'Curve Comparison'!$B$3:$B$9,'Curve Comparison'!$D$3:$D$9)</f>
        <v>16.623076923076923</v>
      </c>
      <c r="T15" s="334">
        <v>17.59</v>
      </c>
      <c r="U15" s="334" t="s">
        <v>351</v>
      </c>
      <c r="V15" s="334" t="s">
        <v>352</v>
      </c>
      <c r="W15" s="340">
        <f t="shared" si="7"/>
        <v>0.59640000000000004</v>
      </c>
      <c r="X15" s="347">
        <f t="shared" si="3"/>
        <v>0.16111943725144867</v>
      </c>
      <c r="Y15" s="340">
        <f t="shared" si="4"/>
        <v>0.3870603461519122</v>
      </c>
      <c r="Z15" s="341">
        <f t="shared" si="5"/>
        <v>0.22348238240579568</v>
      </c>
      <c r="AB15" s="256">
        <f t="shared" si="6"/>
        <v>0.14938516801055263</v>
      </c>
    </row>
    <row r="16" spans="2:28">
      <c r="B16" s="252">
        <v>11</v>
      </c>
      <c r="C16" s="334" t="s">
        <v>353</v>
      </c>
      <c r="D16" s="334" t="s">
        <v>354</v>
      </c>
      <c r="E16" s="334">
        <v>14.54</v>
      </c>
      <c r="F16" s="333">
        <f>E16*_xlfn.XLOOKUP(Summary!$C$26,'Curve Comparison'!$B$3:$B$9,'Curve Comparison'!$D$3:$D$9)</f>
        <v>11.184615384615382</v>
      </c>
      <c r="G16" s="266">
        <v>13.46</v>
      </c>
      <c r="H16" s="334" t="s">
        <v>355</v>
      </c>
      <c r="I16" s="334" t="s">
        <v>356</v>
      </c>
      <c r="J16" s="340">
        <v>0.68230000000000002</v>
      </c>
      <c r="K16" s="346">
        <f t="shared" si="0"/>
        <v>6.5287690021749181E-2</v>
      </c>
      <c r="L16" s="346">
        <f t="shared" si="1"/>
        <v>0.41396825453527297</v>
      </c>
      <c r="M16" s="345">
        <f t="shared" si="2"/>
        <v>9.2314721102692648E-2</v>
      </c>
      <c r="O16" s="252">
        <v>11</v>
      </c>
      <c r="P16" s="334" t="s">
        <v>353</v>
      </c>
      <c r="Q16" s="334" t="s">
        <v>357</v>
      </c>
      <c r="R16" s="334">
        <v>23.33</v>
      </c>
      <c r="S16" s="333">
        <f>R16*_xlfn.XLOOKUP(Summary!$C$26,'Curve Comparison'!$B$3:$B$9,'Curve Comparison'!$D$3:$D$9)</f>
        <v>17.946153846153845</v>
      </c>
      <c r="T16" s="334">
        <v>18.309999999999999</v>
      </c>
      <c r="U16" s="334" t="s">
        <v>358</v>
      </c>
      <c r="V16" s="334" t="s">
        <v>359</v>
      </c>
      <c r="W16" s="340">
        <f t="shared" si="7"/>
        <v>0.59640000000000004</v>
      </c>
      <c r="X16" s="347">
        <f t="shared" si="3"/>
        <v>0.19456994952356432</v>
      </c>
      <c r="Y16" s="340">
        <f t="shared" si="4"/>
        <v>0.38166580381681969</v>
      </c>
      <c r="Z16" s="341">
        <f t="shared" si="5"/>
        <v>0.26883064570707355</v>
      </c>
      <c r="AB16" s="256">
        <f t="shared" si="6"/>
        <v>0.18057268340488308</v>
      </c>
    </row>
    <row r="17" spans="2:28">
      <c r="B17" s="252">
        <v>12</v>
      </c>
      <c r="C17" s="334" t="s">
        <v>360</v>
      </c>
      <c r="D17" s="334" t="s">
        <v>361</v>
      </c>
      <c r="E17" s="334">
        <v>15.68</v>
      </c>
      <c r="F17" s="333">
        <f>E17*_xlfn.XLOOKUP(Summary!$C$26,'Curve Comparison'!$B$3:$B$9,'Curve Comparison'!$D$3:$D$9)</f>
        <v>12.06153846153846</v>
      </c>
      <c r="G17" s="266">
        <v>14.11</v>
      </c>
      <c r="H17" s="334" t="s">
        <v>362</v>
      </c>
      <c r="I17" s="334" t="s">
        <v>363</v>
      </c>
      <c r="J17" s="340">
        <v>0.68230000000000002</v>
      </c>
      <c r="K17" s="346">
        <f t="shared" si="0"/>
        <v>7.92157382948704E-2</v>
      </c>
      <c r="L17" s="346">
        <f t="shared" si="1"/>
        <v>0.40805519703985643</v>
      </c>
      <c r="M17" s="345">
        <f t="shared" si="2"/>
        <v>0.11154013199344144</v>
      </c>
      <c r="O17" s="252">
        <v>12</v>
      </c>
      <c r="P17" s="334" t="s">
        <v>360</v>
      </c>
      <c r="Q17" s="334" t="s">
        <v>364</v>
      </c>
      <c r="R17" s="334">
        <v>24.98</v>
      </c>
      <c r="S17" s="333">
        <f>R17*_xlfn.XLOOKUP(Summary!$C$26,'Curve Comparison'!$B$3:$B$9,'Curve Comparison'!$D$3:$D$9)</f>
        <v>19.215384615384615</v>
      </c>
      <c r="T17" s="334">
        <v>19.010000000000002</v>
      </c>
      <c r="U17" s="334" t="s">
        <v>365</v>
      </c>
      <c r="V17" s="334" t="s">
        <v>366</v>
      </c>
      <c r="W17" s="340">
        <f t="shared" si="7"/>
        <v>0.59640000000000004</v>
      </c>
      <c r="X17" s="347">
        <f t="shared" si="3"/>
        <v>0.23062657498076522</v>
      </c>
      <c r="Y17" s="340">
        <f t="shared" si="4"/>
        <v>0.37686866699543714</v>
      </c>
      <c r="Z17" s="341">
        <f t="shared" si="5"/>
        <v>0.31754250486748942</v>
      </c>
      <c r="AB17" s="256">
        <f t="shared" si="6"/>
        <v>0.21454131843046542</v>
      </c>
    </row>
    <row r="18" spans="2:28">
      <c r="B18" s="252">
        <v>13</v>
      </c>
      <c r="C18" s="334" t="s">
        <v>367</v>
      </c>
      <c r="D18" s="334" t="s">
        <v>368</v>
      </c>
      <c r="E18" s="334">
        <v>16.809999999999999</v>
      </c>
      <c r="F18" s="333">
        <f>E18*_xlfn.XLOOKUP(Summary!$C$26,'Curve Comparison'!$B$3:$B$9,'Curve Comparison'!$D$3:$D$9)</f>
        <v>12.930769230769229</v>
      </c>
      <c r="G18" s="266">
        <v>14.71</v>
      </c>
      <c r="H18" s="334" t="s">
        <v>369</v>
      </c>
      <c r="I18" s="334" t="s">
        <v>370</v>
      </c>
      <c r="J18" s="340">
        <v>0.68230000000000002</v>
      </c>
      <c r="K18" s="346">
        <f t="shared" si="0"/>
        <v>9.4505209263189116E-2</v>
      </c>
      <c r="L18" s="346">
        <f t="shared" si="1"/>
        <v>0.40273240860508108</v>
      </c>
      <c r="M18" s="345">
        <f t="shared" si="2"/>
        <v>0.13256551981548051</v>
      </c>
      <c r="O18" s="252">
        <v>13</v>
      </c>
      <c r="P18" s="334" t="s">
        <v>367</v>
      </c>
      <c r="Q18" s="334" t="s">
        <v>371</v>
      </c>
      <c r="R18" s="334">
        <v>26.53</v>
      </c>
      <c r="S18" s="333">
        <f>R18*_xlfn.XLOOKUP(Summary!$C$26,'Curve Comparison'!$B$3:$B$9,'Curve Comparison'!$D$3:$D$9)</f>
        <v>20.407692307692308</v>
      </c>
      <c r="T18" s="334">
        <v>19.71</v>
      </c>
      <c r="U18" s="334" t="s">
        <v>372</v>
      </c>
      <c r="V18" s="334" t="s">
        <v>373</v>
      </c>
      <c r="W18" s="340">
        <f t="shared" si="7"/>
        <v>0.59640000000000004</v>
      </c>
      <c r="X18" s="347">
        <f t="shared" si="3"/>
        <v>0.26870245187342628</v>
      </c>
      <c r="Y18" s="340">
        <f t="shared" si="4"/>
        <v>0.37260843140581584</v>
      </c>
      <c r="Z18" s="341">
        <f t="shared" si="5"/>
        <v>0.36882325098088037</v>
      </c>
      <c r="AB18" s="256">
        <f t="shared" si="6"/>
        <v>0.25069438539818045</v>
      </c>
    </row>
    <row r="19" spans="2:28">
      <c r="B19" s="252">
        <v>14</v>
      </c>
      <c r="C19" s="334" t="s">
        <v>374</v>
      </c>
      <c r="D19" s="334" t="s">
        <v>375</v>
      </c>
      <c r="E19" s="334">
        <v>17.899999999999999</v>
      </c>
      <c r="F19" s="333">
        <f>E19*_xlfn.XLOOKUP(Summary!$C$26,'Curve Comparison'!$B$3:$B$9,'Curve Comparison'!$D$3:$D$9)</f>
        <v>13.769230769230766</v>
      </c>
      <c r="G19" s="266">
        <v>15.2</v>
      </c>
      <c r="H19" s="334" t="s">
        <v>376</v>
      </c>
      <c r="I19" s="334" t="s">
        <v>377</v>
      </c>
      <c r="J19" s="340">
        <v>0.68230000000000002</v>
      </c>
      <c r="K19" s="346">
        <f t="shared" si="0"/>
        <v>0.1103077588975569</v>
      </c>
      <c r="L19" s="346">
        <f t="shared" si="1"/>
        <v>0.39812605101934978</v>
      </c>
      <c r="M19" s="345">
        <f t="shared" si="2"/>
        <v>0.15422415134423578</v>
      </c>
      <c r="O19" s="252">
        <v>14</v>
      </c>
      <c r="P19" s="334" t="s">
        <v>374</v>
      </c>
      <c r="Q19" s="334" t="s">
        <v>378</v>
      </c>
      <c r="R19" s="334">
        <v>28.07</v>
      </c>
      <c r="S19" s="333">
        <f>R19*_xlfn.XLOOKUP(Summary!$C$26,'Curve Comparison'!$B$3:$B$9,'Curve Comparison'!$D$3:$D$9)</f>
        <v>21.592307692307692</v>
      </c>
      <c r="T19" s="334">
        <v>20.39</v>
      </c>
      <c r="U19" s="334" t="s">
        <v>379</v>
      </c>
      <c r="V19" s="334" t="s">
        <v>380</v>
      </c>
      <c r="W19" s="340">
        <f t="shared" si="7"/>
        <v>0.59640000000000004</v>
      </c>
      <c r="X19" s="347">
        <f t="shared" si="3"/>
        <v>0.31008643915904405</v>
      </c>
      <c r="Y19" s="340">
        <f t="shared" si="4"/>
        <v>0.36865842959709039</v>
      </c>
      <c r="Z19" s="341">
        <f t="shared" si="5"/>
        <v>0.42440241885877089</v>
      </c>
      <c r="AB19" s="256">
        <f t="shared" si="6"/>
        <v>0.28931328510150334</v>
      </c>
    </row>
    <row r="20" spans="2:28">
      <c r="B20" s="252">
        <v>15</v>
      </c>
      <c r="C20" s="334" t="s">
        <v>381</v>
      </c>
      <c r="D20" s="334" t="s">
        <v>382</v>
      </c>
      <c r="E20" s="334">
        <v>18.98</v>
      </c>
      <c r="F20" s="333">
        <f>E20*_xlfn.XLOOKUP(Summary!$C$26,'Curve Comparison'!$B$3:$B$9,'Curve Comparison'!$D$3:$D$9)</f>
        <v>14.6</v>
      </c>
      <c r="G20" s="266">
        <v>15.66</v>
      </c>
      <c r="H20" s="334" t="s">
        <v>383</v>
      </c>
      <c r="I20" s="334" t="s">
        <v>384</v>
      </c>
      <c r="J20" s="340">
        <v>0.68230000000000002</v>
      </c>
      <c r="K20" s="346">
        <f t="shared" si="0"/>
        <v>0.12732349653241212</v>
      </c>
      <c r="L20" s="346">
        <f t="shared" si="1"/>
        <v>0.39389937391849444</v>
      </c>
      <c r="M20" s="345">
        <f t="shared" si="2"/>
        <v>0.17747614210164284</v>
      </c>
      <c r="O20" s="252">
        <v>15</v>
      </c>
      <c r="P20" s="334" t="s">
        <v>381</v>
      </c>
      <c r="Q20" s="334" t="s">
        <v>385</v>
      </c>
      <c r="R20" s="334">
        <v>29.52</v>
      </c>
      <c r="S20" s="333">
        <f>R20*_xlfn.XLOOKUP(Summary!$C$26,'Curve Comparison'!$B$3:$B$9,'Curve Comparison'!$D$3:$D$9)</f>
        <v>22.707692307692305</v>
      </c>
      <c r="T20" s="334">
        <v>21.08</v>
      </c>
      <c r="U20" s="334" t="s">
        <v>386</v>
      </c>
      <c r="V20" s="334" t="s">
        <v>387</v>
      </c>
      <c r="W20" s="340">
        <f t="shared" si="7"/>
        <v>0.59640000000000004</v>
      </c>
      <c r="X20" s="347">
        <f t="shared" si="3"/>
        <v>0.3534168123232958</v>
      </c>
      <c r="Y20" s="340">
        <f t="shared" si="4"/>
        <v>0.36508830313877672</v>
      </c>
      <c r="Z20" s="341">
        <f t="shared" si="5"/>
        <v>0.48244515663512344</v>
      </c>
      <c r="AB20" s="256">
        <f t="shared" si="6"/>
        <v>0.32996064936838315</v>
      </c>
    </row>
    <row r="21" spans="2:28">
      <c r="B21" s="252">
        <v>16</v>
      </c>
      <c r="C21" s="334" t="s">
        <v>388</v>
      </c>
      <c r="D21" s="334" t="s">
        <v>389</v>
      </c>
      <c r="E21" s="334">
        <v>20</v>
      </c>
      <c r="F21" s="333">
        <f>E21*_xlfn.XLOOKUP(Summary!$C$26,'Curve Comparison'!$B$3:$B$9,'Curve Comparison'!$D$3:$D$9)</f>
        <v>15.384615384615383</v>
      </c>
      <c r="G21" s="266">
        <v>16.11</v>
      </c>
      <c r="H21" s="334" t="s">
        <v>390</v>
      </c>
      <c r="I21" s="334" t="s">
        <v>391</v>
      </c>
      <c r="J21" s="340">
        <v>0.68230000000000002</v>
      </c>
      <c r="K21" s="346">
        <f t="shared" si="0"/>
        <v>0.14497509495609545</v>
      </c>
      <c r="L21" s="346">
        <f t="shared" si="1"/>
        <v>0.39011285195913692</v>
      </c>
      <c r="M21" s="345">
        <f t="shared" si="2"/>
        <v>0.20153174271246452</v>
      </c>
      <c r="O21" s="252">
        <v>16</v>
      </c>
      <c r="P21" s="334" t="s">
        <v>388</v>
      </c>
      <c r="Q21" s="334" t="s">
        <v>392</v>
      </c>
      <c r="R21" s="334">
        <v>30.94</v>
      </c>
      <c r="S21" s="333">
        <f>R21*_xlfn.XLOOKUP(Summary!$C$26,'Curve Comparison'!$B$3:$B$9,'Curve Comparison'!$D$3:$D$9)</f>
        <v>23.799999999999997</v>
      </c>
      <c r="T21" s="334">
        <v>21.8</v>
      </c>
      <c r="U21" s="334" t="s">
        <v>393</v>
      </c>
      <c r="V21" s="334" t="s">
        <v>394</v>
      </c>
      <c r="W21" s="340">
        <f t="shared" si="7"/>
        <v>0.59640000000000004</v>
      </c>
      <c r="X21" s="347">
        <f t="shared" si="3"/>
        <v>0.40026862903258636</v>
      </c>
      <c r="Y21" s="340">
        <f t="shared" si="4"/>
        <v>0.36172250648639759</v>
      </c>
      <c r="Z21" s="341">
        <f t="shared" si="5"/>
        <v>0.5450548007941276</v>
      </c>
      <c r="AB21" s="256">
        <f t="shared" si="6"/>
        <v>0.37329327175329607</v>
      </c>
    </row>
    <row r="22" spans="2:28">
      <c r="B22" s="252">
        <v>17</v>
      </c>
      <c r="C22" s="334" t="s">
        <v>395</v>
      </c>
      <c r="D22" s="334" t="s">
        <v>396</v>
      </c>
      <c r="E22" s="334">
        <v>20.98</v>
      </c>
      <c r="F22" s="333">
        <f>E22*_xlfn.XLOOKUP(Summary!$C$26,'Curve Comparison'!$B$3:$B$9,'Curve Comparison'!$D$3:$D$9)</f>
        <v>16.138461538461538</v>
      </c>
      <c r="G22" s="266">
        <v>16.54</v>
      </c>
      <c r="H22" s="334" t="s">
        <v>397</v>
      </c>
      <c r="I22" s="334" t="s">
        <v>398</v>
      </c>
      <c r="J22" s="340">
        <v>0.68230000000000002</v>
      </c>
      <c r="K22" s="346">
        <f t="shared" si="0"/>
        <v>0.16330991789780142</v>
      </c>
      <c r="L22" s="346">
        <f t="shared" si="1"/>
        <v>0.38667166870379832</v>
      </c>
      <c r="M22" s="345">
        <f t="shared" si="2"/>
        <v>0.22645723636722459</v>
      </c>
      <c r="O22" s="252">
        <v>17</v>
      </c>
      <c r="P22" s="334" t="s">
        <v>395</v>
      </c>
      <c r="Q22" s="334" t="s">
        <v>399</v>
      </c>
      <c r="R22" s="334">
        <v>32.29</v>
      </c>
      <c r="S22" s="333">
        <f>R22*_xlfn.XLOOKUP(Summary!$C$26,'Curve Comparison'!$B$3:$B$9,'Curve Comparison'!$D$3:$D$9)</f>
        <v>24.838461538461537</v>
      </c>
      <c r="T22" s="334">
        <v>22.49</v>
      </c>
      <c r="U22" s="334" t="s">
        <v>400</v>
      </c>
      <c r="V22" s="334" t="s">
        <v>401</v>
      </c>
      <c r="W22" s="340">
        <f t="shared" si="7"/>
        <v>0.59640000000000004</v>
      </c>
      <c r="X22" s="347">
        <f t="shared" si="3"/>
        <v>0.448502537442172</v>
      </c>
      <c r="Y22" s="340">
        <f t="shared" si="4"/>
        <v>0.35867340710087847</v>
      </c>
      <c r="Z22" s="341">
        <f t="shared" si="5"/>
        <v>0.60936847063994515</v>
      </c>
      <c r="AB22" s="256">
        <f t="shared" si="6"/>
        <v>0.41791285350358487</v>
      </c>
    </row>
    <row r="23" spans="2:28">
      <c r="B23" s="252">
        <v>18</v>
      </c>
      <c r="C23" s="334" t="s">
        <v>402</v>
      </c>
      <c r="D23" s="334" t="s">
        <v>403</v>
      </c>
      <c r="E23" s="334">
        <v>21.94</v>
      </c>
      <c r="F23" s="333">
        <f>E23*_xlfn.XLOOKUP(Summary!$C$26,'Curve Comparison'!$B$3:$B$9,'Curve Comparison'!$D$3:$D$9)</f>
        <v>16.876923076923077</v>
      </c>
      <c r="G23" s="266">
        <v>16.97</v>
      </c>
      <c r="H23" s="334" t="s">
        <v>404</v>
      </c>
      <c r="I23" s="334" t="s">
        <v>405</v>
      </c>
      <c r="J23" s="340">
        <v>0.68230000000000002</v>
      </c>
      <c r="K23" s="346">
        <f t="shared" si="0"/>
        <v>0.18273467685153058</v>
      </c>
      <c r="L23" s="346">
        <f t="shared" si="1"/>
        <v>0.38345199974002092</v>
      </c>
      <c r="M23" s="345">
        <f t="shared" si="2"/>
        <v>0.25280465411209652</v>
      </c>
      <c r="O23" s="252">
        <v>18</v>
      </c>
      <c r="P23" s="334" t="s">
        <v>402</v>
      </c>
      <c r="Q23" s="334" t="s">
        <v>406</v>
      </c>
      <c r="R23" s="334">
        <v>33.61</v>
      </c>
      <c r="S23" s="333">
        <f>R23*_xlfn.XLOOKUP(Summary!$C$26,'Curve Comparison'!$B$3:$B$9,'Curve Comparison'!$D$3:$D$9)</f>
        <v>25.853846153846153</v>
      </c>
      <c r="T23" s="334">
        <v>23.19</v>
      </c>
      <c r="U23" s="334" t="s">
        <v>407</v>
      </c>
      <c r="V23" s="334" t="s">
        <v>408</v>
      </c>
      <c r="W23" s="340">
        <f t="shared" si="7"/>
        <v>0.59640000000000004</v>
      </c>
      <c r="X23" s="347">
        <f t="shared" si="3"/>
        <v>0.49971506118505055</v>
      </c>
      <c r="Y23" s="340">
        <f t="shared" si="4"/>
        <v>0.35579966731484824</v>
      </c>
      <c r="Z23" s="341">
        <f t="shared" si="5"/>
        <v>0.6775135137069106</v>
      </c>
      <c r="AB23" s="256">
        <f t="shared" si="6"/>
        <v>0.46515908390950356</v>
      </c>
    </row>
    <row r="24" spans="2:28">
      <c r="B24" s="252">
        <v>19</v>
      </c>
      <c r="C24" s="334" t="s">
        <v>409</v>
      </c>
      <c r="D24" s="334" t="s">
        <v>410</v>
      </c>
      <c r="E24" s="334">
        <v>22.87</v>
      </c>
      <c r="F24" s="333">
        <f>E24*_xlfn.XLOOKUP(Summary!$C$26,'Curve Comparison'!$B$3:$B$9,'Curve Comparison'!$D$3:$D$9)</f>
        <v>17.592307692307692</v>
      </c>
      <c r="G24" s="266">
        <v>17.399999999999999</v>
      </c>
      <c r="H24" s="334" t="s">
        <v>411</v>
      </c>
      <c r="I24" s="334" t="s">
        <v>412</v>
      </c>
      <c r="J24" s="340">
        <v>0.68230000000000002</v>
      </c>
      <c r="K24" s="346">
        <f t="shared" si="0"/>
        <v>0.20305852282366144</v>
      </c>
      <c r="L24" s="346">
        <f t="shared" si="1"/>
        <v>0.38045515079800901</v>
      </c>
      <c r="M24" s="345">
        <f t="shared" si="2"/>
        <v>0.28031318374535852</v>
      </c>
      <c r="O24" s="252">
        <v>19</v>
      </c>
      <c r="P24" s="334" t="s">
        <v>409</v>
      </c>
      <c r="Q24" s="334" t="s">
        <v>413</v>
      </c>
      <c r="R24" s="334">
        <v>34.909999999999997</v>
      </c>
      <c r="S24" s="333">
        <f>R24*_xlfn.XLOOKUP(Summary!$C$26,'Curve Comparison'!$B$3:$B$9,'Curve Comparison'!$D$3:$D$9)</f>
        <v>26.853846153846149</v>
      </c>
      <c r="T24" s="334">
        <v>23.93</v>
      </c>
      <c r="U24" s="334" t="s">
        <v>414</v>
      </c>
      <c r="V24" s="334" t="s">
        <v>415</v>
      </c>
      <c r="W24" s="340">
        <f>+W23</f>
        <v>0.59640000000000004</v>
      </c>
      <c r="X24" s="347">
        <f t="shared" si="3"/>
        <v>0.55489211148961171</v>
      </c>
      <c r="Y24" s="340">
        <f t="shared" si="4"/>
        <v>0.35303793239640879</v>
      </c>
      <c r="Z24" s="341">
        <f t="shared" si="5"/>
        <v>0.7507900752329818</v>
      </c>
      <c r="AB24" s="256">
        <f t="shared" si="6"/>
        <v>0.51555162948917022</v>
      </c>
    </row>
    <row r="25" spans="2:28">
      <c r="B25" s="252">
        <v>20</v>
      </c>
      <c r="C25" s="334" t="s">
        <v>416</v>
      </c>
      <c r="D25" s="334" t="s">
        <v>417</v>
      </c>
      <c r="E25" s="334">
        <v>23.77</v>
      </c>
      <c r="F25" s="333">
        <f>E25*_xlfn.XLOOKUP(Summary!$C$26,'Curve Comparison'!$B$3:$B$9,'Curve Comparison'!$D$3:$D$9)</f>
        <v>18.284615384615382</v>
      </c>
      <c r="G25" s="266">
        <v>17.82</v>
      </c>
      <c r="H25" s="334" t="s">
        <v>418</v>
      </c>
      <c r="I25" s="334" t="s">
        <v>419</v>
      </c>
      <c r="J25" s="340">
        <v>0.68230000000000002</v>
      </c>
      <c r="K25" s="346">
        <f t="shared" si="0"/>
        <v>0.22410548214830897</v>
      </c>
      <c r="L25" s="346">
        <f t="shared" si="1"/>
        <v>0.37767376921770718</v>
      </c>
      <c r="M25" s="345">
        <f t="shared" si="2"/>
        <v>0.30874424429361241</v>
      </c>
      <c r="O25" s="252">
        <v>20</v>
      </c>
      <c r="P25" s="334" t="s">
        <v>416</v>
      </c>
      <c r="Q25" s="334" t="s">
        <v>420</v>
      </c>
      <c r="R25" s="334">
        <v>36.200000000000003</v>
      </c>
      <c r="S25" s="333">
        <f>R25*_xlfn.XLOOKUP(Summary!$C$26,'Curve Comparison'!$B$3:$B$9,'Curve Comparison'!$D$3:$D$9)</f>
        <v>27.846153846153847</v>
      </c>
      <c r="T25" s="334">
        <v>24.69</v>
      </c>
      <c r="U25" s="334" t="s">
        <v>421</v>
      </c>
      <c r="V25" s="334" t="s">
        <v>422</v>
      </c>
      <c r="W25" s="340">
        <f t="shared" si="7"/>
        <v>0.59640000000000004</v>
      </c>
      <c r="X25" s="347">
        <f t="shared" si="3"/>
        <v>0.6140759454024115</v>
      </c>
      <c r="Y25" s="340">
        <f t="shared" si="4"/>
        <v>0.35038601514452855</v>
      </c>
      <c r="Z25" s="341">
        <f t="shared" si="5"/>
        <v>0.8292395689080716</v>
      </c>
      <c r="AB25" s="256">
        <f t="shared" si="6"/>
        <v>0.56899190660084198</v>
      </c>
    </row>
    <row r="26" spans="2:28">
      <c r="B26" s="252">
        <v>21</v>
      </c>
      <c r="C26" s="334" t="s">
        <v>423</v>
      </c>
      <c r="D26" s="334" t="s">
        <v>424</v>
      </c>
      <c r="E26" s="334">
        <v>24.65</v>
      </c>
      <c r="F26" s="333">
        <f>E26*_xlfn.XLOOKUP(Summary!$C$26,'Curve Comparison'!$B$3:$B$9,'Curve Comparison'!$D$3:$D$9)</f>
        <v>18.96153846153846</v>
      </c>
      <c r="G26" s="266">
        <v>18.25</v>
      </c>
      <c r="H26" s="334" t="s">
        <v>425</v>
      </c>
      <c r="I26" s="334" t="s">
        <v>426</v>
      </c>
      <c r="J26" s="340">
        <v>0.68230000000000002</v>
      </c>
      <c r="K26" s="346">
        <f t="shared" si="0"/>
        <v>0.24625031670741629</v>
      </c>
      <c r="L26" s="346">
        <f t="shared" si="1"/>
        <v>0.37503521882049318</v>
      </c>
      <c r="M26" s="345">
        <f t="shared" si="2"/>
        <v>0.33860285811839791</v>
      </c>
      <c r="O26" s="252">
        <v>21</v>
      </c>
      <c r="P26" s="334" t="s">
        <v>423</v>
      </c>
      <c r="Q26" s="334" t="s">
        <v>427</v>
      </c>
      <c r="R26" s="334">
        <v>37.5</v>
      </c>
      <c r="S26" s="333">
        <f>R26*_xlfn.XLOOKUP(Summary!$C$26,'Curve Comparison'!$B$3:$B$9,'Curve Comparison'!$D$3:$D$9)</f>
        <v>28.846153846153843</v>
      </c>
      <c r="T26" s="334">
        <v>25.36</v>
      </c>
      <c r="U26" s="334" t="s">
        <v>428</v>
      </c>
      <c r="V26" s="334" t="s">
        <v>429</v>
      </c>
      <c r="W26" s="340">
        <f t="shared" si="7"/>
        <v>0.59640000000000004</v>
      </c>
      <c r="X26" s="347">
        <f t="shared" si="3"/>
        <v>0.67527562554790799</v>
      </c>
      <c r="Y26" s="340">
        <f t="shared" si="4"/>
        <v>0.34791815790369129</v>
      </c>
      <c r="Z26" s="341">
        <f t="shared" si="5"/>
        <v>0.91021627726579901</v>
      </c>
      <c r="AB26" s="256">
        <f t="shared" si="6"/>
        <v>0.62440956769209843</v>
      </c>
    </row>
    <row r="27" spans="2:28">
      <c r="B27" s="252">
        <v>22</v>
      </c>
      <c r="C27" s="334" t="s">
        <v>430</v>
      </c>
      <c r="D27" s="334" t="s">
        <v>431</v>
      </c>
      <c r="E27" s="334">
        <v>25.53</v>
      </c>
      <c r="F27" s="333">
        <f>E27*_xlfn.XLOOKUP(Summary!$C$26,'Curve Comparison'!$B$3:$B$9,'Curve Comparison'!$D$3:$D$9)</f>
        <v>19.638461538461538</v>
      </c>
      <c r="G27" s="266">
        <v>18.7</v>
      </c>
      <c r="H27" s="334" t="s">
        <v>432</v>
      </c>
      <c r="I27" s="334" t="s">
        <v>433</v>
      </c>
      <c r="J27" s="340">
        <v>0.68230000000000002</v>
      </c>
      <c r="K27" s="346">
        <f t="shared" si="0"/>
        <v>0.27004628142811249</v>
      </c>
      <c r="L27" s="346">
        <f t="shared" si="1"/>
        <v>0.37247015953400053</v>
      </c>
      <c r="M27" s="345">
        <f t="shared" si="2"/>
        <v>0.37063046295320518</v>
      </c>
      <c r="O27" s="252">
        <v>22</v>
      </c>
      <c r="P27" s="334" t="s">
        <v>430</v>
      </c>
      <c r="Q27" s="334" t="s">
        <v>434</v>
      </c>
      <c r="R27" s="334">
        <v>38.770000000000003</v>
      </c>
      <c r="S27" s="333">
        <f>R27*_xlfn.XLOOKUP(Summary!$C$26,'Curve Comparison'!$B$3:$B$9,'Curve Comparison'!$D$3:$D$9)</f>
        <v>29.823076923076922</v>
      </c>
      <c r="T27" s="334">
        <v>26.07</v>
      </c>
      <c r="U27" s="334" t="s">
        <v>435</v>
      </c>
      <c r="V27" s="334" t="s">
        <v>436</v>
      </c>
      <c r="W27" s="340">
        <f t="shared" si="7"/>
        <v>0.59640000000000004</v>
      </c>
      <c r="X27" s="347">
        <f t="shared" si="3"/>
        <v>0.74032057940691975</v>
      </c>
      <c r="Y27" s="340">
        <f t="shared" si="4"/>
        <v>0.34554582685258267</v>
      </c>
      <c r="Z27" s="341">
        <f t="shared" si="5"/>
        <v>0.99613526615406689</v>
      </c>
      <c r="AB27" s="256">
        <f t="shared" si="6"/>
        <v>0.68338286455363606</v>
      </c>
    </row>
    <row r="28" spans="2:28">
      <c r="B28" s="252">
        <v>23</v>
      </c>
      <c r="C28" s="334" t="s">
        <v>437</v>
      </c>
      <c r="D28" s="334" t="s">
        <v>438</v>
      </c>
      <c r="E28" s="334">
        <v>26.36</v>
      </c>
      <c r="F28" s="333">
        <f>E28*_xlfn.XLOOKUP(Summary!$C$26,'Curve Comparison'!$B$3:$B$9,'Curve Comparison'!$D$3:$D$9)</f>
        <v>20.276923076923076</v>
      </c>
      <c r="G28" s="266">
        <v>19.13</v>
      </c>
      <c r="H28" s="334" t="s">
        <v>439</v>
      </c>
      <c r="I28" s="334" t="s">
        <v>440</v>
      </c>
      <c r="J28" s="340">
        <v>0.68230000000000002</v>
      </c>
      <c r="K28" s="346">
        <f t="shared" si="0"/>
        <v>0.29389814571483702</v>
      </c>
      <c r="L28" s="346">
        <f t="shared" si="1"/>
        <v>0.37013200670381163</v>
      </c>
      <c r="M28" s="345">
        <f t="shared" si="2"/>
        <v>0.40267925615479888</v>
      </c>
      <c r="O28" s="252">
        <v>23</v>
      </c>
      <c r="P28" s="334" t="s">
        <v>437</v>
      </c>
      <c r="Q28" s="334" t="s">
        <v>441</v>
      </c>
      <c r="R28" s="334">
        <v>40.03</v>
      </c>
      <c r="S28" s="333">
        <f>R28*_xlfn.XLOOKUP(Summary!$C$26,'Curve Comparison'!$B$3:$B$9,'Curve Comparison'!$D$3:$D$9)</f>
        <v>30.792307692307691</v>
      </c>
      <c r="T28" s="334">
        <v>26.81</v>
      </c>
      <c r="U28" s="334" t="s">
        <v>442</v>
      </c>
      <c r="V28" s="334" t="s">
        <v>443</v>
      </c>
      <c r="W28" s="340">
        <f t="shared" si="7"/>
        <v>0.59640000000000004</v>
      </c>
      <c r="X28" s="347">
        <f t="shared" si="3"/>
        <v>0.80983535788961136</v>
      </c>
      <c r="Y28" s="340">
        <f t="shared" si="4"/>
        <v>0.34324622539792321</v>
      </c>
      <c r="Z28" s="341">
        <f t="shared" si="5"/>
        <v>1.0878082876789967</v>
      </c>
      <c r="AB28" s="256">
        <f t="shared" si="6"/>
        <v>0.74524377191689783</v>
      </c>
    </row>
    <row r="29" spans="2:28">
      <c r="B29" s="252">
        <v>24</v>
      </c>
      <c r="C29" s="334" t="s">
        <v>444</v>
      </c>
      <c r="D29" s="334" t="s">
        <v>445</v>
      </c>
      <c r="E29" s="334">
        <v>27.17</v>
      </c>
      <c r="F29" s="333">
        <f>E29*_xlfn.XLOOKUP(Summary!$C$26,'Curve Comparison'!$B$3:$B$9,'Curve Comparison'!$D$3:$D$9)</f>
        <v>20.9</v>
      </c>
      <c r="G29" s="266">
        <v>19.559999999999999</v>
      </c>
      <c r="H29" s="334" t="s">
        <v>446</v>
      </c>
      <c r="I29" s="334" t="s">
        <v>447</v>
      </c>
      <c r="J29" s="340">
        <v>0.68230000000000002</v>
      </c>
      <c r="K29" s="346">
        <f t="shared" si="0"/>
        <v>0.31862259847584107</v>
      </c>
      <c r="L29" s="346">
        <f t="shared" si="1"/>
        <v>0.36791433535896784</v>
      </c>
      <c r="M29" s="345">
        <f t="shared" si="2"/>
        <v>0.43584842002442742</v>
      </c>
      <c r="O29" s="252">
        <v>24</v>
      </c>
      <c r="P29" s="334" t="s">
        <v>444</v>
      </c>
      <c r="Q29" s="334" t="s">
        <v>448</v>
      </c>
      <c r="R29" s="334">
        <v>41.28</v>
      </c>
      <c r="S29" s="333">
        <f>R29*_xlfn.XLOOKUP(Summary!$C$26,'Curve Comparison'!$B$3:$B$9,'Curve Comparison'!$D$3:$D$9)</f>
        <v>31.753846153846151</v>
      </c>
      <c r="T29" s="334">
        <v>27.56</v>
      </c>
      <c r="U29" s="334" t="s">
        <v>449</v>
      </c>
      <c r="V29" s="334" t="s">
        <v>450</v>
      </c>
      <c r="W29" s="340">
        <f t="shared" si="7"/>
        <v>0.59640000000000004</v>
      </c>
      <c r="X29" s="347">
        <f t="shared" si="3"/>
        <v>0.88340276932949091</v>
      </c>
      <c r="Y29" s="340">
        <f t="shared" si="4"/>
        <v>0.34103289807659132</v>
      </c>
      <c r="Z29" s="341">
        <f t="shared" si="5"/>
        <v>1.1846721759228136</v>
      </c>
      <c r="AB29" s="256">
        <f t="shared" si="6"/>
        <v>0.81026029797362054</v>
      </c>
    </row>
    <row r="30" spans="2:28">
      <c r="B30" s="252">
        <v>25</v>
      </c>
      <c r="C30" s="334" t="s">
        <v>451</v>
      </c>
      <c r="D30" s="334" t="s">
        <v>452</v>
      </c>
      <c r="E30" s="334">
        <v>28</v>
      </c>
      <c r="F30" s="333">
        <f>E30*_xlfn.XLOOKUP(Summary!$C$26,'Curve Comparison'!$B$3:$B$9,'Curve Comparison'!$D$3:$D$9)</f>
        <v>21.538461538461537</v>
      </c>
      <c r="G30" s="266">
        <v>20</v>
      </c>
      <c r="H30" s="334" t="s">
        <v>453</v>
      </c>
      <c r="I30" s="334" t="s">
        <v>454</v>
      </c>
      <c r="J30" s="340">
        <v>0.68230000000000002</v>
      </c>
      <c r="K30" s="346">
        <f t="shared" si="0"/>
        <v>0.34531492997800661</v>
      </c>
      <c r="L30" s="346">
        <f t="shared" si="1"/>
        <v>0.36571878195684626</v>
      </c>
      <c r="M30" s="345">
        <f t="shared" si="2"/>
        <v>0.47160308556107683</v>
      </c>
      <c r="O30" s="252">
        <v>25</v>
      </c>
      <c r="P30" s="334" t="s">
        <v>451</v>
      </c>
      <c r="Q30" s="334" t="s">
        <v>455</v>
      </c>
      <c r="R30" s="334">
        <v>42.55</v>
      </c>
      <c r="S30" s="333">
        <f>R30*_xlfn.XLOOKUP(Summary!$C$26,'Curve Comparison'!$B$3:$B$9,'Curve Comparison'!$D$3:$D$9)</f>
        <v>32.730769230769226</v>
      </c>
      <c r="T30" s="334">
        <v>28.31</v>
      </c>
      <c r="U30" s="334" t="s">
        <v>456</v>
      </c>
      <c r="V30" s="334" t="s">
        <v>457</v>
      </c>
      <c r="W30" s="340">
        <f t="shared" si="7"/>
        <v>0.59640000000000004</v>
      </c>
      <c r="X30" s="347">
        <f t="shared" si="3"/>
        <v>0.96211643705906236</v>
      </c>
      <c r="Y30" s="340">
        <f t="shared" si="4"/>
        <v>0.33887407969250544</v>
      </c>
      <c r="Z30" s="341">
        <f t="shared" si="5"/>
        <v>1.2881527592244844</v>
      </c>
      <c r="AB30" s="256">
        <f t="shared" si="6"/>
        <v>0.87987792239278062</v>
      </c>
    </row>
    <row r="31" spans="2:28">
      <c r="B31" s="252">
        <v>26</v>
      </c>
      <c r="C31" s="334" t="s">
        <v>458</v>
      </c>
      <c r="D31" s="334" t="s">
        <v>459</v>
      </c>
      <c r="E31" s="334">
        <v>28.82</v>
      </c>
      <c r="F31" s="333">
        <f>E31*_xlfn.XLOOKUP(Summary!$C$26,'Curve Comparison'!$B$3:$B$9,'Curve Comparison'!$D$3:$D$9)</f>
        <v>22.169230769230769</v>
      </c>
      <c r="G31" s="266">
        <v>20.43</v>
      </c>
      <c r="H31" s="334" t="s">
        <v>372</v>
      </c>
      <c r="I31" s="334" t="s">
        <v>460</v>
      </c>
      <c r="J31" s="340">
        <v>0.68230000000000002</v>
      </c>
      <c r="K31" s="346">
        <f t="shared" si="0"/>
        <v>0.37299427914899891</v>
      </c>
      <c r="L31" s="346">
        <f t="shared" si="1"/>
        <v>0.36362676780832909</v>
      </c>
      <c r="M31" s="345">
        <f t="shared" si="2"/>
        <v>0.50862498328694705</v>
      </c>
      <c r="O31" s="252">
        <v>26</v>
      </c>
      <c r="P31" s="334" t="s">
        <v>458</v>
      </c>
      <c r="Q31" s="334" t="s">
        <v>461</v>
      </c>
      <c r="R31" s="334">
        <v>43.77</v>
      </c>
      <c r="S31" s="333">
        <f>R31*_xlfn.XLOOKUP(Summary!$C$26,'Curve Comparison'!$B$3:$B$9,'Curve Comparison'!$D$3:$D$9)</f>
        <v>33.669230769230772</v>
      </c>
      <c r="T31" s="334">
        <v>29.05</v>
      </c>
      <c r="U31" s="334" t="s">
        <v>462</v>
      </c>
      <c r="V31" s="334" t="s">
        <v>463</v>
      </c>
      <c r="W31" s="340">
        <f t="shared" si="7"/>
        <v>0.59640000000000004</v>
      </c>
      <c r="X31" s="347">
        <f t="shared" si="3"/>
        <v>1.0426285682103305</v>
      </c>
      <c r="Y31" s="340">
        <f t="shared" si="4"/>
        <v>0.33685394926224377</v>
      </c>
      <c r="Z31" s="341">
        <f t="shared" si="5"/>
        <v>1.3938421190256189</v>
      </c>
      <c r="AB31" s="256">
        <f t="shared" si="6"/>
        <v>0.95123355115628305</v>
      </c>
    </row>
    <row r="32" spans="2:28">
      <c r="B32" s="252">
        <v>27</v>
      </c>
      <c r="C32" s="334" t="s">
        <v>464</v>
      </c>
      <c r="D32" s="334" t="s">
        <v>465</v>
      </c>
      <c r="E32" s="334">
        <v>29.61</v>
      </c>
      <c r="F32" s="333">
        <f>E32*_xlfn.XLOOKUP(Summary!$C$26,'Curve Comparison'!$B$3:$B$9,'Curve Comparison'!$D$3:$D$9)</f>
        <v>22.776923076923076</v>
      </c>
      <c r="G32" s="266">
        <v>20.87</v>
      </c>
      <c r="H32" s="334" t="s">
        <v>466</v>
      </c>
      <c r="I32" s="334" t="s">
        <v>467</v>
      </c>
      <c r="J32" s="340">
        <v>0.68230000000000002</v>
      </c>
      <c r="K32" s="346">
        <f t="shared" si="0"/>
        <v>0.40147571886253552</v>
      </c>
      <c r="L32" s="346">
        <f t="shared" si="1"/>
        <v>0.36164147872731017</v>
      </c>
      <c r="M32" s="345">
        <f t="shared" si="2"/>
        <v>0.54666599150509265</v>
      </c>
      <c r="O32" s="252">
        <v>27</v>
      </c>
      <c r="P32" s="334" t="s">
        <v>464</v>
      </c>
      <c r="Q32" s="334" t="s">
        <v>468</v>
      </c>
      <c r="R32" s="334">
        <v>45</v>
      </c>
      <c r="S32" s="333">
        <f>R32*_xlfn.XLOOKUP(Summary!$C$26,'Curve Comparison'!$B$3:$B$9,'Curve Comparison'!$D$3:$D$9)</f>
        <v>34.615384615384613</v>
      </c>
      <c r="T32" s="334">
        <v>29.75</v>
      </c>
      <c r="U32" s="334" t="s">
        <v>469</v>
      </c>
      <c r="V32" s="334" t="s">
        <v>470</v>
      </c>
      <c r="W32" s="340">
        <f t="shared" si="7"/>
        <v>0.59640000000000004</v>
      </c>
      <c r="X32" s="347">
        <f t="shared" si="3"/>
        <v>1.1264618337291799</v>
      </c>
      <c r="Y32" s="340">
        <f t="shared" si="4"/>
        <v>0.33492130974478379</v>
      </c>
      <c r="Z32" s="341">
        <f t="shared" si="5"/>
        <v>1.5037379064592677</v>
      </c>
      <c r="AB32" s="256">
        <f t="shared" si="6"/>
        <v>1.0252019489821802</v>
      </c>
    </row>
    <row r="33" spans="2:28">
      <c r="B33" s="252">
        <v>28</v>
      </c>
      <c r="C33" s="334" t="s">
        <v>471</v>
      </c>
      <c r="D33" s="334" t="s">
        <v>472</v>
      </c>
      <c r="E33" s="334">
        <v>30.38</v>
      </c>
      <c r="F33" s="333">
        <f>E33*_xlfn.XLOOKUP(Summary!$C$26,'Curve Comparison'!$B$3:$B$9,'Curve Comparison'!$D$3:$D$9)</f>
        <v>23.369230769230768</v>
      </c>
      <c r="G33" s="266">
        <v>21.31</v>
      </c>
      <c r="H33" s="334" t="s">
        <v>473</v>
      </c>
      <c r="I33" s="334" t="s">
        <v>474</v>
      </c>
      <c r="J33" s="340">
        <v>0.68230000000000002</v>
      </c>
      <c r="K33" s="346">
        <f t="shared" si="0"/>
        <v>0.43079075638219211</v>
      </c>
      <c r="L33" s="346">
        <f t="shared" si="1"/>
        <v>0.35975022047281152</v>
      </c>
      <c r="M33" s="345">
        <f t="shared" si="2"/>
        <v>0.58576782596833499</v>
      </c>
      <c r="O33" s="252">
        <v>28</v>
      </c>
      <c r="P33" s="334" t="s">
        <v>471</v>
      </c>
      <c r="Q33" s="334" t="s">
        <v>475</v>
      </c>
      <c r="R33" s="334">
        <v>46.23</v>
      </c>
      <c r="S33" s="333">
        <f>R33*_xlfn.XLOOKUP(Summary!$C$26,'Curve Comparison'!$B$3:$B$9,'Curve Comparison'!$D$3:$D$9)</f>
        <v>35.561538461538454</v>
      </c>
      <c r="T33" s="334">
        <v>30.46</v>
      </c>
      <c r="U33" s="334" t="s">
        <v>476</v>
      </c>
      <c r="V33" s="334" t="s">
        <v>477</v>
      </c>
      <c r="W33" s="340">
        <f t="shared" si="7"/>
        <v>0.59640000000000004</v>
      </c>
      <c r="X33" s="347">
        <f t="shared" si="3"/>
        <v>1.2149941684660543</v>
      </c>
      <c r="Y33" s="340">
        <f t="shared" si="4"/>
        <v>0.3330413567658847</v>
      </c>
      <c r="Z33" s="341">
        <f t="shared" si="5"/>
        <v>1.6196374747946269</v>
      </c>
      <c r="AB33" s="256">
        <f t="shared" si="6"/>
        <v>1.102702650381481</v>
      </c>
    </row>
    <row r="34" spans="2:28">
      <c r="B34" s="252">
        <v>29</v>
      </c>
      <c r="C34" s="334" t="s">
        <v>478</v>
      </c>
      <c r="D34" s="334" t="s">
        <v>479</v>
      </c>
      <c r="E34" s="334">
        <v>31.15</v>
      </c>
      <c r="F34" s="333">
        <f>E34*_xlfn.XLOOKUP(Summary!$C$26,'Curve Comparison'!$B$3:$B$9,'Curve Comparison'!$D$3:$D$9)</f>
        <v>23.96153846153846</v>
      </c>
      <c r="G34" s="266">
        <v>21.74</v>
      </c>
      <c r="H34" s="334" t="s">
        <v>480</v>
      </c>
      <c r="I34" s="334" t="s">
        <v>481</v>
      </c>
      <c r="J34" s="340">
        <v>0.68230000000000002</v>
      </c>
      <c r="K34" s="346">
        <f t="shared" si="0"/>
        <v>0.46126768382658695</v>
      </c>
      <c r="L34" s="346">
        <f t="shared" si="1"/>
        <v>0.35792528691161268</v>
      </c>
      <c r="M34" s="345">
        <f t="shared" si="2"/>
        <v>0.62636705190327313</v>
      </c>
      <c r="O34" s="252">
        <v>29</v>
      </c>
      <c r="P34" s="334" t="s">
        <v>478</v>
      </c>
      <c r="Q34" s="334" t="s">
        <v>482</v>
      </c>
      <c r="R34" s="334">
        <v>47.49</v>
      </c>
      <c r="S34" s="333">
        <f>R34*_xlfn.XLOOKUP(Summary!$C$26,'Curve Comparison'!$B$3:$B$9,'Curve Comparison'!$D$3:$D$9)</f>
        <v>36.530769230769231</v>
      </c>
      <c r="T34" s="334">
        <v>31.16</v>
      </c>
      <c r="U34" s="334" t="s">
        <v>483</v>
      </c>
      <c r="V34" s="334" t="s">
        <v>484</v>
      </c>
      <c r="W34" s="340">
        <f t="shared" si="7"/>
        <v>0.59640000000000004</v>
      </c>
      <c r="X34" s="347">
        <f t="shared" si="3"/>
        <v>1.309184688253535</v>
      </c>
      <c r="Y34" s="340">
        <f t="shared" si="4"/>
        <v>0.33119640868738481</v>
      </c>
      <c r="Z34" s="341">
        <f t="shared" si="5"/>
        <v>1.7427819553116193</v>
      </c>
      <c r="AB34" s="256">
        <f t="shared" si="6"/>
        <v>1.1845745036074462</v>
      </c>
    </row>
    <row r="35" spans="2:28">
      <c r="B35" s="252">
        <v>30</v>
      </c>
      <c r="C35" s="334" t="s">
        <v>485</v>
      </c>
      <c r="D35" s="334" t="s">
        <v>486</v>
      </c>
      <c r="E35" s="334">
        <v>31.91</v>
      </c>
      <c r="F35" s="333">
        <f>E35*_xlfn.XLOOKUP(Summary!$C$26,'Curve Comparison'!$B$3:$B$9,'Curve Comparison'!$D$3:$D$9)</f>
        <v>24.546153846153842</v>
      </c>
      <c r="G35" s="266">
        <v>22.18</v>
      </c>
      <c r="H35" s="334" t="s">
        <v>487</v>
      </c>
      <c r="I35" s="334" t="s">
        <v>488</v>
      </c>
      <c r="J35" s="340">
        <v>0.68230000000000002</v>
      </c>
      <c r="K35" s="346">
        <f t="shared" si="0"/>
        <v>0.49303890419988794</v>
      </c>
      <c r="L35" s="346">
        <f t="shared" si="1"/>
        <v>0.35615588644455798</v>
      </c>
      <c r="M35" s="345">
        <f t="shared" si="2"/>
        <v>0.66863761217685258</v>
      </c>
      <c r="O35" s="252">
        <v>30</v>
      </c>
      <c r="P35" s="334" t="s">
        <v>485</v>
      </c>
      <c r="Q35" s="334" t="s">
        <v>489</v>
      </c>
      <c r="R35" s="334">
        <v>48.77</v>
      </c>
      <c r="S35" s="333">
        <f>R35*_xlfn.XLOOKUP(Summary!$C$26,'Curve Comparison'!$B$3:$B$9,'Curve Comparison'!$D$3:$D$9)</f>
        <v>37.515384615384612</v>
      </c>
      <c r="T35" s="334">
        <v>31.86</v>
      </c>
      <c r="U35" s="334" t="s">
        <v>490</v>
      </c>
      <c r="V35" s="334" t="s">
        <v>491</v>
      </c>
      <c r="W35" s="340">
        <f t="shared" si="7"/>
        <v>0.59640000000000004</v>
      </c>
      <c r="X35" s="347">
        <f t="shared" si="3"/>
        <v>1.4091733585467867</v>
      </c>
      <c r="Y35" s="340">
        <f t="shared" si="4"/>
        <v>0.32938781853589477</v>
      </c>
      <c r="Z35" s="341">
        <f t="shared" si="5"/>
        <v>1.873337897057413</v>
      </c>
      <c r="AB35" s="256">
        <f t="shared" si="6"/>
        <v>1.2709877546171329</v>
      </c>
    </row>
    <row r="36" spans="2:28">
      <c r="B36" s="252">
        <v>31</v>
      </c>
      <c r="C36" s="334" t="s">
        <v>492</v>
      </c>
      <c r="D36" s="334" t="s">
        <v>493</v>
      </c>
      <c r="E36" s="334">
        <v>32.67</v>
      </c>
      <c r="F36" s="333">
        <f>E36*_xlfn.XLOOKUP(Summary!$C$26,'Curve Comparison'!$B$3:$B$9,'Curve Comparison'!$D$3:$D$9)</f>
        <v>25.130769230769229</v>
      </c>
      <c r="G36" s="266">
        <v>22.62</v>
      </c>
      <c r="H36" s="334" t="s">
        <v>494</v>
      </c>
      <c r="I36" s="334" t="s">
        <v>495</v>
      </c>
      <c r="J36" s="340">
        <v>0.68230000000000002</v>
      </c>
      <c r="K36" s="346">
        <f t="shared" si="0"/>
        <v>0.52621290126291986</v>
      </c>
      <c r="L36" s="346">
        <f t="shared" si="1"/>
        <v>0.35443456811873247</v>
      </c>
      <c r="M36" s="345">
        <f t="shared" si="2"/>
        <v>0.71272094366054806</v>
      </c>
      <c r="O36" s="252">
        <v>31</v>
      </c>
      <c r="P36" s="334" t="s">
        <v>492</v>
      </c>
      <c r="Q36" s="334" t="s">
        <v>496</v>
      </c>
      <c r="R36" s="334">
        <v>50.07</v>
      </c>
      <c r="S36" s="333">
        <f>R36*_xlfn.XLOOKUP(Summary!$C$26,'Curve Comparison'!$B$3:$B$9,'Curve Comparison'!$D$3:$D$9)</f>
        <v>38.515384615384612</v>
      </c>
      <c r="T36" s="334">
        <v>32.590000000000003</v>
      </c>
      <c r="U36" s="334" t="s">
        <v>497</v>
      </c>
      <c r="V36" s="334" t="s">
        <v>498</v>
      </c>
      <c r="W36" s="340">
        <f t="shared" si="7"/>
        <v>0.59640000000000004</v>
      </c>
      <c r="X36" s="347">
        <f t="shared" si="3"/>
        <v>1.5165899240709464</v>
      </c>
      <c r="Y36" s="340">
        <f t="shared" si="4"/>
        <v>0.32759245868459891</v>
      </c>
      <c r="Z36" s="341">
        <f t="shared" si="5"/>
        <v>2.0134133461136368</v>
      </c>
      <c r="AB36" s="256">
        <f t="shared" si="6"/>
        <v>1.3630671448870924</v>
      </c>
    </row>
    <row r="37" spans="2:28">
      <c r="B37" s="252">
        <v>32</v>
      </c>
      <c r="C37" s="334" t="s">
        <v>499</v>
      </c>
      <c r="D37" s="334" t="s">
        <v>500</v>
      </c>
      <c r="E37" s="334">
        <v>33.43</v>
      </c>
      <c r="F37" s="333">
        <f>E37*_xlfn.XLOOKUP(Summary!$C$26,'Curve Comparison'!$B$3:$B$9,'Curve Comparison'!$D$3:$D$9)</f>
        <v>25.715384615384615</v>
      </c>
      <c r="G37" s="266">
        <v>23.06</v>
      </c>
      <c r="H37" s="334" t="s">
        <v>501</v>
      </c>
      <c r="I37" s="334" t="s">
        <v>502</v>
      </c>
      <c r="J37" s="340">
        <v>0.68230000000000002</v>
      </c>
      <c r="K37" s="346">
        <f t="shared" si="0"/>
        <v>0.56081870429225777</v>
      </c>
      <c r="L37" s="346">
        <f t="shared" si="1"/>
        <v>0.35275899277579953</v>
      </c>
      <c r="M37" s="345">
        <f t="shared" si="2"/>
        <v>0.75865254554822359</v>
      </c>
      <c r="O37" s="252">
        <v>32</v>
      </c>
      <c r="P37" s="334" t="s">
        <v>499</v>
      </c>
      <c r="Q37" s="334" t="s">
        <v>503</v>
      </c>
      <c r="R37" s="334">
        <v>51.4</v>
      </c>
      <c r="S37" s="333">
        <f>R37*_xlfn.XLOOKUP(Summary!$C$26,'Curve Comparison'!$B$3:$B$9,'Curve Comparison'!$D$3:$D$9)</f>
        <v>39.538461538461533</v>
      </c>
      <c r="T37" s="334">
        <v>33.33</v>
      </c>
      <c r="U37" s="334" t="s">
        <v>504</v>
      </c>
      <c r="V37" s="334" t="s">
        <v>505</v>
      </c>
      <c r="W37" s="340">
        <f t="shared" si="7"/>
        <v>0.59640000000000004</v>
      </c>
      <c r="X37" s="347">
        <f t="shared" si="3"/>
        <v>1.6315847840097266</v>
      </c>
      <c r="Y37" s="340">
        <f t="shared" si="4"/>
        <v>0.32581594136048875</v>
      </c>
      <c r="Z37" s="341">
        <f t="shared" si="5"/>
        <v>2.1631811163213053</v>
      </c>
      <c r="AB37" s="256">
        <f t="shared" si="6"/>
        <v>1.4609168309347644</v>
      </c>
    </row>
    <row r="38" spans="2:28">
      <c r="B38" s="252">
        <v>33</v>
      </c>
      <c r="C38" s="334" t="s">
        <v>506</v>
      </c>
      <c r="D38" s="334" t="s">
        <v>507</v>
      </c>
      <c r="E38" s="334">
        <v>34.19</v>
      </c>
      <c r="F38" s="333">
        <f>E38*_xlfn.XLOOKUP(Summary!$C$26,'Curve Comparison'!$B$3:$B$9,'Curve Comparison'!$D$3:$D$9)</f>
        <v>26.299999999999997</v>
      </c>
      <c r="G38" s="266">
        <v>23.51</v>
      </c>
      <c r="H38" s="334" t="s">
        <v>508</v>
      </c>
      <c r="I38" s="334" t="s">
        <v>509</v>
      </c>
      <c r="J38" s="340">
        <v>0.68230000000000002</v>
      </c>
      <c r="K38" s="346">
        <f t="shared" si="0"/>
        <v>0.59713319379284846</v>
      </c>
      <c r="L38" s="346">
        <f t="shared" si="1"/>
        <v>0.35111613627850907</v>
      </c>
      <c r="M38" s="345">
        <f t="shared" si="2"/>
        <v>0.80679629364103966</v>
      </c>
      <c r="O38" s="252">
        <v>33</v>
      </c>
      <c r="P38" s="334" t="s">
        <v>506</v>
      </c>
      <c r="Q38" s="334" t="s">
        <v>510</v>
      </c>
      <c r="R38" s="334">
        <v>52.75</v>
      </c>
      <c r="S38" s="333">
        <f>R38*_xlfn.XLOOKUP(Summary!$C$26,'Curve Comparison'!$B$3:$B$9,'Curve Comparison'!$D$3:$D$9)</f>
        <v>40.576923076923073</v>
      </c>
      <c r="T38" s="334">
        <v>34.090000000000003</v>
      </c>
      <c r="U38" s="334" t="s">
        <v>511</v>
      </c>
      <c r="V38" s="334" t="s">
        <v>512</v>
      </c>
      <c r="W38" s="340">
        <f t="shared" si="7"/>
        <v>0.59640000000000004</v>
      </c>
      <c r="X38" s="347">
        <f t="shared" si="3"/>
        <v>1.7544644589988019</v>
      </c>
      <c r="Y38" s="340">
        <f t="shared" si="4"/>
        <v>0.32406052463279333</v>
      </c>
      <c r="Z38" s="341">
        <f t="shared" si="5"/>
        <v>2.3230171320315436</v>
      </c>
      <c r="AB38" s="256">
        <f t="shared" si="6"/>
        <v>1.5649067128362917</v>
      </c>
    </row>
    <row r="39" spans="2:28">
      <c r="B39" s="252">
        <v>34</v>
      </c>
      <c r="C39" s="334" t="s">
        <v>513</v>
      </c>
      <c r="D39" s="334" t="s">
        <v>514</v>
      </c>
      <c r="E39" s="334">
        <v>34.93</v>
      </c>
      <c r="F39" s="333">
        <f>E39*_xlfn.XLOOKUP(Summary!$C$26,'Curve Comparison'!$B$3:$B$9,'Curve Comparison'!$D$3:$D$9)</f>
        <v>26.869230769230768</v>
      </c>
      <c r="G39" s="266">
        <v>23.96</v>
      </c>
      <c r="H39" s="334" t="s">
        <v>515</v>
      </c>
      <c r="I39" s="334" t="s">
        <v>516</v>
      </c>
      <c r="J39" s="340">
        <v>0.68230000000000002</v>
      </c>
      <c r="K39" s="346">
        <f t="shared" si="0"/>
        <v>0.63424984862687228</v>
      </c>
      <c r="L39" s="346">
        <f t="shared" si="1"/>
        <v>0.3495443731887049</v>
      </c>
      <c r="M39" s="345">
        <f t="shared" si="2"/>
        <v>0.85594831441018338</v>
      </c>
      <c r="O39" s="252">
        <v>34</v>
      </c>
      <c r="P39" s="334" t="s">
        <v>513</v>
      </c>
      <c r="Q39" s="334" t="s">
        <v>517</v>
      </c>
      <c r="R39" s="334">
        <v>54.09</v>
      </c>
      <c r="S39" s="333">
        <f>R39*_xlfn.XLOOKUP(Summary!$C$26,'Curve Comparison'!$B$3:$B$9,'Curve Comparison'!$D$3:$D$9)</f>
        <v>41.607692307692304</v>
      </c>
      <c r="T39" s="334">
        <v>34.869999999999997</v>
      </c>
      <c r="U39" s="334" t="s">
        <v>518</v>
      </c>
      <c r="V39" s="334" t="s">
        <v>519</v>
      </c>
      <c r="W39" s="340">
        <f t="shared" si="7"/>
        <v>0.59640000000000004</v>
      </c>
      <c r="X39" s="347">
        <f t="shared" si="3"/>
        <v>1.8836483108694351</v>
      </c>
      <c r="Y39" s="340">
        <f t="shared" si="4"/>
        <v>0.32235209753074734</v>
      </c>
      <c r="Z39" s="341">
        <f t="shared" si="5"/>
        <v>2.4908462948884469</v>
      </c>
      <c r="AB39" s="256">
        <f t="shared" si="6"/>
        <v>1.6733973046493151</v>
      </c>
    </row>
    <row r="40" spans="2:28">
      <c r="B40" s="252">
        <v>35</v>
      </c>
      <c r="C40" s="334" t="s">
        <v>520</v>
      </c>
      <c r="D40" s="334" t="s">
        <v>521</v>
      </c>
      <c r="E40" s="334">
        <v>35.67</v>
      </c>
      <c r="F40" s="333">
        <f>E40*_xlfn.XLOOKUP(Summary!$C$26,'Curve Comparison'!$B$3:$B$9,'Curve Comparison'!$D$3:$D$9)</f>
        <v>27.438461538461539</v>
      </c>
      <c r="G40" s="266">
        <v>24.4</v>
      </c>
      <c r="H40" s="334" t="s">
        <v>522</v>
      </c>
      <c r="I40" s="334" t="s">
        <v>523</v>
      </c>
      <c r="J40" s="340">
        <v>0.68230000000000002</v>
      </c>
      <c r="K40" s="346">
        <f t="shared" si="0"/>
        <v>0.67258277823070123</v>
      </c>
      <c r="L40" s="346">
        <f t="shared" si="1"/>
        <v>0.34802160364574314</v>
      </c>
      <c r="M40" s="345">
        <f t="shared" si="2"/>
        <v>0.90665611529505907</v>
      </c>
      <c r="O40" s="252">
        <v>35</v>
      </c>
      <c r="P40" s="334" t="s">
        <v>520</v>
      </c>
      <c r="Q40" s="334" t="s">
        <v>524</v>
      </c>
      <c r="R40" s="334">
        <v>55.39</v>
      </c>
      <c r="S40" s="333">
        <f>R40*_xlfn.XLOOKUP(Summary!$C$26,'Curve Comparison'!$B$3:$B$9,'Curve Comparison'!$D$3:$D$9)</f>
        <v>42.607692307692304</v>
      </c>
      <c r="T40" s="334">
        <v>35.590000000000003</v>
      </c>
      <c r="U40" s="334" t="s">
        <v>525</v>
      </c>
      <c r="V40" s="334" t="s">
        <v>526</v>
      </c>
      <c r="W40" s="340">
        <f>+W39</f>
        <v>0.59640000000000004</v>
      </c>
      <c r="X40" s="347">
        <f t="shared" si="3"/>
        <v>2.0127809487408248</v>
      </c>
      <c r="Y40" s="340">
        <f t="shared" si="4"/>
        <v>0.32076577702135839</v>
      </c>
      <c r="Z40" s="341">
        <f t="shared" si="5"/>
        <v>2.6584121937374623</v>
      </c>
      <c r="AB40" s="256">
        <f t="shared" si="6"/>
        <v>1.7825341545162607</v>
      </c>
    </row>
    <row r="41" spans="2:28">
      <c r="B41" s="252">
        <v>36</v>
      </c>
      <c r="C41" s="334" t="s">
        <v>527</v>
      </c>
      <c r="D41" s="334" t="s">
        <v>528</v>
      </c>
      <c r="E41" s="334">
        <v>36.409999999999997</v>
      </c>
      <c r="F41" s="333">
        <f>E41*_xlfn.XLOOKUP(Summary!$C$26,'Curve Comparison'!$B$3:$B$9,'Curve Comparison'!$D$3:$D$9)</f>
        <v>28.007692307692302</v>
      </c>
      <c r="G41" s="266">
        <v>24.84</v>
      </c>
      <c r="H41" s="334" t="s">
        <v>529</v>
      </c>
      <c r="I41" s="334" t="s">
        <v>530</v>
      </c>
      <c r="J41" s="340">
        <v>0.68230000000000002</v>
      </c>
      <c r="K41" s="346">
        <f t="shared" si="0"/>
        <v>0.71240723515760296</v>
      </c>
      <c r="L41" s="346">
        <f t="shared" si="1"/>
        <v>0.34653531530482601</v>
      </c>
      <c r="M41" s="345">
        <f t="shared" si="2"/>
        <v>0.95928150101838228</v>
      </c>
      <c r="O41" s="252">
        <v>36</v>
      </c>
      <c r="P41" s="334" t="s">
        <v>527</v>
      </c>
      <c r="Q41" s="334" t="s">
        <v>531</v>
      </c>
      <c r="R41" s="334">
        <v>56.71</v>
      </c>
      <c r="S41" s="333">
        <f>R41*_xlfn.XLOOKUP(Summary!$C$26,'Curve Comparison'!$B$3:$B$9,'Curve Comparison'!$D$3:$D$9)</f>
        <v>43.623076923076923</v>
      </c>
      <c r="T41" s="334">
        <v>36.21</v>
      </c>
      <c r="U41" s="334" t="s">
        <v>532</v>
      </c>
      <c r="V41" s="334" t="s">
        <v>533</v>
      </c>
      <c r="W41" s="340">
        <f t="shared" si="7"/>
        <v>0.59640000000000004</v>
      </c>
      <c r="X41" s="347">
        <f t="shared" si="3"/>
        <v>2.1432984199192631</v>
      </c>
      <c r="Y41" s="340">
        <f t="shared" si="4"/>
        <v>0.31926987221816183</v>
      </c>
      <c r="Z41" s="341">
        <f t="shared" si="5"/>
        <v>2.8275890325722748</v>
      </c>
      <c r="AB41" s="256">
        <f t="shared" si="6"/>
        <v>1.8934352667953285</v>
      </c>
    </row>
    <row r="42" spans="2:28">
      <c r="B42" s="252">
        <v>37</v>
      </c>
      <c r="C42" s="334" t="s">
        <v>534</v>
      </c>
      <c r="D42" s="334" t="s">
        <v>535</v>
      </c>
      <c r="E42" s="334">
        <v>37.15</v>
      </c>
      <c r="F42" s="333">
        <f>E42*_xlfn.XLOOKUP(Summary!$C$26,'Curve Comparison'!$B$3:$B$9,'Curve Comparison'!$D$3:$D$9)</f>
        <v>28.576923076923073</v>
      </c>
      <c r="G42" s="266">
        <v>25.27</v>
      </c>
      <c r="H42" s="334" t="s">
        <v>536</v>
      </c>
      <c r="I42" s="334" t="s">
        <v>537</v>
      </c>
      <c r="J42" s="340">
        <v>0.68230000000000002</v>
      </c>
      <c r="K42" s="346">
        <f t="shared" si="0"/>
        <v>0.75345953274369482</v>
      </c>
      <c r="L42" s="346">
        <f t="shared" si="1"/>
        <v>0.34509385675799592</v>
      </c>
      <c r="M42" s="345">
        <f t="shared" si="2"/>
        <v>1.013473788809294</v>
      </c>
      <c r="O42" s="252">
        <v>37</v>
      </c>
      <c r="P42" s="334" t="s">
        <v>534</v>
      </c>
      <c r="Q42" s="334" t="s">
        <v>538</v>
      </c>
      <c r="R42" s="334">
        <v>58.04</v>
      </c>
      <c r="S42" s="333">
        <f>R42*_xlfn.XLOOKUP(Summary!$C$26,'Curve Comparison'!$B$3:$B$9,'Curve Comparison'!$D$3:$D$9)</f>
        <v>44.646153846153844</v>
      </c>
      <c r="T42" s="334">
        <v>36.86</v>
      </c>
      <c r="U42" s="334" t="s">
        <v>539</v>
      </c>
      <c r="V42" s="334" t="s">
        <v>540</v>
      </c>
      <c r="W42" s="340">
        <f t="shared" si="7"/>
        <v>0.59640000000000004</v>
      </c>
      <c r="X42" s="347">
        <f t="shared" si="3"/>
        <v>2.2817931243889671</v>
      </c>
      <c r="Y42" s="340">
        <f t="shared" si="4"/>
        <v>0.31778597974854933</v>
      </c>
      <c r="Z42" s="341">
        <f t="shared" si="5"/>
        <v>3.0069149880064185</v>
      </c>
      <c r="AB42" s="256">
        <f t="shared" si="6"/>
        <v>2.0101943884078564</v>
      </c>
    </row>
    <row r="43" spans="2:28">
      <c r="B43" s="252">
        <v>38</v>
      </c>
      <c r="C43" s="334" t="s">
        <v>541</v>
      </c>
      <c r="D43" s="334" t="s">
        <v>542</v>
      </c>
      <c r="E43" s="334">
        <v>37.909999999999997</v>
      </c>
      <c r="F43" s="333">
        <f>E43*_xlfn.XLOOKUP(Summary!$C$26,'Curve Comparison'!$B$3:$B$9,'Curve Comparison'!$D$3:$D$9)</f>
        <v>29.161538461538456</v>
      </c>
      <c r="G43" s="266">
        <v>25.7</v>
      </c>
      <c r="H43" s="334" t="s">
        <v>543</v>
      </c>
      <c r="I43" s="334" t="s">
        <v>544</v>
      </c>
      <c r="J43" s="340">
        <v>0.68230000000000002</v>
      </c>
      <c r="K43" s="346">
        <f t="shared" si="0"/>
        <v>0.79685576406730507</v>
      </c>
      <c r="L43" s="346">
        <f t="shared" si="1"/>
        <v>0.34365909025403346</v>
      </c>
      <c r="M43" s="345">
        <f t="shared" si="2"/>
        <v>1.070702491010358</v>
      </c>
      <c r="O43" s="252">
        <v>38</v>
      </c>
      <c r="P43" s="334" t="s">
        <v>541</v>
      </c>
      <c r="Q43" s="334" t="s">
        <v>545</v>
      </c>
      <c r="R43" s="334">
        <v>59.41</v>
      </c>
      <c r="S43" s="333">
        <f>R43*_xlfn.XLOOKUP(Summary!$C$26,'Curve Comparison'!$B$3:$B$9,'Curve Comparison'!$D$3:$D$9)</f>
        <v>45.699999999999996</v>
      </c>
      <c r="T43" s="334">
        <v>37.07</v>
      </c>
      <c r="U43" s="334" t="s">
        <v>546</v>
      </c>
      <c r="V43" s="334" t="s">
        <v>547</v>
      </c>
      <c r="W43" s="340">
        <f t="shared" si="7"/>
        <v>0.59640000000000004</v>
      </c>
      <c r="X43" s="347">
        <f t="shared" si="3"/>
        <v>2.4013875918503742</v>
      </c>
      <c r="Y43" s="340">
        <f t="shared" si="4"/>
        <v>0.3165804519968507</v>
      </c>
      <c r="Z43" s="341">
        <f t="shared" si="5"/>
        <v>3.1616199610979945</v>
      </c>
      <c r="AB43" s="256">
        <f t="shared" si="6"/>
        <v>2.1161612260541762</v>
      </c>
    </row>
    <row r="44" spans="2:28">
      <c r="B44" s="252">
        <v>39</v>
      </c>
      <c r="C44" s="334" t="s">
        <v>548</v>
      </c>
      <c r="D44" s="334" t="s">
        <v>549</v>
      </c>
      <c r="E44" s="334">
        <v>38.67</v>
      </c>
      <c r="F44" s="333">
        <f>E44*_xlfn.XLOOKUP(Summary!$C$26,'Curve Comparison'!$B$3:$B$9,'Curve Comparison'!$D$3:$D$9)</f>
        <v>29.746153846153845</v>
      </c>
      <c r="G44" s="266">
        <v>26.14</v>
      </c>
      <c r="H44" s="334" t="s">
        <v>550</v>
      </c>
      <c r="I44" s="334" t="s">
        <v>551</v>
      </c>
      <c r="J44" s="340">
        <v>0.68230000000000002</v>
      </c>
      <c r="K44" s="346">
        <f t="shared" si="0"/>
        <v>0.84217478823718561</v>
      </c>
      <c r="L44" s="346">
        <f t="shared" si="1"/>
        <v>0.3422477177619882</v>
      </c>
      <c r="M44" s="345">
        <f t="shared" si="2"/>
        <v>1.1304071874680481</v>
      </c>
      <c r="O44" s="252">
        <v>39</v>
      </c>
      <c r="P44" s="334" t="s">
        <v>548</v>
      </c>
      <c r="Q44" s="334" t="s">
        <v>552</v>
      </c>
      <c r="R44" s="334">
        <v>60.79</v>
      </c>
      <c r="S44" s="333">
        <f>R44*_xlfn.XLOOKUP(Summary!$C$26,'Curve Comparison'!$B$3:$B$9,'Curve Comparison'!$D$3:$D$9)</f>
        <v>46.761538461538457</v>
      </c>
      <c r="T44" s="334">
        <v>37.74</v>
      </c>
      <c r="U44" s="334" t="s">
        <v>553</v>
      </c>
      <c r="V44" s="334" t="s">
        <v>554</v>
      </c>
      <c r="W44" s="340">
        <f t="shared" si="7"/>
        <v>0.59640000000000004</v>
      </c>
      <c r="X44" s="347">
        <f t="shared" si="3"/>
        <v>2.5557676358197647</v>
      </c>
      <c r="Y44" s="340">
        <f t="shared" si="4"/>
        <v>0.31511632104665172</v>
      </c>
      <c r="Z44" s="341">
        <f t="shared" si="5"/>
        <v>3.3611317306693875</v>
      </c>
      <c r="AB44" s="256">
        <f t="shared" si="6"/>
        <v>2.2457694590687178</v>
      </c>
    </row>
    <row r="45" spans="2:28" ht="18.75" thickBot="1">
      <c r="B45" s="259">
        <v>40</v>
      </c>
      <c r="C45" s="335" t="s">
        <v>555</v>
      </c>
      <c r="D45" s="335" t="s">
        <v>556</v>
      </c>
      <c r="E45" s="335">
        <v>39.450000000000003</v>
      </c>
      <c r="F45" s="333">
        <f>E45*_xlfn.XLOOKUP(Summary!$C$26,'Curve Comparison'!$B$3:$B$9,'Curve Comparison'!$D$3:$D$9)</f>
        <v>30.346153846153847</v>
      </c>
      <c r="G45" s="346">
        <v>26.59</v>
      </c>
      <c r="H45" s="346" t="s">
        <v>557</v>
      </c>
      <c r="I45" s="346" t="s">
        <v>558</v>
      </c>
      <c r="J45" s="346">
        <v>0.68230000000000002</v>
      </c>
      <c r="K45" s="346">
        <f t="shared" si="0"/>
        <v>0.89036167711150704</v>
      </c>
      <c r="L45" s="346">
        <f t="shared" si="1"/>
        <v>0.34083386749573014</v>
      </c>
      <c r="M45" s="345">
        <f t="shared" si="2"/>
        <v>1.1938270909914064</v>
      </c>
      <c r="N45" s="260"/>
      <c r="O45" s="259">
        <v>40</v>
      </c>
      <c r="P45" s="335" t="s">
        <v>555</v>
      </c>
      <c r="Q45" s="335" t="s">
        <v>559</v>
      </c>
      <c r="R45" s="335">
        <v>62.19</v>
      </c>
      <c r="S45" s="333">
        <f>R45*_xlfn.XLOOKUP(Summary!$C$26,'Curve Comparison'!$B$3:$B$9,'Curve Comparison'!$D$3:$D$9)</f>
        <v>47.83846153846153</v>
      </c>
      <c r="T45" s="335">
        <v>38.43</v>
      </c>
      <c r="U45" s="335" t="s">
        <v>560</v>
      </c>
      <c r="V45" s="335" t="s">
        <v>561</v>
      </c>
      <c r="W45" s="342">
        <f t="shared" si="7"/>
        <v>0.59640000000000004</v>
      </c>
      <c r="X45" s="347">
        <f t="shared" si="3"/>
        <v>2.7195884884016448</v>
      </c>
      <c r="Y45" s="342">
        <f t="shared" si="4"/>
        <v>0.3136631138076843</v>
      </c>
      <c r="Z45" s="341">
        <f t="shared" si="5"/>
        <v>3.5726230819492377</v>
      </c>
      <c r="AB45" s="256">
        <f t="shared" si="6"/>
        <v>2.3832250864703219</v>
      </c>
    </row>
    <row r="46" spans="2:28">
      <c r="B46" s="258">
        <v>41</v>
      </c>
      <c r="C46" s="336" t="s">
        <v>562</v>
      </c>
      <c r="D46" s="336" t="s">
        <v>563</v>
      </c>
      <c r="E46" s="336">
        <v>40.229999999999997</v>
      </c>
      <c r="F46" s="333">
        <f>E46*_xlfn.XLOOKUP(Summary!$C$26,'Curve Comparison'!$B$3:$B$9,'Curve Comparison'!$D$3:$D$9)</f>
        <v>30.946153846153841</v>
      </c>
      <c r="G46" s="346">
        <v>27.04</v>
      </c>
      <c r="H46" s="346" t="s">
        <v>564</v>
      </c>
      <c r="I46" s="346" t="s">
        <v>565</v>
      </c>
      <c r="J46" s="346">
        <v>0.68230000000000002</v>
      </c>
      <c r="K46" s="346">
        <f t="shared" si="0"/>
        <v>0.94032458989231094</v>
      </c>
      <c r="L46" s="346">
        <f t="shared" si="1"/>
        <v>0.33945219345188105</v>
      </c>
      <c r="M46" s="345">
        <f t="shared" si="2"/>
        <v>1.2595198344879963</v>
      </c>
      <c r="O46" s="258">
        <v>41</v>
      </c>
      <c r="P46" s="336" t="s">
        <v>562</v>
      </c>
      <c r="Q46" s="336" t="s">
        <v>566</v>
      </c>
      <c r="R46" s="336">
        <v>63.61</v>
      </c>
      <c r="S46" s="333">
        <f>R46*_xlfn.XLOOKUP(Summary!$C$26,'Curve Comparison'!$B$3:$B$9,'Curve Comparison'!$D$3:$D$9)</f>
        <v>48.930769230769229</v>
      </c>
      <c r="T46" s="336">
        <v>39.14</v>
      </c>
      <c r="U46" s="336" t="s">
        <v>567</v>
      </c>
      <c r="V46" s="336" t="s">
        <v>568</v>
      </c>
      <c r="W46" s="343">
        <f t="shared" si="7"/>
        <v>0.59640000000000004</v>
      </c>
      <c r="X46" s="347">
        <f t="shared" si="3"/>
        <v>2.8933559539801204</v>
      </c>
      <c r="Y46" s="343">
        <f t="shared" si="4"/>
        <v>0.31222105603154943</v>
      </c>
      <c r="Z46" s="341">
        <f t="shared" si="5"/>
        <v>3.7967226054069649</v>
      </c>
      <c r="AB46" s="256">
        <f t="shared" si="6"/>
        <v>2.5281212199474807</v>
      </c>
    </row>
    <row r="47" spans="2:28">
      <c r="B47" s="252">
        <v>42</v>
      </c>
      <c r="C47" s="334" t="s">
        <v>569</v>
      </c>
      <c r="D47" s="334" t="s">
        <v>570</v>
      </c>
      <c r="E47" s="334">
        <v>41.02</v>
      </c>
      <c r="F47" s="333">
        <f>E47*_xlfn.XLOOKUP(Summary!$C$26,'Curve Comparison'!$B$3:$B$9,'Curve Comparison'!$D$3:$D$9)</f>
        <v>31.553846153846152</v>
      </c>
      <c r="G47" s="266">
        <v>27.5</v>
      </c>
      <c r="H47" s="334" t="s">
        <v>571</v>
      </c>
      <c r="I47" s="334" t="s">
        <v>572</v>
      </c>
      <c r="J47" s="340">
        <v>0.68230000000000002</v>
      </c>
      <c r="K47" s="346">
        <f t="shared" si="0"/>
        <v>0.99291902612561977</v>
      </c>
      <c r="L47" s="346">
        <f t="shared" si="1"/>
        <v>0.33808048130381135</v>
      </c>
      <c r="M47" s="345">
        <f t="shared" si="2"/>
        <v>1.3286055683738811</v>
      </c>
      <c r="O47" s="252">
        <v>42</v>
      </c>
      <c r="P47" s="334" t="s">
        <v>569</v>
      </c>
      <c r="Q47" s="334" t="s">
        <v>573</v>
      </c>
      <c r="R47" s="334">
        <v>65.05</v>
      </c>
      <c r="S47" s="333">
        <f>R47*_xlfn.XLOOKUP(Summary!$C$26,'Curve Comparison'!$B$3:$B$9,'Curve Comparison'!$D$3:$D$9)</f>
        <v>50.038461538461533</v>
      </c>
      <c r="T47" s="334">
        <v>39.869999999999997</v>
      </c>
      <c r="U47" s="334" t="s">
        <v>574</v>
      </c>
      <c r="V47" s="334" t="s">
        <v>575</v>
      </c>
      <c r="W47" s="340">
        <f t="shared" si="7"/>
        <v>0.59640000000000004</v>
      </c>
      <c r="X47" s="347">
        <f t="shared" si="3"/>
        <v>3.0775975631677666</v>
      </c>
      <c r="Y47" s="340">
        <f t="shared" si="4"/>
        <v>0.31079035105533998</v>
      </c>
      <c r="Z47" s="341">
        <f t="shared" si="5"/>
        <v>4.0340851902317354</v>
      </c>
      <c r="AB47" s="256">
        <f t="shared" si="6"/>
        <v>2.6813453793028081</v>
      </c>
    </row>
    <row r="48" spans="2:28">
      <c r="B48" s="252">
        <v>43</v>
      </c>
      <c r="C48" s="334" t="s">
        <v>576</v>
      </c>
      <c r="D48" s="334" t="s">
        <v>577</v>
      </c>
      <c r="E48" s="334">
        <v>41.82</v>
      </c>
      <c r="F48" s="333">
        <f>E48*_xlfn.XLOOKUP(Summary!$C$26,'Curve Comparison'!$B$3:$B$9,'Curve Comparison'!$D$3:$D$9)</f>
        <v>32.169230769230765</v>
      </c>
      <c r="G48" s="266">
        <v>27.94</v>
      </c>
      <c r="H48" s="334" t="s">
        <v>578</v>
      </c>
      <c r="I48" s="334" t="s">
        <v>579</v>
      </c>
      <c r="J48" s="340">
        <v>0.68230000000000002</v>
      </c>
      <c r="K48" s="346">
        <f t="shared" si="0"/>
        <v>1.047167595673641</v>
      </c>
      <c r="L48" s="346">
        <f t="shared" si="1"/>
        <v>0.33674509787664625</v>
      </c>
      <c r="M48" s="345">
        <f t="shared" si="2"/>
        <v>1.3997961501720135</v>
      </c>
      <c r="O48" s="252">
        <v>43</v>
      </c>
      <c r="P48" s="334" t="s">
        <v>576</v>
      </c>
      <c r="Q48" s="334" t="s">
        <v>580</v>
      </c>
      <c r="R48" s="334">
        <v>66.5</v>
      </c>
      <c r="S48" s="333">
        <f>R48*_xlfn.XLOOKUP(Summary!$C$26,'Curve Comparison'!$B$3:$B$9,'Curve Comparison'!$D$3:$D$9)</f>
        <v>51.153846153846146</v>
      </c>
      <c r="T48" s="334">
        <v>40.619999999999997</v>
      </c>
      <c r="U48" s="334" t="s">
        <v>581</v>
      </c>
      <c r="V48" s="334" t="s">
        <v>582</v>
      </c>
      <c r="W48" s="340">
        <f t="shared" si="7"/>
        <v>0.59640000000000004</v>
      </c>
      <c r="X48" s="347">
        <f t="shared" si="3"/>
        <v>3.271902734572282</v>
      </c>
      <c r="Y48" s="340">
        <f t="shared" si="4"/>
        <v>0.30937793653851947</v>
      </c>
      <c r="Z48" s="341">
        <f t="shared" si="5"/>
        <v>4.2841572511489936</v>
      </c>
      <c r="AB48" s="256">
        <f t="shared" si="6"/>
        <v>2.8419767006605037</v>
      </c>
    </row>
    <row r="49" spans="2:28">
      <c r="B49" s="252">
        <v>44</v>
      </c>
      <c r="C49" s="334" t="s">
        <v>583</v>
      </c>
      <c r="D49" s="334" t="s">
        <v>584</v>
      </c>
      <c r="E49" s="334">
        <v>42.59</v>
      </c>
      <c r="F49" s="333">
        <f>E49*_xlfn.XLOOKUP(Summary!$C$26,'Curve Comparison'!$B$3:$B$9,'Curve Comparison'!$D$3:$D$9)</f>
        <v>32.761538461538464</v>
      </c>
      <c r="G49" s="266">
        <v>28.38</v>
      </c>
      <c r="H49" s="334" t="s">
        <v>585</v>
      </c>
      <c r="I49" s="334" t="s">
        <v>586</v>
      </c>
      <c r="J49" s="340">
        <v>0.68230000000000002</v>
      </c>
      <c r="K49" s="346">
        <f t="shared" si="0"/>
        <v>1.1018087323771408</v>
      </c>
      <c r="L49" s="346">
        <f t="shared" si="1"/>
        <v>0.3354731642876726</v>
      </c>
      <c r="M49" s="345">
        <f t="shared" si="2"/>
        <v>1.4714359942674897</v>
      </c>
      <c r="O49" s="252">
        <v>44</v>
      </c>
      <c r="P49" s="334" t="s">
        <v>583</v>
      </c>
      <c r="Q49" s="334" t="s">
        <v>587</v>
      </c>
      <c r="R49" s="334">
        <v>67.97</v>
      </c>
      <c r="S49" s="333">
        <f>R49*_xlfn.XLOOKUP(Summary!$C$26,'Curve Comparison'!$B$3:$B$9,'Curve Comparison'!$D$3:$D$9)</f>
        <v>52.284615384615378</v>
      </c>
      <c r="T49" s="334">
        <v>41.03</v>
      </c>
      <c r="U49" s="334" t="s">
        <v>588</v>
      </c>
      <c r="V49" s="334" t="s">
        <v>589</v>
      </c>
      <c r="W49" s="340">
        <f t="shared" si="7"/>
        <v>0.59640000000000004</v>
      </c>
      <c r="X49" s="347">
        <f t="shared" si="3"/>
        <v>3.4482025089525279</v>
      </c>
      <c r="Y49" s="340">
        <f t="shared" si="4"/>
        <v>0.30817228996463664</v>
      </c>
      <c r="Z49" s="341">
        <f t="shared" si="5"/>
        <v>4.5108429723982342</v>
      </c>
      <c r="AB49" s="256">
        <f t="shared" si="6"/>
        <v>2.9911394833328622</v>
      </c>
    </row>
    <row r="50" spans="2:28">
      <c r="B50" s="252">
        <v>45</v>
      </c>
      <c r="C50" s="334" t="s">
        <v>590</v>
      </c>
      <c r="D50" s="334" t="s">
        <v>591</v>
      </c>
      <c r="E50" s="334">
        <v>43.37</v>
      </c>
      <c r="F50" s="333">
        <f>E50*_xlfn.XLOOKUP(Summary!$C$26,'Curve Comparison'!$B$3:$B$9,'Curve Comparison'!$D$3:$D$9)</f>
        <v>33.361538461538458</v>
      </c>
      <c r="G50" s="266">
        <v>28.78</v>
      </c>
      <c r="H50" s="334" t="s">
        <v>592</v>
      </c>
      <c r="I50" s="334" t="s">
        <v>593</v>
      </c>
      <c r="J50" s="340">
        <v>0.68230000000000002</v>
      </c>
      <c r="K50" s="346">
        <f t="shared" si="0"/>
        <v>1.1572414094663368</v>
      </c>
      <c r="L50" s="346">
        <f t="shared" si="1"/>
        <v>0.33425025256653457</v>
      </c>
      <c r="M50" s="345">
        <f t="shared" si="2"/>
        <v>1.5440496428609123</v>
      </c>
      <c r="O50" s="252">
        <v>45</v>
      </c>
      <c r="P50" s="334" t="s">
        <v>590</v>
      </c>
      <c r="Q50" s="334" t="s">
        <v>594</v>
      </c>
      <c r="R50" s="334">
        <v>69.430000000000007</v>
      </c>
      <c r="S50" s="333">
        <f>R50*_xlfn.XLOOKUP(Summary!$C$26,'Curve Comparison'!$B$3:$B$9,'Curve Comparison'!$D$3:$D$9)</f>
        <v>53.407692307692308</v>
      </c>
      <c r="T50" s="334">
        <v>41.82</v>
      </c>
      <c r="U50" s="334" t="s">
        <v>595</v>
      </c>
      <c r="V50" s="334" t="s">
        <v>596</v>
      </c>
      <c r="W50" s="340">
        <f t="shared" si="7"/>
        <v>0.59640000000000004</v>
      </c>
      <c r="X50" s="347">
        <f t="shared" si="3"/>
        <v>3.6617884496107242</v>
      </c>
      <c r="Y50" s="340">
        <f t="shared" si="4"/>
        <v>0.30679742437325019</v>
      </c>
      <c r="Z50" s="341">
        <f t="shared" si="5"/>
        <v>4.7852157145510121</v>
      </c>
      <c r="AB50" s="256">
        <f t="shared" si="6"/>
        <v>3.1646326787059622</v>
      </c>
    </row>
    <row r="51" spans="2:28">
      <c r="B51" s="252">
        <v>46</v>
      </c>
      <c r="C51" s="334" t="s">
        <v>597</v>
      </c>
      <c r="D51" s="334" t="s">
        <v>598</v>
      </c>
      <c r="E51" s="334">
        <v>44.17</v>
      </c>
      <c r="F51" s="333">
        <f>E51*_xlfn.XLOOKUP(Summary!$C$26,'Curve Comparison'!$B$3:$B$9,'Curve Comparison'!$D$3:$D$9)</f>
        <v>33.976923076923072</v>
      </c>
      <c r="G51" s="266">
        <v>29.19</v>
      </c>
      <c r="H51" s="334" t="s">
        <v>599</v>
      </c>
      <c r="I51" s="334" t="s">
        <v>600</v>
      </c>
      <c r="J51" s="340">
        <v>0.68230000000000002</v>
      </c>
      <c r="K51" s="346">
        <f t="shared" si="0"/>
        <v>1.2159473286438713</v>
      </c>
      <c r="L51" s="346">
        <f t="shared" si="1"/>
        <v>0.33302192645122058</v>
      </c>
      <c r="M51" s="345">
        <f t="shared" si="2"/>
        <v>1.620884450492069</v>
      </c>
      <c r="O51" s="252">
        <v>46</v>
      </c>
      <c r="P51" s="334" t="s">
        <v>597</v>
      </c>
      <c r="Q51" s="334" t="s">
        <v>601</v>
      </c>
      <c r="R51" s="334">
        <v>70.92</v>
      </c>
      <c r="S51" s="333">
        <f>R51*_xlfn.XLOOKUP(Summary!$C$26,'Curve Comparison'!$B$3:$B$9,'Curve Comparison'!$D$3:$D$9)</f>
        <v>54.553846153846152</v>
      </c>
      <c r="T51" s="334">
        <v>42.25</v>
      </c>
      <c r="U51" s="334" t="s">
        <v>602</v>
      </c>
      <c r="V51" s="334" t="s">
        <v>603</v>
      </c>
      <c r="W51" s="340">
        <f t="shared" si="7"/>
        <v>0.59640000000000004</v>
      </c>
      <c r="X51" s="347">
        <f t="shared" si="3"/>
        <v>3.8550480824475239</v>
      </c>
      <c r="Y51" s="340">
        <f t="shared" si="4"/>
        <v>0.30562569922933319</v>
      </c>
      <c r="Z51" s="341">
        <f t="shared" si="5"/>
        <v>5.0332498482082482</v>
      </c>
      <c r="AB51" s="256">
        <f t="shared" si="6"/>
        <v>3.3270671493501585</v>
      </c>
    </row>
    <row r="52" spans="2:28">
      <c r="B52" s="252">
        <v>47</v>
      </c>
      <c r="C52" s="334" t="s">
        <v>604</v>
      </c>
      <c r="D52" s="334" t="s">
        <v>605</v>
      </c>
      <c r="E52" s="334">
        <v>44.97</v>
      </c>
      <c r="F52" s="333">
        <f>E52*_xlfn.XLOOKUP(Summary!$C$26,'Curve Comparison'!$B$3:$B$9,'Curve Comparison'!$D$3:$D$9)</f>
        <v>34.592307692307685</v>
      </c>
      <c r="G52" s="266">
        <v>29.6</v>
      </c>
      <c r="H52" s="334" t="s">
        <v>606</v>
      </c>
      <c r="I52" s="334" t="s">
        <v>607</v>
      </c>
      <c r="J52" s="340">
        <v>0.68230000000000002</v>
      </c>
      <c r="K52" s="346">
        <f t="shared" si="0"/>
        <v>1.2765675171665694</v>
      </c>
      <c r="L52" s="346">
        <f t="shared" si="1"/>
        <v>0.33181867837105533</v>
      </c>
      <c r="M52" s="345">
        <f t="shared" si="2"/>
        <v>1.7001564635641999</v>
      </c>
      <c r="O52" s="252">
        <v>47</v>
      </c>
      <c r="P52" s="334" t="s">
        <v>604</v>
      </c>
      <c r="Q52" s="334" t="s">
        <v>608</v>
      </c>
      <c r="R52" s="334">
        <v>72.42</v>
      </c>
      <c r="S52" s="333">
        <f>R52*_xlfn.XLOOKUP(Summary!$C$26,'Curve Comparison'!$B$3:$B$9,'Curve Comparison'!$D$3:$D$9)</f>
        <v>55.707692307692305</v>
      </c>
      <c r="T52" s="334">
        <v>42.75</v>
      </c>
      <c r="U52" s="334" t="s">
        <v>609</v>
      </c>
      <c r="V52" s="334" t="s">
        <v>610</v>
      </c>
      <c r="W52" s="340">
        <f t="shared" si="7"/>
        <v>0.59640000000000004</v>
      </c>
      <c r="X52" s="347">
        <f t="shared" si="3"/>
        <v>4.0621864787689539</v>
      </c>
      <c r="Y52" s="340">
        <f t="shared" si="4"/>
        <v>0.30443792544285719</v>
      </c>
      <c r="Z52" s="341">
        <f t="shared" si="5"/>
        <v>5.298870103127399</v>
      </c>
      <c r="AB52" s="256">
        <f t="shared" si="6"/>
        <v>3.4995132833457996</v>
      </c>
    </row>
    <row r="53" spans="2:28">
      <c r="B53" s="252">
        <v>48</v>
      </c>
      <c r="C53" s="334" t="s">
        <v>611</v>
      </c>
      <c r="D53" s="334" t="s">
        <v>612</v>
      </c>
      <c r="E53" s="334">
        <v>45.78</v>
      </c>
      <c r="F53" s="333">
        <f>E53*_xlfn.XLOOKUP(Summary!$C$26,'Curve Comparison'!$B$3:$B$9,'Curve Comparison'!$D$3:$D$9)</f>
        <v>35.215384615384615</v>
      </c>
      <c r="G53" s="266">
        <v>30.02</v>
      </c>
      <c r="H53" s="334" t="s">
        <v>613</v>
      </c>
      <c r="I53" s="334" t="s">
        <v>614</v>
      </c>
      <c r="J53" s="340">
        <v>0.68230000000000002</v>
      </c>
      <c r="K53" s="346">
        <f t="shared" si="0"/>
        <v>1.3401381580319958</v>
      </c>
      <c r="L53" s="346">
        <f t="shared" si="1"/>
        <v>0.33062109422506514</v>
      </c>
      <c r="M53" s="345">
        <f t="shared" si="2"/>
        <v>1.7832161022532975</v>
      </c>
      <c r="O53" s="252">
        <v>48</v>
      </c>
      <c r="P53" s="334" t="s">
        <v>611</v>
      </c>
      <c r="Q53" s="334" t="s">
        <v>615</v>
      </c>
      <c r="R53" s="334">
        <v>73.94</v>
      </c>
      <c r="S53" s="333">
        <f>R53*_xlfn.XLOOKUP(Summary!$C$26,'Curve Comparison'!$B$3:$B$9,'Curve Comparison'!$D$3:$D$9)</f>
        <v>56.87692307692307</v>
      </c>
      <c r="T53" s="334">
        <v>43.32</v>
      </c>
      <c r="U53" s="334" t="s">
        <v>616</v>
      </c>
      <c r="V53" s="334" t="s">
        <v>617</v>
      </c>
      <c r="W53" s="340">
        <f t="shared" si="7"/>
        <v>0.59640000000000004</v>
      </c>
      <c r="X53" s="347">
        <f t="shared" si="3"/>
        <v>4.285317222839681</v>
      </c>
      <c r="Y53" s="340">
        <f t="shared" si="4"/>
        <v>0.30322915360816061</v>
      </c>
      <c r="Z53" s="341">
        <f t="shared" si="5"/>
        <v>5.5847503372638307</v>
      </c>
      <c r="AB53" s="256">
        <f t="shared" si="6"/>
        <v>3.6839832197585642</v>
      </c>
    </row>
    <row r="54" spans="2:28">
      <c r="B54" s="252">
        <v>49</v>
      </c>
      <c r="C54" s="334" t="s">
        <v>618</v>
      </c>
      <c r="D54" s="334" t="s">
        <v>619</v>
      </c>
      <c r="E54" s="334">
        <v>46.6</v>
      </c>
      <c r="F54" s="333">
        <f>E54*_xlfn.XLOOKUP(Summary!$C$26,'Curve Comparison'!$B$3:$B$9,'Curve Comparison'!$D$3:$D$9)</f>
        <v>35.846153846153847</v>
      </c>
      <c r="G54" s="266">
        <v>30.45</v>
      </c>
      <c r="H54" s="334" t="s">
        <v>620</v>
      </c>
      <c r="I54" s="334" t="s">
        <v>621</v>
      </c>
      <c r="J54" s="340">
        <v>0.68230000000000002</v>
      </c>
      <c r="K54" s="346">
        <f t="shared" si="0"/>
        <v>1.4067862476072863</v>
      </c>
      <c r="L54" s="346">
        <f t="shared" si="1"/>
        <v>0.32942936979060378</v>
      </c>
      <c r="M54" s="345">
        <f t="shared" si="2"/>
        <v>1.8702229545866427</v>
      </c>
      <c r="O54" s="252">
        <v>49</v>
      </c>
      <c r="P54" s="334" t="s">
        <v>618</v>
      </c>
      <c r="Q54" s="334" t="s">
        <v>622</v>
      </c>
      <c r="R54" s="334">
        <v>75.48</v>
      </c>
      <c r="S54" s="333">
        <f>R54*_xlfn.XLOOKUP(Summary!$C$26,'Curve Comparison'!$B$3:$B$9,'Curve Comparison'!$D$3:$D$9)</f>
        <v>58.061538461538461</v>
      </c>
      <c r="T54" s="334">
        <v>43.76</v>
      </c>
      <c r="U54" s="334" t="s">
        <v>623</v>
      </c>
      <c r="V54" s="334" t="s">
        <v>624</v>
      </c>
      <c r="W54" s="340">
        <f t="shared" si="7"/>
        <v>0.59640000000000004</v>
      </c>
      <c r="X54" s="347">
        <f t="shared" si="3"/>
        <v>4.5054863893701711</v>
      </c>
      <c r="Y54" s="340">
        <f t="shared" si="4"/>
        <v>0.30210096044264234</v>
      </c>
      <c r="Z54" s="341">
        <f t="shared" si="5"/>
        <v>5.8665981548601529</v>
      </c>
      <c r="AB54" s="256">
        <f t="shared" si="6"/>
        <v>3.8684105547233978</v>
      </c>
    </row>
    <row r="55" spans="2:28">
      <c r="B55" s="252">
        <v>50</v>
      </c>
      <c r="C55" s="334" t="s">
        <v>625</v>
      </c>
      <c r="D55" s="334" t="s">
        <v>626</v>
      </c>
      <c r="E55" s="334">
        <v>47.43</v>
      </c>
      <c r="F55" s="333">
        <f>E55*_xlfn.XLOOKUP(Summary!$C$26,'Curve Comparison'!$B$3:$B$9,'Curve Comparison'!$D$3:$D$9)</f>
        <v>36.484615384615381</v>
      </c>
      <c r="G55" s="266">
        <v>30.88</v>
      </c>
      <c r="H55" s="334" t="s">
        <v>627</v>
      </c>
      <c r="I55" s="334" t="s">
        <v>628</v>
      </c>
      <c r="J55" s="340">
        <v>0.68230000000000002</v>
      </c>
      <c r="K55" s="346">
        <f t="shared" si="0"/>
        <v>1.4761766753271144</v>
      </c>
      <c r="L55" s="346">
        <f t="shared" si="1"/>
        <v>0.32825140580549722</v>
      </c>
      <c r="M55" s="345">
        <f t="shared" si="2"/>
        <v>1.9607337442205248</v>
      </c>
      <c r="O55" s="252">
        <v>50</v>
      </c>
      <c r="P55" s="334" t="s">
        <v>625</v>
      </c>
      <c r="Q55" s="334" t="s">
        <v>629</v>
      </c>
      <c r="R55" s="334">
        <v>77.03</v>
      </c>
      <c r="S55" s="333">
        <f>R55*_xlfn.XLOOKUP(Summary!$C$26,'Curve Comparison'!$B$3:$B$9,'Curve Comparison'!$D$3:$D$9)</f>
        <v>59.253846153846148</v>
      </c>
      <c r="T55" s="334">
        <v>44.44</v>
      </c>
      <c r="U55" s="334" t="s">
        <v>630</v>
      </c>
      <c r="V55" s="334" t="s">
        <v>631</v>
      </c>
      <c r="W55" s="340">
        <f t="shared" si="7"/>
        <v>0.59640000000000004</v>
      </c>
      <c r="X55" s="347">
        <f t="shared" si="3"/>
        <v>4.7589371119565449</v>
      </c>
      <c r="Y55" s="340">
        <f t="shared" si="4"/>
        <v>0.30087336668186321</v>
      </c>
      <c r="Z55" s="341">
        <f t="shared" si="5"/>
        <v>6.1907745426581737</v>
      </c>
      <c r="AB55" s="256">
        <f t="shared" si="6"/>
        <v>4.0757541434393492</v>
      </c>
    </row>
  </sheetData>
  <mergeCells count="6">
    <mergeCell ref="B3:I3"/>
    <mergeCell ref="B2:M2"/>
    <mergeCell ref="O3:V3"/>
    <mergeCell ref="O2:Z2"/>
    <mergeCell ref="J3:M3"/>
    <mergeCell ref="W3:Z3"/>
  </mergeCells>
  <dataValidations count="1">
    <dataValidation type="custom" allowBlank="1" showDropDown="1" sqref="B5:B55 O5:O55" xr:uid="{FEC007C8-23DF-4D85-BA42-09C938D85008}">
      <formula1>AND(ISNUMBER(B5),(NOT(OR(NOT(ISERROR(DATEVALUE(B5))), AND(ISNUMBER(B5), LEFT(CELL("format", B5))="D")))))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4DC89-3A8B-304B-8E22-C1576C3D282B}">
  <dimension ref="B1:M54"/>
  <sheetViews>
    <sheetView workbookViewId="0">
      <selection activeCell="E1" sqref="E1:E1048576"/>
    </sheetView>
  </sheetViews>
  <sheetFormatPr defaultColWidth="11.5546875" defaultRowHeight="19.5"/>
  <cols>
    <col min="1" max="1" width="3.6640625" style="350" customWidth="1"/>
    <col min="2" max="2" width="6.44140625" style="400" customWidth="1"/>
    <col min="3" max="3" width="4.33203125" style="348" bestFit="1" customWidth="1"/>
    <col min="4" max="4" width="11.44140625" style="348" bestFit="1" customWidth="1"/>
    <col min="5" max="5" width="0" style="348" hidden="1" customWidth="1"/>
    <col min="6" max="6" width="11.5546875" style="348" customWidth="1"/>
    <col min="7" max="7" width="11.44140625" style="348" bestFit="1" customWidth="1"/>
    <col min="8" max="8" width="8.33203125" style="348" hidden="1" customWidth="1"/>
    <col min="9" max="9" width="0" style="348" hidden="1" customWidth="1"/>
    <col min="10" max="12" width="11.5546875" style="349"/>
    <col min="13" max="13" width="14.6640625" style="349" customWidth="1"/>
    <col min="14" max="16384" width="11.5546875" style="350"/>
  </cols>
  <sheetData>
    <row r="1" spans="2:13" ht="9" customHeight="1">
      <c r="B1" s="348"/>
    </row>
    <row r="2" spans="2:13" ht="20.25" thickBot="1">
      <c r="B2" s="491" t="s">
        <v>265</v>
      </c>
      <c r="C2" s="491"/>
      <c r="D2" s="491"/>
      <c r="E2" s="491"/>
      <c r="F2" s="491"/>
      <c r="G2" s="491"/>
      <c r="H2" s="491"/>
      <c r="I2" s="491"/>
      <c r="J2" s="492" t="s">
        <v>266</v>
      </c>
      <c r="K2" s="492"/>
      <c r="L2" s="492"/>
      <c r="M2" s="492"/>
    </row>
    <row r="3" spans="2:13" s="357" customFormat="1" ht="90.75" thickBot="1">
      <c r="B3" s="351" t="s">
        <v>267</v>
      </c>
      <c r="C3" s="351" t="s">
        <v>18</v>
      </c>
      <c r="D3" s="351" t="s">
        <v>268</v>
      </c>
      <c r="E3" s="351" t="s">
        <v>269</v>
      </c>
      <c r="F3" s="352" t="s">
        <v>270</v>
      </c>
      <c r="G3" s="351" t="s">
        <v>271</v>
      </c>
      <c r="H3" s="351" t="s">
        <v>272</v>
      </c>
      <c r="I3" s="352" t="s">
        <v>273</v>
      </c>
      <c r="J3" s="353" t="s">
        <v>274</v>
      </c>
      <c r="K3" s="354" t="s">
        <v>275</v>
      </c>
      <c r="L3" s="355" t="s">
        <v>276</v>
      </c>
      <c r="M3" s="356" t="s">
        <v>277</v>
      </c>
    </row>
    <row r="4" spans="2:13">
      <c r="B4" s="358">
        <v>0</v>
      </c>
      <c r="C4" s="359" t="s">
        <v>281</v>
      </c>
      <c r="D4" s="359" t="s">
        <v>632</v>
      </c>
      <c r="E4" s="360">
        <v>3.49</v>
      </c>
      <c r="F4" s="361">
        <f>E4*_xlfn.XLOOKUP(Summary!$C$26,'Curve Comparison'!$B$3:$B$9,'Curve Comparison'!$D$3:$D$9)</f>
        <v>2.6846153846153844</v>
      </c>
      <c r="G4" s="360">
        <v>4.3</v>
      </c>
      <c r="H4" s="360" t="s">
        <v>633</v>
      </c>
      <c r="I4" s="362" t="s">
        <v>634</v>
      </c>
      <c r="J4" s="363">
        <v>0.61499999999999999</v>
      </c>
      <c r="K4" s="364">
        <f>(0.0673*(J4*(F4^2)*G4)^0.976)/1000</f>
        <v>1.19508886396071E-3</v>
      </c>
      <c r="L4" s="364">
        <f t="shared" ref="L4:L10" si="0">+EXP(-1.085+0.9256*LN(K4))/K4</f>
        <v>0.55748336433624179</v>
      </c>
      <c r="M4" s="365">
        <f>+K4*(1+L4)</f>
        <v>1.8613310245223038E-3</v>
      </c>
    </row>
    <row r="5" spans="2:13">
      <c r="B5" s="366">
        <v>1</v>
      </c>
      <c r="C5" s="367" t="s">
        <v>287</v>
      </c>
      <c r="D5" s="367" t="s">
        <v>632</v>
      </c>
      <c r="E5" s="368">
        <v>6.97</v>
      </c>
      <c r="F5" s="361">
        <f>+E5*_xlfn.XLOOKUP(Summary!$C$26,'Curve Comparison'!$B$3:$B$9,'Curve Comparison'!$D$3:$D$9)</f>
        <v>5.3615384615384611</v>
      </c>
      <c r="G5" s="368">
        <v>6.8</v>
      </c>
      <c r="H5" s="368" t="s">
        <v>635</v>
      </c>
      <c r="I5" s="369" t="s">
        <v>636</v>
      </c>
      <c r="J5" s="370">
        <v>0.61499999999999999</v>
      </c>
      <c r="K5" s="364">
        <f t="shared" ref="K5:K54" si="1">(0.0673*(J5*(F5^2)*G5)^0.976)/1000</f>
        <v>7.2120517637749163E-3</v>
      </c>
      <c r="L5" s="364">
        <f t="shared" si="0"/>
        <v>0.48769792723288058</v>
      </c>
      <c r="M5" s="365">
        <f>+K5*(1+L5)</f>
        <v>1.0729354460064183E-2</v>
      </c>
    </row>
    <row r="6" spans="2:13">
      <c r="B6" s="366">
        <v>2</v>
      </c>
      <c r="C6" s="367" t="s">
        <v>292</v>
      </c>
      <c r="D6" s="367" t="s">
        <v>632</v>
      </c>
      <c r="E6" s="368">
        <v>9.75</v>
      </c>
      <c r="F6" s="361">
        <f>+E6*_xlfn.XLOOKUP(Summary!$C$26,'Curve Comparison'!$B$3:$B$9,'Curve Comparison'!$D$3:$D$9)</f>
        <v>7.4999999999999991</v>
      </c>
      <c r="G6" s="368">
        <v>8.36</v>
      </c>
      <c r="H6" s="368" t="s">
        <v>637</v>
      </c>
      <c r="I6" s="369" t="s">
        <v>638</v>
      </c>
      <c r="J6" s="370">
        <v>0.61499999999999999</v>
      </c>
      <c r="K6" s="364">
        <f t="shared" si="1"/>
        <v>1.6988306589532917E-2</v>
      </c>
      <c r="L6" s="364">
        <f t="shared" si="0"/>
        <v>0.45758030181966319</v>
      </c>
      <c r="M6" s="365">
        <f t="shared" ref="M6:M16" si="2">+K6*(1+L6)</f>
        <v>2.4761821046176361E-2</v>
      </c>
    </row>
    <row r="7" spans="2:13">
      <c r="B7" s="366">
        <v>3</v>
      </c>
      <c r="C7" s="367" t="s">
        <v>297</v>
      </c>
      <c r="D7" s="367" t="s">
        <v>639</v>
      </c>
      <c r="E7" s="368">
        <v>12.15</v>
      </c>
      <c r="F7" s="361">
        <f>+E7*_xlfn.XLOOKUP(Summary!$C$26,'Curve Comparison'!$B$3:$B$9,'Curve Comparison'!$D$3:$D$9)</f>
        <v>9.3461538461538449</v>
      </c>
      <c r="G7" s="368">
        <v>9.91</v>
      </c>
      <c r="H7" s="368" t="s">
        <v>640</v>
      </c>
      <c r="I7" s="369" t="s">
        <v>641</v>
      </c>
      <c r="J7" s="370">
        <v>0.61499999999999999</v>
      </c>
      <c r="K7" s="364">
        <f t="shared" si="1"/>
        <v>3.0817722117380431E-2</v>
      </c>
      <c r="L7" s="364">
        <f t="shared" si="0"/>
        <v>0.43774755328147308</v>
      </c>
      <c r="M7" s="365">
        <f t="shared" si="2"/>
        <v>4.4308104571972047E-2</v>
      </c>
    </row>
    <row r="8" spans="2:13">
      <c r="B8" s="366">
        <v>4</v>
      </c>
      <c r="C8" s="367" t="s">
        <v>304</v>
      </c>
      <c r="D8" s="367" t="s">
        <v>642</v>
      </c>
      <c r="E8" s="368">
        <v>14.44</v>
      </c>
      <c r="F8" s="361">
        <f>+E8*_xlfn.XLOOKUP(Summary!$C$26,'Curve Comparison'!$B$3:$B$9,'Curve Comparison'!$D$3:$D$9)</f>
        <v>11.107692307692306</v>
      </c>
      <c r="G8" s="368">
        <v>11.48</v>
      </c>
      <c r="H8" s="368" t="s">
        <v>643</v>
      </c>
      <c r="I8" s="369" t="s">
        <v>644</v>
      </c>
      <c r="J8" s="370">
        <v>0.61499999999999999</v>
      </c>
      <c r="K8" s="364">
        <f t="shared" si="1"/>
        <v>4.9833133621220778E-2</v>
      </c>
      <c r="L8" s="364">
        <f t="shared" si="0"/>
        <v>0.42237201277197595</v>
      </c>
      <c r="M8" s="365">
        <f t="shared" si="2"/>
        <v>7.0881254571550617E-2</v>
      </c>
    </row>
    <row r="9" spans="2:13">
      <c r="B9" s="366">
        <v>5</v>
      </c>
      <c r="C9" s="367" t="s">
        <v>311</v>
      </c>
      <c r="D9" s="367" t="s">
        <v>645</v>
      </c>
      <c r="E9" s="368">
        <v>16.64</v>
      </c>
      <c r="F9" s="361">
        <f>+E9*_xlfn.XLOOKUP(Summary!$C$26,'Curve Comparison'!$B$3:$B$9,'Curve Comparison'!$D$3:$D$9)</f>
        <v>12.799999999999999</v>
      </c>
      <c r="G9" s="368">
        <v>13.06</v>
      </c>
      <c r="H9" s="368" t="s">
        <v>646</v>
      </c>
      <c r="I9" s="369" t="s">
        <v>647</v>
      </c>
      <c r="J9" s="370">
        <v>0.61499999999999999</v>
      </c>
      <c r="K9" s="364">
        <f t="shared" si="1"/>
        <v>7.4540375923511107E-2</v>
      </c>
      <c r="L9" s="364">
        <f t="shared" si="0"/>
        <v>0.40990626270261604</v>
      </c>
      <c r="M9" s="365">
        <f t="shared" si="2"/>
        <v>0.10509494283876561</v>
      </c>
    </row>
    <row r="10" spans="2:13">
      <c r="B10" s="366">
        <v>6</v>
      </c>
      <c r="C10" s="367" t="s">
        <v>318</v>
      </c>
      <c r="D10" s="367" t="s">
        <v>648</v>
      </c>
      <c r="E10" s="368">
        <v>18.7</v>
      </c>
      <c r="F10" s="361">
        <f>+E10*_xlfn.XLOOKUP(Summary!$C$26,'Curve Comparison'!$B$3:$B$9,'Curve Comparison'!$D$3:$D$9)</f>
        <v>14.384615384615383</v>
      </c>
      <c r="G10" s="368">
        <v>14.59</v>
      </c>
      <c r="H10" s="368" t="s">
        <v>649</v>
      </c>
      <c r="I10" s="369" t="s">
        <v>650</v>
      </c>
      <c r="J10" s="370">
        <v>0.61499999999999999</v>
      </c>
      <c r="K10" s="364">
        <f t="shared" si="1"/>
        <v>0.10430197555703134</v>
      </c>
      <c r="L10" s="364">
        <f t="shared" si="0"/>
        <v>0.39978778674996418</v>
      </c>
      <c r="M10" s="365">
        <f t="shared" si="2"/>
        <v>0.14600063151862577</v>
      </c>
    </row>
    <row r="11" spans="2:13">
      <c r="B11" s="366">
        <v>7</v>
      </c>
      <c r="C11" s="367" t="s">
        <v>325</v>
      </c>
      <c r="D11" s="367" t="s">
        <v>651</v>
      </c>
      <c r="E11" s="368">
        <v>20.59</v>
      </c>
      <c r="F11" s="361">
        <f>+E11*_xlfn.XLOOKUP(Summary!$C$26,'Curve Comparison'!$B$3:$B$9,'Curve Comparison'!$D$3:$D$9)</f>
        <v>15.838461538461537</v>
      </c>
      <c r="G11" s="368">
        <v>16.059999999999999</v>
      </c>
      <c r="H11" s="368" t="s">
        <v>652</v>
      </c>
      <c r="I11" s="369" t="s">
        <v>653</v>
      </c>
      <c r="J11" s="370">
        <v>0.61499999999999999</v>
      </c>
      <c r="K11" s="364">
        <f t="shared" si="1"/>
        <v>0.13823072634913552</v>
      </c>
      <c r="L11" s="364">
        <f t="shared" ref="L11:L54" si="3">+EXP(-1.085+0.9256*LN(K11))/K11</f>
        <v>0.39149796201532922</v>
      </c>
      <c r="M11" s="365">
        <f t="shared" si="2"/>
        <v>0.19234777400272074</v>
      </c>
    </row>
    <row r="12" spans="2:13">
      <c r="B12" s="366">
        <v>8</v>
      </c>
      <c r="C12" s="367" t="s">
        <v>332</v>
      </c>
      <c r="D12" s="367" t="s">
        <v>654</v>
      </c>
      <c r="E12" s="368">
        <v>22.35</v>
      </c>
      <c r="F12" s="361">
        <f>+E12*_xlfn.XLOOKUP(Summary!$C$26,'Curve Comparison'!$B$3:$B$9,'Curve Comparison'!$D$3:$D$9)</f>
        <v>17.192307692307693</v>
      </c>
      <c r="G12" s="368">
        <v>17.510000000000002</v>
      </c>
      <c r="H12" s="368" t="s">
        <v>330</v>
      </c>
      <c r="I12" s="369" t="s">
        <v>655</v>
      </c>
      <c r="J12" s="370">
        <v>0.61499999999999999</v>
      </c>
      <c r="K12" s="364">
        <f t="shared" si="1"/>
        <v>0.17651302823565254</v>
      </c>
      <c r="L12" s="364">
        <f t="shared" si="3"/>
        <v>0.38444152891898692</v>
      </c>
      <c r="M12" s="365">
        <f t="shared" si="2"/>
        <v>0.24437196668468711</v>
      </c>
    </row>
    <row r="13" spans="2:13">
      <c r="B13" s="366">
        <v>9</v>
      </c>
      <c r="C13" s="367" t="s">
        <v>339</v>
      </c>
      <c r="D13" s="367" t="s">
        <v>656</v>
      </c>
      <c r="E13" s="368">
        <v>24.01</v>
      </c>
      <c r="F13" s="371">
        <f>+E13*_xlfn.XLOOKUP(Summary!$C$26,'Curve Comparison'!$B$3:$B$9,'Curve Comparison'!$D$3:$D$9)</f>
        <v>18.469230769230769</v>
      </c>
      <c r="G13" s="368">
        <v>18.899999999999999</v>
      </c>
      <c r="H13" s="368" t="s">
        <v>657</v>
      </c>
      <c r="I13" s="369" t="s">
        <v>658</v>
      </c>
      <c r="J13" s="370">
        <v>0.61499999999999999</v>
      </c>
      <c r="K13" s="372">
        <f t="shared" si="1"/>
        <v>0.21872174938557321</v>
      </c>
      <c r="L13" s="372">
        <f t="shared" si="3"/>
        <v>0.37835765446804365</v>
      </c>
      <c r="M13" s="373">
        <f t="shared" si="2"/>
        <v>0.30147679746424594</v>
      </c>
    </row>
    <row r="14" spans="2:13" ht="20.25" thickBot="1">
      <c r="B14" s="374">
        <v>10</v>
      </c>
      <c r="C14" s="375" t="s">
        <v>346</v>
      </c>
      <c r="D14" s="375" t="s">
        <v>659</v>
      </c>
      <c r="E14" s="376">
        <v>25.86</v>
      </c>
      <c r="F14" s="377">
        <f>+E14*_xlfn.XLOOKUP(Summary!$C$26,'Curve Comparison'!$B$3:$B$9,'Curve Comparison'!$D$3:$D$9)</f>
        <v>19.892307692307689</v>
      </c>
      <c r="G14" s="376">
        <v>20.239999999999998</v>
      </c>
      <c r="H14" s="376" t="s">
        <v>365</v>
      </c>
      <c r="I14" s="378" t="s">
        <v>660</v>
      </c>
      <c r="J14" s="379">
        <v>0.61499999999999999</v>
      </c>
      <c r="K14" s="380">
        <f t="shared" si="1"/>
        <v>0.27030375669830037</v>
      </c>
      <c r="L14" s="380">
        <f t="shared" si="3"/>
        <v>0.37244375129821766</v>
      </c>
      <c r="M14" s="381">
        <f t="shared" si="2"/>
        <v>0.37097670183301612</v>
      </c>
    </row>
    <row r="15" spans="2:13">
      <c r="B15" s="382">
        <v>11</v>
      </c>
      <c r="C15" s="383" t="s">
        <v>353</v>
      </c>
      <c r="D15" s="383" t="s">
        <v>661</v>
      </c>
      <c r="E15" s="384">
        <v>27.75</v>
      </c>
      <c r="F15" s="384">
        <f t="shared" ref="F15:F54" si="4">+E15*0.7</f>
        <v>19.424999999999997</v>
      </c>
      <c r="G15" s="384">
        <v>21.49</v>
      </c>
      <c r="H15" s="384" t="s">
        <v>662</v>
      </c>
      <c r="I15" s="385" t="s">
        <v>663</v>
      </c>
      <c r="J15" s="386">
        <v>0.61499999999999999</v>
      </c>
      <c r="K15" s="387">
        <f t="shared" si="1"/>
        <v>0.27359026770090439</v>
      </c>
      <c r="L15" s="387">
        <f t="shared" si="3"/>
        <v>0.37210902141919605</v>
      </c>
      <c r="M15" s="388">
        <f t="shared" si="2"/>
        <v>0.3753956744849038</v>
      </c>
    </row>
    <row r="16" spans="2:13">
      <c r="B16" s="389">
        <v>12</v>
      </c>
      <c r="C16" s="390" t="s">
        <v>360</v>
      </c>
      <c r="D16" s="390" t="s">
        <v>664</v>
      </c>
      <c r="E16" s="391">
        <v>29.66</v>
      </c>
      <c r="F16" s="391">
        <f t="shared" si="4"/>
        <v>20.762</v>
      </c>
      <c r="G16" s="391">
        <v>22.61</v>
      </c>
      <c r="H16" s="391" t="s">
        <v>665</v>
      </c>
      <c r="I16" s="392" t="s">
        <v>666</v>
      </c>
      <c r="J16" s="393">
        <v>0.61499999999999999</v>
      </c>
      <c r="K16" s="387">
        <f t="shared" si="1"/>
        <v>0.32738892094923666</v>
      </c>
      <c r="L16" s="387">
        <f t="shared" si="3"/>
        <v>0.36717214541941939</v>
      </c>
      <c r="M16" s="388">
        <f t="shared" si="2"/>
        <v>0.44759701344071662</v>
      </c>
    </row>
    <row r="17" spans="2:13">
      <c r="B17" s="389">
        <v>13</v>
      </c>
      <c r="C17" s="390" t="s">
        <v>367</v>
      </c>
      <c r="D17" s="390" t="s">
        <v>667</v>
      </c>
      <c r="E17" s="391">
        <v>31.51</v>
      </c>
      <c r="F17" s="391">
        <f t="shared" si="4"/>
        <v>22.056999999999999</v>
      </c>
      <c r="G17" s="391">
        <v>23.6</v>
      </c>
      <c r="H17" s="391" t="s">
        <v>668</v>
      </c>
      <c r="I17" s="392" t="s">
        <v>669</v>
      </c>
      <c r="J17" s="393">
        <v>0.61499999999999999</v>
      </c>
      <c r="K17" s="387">
        <f t="shared" si="1"/>
        <v>0.38416867455522113</v>
      </c>
      <c r="L17" s="387">
        <f t="shared" si="3"/>
        <v>0.36282905203404375</v>
      </c>
      <c r="M17" s="388">
        <f t="shared" ref="M17:M54" si="5">+K17*(1+L17)</f>
        <v>0.52355623056526712</v>
      </c>
    </row>
    <row r="18" spans="2:13">
      <c r="B18" s="389">
        <v>14</v>
      </c>
      <c r="C18" s="390" t="s">
        <v>374</v>
      </c>
      <c r="D18" s="390" t="s">
        <v>670</v>
      </c>
      <c r="E18" s="391">
        <v>33.29</v>
      </c>
      <c r="F18" s="391">
        <f t="shared" si="4"/>
        <v>23.302999999999997</v>
      </c>
      <c r="G18" s="391">
        <v>24.52</v>
      </c>
      <c r="H18" s="391" t="s">
        <v>671</v>
      </c>
      <c r="I18" s="392" t="s">
        <v>672</v>
      </c>
      <c r="J18" s="393">
        <v>0.61499999999999999</v>
      </c>
      <c r="K18" s="387">
        <f t="shared" si="1"/>
        <v>0.4439326160638985</v>
      </c>
      <c r="L18" s="387">
        <f t="shared" si="3"/>
        <v>0.35894681020145575</v>
      </c>
      <c r="M18" s="388">
        <f t="shared" si="5"/>
        <v>0.60328081254442234</v>
      </c>
    </row>
    <row r="19" spans="2:13">
      <c r="B19" s="389">
        <v>15</v>
      </c>
      <c r="C19" s="390" t="s">
        <v>381</v>
      </c>
      <c r="D19" s="390" t="s">
        <v>673</v>
      </c>
      <c r="E19" s="391">
        <v>35.04</v>
      </c>
      <c r="F19" s="391">
        <f t="shared" si="4"/>
        <v>24.527999999999999</v>
      </c>
      <c r="G19" s="391">
        <v>25.4</v>
      </c>
      <c r="H19" s="391" t="s">
        <v>674</v>
      </c>
      <c r="I19" s="392" t="s">
        <v>675</v>
      </c>
      <c r="J19" s="393">
        <v>0.61499999999999999</v>
      </c>
      <c r="K19" s="387">
        <f t="shared" si="1"/>
        <v>0.50780313421991119</v>
      </c>
      <c r="L19" s="387">
        <f t="shared" si="3"/>
        <v>0.3553749004831645</v>
      </c>
      <c r="M19" s="388">
        <f t="shared" si="5"/>
        <v>0.68826362250835116</v>
      </c>
    </row>
    <row r="20" spans="2:13">
      <c r="B20" s="389">
        <v>16</v>
      </c>
      <c r="C20" s="390" t="s">
        <v>388</v>
      </c>
      <c r="D20" s="390" t="s">
        <v>676</v>
      </c>
      <c r="E20" s="391">
        <v>36.74</v>
      </c>
      <c r="F20" s="391">
        <f t="shared" si="4"/>
        <v>25.718</v>
      </c>
      <c r="G20" s="391">
        <v>26.28</v>
      </c>
      <c r="H20" s="391" t="s">
        <v>677</v>
      </c>
      <c r="I20" s="392" t="s">
        <v>678</v>
      </c>
      <c r="J20" s="393">
        <v>0.61499999999999999</v>
      </c>
      <c r="K20" s="387">
        <f t="shared" si="1"/>
        <v>0.57583031939086993</v>
      </c>
      <c r="L20" s="387">
        <f t="shared" si="3"/>
        <v>0.35206639574634446</v>
      </c>
      <c r="M20" s="388">
        <f t="shared" si="5"/>
        <v>0.77856082450027986</v>
      </c>
    </row>
    <row r="21" spans="2:13">
      <c r="B21" s="389">
        <v>17</v>
      </c>
      <c r="C21" s="390" t="s">
        <v>395</v>
      </c>
      <c r="D21" s="390" t="s">
        <v>679</v>
      </c>
      <c r="E21" s="391">
        <v>38.380000000000003</v>
      </c>
      <c r="F21" s="391">
        <f t="shared" si="4"/>
        <v>26.866</v>
      </c>
      <c r="G21" s="391">
        <v>27.14</v>
      </c>
      <c r="H21" s="391" t="s">
        <v>578</v>
      </c>
      <c r="I21" s="392" t="s">
        <v>680</v>
      </c>
      <c r="J21" s="393">
        <v>0.61499999999999999</v>
      </c>
      <c r="K21" s="387">
        <f t="shared" si="1"/>
        <v>0.64708995866597474</v>
      </c>
      <c r="L21" s="387">
        <f t="shared" si="3"/>
        <v>0.34902353783979412</v>
      </c>
      <c r="M21" s="388">
        <f t="shared" si="5"/>
        <v>0.87293958534017935</v>
      </c>
    </row>
    <row r="22" spans="2:13">
      <c r="B22" s="389">
        <v>18</v>
      </c>
      <c r="C22" s="390" t="s">
        <v>402</v>
      </c>
      <c r="D22" s="390" t="s">
        <v>681</v>
      </c>
      <c r="E22" s="391">
        <v>39.99</v>
      </c>
      <c r="F22" s="391">
        <f t="shared" si="4"/>
        <v>27.992999999999999</v>
      </c>
      <c r="G22" s="391">
        <v>27.99</v>
      </c>
      <c r="H22" s="391" t="s">
        <v>682</v>
      </c>
      <c r="I22" s="392" t="s">
        <v>683</v>
      </c>
      <c r="J22" s="393">
        <v>0.61499999999999999</v>
      </c>
      <c r="K22" s="387">
        <f t="shared" si="1"/>
        <v>0.72255767938265414</v>
      </c>
      <c r="L22" s="387">
        <f t="shared" si="3"/>
        <v>0.34617075204630066</v>
      </c>
      <c r="M22" s="388">
        <f t="shared" si="5"/>
        <v>0.97268601465137727</v>
      </c>
    </row>
    <row r="23" spans="2:13">
      <c r="B23" s="389">
        <v>19</v>
      </c>
      <c r="C23" s="390" t="s">
        <v>409</v>
      </c>
      <c r="D23" s="390" t="s">
        <v>684</v>
      </c>
      <c r="E23" s="391">
        <v>41.58</v>
      </c>
      <c r="F23" s="391">
        <f t="shared" si="4"/>
        <v>29.105999999999998</v>
      </c>
      <c r="G23" s="391">
        <v>28.84</v>
      </c>
      <c r="H23" s="391" t="s">
        <v>685</v>
      </c>
      <c r="I23" s="392" t="s">
        <v>686</v>
      </c>
      <c r="J23" s="393">
        <v>0.61499999999999999</v>
      </c>
      <c r="K23" s="387">
        <f t="shared" si="1"/>
        <v>0.80279828481352911</v>
      </c>
      <c r="L23" s="387">
        <f t="shared" si="3"/>
        <v>0.34346917608231264</v>
      </c>
      <c r="M23" s="388">
        <f t="shared" si="5"/>
        <v>1.0785347502587257</v>
      </c>
    </row>
    <row r="24" spans="2:13">
      <c r="B24" s="389">
        <v>20</v>
      </c>
      <c r="C24" s="390" t="s">
        <v>416</v>
      </c>
      <c r="D24" s="390" t="s">
        <v>687</v>
      </c>
      <c r="E24" s="391">
        <v>43.12</v>
      </c>
      <c r="F24" s="391">
        <f t="shared" si="4"/>
        <v>30.183999999999997</v>
      </c>
      <c r="G24" s="391">
        <v>29.58</v>
      </c>
      <c r="H24" s="391" t="s">
        <v>688</v>
      </c>
      <c r="I24" s="392" t="s">
        <v>689</v>
      </c>
      <c r="J24" s="393">
        <v>0.61499999999999999</v>
      </c>
      <c r="K24" s="387">
        <f t="shared" si="1"/>
        <v>0.88343721318087998</v>
      </c>
      <c r="L24" s="387">
        <f t="shared" si="3"/>
        <v>0.341031908810632</v>
      </c>
      <c r="M24" s="388">
        <f t="shared" si="5"/>
        <v>1.1847174923063006</v>
      </c>
    </row>
    <row r="25" spans="2:13">
      <c r="B25" s="389">
        <v>21</v>
      </c>
      <c r="C25" s="390" t="s">
        <v>423</v>
      </c>
      <c r="D25" s="390" t="s">
        <v>690</v>
      </c>
      <c r="E25" s="391">
        <v>44.63</v>
      </c>
      <c r="F25" s="391">
        <f t="shared" si="4"/>
        <v>31.241</v>
      </c>
      <c r="G25" s="391">
        <v>30.43</v>
      </c>
      <c r="H25" s="391" t="s">
        <v>691</v>
      </c>
      <c r="I25" s="392" t="s">
        <v>692</v>
      </c>
      <c r="J25" s="393">
        <v>0.61499999999999999</v>
      </c>
      <c r="K25" s="387">
        <f t="shared" si="1"/>
        <v>0.97132136151818738</v>
      </c>
      <c r="L25" s="387">
        <f t="shared" si="3"/>
        <v>0.3386340965348556</v>
      </c>
      <c r="M25" s="388">
        <f t="shared" si="5"/>
        <v>1.3002438932209046</v>
      </c>
    </row>
    <row r="26" spans="2:13">
      <c r="B26" s="389">
        <v>22</v>
      </c>
      <c r="C26" s="390" t="s">
        <v>430</v>
      </c>
      <c r="D26" s="390" t="s">
        <v>693</v>
      </c>
      <c r="E26" s="391">
        <v>46.15</v>
      </c>
      <c r="F26" s="391">
        <f t="shared" si="4"/>
        <v>32.305</v>
      </c>
      <c r="G26" s="391">
        <v>31.3</v>
      </c>
      <c r="H26" s="391" t="s">
        <v>694</v>
      </c>
      <c r="I26" s="392" t="s">
        <v>695</v>
      </c>
      <c r="J26" s="393">
        <v>0.61499999999999999</v>
      </c>
      <c r="K26" s="387">
        <f t="shared" si="1"/>
        <v>1.0658669442619861</v>
      </c>
      <c r="L26" s="387">
        <f t="shared" si="3"/>
        <v>0.33630194914056771</v>
      </c>
      <c r="M26" s="388">
        <f t="shared" si="5"/>
        <v>1.4243200751417928</v>
      </c>
    </row>
    <row r="27" spans="2:13">
      <c r="B27" s="389">
        <v>23</v>
      </c>
      <c r="C27" s="390" t="s">
        <v>437</v>
      </c>
      <c r="D27" s="390" t="s">
        <v>696</v>
      </c>
      <c r="E27" s="391">
        <v>47.63</v>
      </c>
      <c r="F27" s="391">
        <f t="shared" si="4"/>
        <v>33.341000000000001</v>
      </c>
      <c r="G27" s="391">
        <v>32.15</v>
      </c>
      <c r="H27" s="391" t="s">
        <v>697</v>
      </c>
      <c r="I27" s="392" t="s">
        <v>698</v>
      </c>
      <c r="J27" s="393">
        <v>0.61499999999999999</v>
      </c>
      <c r="K27" s="387">
        <f t="shared" si="1"/>
        <v>1.1636438545290071</v>
      </c>
      <c r="L27" s="387">
        <f t="shared" si="3"/>
        <v>0.33411307634566895</v>
      </c>
      <c r="M27" s="388">
        <f t="shared" si="5"/>
        <v>1.5524324825364257</v>
      </c>
    </row>
    <row r="28" spans="2:13">
      <c r="B28" s="389">
        <v>24</v>
      </c>
      <c r="C28" s="390" t="s">
        <v>444</v>
      </c>
      <c r="D28" s="390" t="s">
        <v>699</v>
      </c>
      <c r="E28" s="391">
        <v>49.08</v>
      </c>
      <c r="F28" s="391">
        <f t="shared" si="4"/>
        <v>34.355999999999995</v>
      </c>
      <c r="G28" s="391">
        <v>33.020000000000003</v>
      </c>
      <c r="H28" s="391" t="s">
        <v>700</v>
      </c>
      <c r="I28" s="392" t="s">
        <v>701</v>
      </c>
      <c r="J28" s="393">
        <v>0.61499999999999999</v>
      </c>
      <c r="K28" s="387">
        <f t="shared" si="1"/>
        <v>1.2663701355084311</v>
      </c>
      <c r="L28" s="387">
        <f t="shared" si="3"/>
        <v>0.33201673465616355</v>
      </c>
      <c r="M28" s="388">
        <f t="shared" si="5"/>
        <v>1.6868262127660238</v>
      </c>
    </row>
    <row r="29" spans="2:13">
      <c r="B29" s="389">
        <v>25</v>
      </c>
      <c r="C29" s="390" t="s">
        <v>451</v>
      </c>
      <c r="D29" s="390" t="s">
        <v>702</v>
      </c>
      <c r="E29" s="391">
        <v>50.55</v>
      </c>
      <c r="F29" s="391">
        <f t="shared" si="4"/>
        <v>35.384999999999998</v>
      </c>
      <c r="G29" s="391">
        <v>33.880000000000003</v>
      </c>
      <c r="H29" s="391" t="s">
        <v>703</v>
      </c>
      <c r="I29" s="392" t="s">
        <v>704</v>
      </c>
      <c r="J29" s="393">
        <v>0.61499999999999999</v>
      </c>
      <c r="K29" s="387">
        <f t="shared" si="1"/>
        <v>1.375552009033985</v>
      </c>
      <c r="L29" s="387">
        <f t="shared" si="3"/>
        <v>0.32998013598827564</v>
      </c>
      <c r="M29" s="388">
        <f t="shared" si="5"/>
        <v>1.8294568480339652</v>
      </c>
    </row>
    <row r="30" spans="2:13">
      <c r="B30" s="389">
        <v>26</v>
      </c>
      <c r="C30" s="390" t="s">
        <v>458</v>
      </c>
      <c r="D30" s="390" t="s">
        <v>705</v>
      </c>
      <c r="E30" s="391">
        <v>51.97</v>
      </c>
      <c r="F30" s="391">
        <f t="shared" si="4"/>
        <v>36.378999999999998</v>
      </c>
      <c r="G30" s="391">
        <v>34.6</v>
      </c>
      <c r="H30" s="391" t="s">
        <v>706</v>
      </c>
      <c r="I30" s="392" t="s">
        <v>707</v>
      </c>
      <c r="J30" s="393">
        <v>0.61499999999999999</v>
      </c>
      <c r="K30" s="387">
        <f t="shared" si="1"/>
        <v>1.4820952895553816</v>
      </c>
      <c r="L30" s="387">
        <f t="shared" si="3"/>
        <v>0.32815369841888464</v>
      </c>
      <c r="M30" s="388">
        <f t="shared" si="5"/>
        <v>1.9684503402321878</v>
      </c>
    </row>
    <row r="31" spans="2:13">
      <c r="B31" s="389">
        <v>27</v>
      </c>
      <c r="C31" s="390" t="s">
        <v>464</v>
      </c>
      <c r="D31" s="390" t="s">
        <v>708</v>
      </c>
      <c r="E31" s="391">
        <v>53.41</v>
      </c>
      <c r="F31" s="391">
        <f t="shared" si="4"/>
        <v>37.386999999999993</v>
      </c>
      <c r="G31" s="391">
        <v>35.450000000000003</v>
      </c>
      <c r="H31" s="391" t="s">
        <v>709</v>
      </c>
      <c r="I31" s="392" t="s">
        <v>710</v>
      </c>
      <c r="J31" s="393">
        <v>0.61499999999999999</v>
      </c>
      <c r="K31" s="387">
        <f t="shared" si="1"/>
        <v>1.6007859847441561</v>
      </c>
      <c r="L31" s="387">
        <f t="shared" si="3"/>
        <v>0.3262782254388169</v>
      </c>
      <c r="M31" s="388">
        <f t="shared" si="5"/>
        <v>2.1230875951538084</v>
      </c>
    </row>
    <row r="32" spans="2:13">
      <c r="B32" s="389">
        <v>28</v>
      </c>
      <c r="C32" s="390" t="s">
        <v>471</v>
      </c>
      <c r="D32" s="390" t="s">
        <v>711</v>
      </c>
      <c r="E32" s="391">
        <v>54.87</v>
      </c>
      <c r="F32" s="391">
        <f t="shared" si="4"/>
        <v>38.408999999999999</v>
      </c>
      <c r="G32" s="391">
        <v>36.31</v>
      </c>
      <c r="H32" s="391" t="s">
        <v>712</v>
      </c>
      <c r="I32" s="392" t="s">
        <v>713</v>
      </c>
      <c r="J32" s="393">
        <v>0.61499999999999999</v>
      </c>
      <c r="K32" s="387">
        <f t="shared" si="1"/>
        <v>1.7272532263163827</v>
      </c>
      <c r="L32" s="387">
        <f t="shared" si="3"/>
        <v>0.32443761472880361</v>
      </c>
      <c r="M32" s="388">
        <f t="shared" si="5"/>
        <v>2.2876391430951002</v>
      </c>
    </row>
    <row r="33" spans="2:13">
      <c r="B33" s="389">
        <v>29</v>
      </c>
      <c r="C33" s="390" t="s">
        <v>478</v>
      </c>
      <c r="D33" s="390" t="s">
        <v>714</v>
      </c>
      <c r="E33" s="391">
        <v>56.34</v>
      </c>
      <c r="F33" s="391">
        <f t="shared" si="4"/>
        <v>39.438000000000002</v>
      </c>
      <c r="G33" s="391">
        <v>37.01</v>
      </c>
      <c r="H33" s="391" t="s">
        <v>715</v>
      </c>
      <c r="I33" s="392" t="s">
        <v>716</v>
      </c>
      <c r="J33" s="393">
        <v>0.61499999999999999</v>
      </c>
      <c r="K33" s="387">
        <f t="shared" si="1"/>
        <v>1.852944687090873</v>
      </c>
      <c r="L33" s="387">
        <f t="shared" si="3"/>
        <v>0.32274648452404969</v>
      </c>
      <c r="M33" s="388">
        <f t="shared" si="5"/>
        <v>2.4509760708669677</v>
      </c>
    </row>
    <row r="34" spans="2:13">
      <c r="B34" s="389">
        <v>30</v>
      </c>
      <c r="C34" s="390" t="s">
        <v>485</v>
      </c>
      <c r="D34" s="390" t="s">
        <v>717</v>
      </c>
      <c r="E34" s="391">
        <v>57.82</v>
      </c>
      <c r="F34" s="391">
        <f t="shared" si="4"/>
        <v>40.473999999999997</v>
      </c>
      <c r="G34" s="391">
        <v>37.85</v>
      </c>
      <c r="H34" s="391" t="s">
        <v>718</v>
      </c>
      <c r="I34" s="392" t="s">
        <v>719</v>
      </c>
      <c r="J34" s="393">
        <v>0.61499999999999999</v>
      </c>
      <c r="K34" s="387">
        <f t="shared" si="1"/>
        <v>1.9923116772320126</v>
      </c>
      <c r="L34" s="387">
        <f t="shared" si="3"/>
        <v>0.32100981066882056</v>
      </c>
      <c r="M34" s="388">
        <f t="shared" si="5"/>
        <v>2.6318632715335415</v>
      </c>
    </row>
    <row r="35" spans="2:13">
      <c r="B35" s="389">
        <v>31</v>
      </c>
      <c r="C35" s="390" t="s">
        <v>492</v>
      </c>
      <c r="D35" s="390" t="s">
        <v>720</v>
      </c>
      <c r="E35" s="391">
        <v>59.33</v>
      </c>
      <c r="F35" s="391">
        <f t="shared" si="4"/>
        <v>41.530999999999999</v>
      </c>
      <c r="G35" s="391">
        <v>38.54</v>
      </c>
      <c r="H35" s="391" t="s">
        <v>721</v>
      </c>
      <c r="I35" s="392" t="s">
        <v>722</v>
      </c>
      <c r="J35" s="393">
        <v>0.61499999999999999</v>
      </c>
      <c r="K35" s="387">
        <f t="shared" si="1"/>
        <v>2.1324060624363139</v>
      </c>
      <c r="L35" s="387">
        <f t="shared" si="3"/>
        <v>0.319390920416733</v>
      </c>
      <c r="M35" s="388">
        <f t="shared" si="5"/>
        <v>2.8134771974200694</v>
      </c>
    </row>
    <row r="36" spans="2:13">
      <c r="B36" s="389">
        <v>32</v>
      </c>
      <c r="C36" s="390" t="s">
        <v>499</v>
      </c>
      <c r="D36" s="390" t="s">
        <v>723</v>
      </c>
      <c r="E36" s="391">
        <v>60.83</v>
      </c>
      <c r="F36" s="391">
        <f t="shared" si="4"/>
        <v>42.580999999999996</v>
      </c>
      <c r="G36" s="391">
        <v>39.39</v>
      </c>
      <c r="H36" s="391" t="s">
        <v>724</v>
      </c>
      <c r="I36" s="392" t="s">
        <v>725</v>
      </c>
      <c r="J36" s="393">
        <v>0.61499999999999999</v>
      </c>
      <c r="K36" s="387">
        <f t="shared" si="1"/>
        <v>2.2870899543513588</v>
      </c>
      <c r="L36" s="387">
        <f t="shared" si="3"/>
        <v>0.31773116386901989</v>
      </c>
      <c r="M36" s="388">
        <f t="shared" si="5"/>
        <v>3.0137697074205594</v>
      </c>
    </row>
    <row r="37" spans="2:13">
      <c r="B37" s="389">
        <v>33</v>
      </c>
      <c r="C37" s="390" t="s">
        <v>506</v>
      </c>
      <c r="D37" s="390" t="s">
        <v>726</v>
      </c>
      <c r="E37" s="391">
        <v>62.35</v>
      </c>
      <c r="F37" s="391">
        <f t="shared" si="4"/>
        <v>43.644999999999996</v>
      </c>
      <c r="G37" s="391">
        <v>40.06</v>
      </c>
      <c r="H37" s="391" t="s">
        <v>727</v>
      </c>
      <c r="I37" s="392" t="s">
        <v>728</v>
      </c>
      <c r="J37" s="393">
        <v>0.61499999999999999</v>
      </c>
      <c r="K37" s="387">
        <f t="shared" si="1"/>
        <v>2.4398054621818162</v>
      </c>
      <c r="L37" s="387">
        <f t="shared" si="3"/>
        <v>0.31620684015280232</v>
      </c>
      <c r="M37" s="388">
        <f t="shared" si="5"/>
        <v>3.2112886379658754</v>
      </c>
    </row>
    <row r="38" spans="2:13">
      <c r="B38" s="389">
        <v>34</v>
      </c>
      <c r="C38" s="390" t="s">
        <v>513</v>
      </c>
      <c r="D38" s="390" t="s">
        <v>729</v>
      </c>
      <c r="E38" s="391">
        <v>63.91</v>
      </c>
      <c r="F38" s="391">
        <f t="shared" si="4"/>
        <v>44.736999999999995</v>
      </c>
      <c r="G38" s="391">
        <v>40.74</v>
      </c>
      <c r="H38" s="391" t="s">
        <v>730</v>
      </c>
      <c r="I38" s="392" t="s">
        <v>731</v>
      </c>
      <c r="J38" s="393">
        <v>0.61499999999999999</v>
      </c>
      <c r="K38" s="387">
        <f t="shared" si="1"/>
        <v>2.6027916407047558</v>
      </c>
      <c r="L38" s="387">
        <f t="shared" si="3"/>
        <v>0.3146891689628119</v>
      </c>
      <c r="M38" s="388">
        <f t="shared" si="5"/>
        <v>3.421861979101489</v>
      </c>
    </row>
    <row r="39" spans="2:13">
      <c r="B39" s="389">
        <v>35</v>
      </c>
      <c r="C39" s="390" t="s">
        <v>520</v>
      </c>
      <c r="D39" s="390" t="s">
        <v>732</v>
      </c>
      <c r="E39" s="391">
        <v>65.48</v>
      </c>
      <c r="F39" s="391">
        <f t="shared" si="4"/>
        <v>45.835999999999999</v>
      </c>
      <c r="G39" s="391">
        <v>41.45</v>
      </c>
      <c r="H39" s="391" t="s">
        <v>733</v>
      </c>
      <c r="I39" s="392" t="s">
        <v>734</v>
      </c>
      <c r="J39" s="393">
        <v>0.61499999999999999</v>
      </c>
      <c r="K39" s="387">
        <f t="shared" si="1"/>
        <v>2.7754705448061685</v>
      </c>
      <c r="L39" s="387">
        <f t="shared" si="3"/>
        <v>0.31318881415389616</v>
      </c>
      <c r="M39" s="388">
        <f t="shared" si="5"/>
        <v>3.6447168734530804</v>
      </c>
    </row>
    <row r="40" spans="2:13">
      <c r="B40" s="389">
        <v>36</v>
      </c>
      <c r="C40" s="390" t="s">
        <v>527</v>
      </c>
      <c r="D40" s="390" t="s">
        <v>735</v>
      </c>
      <c r="E40" s="391">
        <v>67.040000000000006</v>
      </c>
      <c r="F40" s="391">
        <f t="shared" si="4"/>
        <v>46.928000000000004</v>
      </c>
      <c r="G40" s="391">
        <v>42.04</v>
      </c>
      <c r="H40" s="391" t="s">
        <v>736</v>
      </c>
      <c r="I40" s="392" t="s">
        <v>737</v>
      </c>
      <c r="J40" s="393">
        <v>0.61499999999999999</v>
      </c>
      <c r="K40" s="387">
        <f t="shared" si="1"/>
        <v>2.9463703311321798</v>
      </c>
      <c r="L40" s="387">
        <f t="shared" si="3"/>
        <v>0.31179956832127975</v>
      </c>
      <c r="M40" s="388">
        <f t="shared" si="5"/>
        <v>3.8650473284938194</v>
      </c>
    </row>
    <row r="41" spans="2:13">
      <c r="B41" s="389">
        <v>37</v>
      </c>
      <c r="C41" s="390" t="s">
        <v>534</v>
      </c>
      <c r="D41" s="390" t="s">
        <v>738</v>
      </c>
      <c r="E41" s="391">
        <v>68.63</v>
      </c>
      <c r="F41" s="391">
        <f t="shared" si="4"/>
        <v>48.040999999999997</v>
      </c>
      <c r="G41" s="391">
        <v>42.61</v>
      </c>
      <c r="H41" s="391" t="s">
        <v>739</v>
      </c>
      <c r="I41" s="392" t="s">
        <v>740</v>
      </c>
      <c r="J41" s="393">
        <v>0.61499999999999999</v>
      </c>
      <c r="K41" s="387">
        <f t="shared" si="1"/>
        <v>3.1251231393719094</v>
      </c>
      <c r="L41" s="387">
        <f t="shared" si="3"/>
        <v>0.31043620976263769</v>
      </c>
      <c r="M41" s="388">
        <f t="shared" si="5"/>
        <v>4.0952745218000404</v>
      </c>
    </row>
    <row r="42" spans="2:13">
      <c r="B42" s="389">
        <v>38</v>
      </c>
      <c r="C42" s="390" t="s">
        <v>541</v>
      </c>
      <c r="D42" s="390" t="s">
        <v>741</v>
      </c>
      <c r="E42" s="391">
        <v>70.239999999999995</v>
      </c>
      <c r="F42" s="391">
        <f t="shared" si="4"/>
        <v>49.167999999999992</v>
      </c>
      <c r="G42" s="391">
        <v>43.22</v>
      </c>
      <c r="H42" s="391" t="s">
        <v>742</v>
      </c>
      <c r="I42" s="392" t="s">
        <v>743</v>
      </c>
      <c r="J42" s="393">
        <v>0.61499999999999999</v>
      </c>
      <c r="K42" s="387">
        <f t="shared" si="1"/>
        <v>3.3155060843548787</v>
      </c>
      <c r="L42" s="387">
        <f t="shared" si="3"/>
        <v>0.30907336452905182</v>
      </c>
      <c r="M42" s="388">
        <f t="shared" si="5"/>
        <v>4.3402407049629828</v>
      </c>
    </row>
    <row r="43" spans="2:13">
      <c r="B43" s="389">
        <v>39</v>
      </c>
      <c r="C43" s="390" t="s">
        <v>548</v>
      </c>
      <c r="D43" s="390" t="s">
        <v>744</v>
      </c>
      <c r="E43" s="391">
        <v>71.88</v>
      </c>
      <c r="F43" s="391">
        <f t="shared" si="4"/>
        <v>50.315999999999995</v>
      </c>
      <c r="G43" s="391">
        <v>43.86</v>
      </c>
      <c r="H43" s="391" t="s">
        <v>745</v>
      </c>
      <c r="I43" s="392" t="s">
        <v>746</v>
      </c>
      <c r="J43" s="393">
        <v>0.61499999999999999</v>
      </c>
      <c r="K43" s="387">
        <f t="shared" si="1"/>
        <v>3.5184102822188668</v>
      </c>
      <c r="L43" s="387">
        <f t="shared" si="3"/>
        <v>0.30771049504750542</v>
      </c>
      <c r="M43" s="388">
        <f t="shared" si="5"/>
        <v>4.6010620519406675</v>
      </c>
    </row>
    <row r="44" spans="2:13">
      <c r="B44" s="389">
        <v>40</v>
      </c>
      <c r="C44" s="390" t="s">
        <v>555</v>
      </c>
      <c r="D44" s="390" t="s">
        <v>747</v>
      </c>
      <c r="E44" s="391">
        <v>73.540000000000006</v>
      </c>
      <c r="F44" s="391">
        <f t="shared" si="4"/>
        <v>51.478000000000002</v>
      </c>
      <c r="G44" s="391">
        <v>44.41</v>
      </c>
      <c r="H44" s="391" t="s">
        <v>748</v>
      </c>
      <c r="I44" s="392" t="s">
        <v>749</v>
      </c>
      <c r="J44" s="393">
        <v>0.61499999999999999</v>
      </c>
      <c r="K44" s="387">
        <f t="shared" si="1"/>
        <v>3.7237790390712044</v>
      </c>
      <c r="L44" s="387">
        <f t="shared" si="3"/>
        <v>0.30641448012533806</v>
      </c>
      <c r="M44" s="388">
        <f t="shared" si="5"/>
        <v>4.8647988574298386</v>
      </c>
    </row>
    <row r="45" spans="2:13">
      <c r="B45" s="389">
        <v>41</v>
      </c>
      <c r="C45" s="390" t="s">
        <v>562</v>
      </c>
      <c r="D45" s="390" t="s">
        <v>750</v>
      </c>
      <c r="E45" s="391">
        <v>75.19</v>
      </c>
      <c r="F45" s="391">
        <f t="shared" si="4"/>
        <v>52.632999999999996</v>
      </c>
      <c r="G45" s="391">
        <v>44.91</v>
      </c>
      <c r="H45" s="391" t="s">
        <v>751</v>
      </c>
      <c r="I45" s="392" t="s">
        <v>752</v>
      </c>
      <c r="J45" s="393">
        <v>0.61499999999999999</v>
      </c>
      <c r="K45" s="387">
        <f t="shared" si="1"/>
        <v>3.9313332421531548</v>
      </c>
      <c r="L45" s="387">
        <f t="shared" si="3"/>
        <v>0.30518045884128331</v>
      </c>
      <c r="M45" s="388">
        <f t="shared" si="5"/>
        <v>5.1310993248514443</v>
      </c>
    </row>
    <row r="46" spans="2:13">
      <c r="B46" s="389">
        <v>42</v>
      </c>
      <c r="C46" s="390" t="s">
        <v>569</v>
      </c>
      <c r="D46" s="390" t="s">
        <v>753</v>
      </c>
      <c r="E46" s="391">
        <v>76.849999999999994</v>
      </c>
      <c r="F46" s="391">
        <f t="shared" si="4"/>
        <v>53.794999999999995</v>
      </c>
      <c r="G46" s="391">
        <v>45.31</v>
      </c>
      <c r="H46" s="391" t="s">
        <v>754</v>
      </c>
      <c r="I46" s="392" t="s">
        <v>755</v>
      </c>
      <c r="J46" s="393">
        <v>0.61499999999999999</v>
      </c>
      <c r="K46" s="387">
        <f t="shared" si="1"/>
        <v>4.1381934964436464</v>
      </c>
      <c r="L46" s="387">
        <f t="shared" si="3"/>
        <v>0.30401832650762756</v>
      </c>
      <c r="M46" s="388">
        <f t="shared" si="5"/>
        <v>5.3962801579971913</v>
      </c>
    </row>
    <row r="47" spans="2:13">
      <c r="B47" s="389">
        <v>43</v>
      </c>
      <c r="C47" s="390" t="s">
        <v>576</v>
      </c>
      <c r="D47" s="390" t="s">
        <v>756</v>
      </c>
      <c r="E47" s="391">
        <v>78.540000000000006</v>
      </c>
      <c r="F47" s="391">
        <f t="shared" si="4"/>
        <v>54.978000000000002</v>
      </c>
      <c r="G47" s="391">
        <v>45.75</v>
      </c>
      <c r="H47" s="391" t="s">
        <v>757</v>
      </c>
      <c r="I47" s="392" t="s">
        <v>758</v>
      </c>
      <c r="J47" s="393">
        <v>0.61499999999999999</v>
      </c>
      <c r="K47" s="387">
        <f t="shared" si="1"/>
        <v>4.3586068211784781</v>
      </c>
      <c r="L47" s="387">
        <f t="shared" si="3"/>
        <v>0.3028468206358354</v>
      </c>
      <c r="M47" s="388">
        <f t="shared" si="5"/>
        <v>5.6785970393740453</v>
      </c>
    </row>
    <row r="48" spans="2:13">
      <c r="B48" s="389">
        <v>44</v>
      </c>
      <c r="C48" s="390" t="s">
        <v>583</v>
      </c>
      <c r="D48" s="390" t="s">
        <v>759</v>
      </c>
      <c r="E48" s="391">
        <v>80.25</v>
      </c>
      <c r="F48" s="391">
        <f t="shared" si="4"/>
        <v>56.174999999999997</v>
      </c>
      <c r="G48" s="391">
        <v>46.15</v>
      </c>
      <c r="H48" s="391" t="s">
        <v>760</v>
      </c>
      <c r="I48" s="392" t="s">
        <v>761</v>
      </c>
      <c r="J48" s="393">
        <v>0.61499999999999999</v>
      </c>
      <c r="K48" s="387">
        <f t="shared" si="1"/>
        <v>4.5845515027118928</v>
      </c>
      <c r="L48" s="387">
        <f t="shared" si="3"/>
        <v>0.30171020577734148</v>
      </c>
      <c r="M48" s="388">
        <f t="shared" si="5"/>
        <v>5.967757479991918</v>
      </c>
    </row>
    <row r="49" spans="2:13">
      <c r="B49" s="389">
        <v>45</v>
      </c>
      <c r="C49" s="390" t="s">
        <v>590</v>
      </c>
      <c r="D49" s="390" t="s">
        <v>762</v>
      </c>
      <c r="E49" s="391">
        <v>82</v>
      </c>
      <c r="F49" s="391">
        <f t="shared" si="4"/>
        <v>57.4</v>
      </c>
      <c r="G49" s="391">
        <v>46.61</v>
      </c>
      <c r="H49" s="391" t="s">
        <v>763</v>
      </c>
      <c r="I49" s="392" t="s">
        <v>764</v>
      </c>
      <c r="J49" s="393">
        <v>0.61499999999999999</v>
      </c>
      <c r="K49" s="387">
        <f t="shared" si="1"/>
        <v>4.8282393992762112</v>
      </c>
      <c r="L49" s="387">
        <f t="shared" si="3"/>
        <v>0.30054990895112377</v>
      </c>
      <c r="M49" s="388">
        <f t="shared" si="5"/>
        <v>6.2793663111229057</v>
      </c>
    </row>
    <row r="50" spans="2:13">
      <c r="B50" s="389">
        <v>46</v>
      </c>
      <c r="C50" s="390" t="s">
        <v>597</v>
      </c>
      <c r="D50" s="390" t="s">
        <v>765</v>
      </c>
      <c r="E50" s="391">
        <v>83.75</v>
      </c>
      <c r="F50" s="391">
        <f t="shared" si="4"/>
        <v>58.624999999999993</v>
      </c>
      <c r="G50" s="391">
        <v>47.54</v>
      </c>
      <c r="H50" s="391" t="s">
        <v>766</v>
      </c>
      <c r="I50" s="392" t="s">
        <v>767</v>
      </c>
      <c r="J50" s="393">
        <v>0.61499999999999999</v>
      </c>
      <c r="K50" s="387">
        <f t="shared" si="1"/>
        <v>5.1293775742848942</v>
      </c>
      <c r="L50" s="387">
        <f t="shared" si="3"/>
        <v>0.29920005965423874</v>
      </c>
      <c r="M50" s="388">
        <f t="shared" si="5"/>
        <v>6.6640876505000488</v>
      </c>
    </row>
    <row r="51" spans="2:13">
      <c r="B51" s="389">
        <v>47</v>
      </c>
      <c r="C51" s="390" t="s">
        <v>604</v>
      </c>
      <c r="D51" s="390" t="s">
        <v>768</v>
      </c>
      <c r="E51" s="391">
        <v>85.47</v>
      </c>
      <c r="F51" s="391">
        <f t="shared" si="4"/>
        <v>59.828999999999994</v>
      </c>
      <c r="G51" s="391">
        <v>48.46</v>
      </c>
      <c r="H51" s="391" t="s">
        <v>769</v>
      </c>
      <c r="I51" s="392" t="s">
        <v>770</v>
      </c>
      <c r="J51" s="393">
        <v>0.61499999999999999</v>
      </c>
      <c r="K51" s="387">
        <f t="shared" si="1"/>
        <v>5.4377984855419976</v>
      </c>
      <c r="L51" s="387">
        <f t="shared" si="3"/>
        <v>0.29790308988728709</v>
      </c>
      <c r="M51" s="388">
        <f t="shared" si="5"/>
        <v>7.05773545656937</v>
      </c>
    </row>
    <row r="52" spans="2:13">
      <c r="B52" s="389">
        <v>48</v>
      </c>
      <c r="C52" s="390" t="s">
        <v>611</v>
      </c>
      <c r="D52" s="390" t="s">
        <v>771</v>
      </c>
      <c r="E52" s="391">
        <v>87.22</v>
      </c>
      <c r="F52" s="391">
        <f t="shared" si="4"/>
        <v>61.053999999999995</v>
      </c>
      <c r="G52" s="391">
        <v>49.34</v>
      </c>
      <c r="H52" s="391" t="s">
        <v>772</v>
      </c>
      <c r="I52" s="392" t="s">
        <v>773</v>
      </c>
      <c r="J52" s="393">
        <v>0.61499999999999999</v>
      </c>
      <c r="K52" s="387">
        <f t="shared" si="1"/>
        <v>5.7574942077622451</v>
      </c>
      <c r="L52" s="387">
        <f t="shared" si="3"/>
        <v>0.2966395912338472</v>
      </c>
      <c r="M52" s="388">
        <f t="shared" si="5"/>
        <v>7.4653949360840794</v>
      </c>
    </row>
    <row r="53" spans="2:13">
      <c r="B53" s="389">
        <v>49</v>
      </c>
      <c r="C53" s="390" t="s">
        <v>618</v>
      </c>
      <c r="D53" s="390" t="s">
        <v>774</v>
      </c>
      <c r="E53" s="391">
        <v>89</v>
      </c>
      <c r="F53" s="391">
        <f t="shared" si="4"/>
        <v>62.3</v>
      </c>
      <c r="G53" s="391">
        <v>50.24</v>
      </c>
      <c r="H53" s="391" t="s">
        <v>775</v>
      </c>
      <c r="I53" s="392" t="s">
        <v>776</v>
      </c>
      <c r="J53" s="393">
        <v>0.61499999999999999</v>
      </c>
      <c r="K53" s="387">
        <f t="shared" si="1"/>
        <v>6.0956817371937273</v>
      </c>
      <c r="L53" s="387">
        <f t="shared" si="3"/>
        <v>0.29538254580476797</v>
      </c>
      <c r="M53" s="388">
        <f t="shared" si="5"/>
        <v>7.8962397271416416</v>
      </c>
    </row>
    <row r="54" spans="2:13" ht="20.25" thickBot="1">
      <c r="B54" s="394">
        <v>50</v>
      </c>
      <c r="C54" s="395" t="s">
        <v>625</v>
      </c>
      <c r="D54" s="395" t="s">
        <v>777</v>
      </c>
      <c r="E54" s="396">
        <v>90.8</v>
      </c>
      <c r="F54" s="396">
        <f t="shared" si="4"/>
        <v>63.559999999999995</v>
      </c>
      <c r="G54" s="396">
        <v>51.18</v>
      </c>
      <c r="H54" s="396" t="s">
        <v>778</v>
      </c>
      <c r="I54" s="397" t="s">
        <v>779</v>
      </c>
      <c r="J54" s="398">
        <v>0.61499999999999999</v>
      </c>
      <c r="K54" s="399">
        <f t="shared" si="1"/>
        <v>6.4543721475960769</v>
      </c>
      <c r="L54" s="399">
        <f t="shared" si="3"/>
        <v>0.29412866337129645</v>
      </c>
      <c r="M54" s="388">
        <f t="shared" si="5"/>
        <v>8.3527880002694364</v>
      </c>
    </row>
  </sheetData>
  <mergeCells count="2">
    <mergeCell ref="B2:I2"/>
    <mergeCell ref="J2:M2"/>
  </mergeCells>
  <dataValidations count="1">
    <dataValidation type="custom" allowBlank="1" showDropDown="1" sqref="B4:B54" xr:uid="{B9C3230E-53A6-498D-9E51-58DDA2AA1A4A}">
      <formula1>AND(ISNUMBER(B4),(NOT(OR(NOT(ISERROR(DATEVALUE(B4))), AND(ISNUMBER(B4), LEFT(CELL("format", B4))="D")))))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14BBC-020F-7F4F-8A72-1EB8AF2D0195}">
  <dimension ref="B1:Q58"/>
  <sheetViews>
    <sheetView workbookViewId="0">
      <selection activeCell="J17" sqref="J17"/>
    </sheetView>
  </sheetViews>
  <sheetFormatPr defaultColWidth="10.6640625" defaultRowHeight="18"/>
  <cols>
    <col min="1" max="1" width="1.6640625" style="248" customWidth="1"/>
    <col min="2" max="2" width="15.109375" style="248" customWidth="1"/>
    <col min="3" max="3" width="13.6640625" style="248" customWidth="1"/>
    <col min="4" max="4" width="11.44140625" style="248" bestFit="1" customWidth="1"/>
    <col min="5" max="5" width="0" style="248" hidden="1" customWidth="1"/>
    <col min="6" max="6" width="11.5546875" style="405"/>
    <col min="7" max="7" width="11.44140625" style="248" bestFit="1" customWidth="1"/>
    <col min="8" max="9" width="11.5546875" style="248" hidden="1" customWidth="1"/>
    <col min="10" max="12" width="11.5546875" style="261"/>
    <col min="13" max="13" width="14.109375" style="261" customWidth="1"/>
    <col min="14" max="16384" width="10.6640625" style="248"/>
  </cols>
  <sheetData>
    <row r="1" spans="2:17" ht="18.75" thickBot="1">
      <c r="B1" s="493" t="s">
        <v>265</v>
      </c>
      <c r="C1" s="493"/>
      <c r="D1" s="493"/>
      <c r="E1" s="493"/>
      <c r="F1" s="493"/>
      <c r="G1" s="493"/>
      <c r="H1" s="493"/>
      <c r="I1" s="493"/>
      <c r="J1" s="490" t="s">
        <v>266</v>
      </c>
      <c r="K1" s="490"/>
      <c r="L1" s="490"/>
      <c r="M1" s="490"/>
    </row>
    <row r="2" spans="2:17" ht="18.75" hidden="1" thickBot="1">
      <c r="B2" s="401" t="s">
        <v>780</v>
      </c>
      <c r="C2" s="401" t="s">
        <v>781</v>
      </c>
      <c r="D2" s="401" t="s">
        <v>782</v>
      </c>
      <c r="E2" s="401" t="s">
        <v>783</v>
      </c>
      <c r="F2" s="401" t="s">
        <v>784</v>
      </c>
      <c r="G2" s="401" t="s">
        <v>785</v>
      </c>
      <c r="H2" s="401" t="s">
        <v>786</v>
      </c>
      <c r="I2" s="401" t="s">
        <v>787</v>
      </c>
      <c r="J2" s="402" t="s">
        <v>788</v>
      </c>
      <c r="K2" s="402" t="s">
        <v>789</v>
      </c>
      <c r="L2" s="402" t="s">
        <v>790</v>
      </c>
      <c r="M2" s="402" t="s">
        <v>791</v>
      </c>
    </row>
    <row r="3" spans="2:17" s="338" customFormat="1" ht="90.75" thickBot="1">
      <c r="B3" s="351" t="s">
        <v>267</v>
      </c>
      <c r="C3" s="351" t="s">
        <v>18</v>
      </c>
      <c r="D3" s="351" t="s">
        <v>268</v>
      </c>
      <c r="E3" s="351" t="s">
        <v>269</v>
      </c>
      <c r="F3" s="352" t="s">
        <v>270</v>
      </c>
      <c r="G3" s="351" t="s">
        <v>271</v>
      </c>
      <c r="H3" s="351" t="s">
        <v>272</v>
      </c>
      <c r="I3" s="352" t="s">
        <v>273</v>
      </c>
      <c r="J3" s="353" t="s">
        <v>274</v>
      </c>
      <c r="K3" s="355" t="s">
        <v>275</v>
      </c>
      <c r="L3" s="355" t="s">
        <v>276</v>
      </c>
      <c r="M3" s="356" t="s">
        <v>277</v>
      </c>
    </row>
    <row r="4" spans="2:17">
      <c r="B4" s="408">
        <v>0</v>
      </c>
      <c r="C4" s="409" t="s">
        <v>281</v>
      </c>
      <c r="D4" s="409" t="s">
        <v>282</v>
      </c>
      <c r="E4" s="409" t="s">
        <v>792</v>
      </c>
      <c r="F4" s="410">
        <f>E4*_xlfn.XLOOKUP(Summary!$C$26,'Curve Comparison'!$B$3:$B$9,'Curve Comparison'!$D$3:$D$9)</f>
        <v>2.069230769230769</v>
      </c>
      <c r="G4" s="409" t="s">
        <v>793</v>
      </c>
      <c r="H4" s="409" t="s">
        <v>285</v>
      </c>
      <c r="I4" s="409" t="s">
        <v>286</v>
      </c>
      <c r="J4" s="411">
        <v>0.61499999999999999</v>
      </c>
      <c r="K4" s="412">
        <f>(0.0673*(J4*(F4^2)*G4)^0.976)/1000</f>
        <v>6.5193907954725586E-4</v>
      </c>
      <c r="L4" s="413">
        <f>+EXP(-1.085+0.9256*LN(K4))/K4</f>
        <v>0.58319458814880232</v>
      </c>
      <c r="M4" s="414">
        <f>+Table2[[#This Row],[Column3]]*(1+Table2[[#This Row],[Column4]])</f>
        <v>1.0321464225419271E-3</v>
      </c>
      <c r="N4" s="403"/>
      <c r="Q4" s="403"/>
    </row>
    <row r="5" spans="2:17">
      <c r="B5" s="408">
        <v>1</v>
      </c>
      <c r="C5" s="409" t="s">
        <v>287</v>
      </c>
      <c r="D5" s="409" t="s">
        <v>282</v>
      </c>
      <c r="E5" s="409" t="s">
        <v>794</v>
      </c>
      <c r="F5" s="410">
        <f>E5*_xlfn.XLOOKUP(Summary!$C$26,'Curve Comparison'!$B$3:$B$9,'Curve Comparison'!$D$3:$D$9)</f>
        <v>4.138461538461538</v>
      </c>
      <c r="G5" s="409" t="s">
        <v>795</v>
      </c>
      <c r="H5" s="409" t="s">
        <v>290</v>
      </c>
      <c r="I5" s="409" t="s">
        <v>291</v>
      </c>
      <c r="J5" s="415">
        <f>+J4</f>
        <v>0.61499999999999999</v>
      </c>
      <c r="K5" s="416">
        <f t="shared" ref="K5:K54" si="0">(0.0673*(J5*(F5^2)*G5)^0.976)/1000</f>
        <v>3.9818432305846595E-3</v>
      </c>
      <c r="L5" s="417">
        <f>+EXP(-1.085+0.9256*LN(K5))/K5</f>
        <v>0.5097347314492674</v>
      </c>
      <c r="M5" s="414">
        <f>+Table2[[#This Row],[Column3]]*(1+Table2[[#This Row],[Column4]])</f>
        <v>6.0115270203998138E-3</v>
      </c>
      <c r="Q5" s="403"/>
    </row>
    <row r="6" spans="2:17">
      <c r="B6" s="408">
        <v>2</v>
      </c>
      <c r="C6" s="409" t="s">
        <v>292</v>
      </c>
      <c r="D6" s="409" t="s">
        <v>282</v>
      </c>
      <c r="E6" s="409" t="s">
        <v>796</v>
      </c>
      <c r="F6" s="410">
        <f>E6*_xlfn.XLOOKUP(Summary!$C$26,'Curve Comparison'!$B$3:$B$9,'Curve Comparison'!$D$3:$D$9)</f>
        <v>5.4384615384615378</v>
      </c>
      <c r="G6" s="409" t="s">
        <v>797</v>
      </c>
      <c r="H6" s="409" t="s">
        <v>295</v>
      </c>
      <c r="I6" s="409" t="s">
        <v>296</v>
      </c>
      <c r="J6" s="415">
        <f t="shared" ref="J6:J17" si="1">+J5</f>
        <v>0.61499999999999999</v>
      </c>
      <c r="K6" s="416">
        <f t="shared" si="0"/>
        <v>8.5203792574827797E-3</v>
      </c>
      <c r="L6" s="417">
        <f>+EXP(-1.085+0.9256*LN(K6))/K6</f>
        <v>0.4816863539171945</v>
      </c>
      <c r="M6" s="414">
        <f>+Table2[[#This Row],[Column3]]*(1+Table2[[#This Row],[Column4]])</f>
        <v>1.2624529676011353E-2</v>
      </c>
      <c r="Q6" s="403"/>
    </row>
    <row r="7" spans="2:17">
      <c r="B7" s="408">
        <v>3</v>
      </c>
      <c r="C7" s="409" t="s">
        <v>297</v>
      </c>
      <c r="D7" s="409" t="s">
        <v>301</v>
      </c>
      <c r="E7" s="409" t="s">
        <v>798</v>
      </c>
      <c r="F7" s="410">
        <f>E7*_xlfn.XLOOKUP(Summary!$C$26,'Curve Comparison'!$B$3:$B$9,'Curve Comparison'!$D$3:$D$9)</f>
        <v>6.6923076923076907</v>
      </c>
      <c r="G7" s="409" t="s">
        <v>799</v>
      </c>
      <c r="H7" s="409" t="s">
        <v>302</v>
      </c>
      <c r="I7" s="409" t="s">
        <v>303</v>
      </c>
      <c r="J7" s="415">
        <f t="shared" si="1"/>
        <v>0.61499999999999999</v>
      </c>
      <c r="K7" s="416">
        <f t="shared" si="0"/>
        <v>1.5391932777211105E-2</v>
      </c>
      <c r="L7" s="417">
        <f t="shared" ref="L7:L54" si="2">+EXP(-1.085+0.9256*LN(K7))/K7</f>
        <v>0.46095218311970965</v>
      </c>
      <c r="M7" s="414">
        <f>+Table2[[#This Row],[Column3]]*(1+Table2[[#This Row],[Column4]])</f>
        <v>2.2486877793298381E-2</v>
      </c>
      <c r="Q7" s="403"/>
    </row>
    <row r="8" spans="2:17">
      <c r="B8" s="408">
        <v>4</v>
      </c>
      <c r="C8" s="409" t="s">
        <v>304</v>
      </c>
      <c r="D8" s="409" t="s">
        <v>308</v>
      </c>
      <c r="E8" s="409" t="s">
        <v>800</v>
      </c>
      <c r="F8" s="410">
        <f>E8*_xlfn.XLOOKUP(Summary!$C$26,'Curve Comparison'!$B$3:$B$9,'Curve Comparison'!$D$3:$D$9)</f>
        <v>8.023076923076923</v>
      </c>
      <c r="G8" s="409" t="s">
        <v>801</v>
      </c>
      <c r="H8" s="409" t="s">
        <v>309</v>
      </c>
      <c r="I8" s="409" t="s">
        <v>310</v>
      </c>
      <c r="J8" s="415">
        <f t="shared" si="1"/>
        <v>0.61499999999999999</v>
      </c>
      <c r="K8" s="416">
        <f t="shared" si="0"/>
        <v>2.5576884664579448E-2</v>
      </c>
      <c r="L8" s="417">
        <f t="shared" si="2"/>
        <v>0.44386062703458939</v>
      </c>
      <c r="M8" s="414">
        <f>+Table2[[#This Row],[Column3]]*(1+Table2[[#This Row],[Column4]])</f>
        <v>3.6929456729391061E-2</v>
      </c>
      <c r="Q8" s="403"/>
    </row>
    <row r="9" spans="2:17">
      <c r="B9" s="408">
        <v>5</v>
      </c>
      <c r="C9" s="409" t="s">
        <v>311</v>
      </c>
      <c r="D9" s="409" t="s">
        <v>315</v>
      </c>
      <c r="E9" s="409" t="s">
        <v>802</v>
      </c>
      <c r="F9" s="410">
        <f>E9*_xlfn.XLOOKUP(Summary!$C$26,'Curve Comparison'!$B$3:$B$9,'Curve Comparison'!$D$3:$D$9)</f>
        <v>9.407692307692308</v>
      </c>
      <c r="G9" s="409" t="s">
        <v>803</v>
      </c>
      <c r="H9" s="409" t="s">
        <v>316</v>
      </c>
      <c r="I9" s="409" t="s">
        <v>317</v>
      </c>
      <c r="J9" s="415">
        <f t="shared" si="1"/>
        <v>0.61499999999999999</v>
      </c>
      <c r="K9" s="416">
        <f t="shared" si="0"/>
        <v>3.897094067693517E-2</v>
      </c>
      <c r="L9" s="417">
        <f t="shared" si="2"/>
        <v>0.43016925270146239</v>
      </c>
      <c r="M9" s="414">
        <f>+Table2[[#This Row],[Column3]]*(1+Table2[[#This Row],[Column4]])</f>
        <v>5.5735041105005399E-2</v>
      </c>
      <c r="Q9" s="403"/>
    </row>
    <row r="10" spans="2:17">
      <c r="B10" s="408">
        <v>6</v>
      </c>
      <c r="C10" s="409" t="s">
        <v>318</v>
      </c>
      <c r="D10" s="409" t="s">
        <v>322</v>
      </c>
      <c r="E10" s="409" t="s">
        <v>804</v>
      </c>
      <c r="F10" s="410">
        <f>E10*_xlfn.XLOOKUP(Summary!$C$26,'Curve Comparison'!$B$3:$B$9,'Curve Comparison'!$D$3:$D$9)</f>
        <v>10.815384615384614</v>
      </c>
      <c r="G10" s="409" t="s">
        <v>805</v>
      </c>
      <c r="H10" s="409" t="s">
        <v>323</v>
      </c>
      <c r="I10" s="409" t="s">
        <v>324</v>
      </c>
      <c r="J10" s="415">
        <f t="shared" si="1"/>
        <v>0.61499999999999999</v>
      </c>
      <c r="K10" s="416">
        <f t="shared" si="0"/>
        <v>5.6134147379272956E-2</v>
      </c>
      <c r="L10" s="417">
        <f t="shared" si="2"/>
        <v>0.41864700500909169</v>
      </c>
      <c r="M10" s="414">
        <f>+Table2[[#This Row],[Column3]]*(1+Table2[[#This Row],[Column4]])</f>
        <v>7.9634540058344541E-2</v>
      </c>
      <c r="Q10" s="403"/>
    </row>
    <row r="11" spans="2:17">
      <c r="B11" s="408">
        <v>7</v>
      </c>
      <c r="C11" s="409" t="s">
        <v>325</v>
      </c>
      <c r="D11" s="409" t="s">
        <v>329</v>
      </c>
      <c r="E11" s="409" t="s">
        <v>806</v>
      </c>
      <c r="F11" s="410">
        <f>E11*_xlfn.XLOOKUP(Summary!$C$26,'Curve Comparison'!$B$3:$B$9,'Curve Comparison'!$D$3:$D$9)</f>
        <v>12.269230769230768</v>
      </c>
      <c r="G11" s="409" t="s">
        <v>807</v>
      </c>
      <c r="H11" s="409" t="s">
        <v>330</v>
      </c>
      <c r="I11" s="409" t="s">
        <v>331</v>
      </c>
      <c r="J11" s="415">
        <f t="shared" si="1"/>
        <v>0.61499999999999999</v>
      </c>
      <c r="K11" s="416">
        <f t="shared" si="0"/>
        <v>7.7536117310249841E-2</v>
      </c>
      <c r="L11" s="417">
        <f t="shared" si="2"/>
        <v>0.40870635049611898</v>
      </c>
      <c r="M11" s="414">
        <f>+Table2[[#This Row],[Column3]]*(1+Table2[[#This Row],[Column4]])</f>
        <v>0.10922562084776101</v>
      </c>
      <c r="Q11" s="403"/>
    </row>
    <row r="12" spans="2:17">
      <c r="B12" s="408">
        <v>8</v>
      </c>
      <c r="C12" s="409" t="s">
        <v>332</v>
      </c>
      <c r="D12" s="409" t="s">
        <v>336</v>
      </c>
      <c r="E12" s="409" t="s">
        <v>808</v>
      </c>
      <c r="F12" s="410">
        <f>E12*_xlfn.XLOOKUP(Summary!$C$26,'Curve Comparison'!$B$3:$B$9,'Curve Comparison'!$D$3:$D$9)</f>
        <v>13.746153846153845</v>
      </c>
      <c r="G12" s="409" t="s">
        <v>809</v>
      </c>
      <c r="H12" s="409" t="s">
        <v>337</v>
      </c>
      <c r="I12" s="409" t="s">
        <v>338</v>
      </c>
      <c r="J12" s="415">
        <f t="shared" si="1"/>
        <v>0.61499999999999999</v>
      </c>
      <c r="K12" s="416">
        <f t="shared" si="0"/>
        <v>0.1034303354019354</v>
      </c>
      <c r="L12" s="417">
        <f t="shared" si="2"/>
        <v>0.40003747825411567</v>
      </c>
      <c r="M12" s="414">
        <f>+Table2[[#This Row],[Column3]]*(1+Table2[[#This Row],[Column4]])</f>
        <v>0.144806345951103</v>
      </c>
      <c r="Q12" s="403"/>
    </row>
    <row r="13" spans="2:17">
      <c r="B13" s="408">
        <v>9</v>
      </c>
      <c r="C13" s="409" t="s">
        <v>339</v>
      </c>
      <c r="D13" s="409" t="s">
        <v>343</v>
      </c>
      <c r="E13" s="409" t="s">
        <v>810</v>
      </c>
      <c r="F13" s="410">
        <f>E13*_xlfn.XLOOKUP(Summary!$C$26,'Curve Comparison'!$B$3:$B$9,'Curve Comparison'!$D$3:$D$9)</f>
        <v>15.223076923076921</v>
      </c>
      <c r="G13" s="409" t="s">
        <v>811</v>
      </c>
      <c r="H13" s="409" t="s">
        <v>344</v>
      </c>
      <c r="I13" s="409" t="s">
        <v>345</v>
      </c>
      <c r="J13" s="415">
        <f t="shared" si="1"/>
        <v>0.61499999999999999</v>
      </c>
      <c r="K13" s="416">
        <f t="shared" si="0"/>
        <v>0.13361383312153338</v>
      </c>
      <c r="L13" s="417">
        <f t="shared" si="2"/>
        <v>0.39248868517852314</v>
      </c>
      <c r="M13" s="414">
        <f>+Table2[[#This Row],[Column3]]*(1+Table2[[#This Row],[Column4]])</f>
        <v>0.18605575080506664</v>
      </c>
      <c r="Q13" s="403"/>
    </row>
    <row r="14" spans="2:17" ht="18.75" thickBot="1">
      <c r="B14" s="418">
        <v>10</v>
      </c>
      <c r="C14" s="419" t="s">
        <v>346</v>
      </c>
      <c r="D14" s="419" t="s">
        <v>350</v>
      </c>
      <c r="E14" s="419" t="s">
        <v>812</v>
      </c>
      <c r="F14" s="410">
        <f>E14*_xlfn.XLOOKUP(Summary!$C$26,'Curve Comparison'!$B$3:$B$9,'Curve Comparison'!$D$3:$D$9)</f>
        <v>16.623076923076923</v>
      </c>
      <c r="G14" s="419" t="s">
        <v>813</v>
      </c>
      <c r="H14" s="419" t="s">
        <v>351</v>
      </c>
      <c r="I14" s="419" t="s">
        <v>352</v>
      </c>
      <c r="J14" s="420">
        <f t="shared" si="1"/>
        <v>0.61499999999999999</v>
      </c>
      <c r="K14" s="421">
        <f t="shared" si="0"/>
        <v>0.16602187631649168</v>
      </c>
      <c r="L14" s="422">
        <f t="shared" si="2"/>
        <v>0.38619814861159807</v>
      </c>
      <c r="M14" s="423">
        <f>+Table2[[#This Row],[Column3]]*(1+Table2[[#This Row],[Column4]])</f>
        <v>0.23013921757894445</v>
      </c>
      <c r="Q14" s="403"/>
    </row>
    <row r="15" spans="2:17">
      <c r="B15" s="424">
        <v>11</v>
      </c>
      <c r="C15" s="425" t="s">
        <v>353</v>
      </c>
      <c r="D15" s="425" t="s">
        <v>357</v>
      </c>
      <c r="E15" s="425" t="s">
        <v>814</v>
      </c>
      <c r="F15" s="426">
        <f>+Table2[[#This Row],[Column1]]*0.7</f>
        <v>16.331</v>
      </c>
      <c r="G15" s="425" t="s">
        <v>815</v>
      </c>
      <c r="H15" s="425" t="s">
        <v>358</v>
      </c>
      <c r="I15" s="425" t="s">
        <v>359</v>
      </c>
      <c r="J15" s="427">
        <f t="shared" si="1"/>
        <v>0.61499999999999999</v>
      </c>
      <c r="K15" s="428">
        <f t="shared" si="0"/>
        <v>0.1667792227317797</v>
      </c>
      <c r="L15" s="429">
        <f>+EXP(-1.085+0.9256*LN(K15))/K15</f>
        <v>0.38606739606317514</v>
      </c>
      <c r="M15" s="430">
        <f>+Table2[[#This Row],[Column3]]*(1+Table2[[#This Row],[Column4]])</f>
        <v>0.23116724296927818</v>
      </c>
      <c r="Q15" s="403"/>
    </row>
    <row r="16" spans="2:17">
      <c r="B16" s="431">
        <v>12</v>
      </c>
      <c r="C16" s="432" t="s">
        <v>360</v>
      </c>
      <c r="D16" s="432" t="s">
        <v>364</v>
      </c>
      <c r="E16" s="432" t="s">
        <v>816</v>
      </c>
      <c r="F16" s="433">
        <f>+Table2[[#This Row],[Column1]]*0.7</f>
        <v>17.486000000000001</v>
      </c>
      <c r="G16" s="432" t="s">
        <v>817</v>
      </c>
      <c r="H16" s="432" t="s">
        <v>365</v>
      </c>
      <c r="I16" s="432" t="s">
        <v>366</v>
      </c>
      <c r="J16" s="434">
        <f t="shared" si="1"/>
        <v>0.61499999999999999</v>
      </c>
      <c r="K16" s="435">
        <f t="shared" si="0"/>
        <v>0.19768582461356002</v>
      </c>
      <c r="L16" s="436">
        <f>+EXP(-1.085+0.9256*LN(K16))/K16</f>
        <v>0.38121493586718957</v>
      </c>
      <c r="M16" s="430">
        <f>+Table2[[#This Row],[Column3]]*(1+Table2[[#This Row],[Column4]])</f>
        <v>0.27304661356547077</v>
      </c>
      <c r="Q16" s="403"/>
    </row>
    <row r="17" spans="2:17">
      <c r="B17" s="431">
        <v>13</v>
      </c>
      <c r="C17" s="432" t="s">
        <v>367</v>
      </c>
      <c r="D17" s="432" t="s">
        <v>371</v>
      </c>
      <c r="E17" s="432" t="s">
        <v>818</v>
      </c>
      <c r="F17" s="433">
        <f>+Table2[[#This Row],[Column1]]*0.7</f>
        <v>18.570999999999998</v>
      </c>
      <c r="G17" s="432" t="s">
        <v>819</v>
      </c>
      <c r="H17" s="432" t="s">
        <v>372</v>
      </c>
      <c r="I17" s="432" t="s">
        <v>373</v>
      </c>
      <c r="J17" s="434">
        <f t="shared" si="1"/>
        <v>0.61499999999999999</v>
      </c>
      <c r="K17" s="435">
        <f t="shared" si="0"/>
        <v>0.23032326512551282</v>
      </c>
      <c r="L17" s="436">
        <f>+EXP(-1.085+0.9256*LN(K17))/K17</f>
        <v>0.37690556876054099</v>
      </c>
      <c r="M17" s="430">
        <f>+Table2[[#This Row],[Column3]]*(1+Table2[[#This Row],[Column4]])</f>
        <v>0.31713338636642907</v>
      </c>
      <c r="Q17" s="403"/>
    </row>
    <row r="18" spans="2:17">
      <c r="B18" s="431">
        <v>14</v>
      </c>
      <c r="C18" s="432" t="s">
        <v>374</v>
      </c>
      <c r="D18" s="432" t="s">
        <v>378</v>
      </c>
      <c r="E18" s="432" t="s">
        <v>820</v>
      </c>
      <c r="F18" s="433">
        <f>+Table2[[#This Row],[Column1]]*0.7</f>
        <v>19.648999999999997</v>
      </c>
      <c r="G18" s="432" t="s">
        <v>821</v>
      </c>
      <c r="H18" s="432" t="s">
        <v>379</v>
      </c>
      <c r="I18" s="432" t="s">
        <v>380</v>
      </c>
      <c r="J18" s="434">
        <f t="shared" ref="J18:J35" si="3">+J17</f>
        <v>0.61499999999999999</v>
      </c>
      <c r="K18" s="435">
        <f t="shared" si="0"/>
        <v>0.26579631350702204</v>
      </c>
      <c r="L18" s="436">
        <f>+EXP(-1.085+0.9256*LN(K18))/K18</f>
        <v>0.37291001323136069</v>
      </c>
      <c r="M18" s="430">
        <f>+Table2[[#This Row],[Column3]]*(1+Table2[[#This Row],[Column4]])</f>
        <v>0.36491442029377252</v>
      </c>
      <c r="Q18" s="403"/>
    </row>
    <row r="19" spans="2:17">
      <c r="B19" s="431">
        <v>15</v>
      </c>
      <c r="C19" s="432" t="s">
        <v>381</v>
      </c>
      <c r="D19" s="432" t="s">
        <v>385</v>
      </c>
      <c r="E19" s="432" t="s">
        <v>822</v>
      </c>
      <c r="F19" s="433">
        <f>+Table2[[#This Row],[Column1]]*0.7</f>
        <v>20.663999999999998</v>
      </c>
      <c r="G19" s="432" t="s">
        <v>823</v>
      </c>
      <c r="H19" s="432" t="s">
        <v>386</v>
      </c>
      <c r="I19" s="432" t="s">
        <v>387</v>
      </c>
      <c r="J19" s="434">
        <f t="shared" si="3"/>
        <v>0.61499999999999999</v>
      </c>
      <c r="K19" s="435">
        <f t="shared" si="0"/>
        <v>0.30293774246204458</v>
      </c>
      <c r="L19" s="436">
        <f t="shared" si="2"/>
        <v>0.36929871399628716</v>
      </c>
      <c r="M19" s="430">
        <f>+Table2[[#This Row],[Column3]]*(1+Table2[[#This Row],[Column4]])</f>
        <v>0.41481226117421605</v>
      </c>
      <c r="Q19" s="403"/>
    </row>
    <row r="20" spans="2:17">
      <c r="B20" s="431">
        <v>16</v>
      </c>
      <c r="C20" s="432" t="s">
        <v>388</v>
      </c>
      <c r="D20" s="432" t="s">
        <v>392</v>
      </c>
      <c r="E20" s="432" t="s">
        <v>824</v>
      </c>
      <c r="F20" s="433">
        <f>+Table2[[#This Row],[Column1]]*0.7</f>
        <v>21.658000000000001</v>
      </c>
      <c r="G20" s="432" t="s">
        <v>825</v>
      </c>
      <c r="H20" s="432" t="s">
        <v>393</v>
      </c>
      <c r="I20" s="432" t="s">
        <v>394</v>
      </c>
      <c r="J20" s="434">
        <f t="shared" si="3"/>
        <v>0.61499999999999999</v>
      </c>
      <c r="K20" s="435">
        <f t="shared" si="0"/>
        <v>0.34309764173467577</v>
      </c>
      <c r="L20" s="436">
        <f t="shared" si="2"/>
        <v>0.36589410101742603</v>
      </c>
      <c r="M20" s="430">
        <f>+Table2[[#This Row],[Column3]]*(1+Table2[[#This Row],[Column4]])</f>
        <v>0.46863504491838381</v>
      </c>
      <c r="Q20" s="403"/>
    </row>
    <row r="21" spans="2:17">
      <c r="B21" s="431">
        <v>17</v>
      </c>
      <c r="C21" s="432" t="s">
        <v>395</v>
      </c>
      <c r="D21" s="432" t="s">
        <v>399</v>
      </c>
      <c r="E21" s="432" t="s">
        <v>674</v>
      </c>
      <c r="F21" s="433">
        <f>+Table2[[#This Row],[Column1]]*0.7</f>
        <v>22.602999999999998</v>
      </c>
      <c r="G21" s="432" t="s">
        <v>826</v>
      </c>
      <c r="H21" s="432" t="s">
        <v>400</v>
      </c>
      <c r="I21" s="432" t="s">
        <v>401</v>
      </c>
      <c r="J21" s="434">
        <f t="shared" si="3"/>
        <v>0.61499999999999999</v>
      </c>
      <c r="K21" s="435">
        <f t="shared" si="0"/>
        <v>0.38444222641265186</v>
      </c>
      <c r="L21" s="436">
        <f t="shared" si="2"/>
        <v>0.3628098376426801</v>
      </c>
      <c r="M21" s="430">
        <f>+Table2[[#This Row],[Column3]]*(1+Table2[[#This Row],[Column4]])</f>
        <v>0.52392164816041653</v>
      </c>
      <c r="Q21" s="403"/>
    </row>
    <row r="22" spans="2:17">
      <c r="B22" s="431">
        <v>18</v>
      </c>
      <c r="C22" s="432" t="s">
        <v>402</v>
      </c>
      <c r="D22" s="432" t="s">
        <v>406</v>
      </c>
      <c r="E22" s="432" t="s">
        <v>827</v>
      </c>
      <c r="F22" s="433">
        <f>+Table2[[#This Row],[Column1]]*0.7</f>
        <v>23.526999999999997</v>
      </c>
      <c r="G22" s="432" t="s">
        <v>828</v>
      </c>
      <c r="H22" s="432" t="s">
        <v>407</v>
      </c>
      <c r="I22" s="432" t="s">
        <v>408</v>
      </c>
      <c r="J22" s="434">
        <f t="shared" si="3"/>
        <v>0.61499999999999999</v>
      </c>
      <c r="K22" s="435">
        <f t="shared" si="0"/>
        <v>0.42833998618945562</v>
      </c>
      <c r="L22" s="436">
        <f t="shared" si="2"/>
        <v>0.35990295621641444</v>
      </c>
      <c r="M22" s="430">
        <f>+Table2[[#This Row],[Column3]]*(1+Table2[[#This Row],[Column4]])</f>
        <v>0.58250081348473881</v>
      </c>
      <c r="Q22" s="403"/>
    </row>
    <row r="23" spans="2:17">
      <c r="B23" s="431">
        <v>19</v>
      </c>
      <c r="C23" s="432" t="s">
        <v>409</v>
      </c>
      <c r="D23" s="432" t="s">
        <v>413</v>
      </c>
      <c r="E23" s="432" t="s">
        <v>829</v>
      </c>
      <c r="F23" s="433">
        <f>+Table2[[#This Row],[Column1]]*0.7</f>
        <v>24.436999999999998</v>
      </c>
      <c r="G23" s="432" t="s">
        <v>830</v>
      </c>
      <c r="H23" s="432" t="s">
        <v>414</v>
      </c>
      <c r="I23" s="432" t="s">
        <v>415</v>
      </c>
      <c r="J23" s="434">
        <f t="shared" si="3"/>
        <v>0.61499999999999999</v>
      </c>
      <c r="K23" s="435">
        <f t="shared" si="0"/>
        <v>0.47563601306801795</v>
      </c>
      <c r="L23" s="436">
        <f t="shared" si="2"/>
        <v>0.35710937136307924</v>
      </c>
      <c r="M23" s="430">
        <f>+Table2[[#This Row],[Column3]]*(1+Table2[[#This Row],[Column4]])</f>
        <v>0.64549009069237917</v>
      </c>
      <c r="Q23" s="403"/>
    </row>
    <row r="24" spans="2:17">
      <c r="B24" s="431">
        <v>20</v>
      </c>
      <c r="C24" s="432" t="s">
        <v>416</v>
      </c>
      <c r="D24" s="432" t="s">
        <v>420</v>
      </c>
      <c r="E24" s="432" t="s">
        <v>831</v>
      </c>
      <c r="F24" s="433">
        <f>+Table2[[#This Row],[Column1]]*0.7</f>
        <v>25.34</v>
      </c>
      <c r="G24" s="432" t="s">
        <v>832</v>
      </c>
      <c r="H24" s="432" t="s">
        <v>421</v>
      </c>
      <c r="I24" s="432" t="s">
        <v>422</v>
      </c>
      <c r="J24" s="434">
        <f t="shared" si="3"/>
        <v>0.61499999999999999</v>
      </c>
      <c r="K24" s="435">
        <f t="shared" si="0"/>
        <v>0.52636652845558518</v>
      </c>
      <c r="L24" s="436">
        <f t="shared" si="2"/>
        <v>0.35442687065756723</v>
      </c>
      <c r="M24" s="430">
        <f>+Table2[[#This Row],[Column3]]*(1+Table2[[#This Row],[Column4]])</f>
        <v>0.71292496995498555</v>
      </c>
      <c r="Q24" s="403"/>
    </row>
    <row r="25" spans="2:17">
      <c r="B25" s="431">
        <v>21</v>
      </c>
      <c r="C25" s="432" t="s">
        <v>423</v>
      </c>
      <c r="D25" s="432" t="s">
        <v>427</v>
      </c>
      <c r="E25" s="432" t="s">
        <v>833</v>
      </c>
      <c r="F25" s="433">
        <f>+Table2[[#This Row],[Column1]]*0.7</f>
        <v>26.25</v>
      </c>
      <c r="G25" s="432" t="s">
        <v>834</v>
      </c>
      <c r="H25" s="432" t="s">
        <v>428</v>
      </c>
      <c r="I25" s="432" t="s">
        <v>429</v>
      </c>
      <c r="J25" s="434">
        <f t="shared" si="3"/>
        <v>0.61499999999999999</v>
      </c>
      <c r="K25" s="435">
        <f t="shared" si="0"/>
        <v>0.57882496364093883</v>
      </c>
      <c r="L25" s="436">
        <f t="shared" si="2"/>
        <v>0.35193055265030093</v>
      </c>
      <c r="M25" s="430">
        <f>+Table2[[#This Row],[Column3]]*(1+Table2[[#This Row],[Column4]])</f>
        <v>0.78253115298288478</v>
      </c>
      <c r="Q25" s="403"/>
    </row>
    <row r="26" spans="2:17">
      <c r="B26" s="431">
        <v>22</v>
      </c>
      <c r="C26" s="432" t="s">
        <v>430</v>
      </c>
      <c r="D26" s="432" t="s">
        <v>434</v>
      </c>
      <c r="E26" s="432" t="s">
        <v>835</v>
      </c>
      <c r="F26" s="433">
        <f>+Table2[[#This Row],[Column1]]*0.7</f>
        <v>27.138999999999999</v>
      </c>
      <c r="G26" s="432" t="s">
        <v>836</v>
      </c>
      <c r="H26" s="432" t="s">
        <v>435</v>
      </c>
      <c r="I26" s="432" t="s">
        <v>436</v>
      </c>
      <c r="J26" s="434">
        <f t="shared" si="3"/>
        <v>0.61499999999999999</v>
      </c>
      <c r="K26" s="435">
        <f t="shared" si="0"/>
        <v>0.63457944614861095</v>
      </c>
      <c r="L26" s="436">
        <f t="shared" si="2"/>
        <v>0.34953086249639653</v>
      </c>
      <c r="M26" s="430">
        <f>+Table2[[#This Row],[Column3]]*(1+Table2[[#This Row],[Column4]])</f>
        <v>0.85638454728342062</v>
      </c>
      <c r="Q26" s="403"/>
    </row>
    <row r="27" spans="2:17">
      <c r="B27" s="431">
        <v>23</v>
      </c>
      <c r="C27" s="432" t="s">
        <v>437</v>
      </c>
      <c r="D27" s="432" t="s">
        <v>441</v>
      </c>
      <c r="E27" s="432" t="s">
        <v>837</v>
      </c>
      <c r="F27" s="433">
        <f>+Table2[[#This Row],[Column1]]*0.7</f>
        <v>28.020999999999997</v>
      </c>
      <c r="G27" s="432" t="s">
        <v>838</v>
      </c>
      <c r="H27" s="432" t="s">
        <v>442</v>
      </c>
      <c r="I27" s="432" t="s">
        <v>443</v>
      </c>
      <c r="J27" s="434">
        <f t="shared" si="3"/>
        <v>0.61499999999999999</v>
      </c>
      <c r="K27" s="435">
        <f t="shared" si="0"/>
        <v>0.6941653213164064</v>
      </c>
      <c r="L27" s="436">
        <f t="shared" si="2"/>
        <v>0.3472047406989886</v>
      </c>
      <c r="M27" s="430">
        <f>+Table2[[#This Row],[Column3]]*(1+Table2[[#This Row],[Column4]])</f>
        <v>0.93518281170629947</v>
      </c>
      <c r="Q27" s="403"/>
    </row>
    <row r="28" spans="2:17">
      <c r="B28" s="431">
        <v>24</v>
      </c>
      <c r="C28" s="432" t="s">
        <v>444</v>
      </c>
      <c r="D28" s="432" t="s">
        <v>448</v>
      </c>
      <c r="E28" s="432" t="s">
        <v>839</v>
      </c>
      <c r="F28" s="433">
        <f>+Table2[[#This Row],[Column1]]*0.7</f>
        <v>28.895999999999997</v>
      </c>
      <c r="G28" s="432" t="s">
        <v>840</v>
      </c>
      <c r="H28" s="432" t="s">
        <v>449</v>
      </c>
      <c r="I28" s="432" t="s">
        <v>450</v>
      </c>
      <c r="J28" s="434">
        <f t="shared" si="3"/>
        <v>0.61499999999999999</v>
      </c>
      <c r="K28" s="435">
        <f t="shared" si="0"/>
        <v>0.7572249856087383</v>
      </c>
      <c r="L28" s="436">
        <f t="shared" si="2"/>
        <v>0.34496588799844063</v>
      </c>
      <c r="M28" s="430">
        <f>+Table2[[#This Row],[Column3]]*(1+Table2[[#This Row],[Column4]])</f>
        <v>1.0184417751838633</v>
      </c>
      <c r="Q28" s="403"/>
    </row>
    <row r="29" spans="2:17">
      <c r="B29" s="431">
        <v>25</v>
      </c>
      <c r="C29" s="432" t="s">
        <v>451</v>
      </c>
      <c r="D29" s="432" t="s">
        <v>455</v>
      </c>
      <c r="E29" s="432" t="s">
        <v>841</v>
      </c>
      <c r="F29" s="433">
        <f>+Table2[[#This Row],[Column1]]*0.7</f>
        <v>29.784999999999997</v>
      </c>
      <c r="G29" s="432" t="s">
        <v>842</v>
      </c>
      <c r="H29" s="432" t="s">
        <v>456</v>
      </c>
      <c r="I29" s="432" t="s">
        <v>457</v>
      </c>
      <c r="J29" s="434">
        <f t="shared" si="3"/>
        <v>0.61499999999999999</v>
      </c>
      <c r="K29" s="435">
        <f t="shared" si="0"/>
        <v>0.82469585844625137</v>
      </c>
      <c r="L29" s="436">
        <f t="shared" si="2"/>
        <v>0.34278217286393686</v>
      </c>
      <c r="M29" s="430">
        <f>+Table2[[#This Row],[Column3]]*(1+Table2[[#This Row],[Column4]])</f>
        <v>1.1073868967563472</v>
      </c>
      <c r="Q29" s="403"/>
    </row>
    <row r="30" spans="2:17">
      <c r="B30" s="431">
        <v>26</v>
      </c>
      <c r="C30" s="432" t="s">
        <v>458</v>
      </c>
      <c r="D30" s="432" t="s">
        <v>461</v>
      </c>
      <c r="E30" s="432" t="s">
        <v>843</v>
      </c>
      <c r="F30" s="433">
        <f>+Table2[[#This Row],[Column1]]*0.7</f>
        <v>30.638999999999999</v>
      </c>
      <c r="G30" s="432" t="s">
        <v>844</v>
      </c>
      <c r="H30" s="432" t="s">
        <v>462</v>
      </c>
      <c r="I30" s="432" t="s">
        <v>463</v>
      </c>
      <c r="J30" s="434">
        <f t="shared" si="3"/>
        <v>0.61499999999999999</v>
      </c>
      <c r="K30" s="435">
        <f t="shared" si="0"/>
        <v>0.89370831739362511</v>
      </c>
      <c r="L30" s="436">
        <f t="shared" si="2"/>
        <v>0.34073874511348157</v>
      </c>
      <c r="M30" s="430">
        <f>+Table2[[#This Row],[Column3]]*(1+Table2[[#This Row],[Column4]])</f>
        <v>1.1982293679598099</v>
      </c>
      <c r="Q30" s="403"/>
    </row>
    <row r="31" spans="2:17">
      <c r="B31" s="431">
        <v>27</v>
      </c>
      <c r="C31" s="432" t="s">
        <v>464</v>
      </c>
      <c r="D31" s="432" t="s">
        <v>468</v>
      </c>
      <c r="E31" s="432" t="s">
        <v>590</v>
      </c>
      <c r="F31" s="433">
        <f>+Table2[[#This Row],[Column1]]*0.7</f>
        <v>31.499999999999996</v>
      </c>
      <c r="G31" s="432" t="s">
        <v>845</v>
      </c>
      <c r="H31" s="432" t="s">
        <v>469</v>
      </c>
      <c r="I31" s="432" t="s">
        <v>470</v>
      </c>
      <c r="J31" s="434">
        <f t="shared" si="3"/>
        <v>0.61499999999999999</v>
      </c>
      <c r="K31" s="435">
        <f t="shared" si="0"/>
        <v>0.96556754795074307</v>
      </c>
      <c r="L31" s="436">
        <f t="shared" si="2"/>
        <v>0.33878381727196949</v>
      </c>
      <c r="M31" s="430">
        <f>+Table2[[#This Row],[Column3]]*(1+Table2[[#This Row],[Column4]])</f>
        <v>1.2926862076794312</v>
      </c>
      <c r="Q31" s="403"/>
    </row>
    <row r="32" spans="2:17">
      <c r="B32" s="431">
        <v>28</v>
      </c>
      <c r="C32" s="432" t="s">
        <v>471</v>
      </c>
      <c r="D32" s="432" t="s">
        <v>475</v>
      </c>
      <c r="E32" s="432" t="s">
        <v>846</v>
      </c>
      <c r="F32" s="433">
        <f>+Table2[[#This Row],[Column1]]*0.7</f>
        <v>32.360999999999997</v>
      </c>
      <c r="G32" s="432" t="s">
        <v>847</v>
      </c>
      <c r="H32" s="432" t="s">
        <v>476</v>
      </c>
      <c r="I32" s="432" t="s">
        <v>477</v>
      </c>
      <c r="J32" s="434">
        <f t="shared" si="3"/>
        <v>0.61499999999999999</v>
      </c>
      <c r="K32" s="435">
        <f t="shared" si="0"/>
        <v>1.0414546724023914</v>
      </c>
      <c r="L32" s="436">
        <f t="shared" si="2"/>
        <v>0.33688218358085387</v>
      </c>
      <c r="M32" s="430">
        <f>+Table2[[#This Row],[Column3]]*(1+Table2[[#This Row],[Column4]])</f>
        <v>1.3923021965417917</v>
      </c>
      <c r="Q32" s="403"/>
    </row>
    <row r="33" spans="2:17">
      <c r="B33" s="431">
        <v>29</v>
      </c>
      <c r="C33" s="432" t="s">
        <v>478</v>
      </c>
      <c r="D33" s="432" t="s">
        <v>482</v>
      </c>
      <c r="E33" s="432" t="s">
        <v>848</v>
      </c>
      <c r="F33" s="433">
        <f>+Table2[[#This Row],[Column1]]*0.7</f>
        <v>33.243000000000002</v>
      </c>
      <c r="G33" s="432" t="s">
        <v>849</v>
      </c>
      <c r="H33" s="432" t="s">
        <v>483</v>
      </c>
      <c r="I33" s="432" t="s">
        <v>484</v>
      </c>
      <c r="J33" s="434">
        <f t="shared" si="3"/>
        <v>0.61499999999999999</v>
      </c>
      <c r="K33" s="435">
        <f t="shared" si="0"/>
        <v>1.1221918145835184</v>
      </c>
      <c r="L33" s="436">
        <f t="shared" si="2"/>
        <v>0.33501595848702792</v>
      </c>
      <c r="M33" s="430">
        <f>+Table2[[#This Row],[Column3]]*(1+Table2[[#This Row],[Column4]])</f>
        <v>1.4981439809525128</v>
      </c>
      <c r="Q33" s="403"/>
    </row>
    <row r="34" spans="2:17">
      <c r="B34" s="431">
        <v>30</v>
      </c>
      <c r="C34" s="432" t="s">
        <v>485</v>
      </c>
      <c r="D34" s="432" t="s">
        <v>489</v>
      </c>
      <c r="E34" s="432" t="s">
        <v>850</v>
      </c>
      <c r="F34" s="433">
        <f>+Table2[[#This Row],[Column1]]*0.7</f>
        <v>34.139000000000003</v>
      </c>
      <c r="G34" s="432" t="s">
        <v>851</v>
      </c>
      <c r="H34" s="432" t="s">
        <v>490</v>
      </c>
      <c r="I34" s="432" t="s">
        <v>491</v>
      </c>
      <c r="J34" s="434">
        <f t="shared" si="3"/>
        <v>0.61499999999999999</v>
      </c>
      <c r="K34" s="435">
        <f t="shared" si="0"/>
        <v>1.2078989484668661</v>
      </c>
      <c r="L34" s="436">
        <f t="shared" si="2"/>
        <v>0.3331865106209928</v>
      </c>
      <c r="M34" s="430">
        <f>+Table2[[#This Row],[Column3]]*(1+Table2[[#This Row],[Column4]])</f>
        <v>1.6103545842893077</v>
      </c>
      <c r="Q34" s="403"/>
    </row>
    <row r="35" spans="2:17">
      <c r="B35" s="431">
        <v>31</v>
      </c>
      <c r="C35" s="432" t="s">
        <v>492</v>
      </c>
      <c r="D35" s="432" t="s">
        <v>496</v>
      </c>
      <c r="E35" s="432" t="s">
        <v>852</v>
      </c>
      <c r="F35" s="433">
        <f>+Table2[[#This Row],[Column1]]*0.7</f>
        <v>35.048999999999999</v>
      </c>
      <c r="G35" s="432" t="s">
        <v>853</v>
      </c>
      <c r="H35" s="432" t="s">
        <v>497</v>
      </c>
      <c r="I35" s="432" t="s">
        <v>498</v>
      </c>
      <c r="J35" s="434">
        <f t="shared" si="3"/>
        <v>0.61499999999999999</v>
      </c>
      <c r="K35" s="435">
        <f t="shared" si="0"/>
        <v>1.2999730398180951</v>
      </c>
      <c r="L35" s="436">
        <f t="shared" si="2"/>
        <v>0.3313704456346761</v>
      </c>
      <c r="M35" s="430">
        <f>+Table2[[#This Row],[Column3]]*(1+Table2[[#This Row],[Column4]])</f>
        <v>1.7307456853356817</v>
      </c>
      <c r="Q35" s="403"/>
    </row>
    <row r="36" spans="2:17">
      <c r="B36" s="431">
        <v>32</v>
      </c>
      <c r="C36" s="432" t="s">
        <v>499</v>
      </c>
      <c r="D36" s="432" t="s">
        <v>503</v>
      </c>
      <c r="E36" s="432" t="s">
        <v>854</v>
      </c>
      <c r="F36" s="433">
        <f>+Table2[[#This Row],[Column1]]*0.7</f>
        <v>35.979999999999997</v>
      </c>
      <c r="G36" s="432" t="s">
        <v>855</v>
      </c>
      <c r="H36" s="432" t="s">
        <v>504</v>
      </c>
      <c r="I36" s="432" t="s">
        <v>505</v>
      </c>
      <c r="J36" s="434">
        <f t="shared" ref="J36:J54" si="4">+J35</f>
        <v>0.61499999999999999</v>
      </c>
      <c r="K36" s="435">
        <f t="shared" si="0"/>
        <v>1.3985430060729143</v>
      </c>
      <c r="L36" s="436">
        <f t="shared" si="2"/>
        <v>0.32957344047853815</v>
      </c>
      <c r="M36" s="430">
        <f>+Table2[[#This Row],[Column3]]*(1+Table2[[#This Row],[Column4]])</f>
        <v>1.8594656362415618</v>
      </c>
      <c r="Q36" s="403"/>
    </row>
    <row r="37" spans="2:17">
      <c r="B37" s="431">
        <v>33</v>
      </c>
      <c r="C37" s="432" t="s">
        <v>506</v>
      </c>
      <c r="D37" s="432" t="s">
        <v>510</v>
      </c>
      <c r="E37" s="432" t="s">
        <v>856</v>
      </c>
      <c r="F37" s="433">
        <f>+Table2[[#This Row],[Column1]]*0.7</f>
        <v>36.924999999999997</v>
      </c>
      <c r="G37" s="432" t="s">
        <v>857</v>
      </c>
      <c r="H37" s="432" t="s">
        <v>511</v>
      </c>
      <c r="I37" s="432" t="s">
        <v>512</v>
      </c>
      <c r="J37" s="434">
        <f t="shared" si="4"/>
        <v>0.61499999999999999</v>
      </c>
      <c r="K37" s="435">
        <f t="shared" si="0"/>
        <v>1.5038715870505703</v>
      </c>
      <c r="L37" s="436">
        <f t="shared" si="2"/>
        <v>0.32779777926317732</v>
      </c>
      <c r="M37" s="430">
        <f>+Table2[[#This Row],[Column3]]*(1+Table2[[#This Row],[Column4]])</f>
        <v>1.9968373535827375</v>
      </c>
      <c r="Q37" s="403"/>
    </row>
    <row r="38" spans="2:17">
      <c r="B38" s="431">
        <v>34</v>
      </c>
      <c r="C38" s="432" t="s">
        <v>513</v>
      </c>
      <c r="D38" s="432" t="s">
        <v>517</v>
      </c>
      <c r="E38" s="432" t="s">
        <v>858</v>
      </c>
      <c r="F38" s="433">
        <f>+Table2[[#This Row],[Column1]]*0.7</f>
        <v>37.863</v>
      </c>
      <c r="G38" s="432" t="s">
        <v>859</v>
      </c>
      <c r="H38" s="432" t="s">
        <v>518</v>
      </c>
      <c r="I38" s="432" t="s">
        <v>519</v>
      </c>
      <c r="J38" s="434">
        <f t="shared" si="4"/>
        <v>0.61499999999999999</v>
      </c>
      <c r="K38" s="435">
        <f t="shared" si="0"/>
        <v>1.6146039095764224</v>
      </c>
      <c r="L38" s="436">
        <f t="shared" si="2"/>
        <v>0.32606964958518481</v>
      </c>
      <c r="M38" s="430">
        <f>+Table2[[#This Row],[Column3]]*(1+Table2[[#This Row],[Column4]])</f>
        <v>2.1410772405908758</v>
      </c>
      <c r="Q38" s="403"/>
    </row>
    <row r="39" spans="2:17">
      <c r="B39" s="431">
        <v>35</v>
      </c>
      <c r="C39" s="432" t="s">
        <v>520</v>
      </c>
      <c r="D39" s="432" t="s">
        <v>524</v>
      </c>
      <c r="E39" s="432" t="s">
        <v>860</v>
      </c>
      <c r="F39" s="433">
        <f>+Table2[[#This Row],[Column1]]*0.7</f>
        <v>38.772999999999996</v>
      </c>
      <c r="G39" s="432" t="s">
        <v>861</v>
      </c>
      <c r="H39" s="432" t="s">
        <v>525</v>
      </c>
      <c r="I39" s="432" t="s">
        <v>526</v>
      </c>
      <c r="J39" s="434">
        <f t="shared" si="4"/>
        <v>0.61499999999999999</v>
      </c>
      <c r="K39" s="435">
        <f t="shared" si="0"/>
        <v>1.7252923330777454</v>
      </c>
      <c r="L39" s="436">
        <f t="shared" si="2"/>
        <v>0.32446503470416355</v>
      </c>
      <c r="M39" s="430">
        <f>+Table2[[#This Row],[Column3]]*(1+Table2[[#This Row],[Column4]])</f>
        <v>2.2850893698046435</v>
      </c>
      <c r="Q39" s="403"/>
    </row>
    <row r="40" spans="2:17">
      <c r="B40" s="431">
        <v>36</v>
      </c>
      <c r="C40" s="432" t="s">
        <v>527</v>
      </c>
      <c r="D40" s="432" t="s">
        <v>531</v>
      </c>
      <c r="E40" s="432" t="s">
        <v>862</v>
      </c>
      <c r="F40" s="433">
        <f>+Table2[[#This Row],[Column1]]*0.7</f>
        <v>39.696999999999996</v>
      </c>
      <c r="G40" s="432" t="s">
        <v>863</v>
      </c>
      <c r="H40" s="432" t="s">
        <v>532</v>
      </c>
      <c r="I40" s="432" t="s">
        <v>533</v>
      </c>
      <c r="J40" s="434">
        <f t="shared" si="4"/>
        <v>0.61499999999999999</v>
      </c>
      <c r="K40" s="435">
        <f t="shared" si="0"/>
        <v>1.8371677920032279</v>
      </c>
      <c r="L40" s="436">
        <f t="shared" si="2"/>
        <v>0.32295187825589644</v>
      </c>
      <c r="M40" s="430">
        <f>+Table2[[#This Row],[Column3]]*(1+Table2[[#This Row],[Column4]])</f>
        <v>2.4304845811019082</v>
      </c>
      <c r="Q40" s="403"/>
    </row>
    <row r="41" spans="2:17">
      <c r="B41" s="431">
        <v>37</v>
      </c>
      <c r="C41" s="432" t="s">
        <v>534</v>
      </c>
      <c r="D41" s="432" t="s">
        <v>538</v>
      </c>
      <c r="E41" s="432" t="s">
        <v>864</v>
      </c>
      <c r="F41" s="433">
        <f>+Table2[[#This Row],[Column1]]*0.7</f>
        <v>40.628</v>
      </c>
      <c r="G41" s="432" t="s">
        <v>865</v>
      </c>
      <c r="H41" s="432" t="s">
        <v>539</v>
      </c>
      <c r="I41" s="432" t="s">
        <v>540</v>
      </c>
      <c r="J41" s="434">
        <f t="shared" si="4"/>
        <v>0.61499999999999999</v>
      </c>
      <c r="K41" s="435">
        <f t="shared" si="0"/>
        <v>1.9558810836522458</v>
      </c>
      <c r="L41" s="436">
        <f t="shared" si="2"/>
        <v>0.32145087267443745</v>
      </c>
      <c r="M41" s="430">
        <f>+Table2[[#This Row],[Column3]]*(1+Table2[[#This Row],[Column4]])</f>
        <v>2.5846007648396845</v>
      </c>
      <c r="Q41" s="403"/>
    </row>
    <row r="42" spans="2:17">
      <c r="B42" s="431">
        <v>38</v>
      </c>
      <c r="C42" s="432" t="s">
        <v>541</v>
      </c>
      <c r="D42" s="432" t="s">
        <v>545</v>
      </c>
      <c r="E42" s="432" t="s">
        <v>866</v>
      </c>
      <c r="F42" s="433">
        <f>+Table2[[#This Row],[Column1]]*0.7</f>
        <v>41.586999999999996</v>
      </c>
      <c r="G42" s="432" t="s">
        <v>867</v>
      </c>
      <c r="H42" s="432" t="s">
        <v>546</v>
      </c>
      <c r="I42" s="432" t="s">
        <v>547</v>
      </c>
      <c r="J42" s="434">
        <f t="shared" si="4"/>
        <v>0.61499999999999999</v>
      </c>
      <c r="K42" s="435">
        <f t="shared" si="0"/>
        <v>2.0583936883739673</v>
      </c>
      <c r="L42" s="436">
        <f t="shared" si="2"/>
        <v>0.32023144207487675</v>
      </c>
      <c r="M42" s="430">
        <f>+Table2[[#This Row],[Column3]]*(1+Table2[[#This Row],[Column4]])</f>
        <v>2.7175560675597876</v>
      </c>
      <c r="Q42" s="403"/>
    </row>
    <row r="43" spans="2:17">
      <c r="B43" s="431">
        <v>39</v>
      </c>
      <c r="C43" s="432" t="s">
        <v>548</v>
      </c>
      <c r="D43" s="432" t="s">
        <v>552</v>
      </c>
      <c r="E43" s="432" t="s">
        <v>868</v>
      </c>
      <c r="F43" s="433">
        <f>+Table2[[#This Row],[Column1]]*0.7</f>
        <v>42.552999999999997</v>
      </c>
      <c r="G43" s="432" t="s">
        <v>869</v>
      </c>
      <c r="H43" s="432" t="s">
        <v>553</v>
      </c>
      <c r="I43" s="432" t="s">
        <v>554</v>
      </c>
      <c r="J43" s="434">
        <f t="shared" si="4"/>
        <v>0.61499999999999999</v>
      </c>
      <c r="K43" s="435">
        <f t="shared" si="0"/>
        <v>2.1907233919153359</v>
      </c>
      <c r="L43" s="436">
        <f t="shared" si="2"/>
        <v>0.3187504259141779</v>
      </c>
      <c r="M43" s="430">
        <f>+Table2[[#This Row],[Column3]]*(1+Table2[[#This Row],[Column4]])</f>
        <v>2.8890174061485014</v>
      </c>
      <c r="Q43" s="403"/>
    </row>
    <row r="44" spans="2:17">
      <c r="B44" s="431">
        <v>40</v>
      </c>
      <c r="C44" s="432" t="s">
        <v>555</v>
      </c>
      <c r="D44" s="432" t="s">
        <v>559</v>
      </c>
      <c r="E44" s="432" t="s">
        <v>870</v>
      </c>
      <c r="F44" s="433">
        <f>+Table2[[#This Row],[Column1]]*0.7</f>
        <v>43.532999999999994</v>
      </c>
      <c r="G44" s="432" t="s">
        <v>871</v>
      </c>
      <c r="H44" s="432" t="s">
        <v>560</v>
      </c>
      <c r="I44" s="432" t="s">
        <v>561</v>
      </c>
      <c r="J44" s="434">
        <f t="shared" si="4"/>
        <v>0.61499999999999999</v>
      </c>
      <c r="K44" s="435">
        <f t="shared" si="0"/>
        <v>2.3311454587749179</v>
      </c>
      <c r="L44" s="436">
        <f t="shared" si="2"/>
        <v>0.31728045944330818</v>
      </c>
      <c r="M44" s="430">
        <f>+Table2[[#This Row],[Column3]]*(1+Table2[[#This Row],[Column4]])</f>
        <v>3.070772360964205</v>
      </c>
      <c r="Q44" s="403"/>
    </row>
    <row r="45" spans="2:17">
      <c r="B45" s="431">
        <v>41</v>
      </c>
      <c r="C45" s="432" t="s">
        <v>562</v>
      </c>
      <c r="D45" s="432" t="s">
        <v>566</v>
      </c>
      <c r="E45" s="432" t="s">
        <v>872</v>
      </c>
      <c r="F45" s="433">
        <f>+Table2[[#This Row],[Column1]]*0.7</f>
        <v>44.526999999999994</v>
      </c>
      <c r="G45" s="432" t="s">
        <v>873</v>
      </c>
      <c r="H45" s="432" t="s">
        <v>567</v>
      </c>
      <c r="I45" s="432" t="s">
        <v>568</v>
      </c>
      <c r="J45" s="434">
        <f t="shared" si="4"/>
        <v>0.61499999999999999</v>
      </c>
      <c r="K45" s="435">
        <f t="shared" si="0"/>
        <v>2.4800934485144062</v>
      </c>
      <c r="L45" s="436">
        <f t="shared" si="2"/>
        <v>0.31582177101736719</v>
      </c>
      <c r="M45" s="430">
        <f>+Table2[[#This Row],[Column3]]*(1+Table2[[#This Row],[Column4]])</f>
        <v>3.2633609537127954</v>
      </c>
      <c r="Q45" s="403"/>
    </row>
    <row r="46" spans="2:17">
      <c r="B46" s="431">
        <v>42</v>
      </c>
      <c r="C46" s="432" t="s">
        <v>569</v>
      </c>
      <c r="D46" s="432" t="s">
        <v>573</v>
      </c>
      <c r="E46" s="432" t="s">
        <v>874</v>
      </c>
      <c r="F46" s="433">
        <f>+Table2[[#This Row],[Column1]]*0.7</f>
        <v>45.534999999999997</v>
      </c>
      <c r="G46" s="432" t="s">
        <v>875</v>
      </c>
      <c r="H46" s="432" t="s">
        <v>574</v>
      </c>
      <c r="I46" s="432" t="s">
        <v>575</v>
      </c>
      <c r="J46" s="434">
        <f t="shared" si="4"/>
        <v>0.61499999999999999</v>
      </c>
      <c r="K46" s="435">
        <f t="shared" si="0"/>
        <v>2.6380195437331713</v>
      </c>
      <c r="L46" s="436">
        <f t="shared" si="2"/>
        <v>0.31437456631844957</v>
      </c>
      <c r="M46" s="430">
        <f>+Table2[[#This Row],[Column3]]*(1+Table2[[#This Row],[Column4]])</f>
        <v>3.4673457937338812</v>
      </c>
      <c r="Q46" s="403"/>
    </row>
    <row r="47" spans="2:17">
      <c r="B47" s="431">
        <v>43</v>
      </c>
      <c r="C47" s="432" t="s">
        <v>576</v>
      </c>
      <c r="D47" s="432" t="s">
        <v>580</v>
      </c>
      <c r="E47" s="432" t="s">
        <v>876</v>
      </c>
      <c r="F47" s="433">
        <f>+Table2[[#This Row],[Column1]]*0.7</f>
        <v>46.55</v>
      </c>
      <c r="G47" s="432" t="s">
        <v>877</v>
      </c>
      <c r="H47" s="432" t="s">
        <v>581</v>
      </c>
      <c r="I47" s="432" t="s">
        <v>582</v>
      </c>
      <c r="J47" s="434">
        <f t="shared" si="4"/>
        <v>0.61499999999999999</v>
      </c>
      <c r="K47" s="435">
        <f t="shared" si="0"/>
        <v>2.8045718070141237</v>
      </c>
      <c r="L47" s="436">
        <f t="shared" si="2"/>
        <v>0.31294586301514721</v>
      </c>
      <c r="M47" s="430">
        <f>+Table2[[#This Row],[Column3]]*(1+Table2[[#This Row],[Column4]])</f>
        <v>3.6822509515481094</v>
      </c>
      <c r="Q47" s="403"/>
    </row>
    <row r="48" spans="2:17">
      <c r="B48" s="431">
        <v>44</v>
      </c>
      <c r="C48" s="432" t="s">
        <v>583</v>
      </c>
      <c r="D48" s="432" t="s">
        <v>587</v>
      </c>
      <c r="E48" s="432" t="s">
        <v>878</v>
      </c>
      <c r="F48" s="433">
        <f>+Table2[[#This Row],[Column1]]*0.7</f>
        <v>47.578999999999994</v>
      </c>
      <c r="G48" s="432" t="s">
        <v>879</v>
      </c>
      <c r="H48" s="432" t="s">
        <v>588</v>
      </c>
      <c r="I48" s="432" t="s">
        <v>589</v>
      </c>
      <c r="J48" s="434">
        <f t="shared" si="4"/>
        <v>0.61499999999999999</v>
      </c>
      <c r="K48" s="435">
        <f t="shared" si="0"/>
        <v>2.9556904119730234</v>
      </c>
      <c r="L48" s="436">
        <f t="shared" si="2"/>
        <v>0.31172631222307556</v>
      </c>
      <c r="M48" s="430">
        <f>+Table2[[#This Row],[Column3]]*(1+Table2[[#This Row],[Column4]])</f>
        <v>3.8770568841704769</v>
      </c>
      <c r="Q48" s="403"/>
    </row>
    <row r="49" spans="2:17">
      <c r="B49" s="431">
        <v>45</v>
      </c>
      <c r="C49" s="432" t="s">
        <v>590</v>
      </c>
      <c r="D49" s="432" t="s">
        <v>594</v>
      </c>
      <c r="E49" s="432" t="s">
        <v>880</v>
      </c>
      <c r="F49" s="433">
        <f>+Table2[[#This Row],[Column1]]*0.7</f>
        <v>48.600999999999999</v>
      </c>
      <c r="G49" s="432" t="s">
        <v>881</v>
      </c>
      <c r="H49" s="432" t="s">
        <v>595</v>
      </c>
      <c r="I49" s="432" t="s">
        <v>596</v>
      </c>
      <c r="J49" s="434">
        <f t="shared" si="4"/>
        <v>0.61499999999999999</v>
      </c>
      <c r="K49" s="435">
        <f t="shared" si="0"/>
        <v>3.1387695424175575</v>
      </c>
      <c r="L49" s="436">
        <f t="shared" si="2"/>
        <v>0.31033559088127527</v>
      </c>
      <c r="M49" s="430">
        <f>+Table2[[#This Row],[Column3]]*(1+Table2[[#This Row],[Column4]])</f>
        <v>4.1128414430038598</v>
      </c>
      <c r="Q49" s="403"/>
    </row>
    <row r="50" spans="2:17">
      <c r="B50" s="431">
        <v>46</v>
      </c>
      <c r="C50" s="432" t="s">
        <v>597</v>
      </c>
      <c r="D50" s="432" t="s">
        <v>601</v>
      </c>
      <c r="E50" s="432" t="s">
        <v>882</v>
      </c>
      <c r="F50" s="433">
        <f>+Table2[[#This Row],[Column1]]*0.7</f>
        <v>49.643999999999998</v>
      </c>
      <c r="G50" s="432" t="s">
        <v>883</v>
      </c>
      <c r="H50" s="432" t="s">
        <v>602</v>
      </c>
      <c r="I50" s="432" t="s">
        <v>603</v>
      </c>
      <c r="J50" s="434">
        <f t="shared" si="4"/>
        <v>0.61499999999999999</v>
      </c>
      <c r="K50" s="435">
        <f t="shared" si="0"/>
        <v>3.3044256030213344</v>
      </c>
      <c r="L50" s="436">
        <f t="shared" si="2"/>
        <v>0.30915035272084823</v>
      </c>
      <c r="M50" s="430">
        <f>+Table2[[#This Row],[Column3]]*(1+Table2[[#This Row],[Column4]])</f>
        <v>4.3259899437351823</v>
      </c>
      <c r="Q50" s="403"/>
    </row>
    <row r="51" spans="2:17">
      <c r="B51" s="431">
        <v>47</v>
      </c>
      <c r="C51" s="432" t="s">
        <v>604</v>
      </c>
      <c r="D51" s="432" t="s">
        <v>608</v>
      </c>
      <c r="E51" s="432" t="s">
        <v>884</v>
      </c>
      <c r="F51" s="433">
        <f>+Table2[[#This Row],[Column1]]*0.7</f>
        <v>50.693999999999996</v>
      </c>
      <c r="G51" s="432" t="s">
        <v>885</v>
      </c>
      <c r="H51" s="432" t="s">
        <v>609</v>
      </c>
      <c r="I51" s="432" t="s">
        <v>610</v>
      </c>
      <c r="J51" s="434">
        <f t="shared" si="4"/>
        <v>0.61499999999999999</v>
      </c>
      <c r="K51" s="435">
        <f t="shared" si="0"/>
        <v>3.4819781018578206</v>
      </c>
      <c r="L51" s="436">
        <f t="shared" si="2"/>
        <v>0.30794888083557287</v>
      </c>
      <c r="M51" s="430">
        <f>+Table2[[#This Row],[Column3]]*(1+Table2[[#This Row],[Column4]])</f>
        <v>4.5542493614189086</v>
      </c>
      <c r="Q51" s="403"/>
    </row>
    <row r="52" spans="2:17">
      <c r="B52" s="431">
        <v>48</v>
      </c>
      <c r="C52" s="432" t="s">
        <v>611</v>
      </c>
      <c r="D52" s="432" t="s">
        <v>615</v>
      </c>
      <c r="E52" s="432" t="s">
        <v>886</v>
      </c>
      <c r="F52" s="433">
        <f>+Table2[[#This Row],[Column1]]*0.7</f>
        <v>51.757999999999996</v>
      </c>
      <c r="G52" s="432" t="s">
        <v>887</v>
      </c>
      <c r="H52" s="432" t="s">
        <v>616</v>
      </c>
      <c r="I52" s="432" t="s">
        <v>617</v>
      </c>
      <c r="J52" s="434">
        <f t="shared" si="4"/>
        <v>0.61499999999999999</v>
      </c>
      <c r="K52" s="435">
        <f t="shared" si="0"/>
        <v>3.6732387366824768</v>
      </c>
      <c r="L52" s="436">
        <f t="shared" si="2"/>
        <v>0.30672616874036035</v>
      </c>
      <c r="M52" s="430">
        <f>+Table2[[#This Row],[Column3]]*(1+Table2[[#This Row],[Column4]])</f>
        <v>4.7999171812537744</v>
      </c>
      <c r="Q52" s="403"/>
    </row>
    <row r="53" spans="2:17">
      <c r="B53" s="431">
        <v>49</v>
      </c>
      <c r="C53" s="432" t="s">
        <v>618</v>
      </c>
      <c r="D53" s="432" t="s">
        <v>622</v>
      </c>
      <c r="E53" s="432" t="s">
        <v>888</v>
      </c>
      <c r="F53" s="433">
        <f>+Table2[[#This Row],[Column1]]*0.7</f>
        <v>52.835999999999999</v>
      </c>
      <c r="G53" s="432" t="s">
        <v>889</v>
      </c>
      <c r="H53" s="432" t="s">
        <v>623</v>
      </c>
      <c r="I53" s="432" t="s">
        <v>624</v>
      </c>
      <c r="J53" s="434">
        <f t="shared" si="4"/>
        <v>0.61499999999999999</v>
      </c>
      <c r="K53" s="435">
        <f t="shared" si="0"/>
        <v>3.8619608006670387</v>
      </c>
      <c r="L53" s="436">
        <f t="shared" si="2"/>
        <v>0.30558496459445023</v>
      </c>
      <c r="M53" s="430">
        <f>+Table2[[#This Row],[Column3]]*(1+Table2[[#This Row],[Column4]])</f>
        <v>5.0421179552040298</v>
      </c>
      <c r="Q53" s="403"/>
    </row>
    <row r="54" spans="2:17" ht="18.75" thickBot="1">
      <c r="B54" s="437">
        <v>50</v>
      </c>
      <c r="C54" s="438" t="s">
        <v>625</v>
      </c>
      <c r="D54" s="438" t="s">
        <v>629</v>
      </c>
      <c r="E54" s="438" t="s">
        <v>890</v>
      </c>
      <c r="F54" s="439">
        <f>+Table2[[#This Row],[Column1]]*0.7</f>
        <v>53.920999999999999</v>
      </c>
      <c r="G54" s="438" t="s">
        <v>891</v>
      </c>
      <c r="H54" s="438" t="s">
        <v>630</v>
      </c>
      <c r="I54" s="438" t="s">
        <v>631</v>
      </c>
      <c r="J54" s="440">
        <f t="shared" si="4"/>
        <v>0.61499999999999999</v>
      </c>
      <c r="K54" s="441">
        <f t="shared" si="0"/>
        <v>4.0792107645862812</v>
      </c>
      <c r="L54" s="442">
        <f t="shared" si="2"/>
        <v>0.3043432135077459</v>
      </c>
      <c r="M54" s="430">
        <f>+Table2[[#This Row],[Column3]]*(1+Table2[[#This Row],[Column4]])</f>
        <v>5.320690877255859</v>
      </c>
      <c r="Q54" s="403"/>
    </row>
    <row r="55" spans="2:17">
      <c r="B55" s="404"/>
      <c r="J55" s="262"/>
      <c r="K55" s="248"/>
      <c r="L55" s="406"/>
      <c r="M55" s="407"/>
    </row>
    <row r="56" spans="2:17">
      <c r="B56" s="404"/>
      <c r="J56" s="262"/>
      <c r="K56" s="248"/>
      <c r="L56" s="406"/>
      <c r="M56" s="407"/>
    </row>
    <row r="57" spans="2:17">
      <c r="B57" s="404"/>
      <c r="J57" s="262"/>
      <c r="K57" s="248"/>
      <c r="L57" s="406"/>
      <c r="M57" s="407"/>
    </row>
    <row r="58" spans="2:17">
      <c r="B58" s="404"/>
      <c r="J58" s="262"/>
      <c r="K58" s="248"/>
      <c r="L58" s="406"/>
      <c r="M58" s="407"/>
    </row>
  </sheetData>
  <mergeCells count="2">
    <mergeCell ref="J1:M1"/>
    <mergeCell ref="B1:I1"/>
  </mergeCells>
  <phoneticPr fontId="80" type="noConversion"/>
  <dataValidations count="1">
    <dataValidation type="custom" allowBlank="1" showDropDown="1" sqref="B4:B58" xr:uid="{DADF8211-8147-4E78-849E-C7FF4E23525C}">
      <formula1>AND(ISNUMBER(B4),(NOT(OR(NOT(ISERROR(DATEVALUE(B4))), AND(ISNUMBER(B4), LEFT(CELL("format", B4))="D")))))</formula1>
    </dataValidation>
  </dataValidations>
  <pageMargins left="0.75" right="0.75" top="1" bottom="1" header="0.5" footer="0.5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1E15D-D637-8148-80E3-7F06A042BA9B}">
  <dimension ref="A2:Q50"/>
  <sheetViews>
    <sheetView workbookViewId="0"/>
  </sheetViews>
  <sheetFormatPr defaultColWidth="11.5546875" defaultRowHeight="19.5"/>
  <cols>
    <col min="2" max="2" width="18.109375" customWidth="1"/>
    <col min="3" max="3" width="15.109375" customWidth="1"/>
    <col min="4" max="4" width="16.88671875" customWidth="1"/>
    <col min="5" max="5" width="12" customWidth="1"/>
    <col min="6" max="7" width="13.44140625" style="15" bestFit="1" customWidth="1"/>
    <col min="8" max="8" width="12" style="16" bestFit="1" customWidth="1"/>
    <col min="9" max="9" width="14.5546875" style="16" hidden="1" customWidth="1"/>
    <col min="10" max="11" width="14.5546875" style="15" hidden="1" customWidth="1"/>
    <col min="12" max="13" width="17.6640625" style="12" hidden="1" customWidth="1"/>
    <col min="14" max="14" width="13.6640625" customWidth="1"/>
    <col min="15" max="15" width="11.44140625" bestFit="1" customWidth="1"/>
    <col min="17" max="17" width="11.44140625" bestFit="1" customWidth="1"/>
  </cols>
  <sheetData>
    <row r="2" spans="1:17">
      <c r="B2" t="s">
        <v>892</v>
      </c>
      <c r="C2" t="s">
        <v>893</v>
      </c>
      <c r="F2"/>
      <c r="G2"/>
      <c r="H2"/>
      <c r="I2"/>
      <c r="J2"/>
      <c r="K2"/>
      <c r="L2"/>
      <c r="M2"/>
    </row>
    <row r="3" spans="1:17">
      <c r="B3" t="s">
        <v>894</v>
      </c>
      <c r="C3">
        <v>625</v>
      </c>
      <c r="D3" t="s">
        <v>895</v>
      </c>
      <c r="F3"/>
      <c r="G3"/>
      <c r="H3"/>
      <c r="I3"/>
      <c r="J3"/>
      <c r="K3"/>
      <c r="L3"/>
      <c r="M3"/>
    </row>
    <row r="4" spans="1:17">
      <c r="B4" t="s">
        <v>896</v>
      </c>
      <c r="C4" s="17">
        <v>0</v>
      </c>
      <c r="F4"/>
      <c r="G4"/>
      <c r="H4"/>
      <c r="I4"/>
      <c r="J4"/>
      <c r="K4"/>
      <c r="L4"/>
      <c r="M4"/>
    </row>
    <row r="5" spans="1:17">
      <c r="B5" t="s">
        <v>897</v>
      </c>
      <c r="C5" s="17">
        <v>0.47</v>
      </c>
      <c r="F5"/>
      <c r="G5"/>
      <c r="H5"/>
      <c r="I5"/>
      <c r="J5"/>
      <c r="K5"/>
      <c r="L5"/>
      <c r="M5"/>
    </row>
    <row r="6" spans="1:17">
      <c r="B6" t="s">
        <v>898</v>
      </c>
      <c r="C6" s="17">
        <f>44/12</f>
        <v>3.6666666666666665</v>
      </c>
      <c r="F6"/>
      <c r="G6"/>
      <c r="H6"/>
      <c r="I6"/>
      <c r="J6"/>
      <c r="K6"/>
      <c r="L6"/>
      <c r="M6"/>
    </row>
    <row r="9" spans="1:17" s="15" customFormat="1" ht="78">
      <c r="A9" s="15" t="s">
        <v>34</v>
      </c>
      <c r="B9" s="15" t="s">
        <v>899</v>
      </c>
      <c r="C9" s="15" t="s">
        <v>900</v>
      </c>
      <c r="D9" s="15" t="s">
        <v>11</v>
      </c>
      <c r="E9" s="13" t="s">
        <v>901</v>
      </c>
      <c r="F9" s="13" t="s">
        <v>902</v>
      </c>
      <c r="G9" s="498" t="s">
        <v>903</v>
      </c>
      <c r="H9" s="464"/>
      <c r="I9" s="14" t="s">
        <v>899</v>
      </c>
      <c r="J9" s="14" t="s">
        <v>904</v>
      </c>
      <c r="K9" s="14" t="s">
        <v>905</v>
      </c>
      <c r="L9" s="499" t="s">
        <v>901</v>
      </c>
      <c r="M9" s="499" t="s">
        <v>902</v>
      </c>
    </row>
    <row r="10" spans="1:17">
      <c r="A10">
        <v>2025</v>
      </c>
      <c r="B10" s="19">
        <v>1.502</v>
      </c>
      <c r="C10" s="19">
        <v>6.0090000000000003</v>
      </c>
      <c r="D10" s="19">
        <v>7.8730000000000002</v>
      </c>
      <c r="E10" s="18">
        <f>+(B10/$C$3)/$C$5/($C$6)</f>
        <v>1.3945067698259187E-3</v>
      </c>
      <c r="F10" s="18">
        <f>+(C10/$C$3)/$C$5/($C$6)</f>
        <v>5.5789555125725348E-3</v>
      </c>
      <c r="G10" s="500">
        <f>+SUM(E10:F10)</f>
        <v>6.9734622823984533E-3</v>
      </c>
      <c r="H10" s="464"/>
      <c r="I10" s="501">
        <f t="shared" ref="I10:I48" si="0">+B10/$C$3</f>
        <v>2.4031999999999999E-3</v>
      </c>
      <c r="J10" s="501">
        <f t="shared" ref="J10:J48" si="1">+C10/$C$3</f>
        <v>9.6144000000000004E-3</v>
      </c>
      <c r="K10" s="501">
        <f>+SUM(I10:J10)</f>
        <v>1.20176E-2</v>
      </c>
      <c r="L10" s="502">
        <v>5.5705996131528044E-3</v>
      </c>
      <c r="M10" s="502">
        <v>2.2282398452611218E-2</v>
      </c>
      <c r="O10" s="1"/>
      <c r="Q10" s="1"/>
    </row>
    <row r="11" spans="1:17">
      <c r="A11">
        <v>2026</v>
      </c>
      <c r="B11" s="19">
        <v>5.49</v>
      </c>
      <c r="C11" s="19">
        <v>21.962</v>
      </c>
      <c r="D11" s="19">
        <v>29.087</v>
      </c>
      <c r="E11" s="18">
        <f t="shared" ref="E11:F48" si="2">+(B11/$C$3)/$C$5/($C$6)</f>
        <v>5.0970986460348163E-3</v>
      </c>
      <c r="F11" s="18">
        <f t="shared" si="2"/>
        <v>2.0390251450676987E-2</v>
      </c>
      <c r="G11" s="500">
        <f t="shared" ref="G11:G23" si="3">+SUM(E11:F11)</f>
        <v>2.5487350096711804E-2</v>
      </c>
      <c r="H11" s="464"/>
      <c r="I11" s="501">
        <f t="shared" si="0"/>
        <v>8.7840000000000001E-3</v>
      </c>
      <c r="J11" s="501">
        <f t="shared" si="1"/>
        <v>3.5139200000000002E-2</v>
      </c>
      <c r="K11" s="501">
        <f t="shared" ref="K11:K48" si="4">+SUM(I11:J11)</f>
        <v>4.3923200000000003E-2</v>
      </c>
      <c r="L11" s="502">
        <v>1.4854932301740814E-2</v>
      </c>
      <c r="M11" s="502">
        <v>5.8491295938104454E-2</v>
      </c>
      <c r="O11" s="1"/>
      <c r="Q11" s="1"/>
    </row>
    <row r="12" spans="1:17">
      <c r="A12">
        <v>2027</v>
      </c>
      <c r="B12" s="19">
        <v>10.743</v>
      </c>
      <c r="C12" s="19">
        <v>42.972999999999999</v>
      </c>
      <c r="D12" s="19">
        <v>58.124000000000002</v>
      </c>
      <c r="E12" s="18">
        <f t="shared" si="2"/>
        <v>9.9741586073500976E-3</v>
      </c>
      <c r="F12" s="18">
        <f t="shared" si="2"/>
        <v>3.9897562862669246E-2</v>
      </c>
      <c r="G12" s="500">
        <f t="shared" si="3"/>
        <v>4.9871721470019344E-2</v>
      </c>
      <c r="H12" s="464"/>
      <c r="I12" s="501">
        <f t="shared" si="0"/>
        <v>1.7188800000000001E-2</v>
      </c>
      <c r="J12" s="501">
        <f t="shared" si="1"/>
        <v>6.8756799999999993E-2</v>
      </c>
      <c r="K12" s="501">
        <f t="shared" si="4"/>
        <v>8.5945599999999997E-2</v>
      </c>
      <c r="L12" s="502">
        <v>1.9497098646034817E-2</v>
      </c>
      <c r="M12" s="502">
        <v>7.7059961315280465E-2</v>
      </c>
      <c r="O12" s="1"/>
      <c r="Q12" s="1"/>
    </row>
    <row r="13" spans="1:17">
      <c r="A13">
        <v>2028</v>
      </c>
      <c r="B13" s="19">
        <v>14.75</v>
      </c>
      <c r="C13" s="19">
        <v>58.999000000000002</v>
      </c>
      <c r="D13" s="19">
        <v>82.766999999999996</v>
      </c>
      <c r="E13" s="18">
        <f t="shared" si="2"/>
        <v>1.3694390715667313E-2</v>
      </c>
      <c r="F13" s="18">
        <f t="shared" si="2"/>
        <v>5.4776634429400402E-2</v>
      </c>
      <c r="G13" s="500">
        <f t="shared" si="3"/>
        <v>6.8471025145067713E-2</v>
      </c>
      <c r="H13" s="464"/>
      <c r="I13" s="501">
        <f t="shared" si="0"/>
        <v>2.3599999999999999E-2</v>
      </c>
      <c r="J13" s="501">
        <f t="shared" si="1"/>
        <v>9.4398400000000007E-2</v>
      </c>
      <c r="K13" s="501">
        <f t="shared" si="4"/>
        <v>0.1179984</v>
      </c>
      <c r="L13" s="502">
        <v>2.2282398452611218E-2</v>
      </c>
      <c r="M13" s="502">
        <v>9.0058027079303687E-2</v>
      </c>
      <c r="O13" s="1"/>
      <c r="Q13" s="1"/>
    </row>
    <row r="14" spans="1:17">
      <c r="A14">
        <v>2029</v>
      </c>
      <c r="B14" s="19">
        <v>18.212</v>
      </c>
      <c r="C14" s="19">
        <v>72.846999999999994</v>
      </c>
      <c r="D14" s="19">
        <v>105.819</v>
      </c>
      <c r="E14" s="18">
        <f t="shared" si="2"/>
        <v>1.6908626692456481E-2</v>
      </c>
      <c r="F14" s="18">
        <f t="shared" si="2"/>
        <v>6.763357833655706E-2</v>
      </c>
      <c r="G14" s="500">
        <f t="shared" si="3"/>
        <v>8.4542205029013537E-2</v>
      </c>
      <c r="H14" s="464"/>
      <c r="I14" s="501">
        <f t="shared" si="0"/>
        <v>2.9139200000000001E-2</v>
      </c>
      <c r="J14" s="501">
        <f t="shared" si="1"/>
        <v>0.11655519999999998</v>
      </c>
      <c r="K14" s="501">
        <f t="shared" si="4"/>
        <v>0.14569439999999997</v>
      </c>
      <c r="L14" s="502">
        <v>2.5996131528046425E-2</v>
      </c>
      <c r="M14" s="502">
        <v>0.10305609284332691</v>
      </c>
      <c r="O14" s="1"/>
      <c r="Q14" s="1"/>
    </row>
    <row r="15" spans="1:17">
      <c r="A15">
        <v>2030</v>
      </c>
      <c r="B15" s="19">
        <v>21.238</v>
      </c>
      <c r="C15" s="19">
        <v>84.95</v>
      </c>
      <c r="D15" s="19">
        <v>127.404</v>
      </c>
      <c r="E15" s="18">
        <f t="shared" si="2"/>
        <v>1.9718065764023213E-2</v>
      </c>
      <c r="F15" s="18">
        <f t="shared" si="2"/>
        <v>7.8870406189555153E-2</v>
      </c>
      <c r="G15" s="500">
        <f t="shared" si="3"/>
        <v>9.8588471953578366E-2</v>
      </c>
      <c r="H15" s="464"/>
      <c r="I15" s="501">
        <f t="shared" si="0"/>
        <v>3.3980799999999999E-2</v>
      </c>
      <c r="J15" s="501">
        <f t="shared" si="1"/>
        <v>0.13592000000000001</v>
      </c>
      <c r="K15" s="501">
        <f t="shared" si="4"/>
        <v>0.16990080000000002</v>
      </c>
      <c r="L15" s="502">
        <v>2.8781431334622826E-2</v>
      </c>
      <c r="M15" s="502">
        <v>0.1151257253384913</v>
      </c>
      <c r="O15" s="1"/>
      <c r="Q15" s="1"/>
    </row>
    <row r="16" spans="1:17">
      <c r="A16">
        <v>2031</v>
      </c>
      <c r="B16" s="19">
        <v>24.061</v>
      </c>
      <c r="C16" s="19">
        <v>96.245000000000005</v>
      </c>
      <c r="D16" s="19">
        <v>148.31899999999999</v>
      </c>
      <c r="E16" s="18">
        <f t="shared" si="2"/>
        <v>2.2339032882011608E-2</v>
      </c>
      <c r="F16" s="18">
        <f t="shared" si="2"/>
        <v>8.9357059961315308E-2</v>
      </c>
      <c r="G16" s="500">
        <f t="shared" si="3"/>
        <v>0.11169609284332692</v>
      </c>
      <c r="H16" s="464"/>
      <c r="I16" s="501">
        <f t="shared" si="0"/>
        <v>3.84976E-2</v>
      </c>
      <c r="J16" s="501">
        <f t="shared" si="1"/>
        <v>0.15399200000000002</v>
      </c>
      <c r="K16" s="501">
        <f t="shared" si="4"/>
        <v>0.19248960000000001</v>
      </c>
      <c r="L16" s="502">
        <v>3.1566731141199227E-2</v>
      </c>
      <c r="M16" s="502">
        <v>0.12626692456479691</v>
      </c>
      <c r="O16" s="1"/>
      <c r="Q16" s="1"/>
    </row>
    <row r="17" spans="1:17">
      <c r="A17">
        <v>2032</v>
      </c>
      <c r="B17" s="19">
        <v>26.684000000000001</v>
      </c>
      <c r="C17" s="19">
        <v>106.736</v>
      </c>
      <c r="D17" s="19">
        <v>168.346</v>
      </c>
      <c r="E17" s="18">
        <f t="shared" si="2"/>
        <v>2.4774313346228243E-2</v>
      </c>
      <c r="F17" s="18">
        <f t="shared" si="2"/>
        <v>9.9097253384912973E-2</v>
      </c>
      <c r="G17" s="500">
        <f t="shared" si="3"/>
        <v>0.12387156673114122</v>
      </c>
      <c r="H17" s="464"/>
      <c r="I17" s="501">
        <f t="shared" si="0"/>
        <v>4.26944E-2</v>
      </c>
      <c r="J17" s="501">
        <f t="shared" si="1"/>
        <v>0.1707776</v>
      </c>
      <c r="K17" s="501">
        <f t="shared" si="4"/>
        <v>0.213472</v>
      </c>
      <c r="L17" s="502">
        <v>3.4352030947775634E-2</v>
      </c>
      <c r="M17" s="502">
        <v>0.13647969052224371</v>
      </c>
      <c r="O17" s="1"/>
      <c r="Q17" s="1"/>
    </row>
    <row r="18" spans="1:17">
      <c r="A18">
        <v>2033</v>
      </c>
      <c r="B18" s="19">
        <v>29.231000000000002</v>
      </c>
      <c r="C18" s="19">
        <v>116.922</v>
      </c>
      <c r="D18" s="19">
        <v>187.816</v>
      </c>
      <c r="E18" s="18">
        <f t="shared" si="2"/>
        <v>2.713903288201161E-2</v>
      </c>
      <c r="F18" s="18">
        <f t="shared" si="2"/>
        <v>0.10855427466150872</v>
      </c>
      <c r="G18" s="500">
        <f t="shared" si="3"/>
        <v>0.13569330754352033</v>
      </c>
      <c r="H18" s="464"/>
      <c r="I18" s="501">
        <f t="shared" si="0"/>
        <v>4.6769600000000001E-2</v>
      </c>
      <c r="J18" s="501">
        <f t="shared" si="1"/>
        <v>0.1870752</v>
      </c>
      <c r="K18" s="501">
        <f t="shared" si="4"/>
        <v>0.23384479999999999</v>
      </c>
      <c r="L18" s="502">
        <v>3.6208897485493233E-2</v>
      </c>
      <c r="M18" s="502">
        <v>0.14669245647969056</v>
      </c>
      <c r="O18" s="1"/>
      <c r="Q18" s="1"/>
    </row>
    <row r="19" spans="1:17">
      <c r="A19">
        <v>2034</v>
      </c>
      <c r="B19" s="19">
        <v>31.681999999999999</v>
      </c>
      <c r="C19" s="19">
        <v>126.72799999999999</v>
      </c>
      <c r="D19" s="19">
        <v>206.608</v>
      </c>
      <c r="E19" s="18">
        <f t="shared" si="2"/>
        <v>2.9414622823984531E-2</v>
      </c>
      <c r="F19" s="18">
        <f t="shared" si="2"/>
        <v>0.11765849129593813</v>
      </c>
      <c r="G19" s="500">
        <f t="shared" si="3"/>
        <v>0.14707311411992266</v>
      </c>
      <c r="H19" s="464"/>
      <c r="I19" s="501">
        <f t="shared" si="0"/>
        <v>5.0691199999999999E-2</v>
      </c>
      <c r="J19" s="501">
        <f t="shared" si="1"/>
        <v>0.2027648</v>
      </c>
      <c r="K19" s="501">
        <f t="shared" si="4"/>
        <v>0.25345600000000001</v>
      </c>
      <c r="L19" s="502">
        <v>3.8994197292069634E-2</v>
      </c>
      <c r="M19" s="502">
        <v>0.15597678916827853</v>
      </c>
      <c r="O19" s="1"/>
      <c r="Q19" s="1"/>
    </row>
    <row r="20" spans="1:17">
      <c r="A20">
        <v>2035</v>
      </c>
      <c r="B20" s="19">
        <v>34.021000000000001</v>
      </c>
      <c r="C20" s="19">
        <v>136.084</v>
      </c>
      <c r="D20" s="19">
        <v>224.613</v>
      </c>
      <c r="E20" s="18">
        <f t="shared" si="2"/>
        <v>3.1586228239845263E-2</v>
      </c>
      <c r="F20" s="18">
        <f t="shared" si="2"/>
        <v>0.12634491295938105</v>
      </c>
      <c r="G20" s="500">
        <f t="shared" si="3"/>
        <v>0.1579311411992263</v>
      </c>
      <c r="H20" s="464"/>
      <c r="I20" s="501">
        <f t="shared" si="0"/>
        <v>5.4433599999999999E-2</v>
      </c>
      <c r="J20" s="501">
        <f t="shared" si="1"/>
        <v>0.21773439999999999</v>
      </c>
      <c r="K20" s="501">
        <f t="shared" si="4"/>
        <v>0.27216799999999997</v>
      </c>
      <c r="L20" s="502">
        <v>4.0851063829787239E-2</v>
      </c>
      <c r="M20" s="502">
        <v>0.16526112185686656</v>
      </c>
      <c r="O20" s="1"/>
      <c r="Q20" s="1"/>
    </row>
    <row r="21" spans="1:17">
      <c r="A21">
        <v>2036</v>
      </c>
      <c r="B21" s="19">
        <v>36.228999999999999</v>
      </c>
      <c r="C21" s="19">
        <v>144.917</v>
      </c>
      <c r="D21" s="19">
        <v>241.73599999999999</v>
      </c>
      <c r="E21" s="18">
        <f t="shared" si="2"/>
        <v>3.3636208897485496E-2</v>
      </c>
      <c r="F21" s="18">
        <f t="shared" si="2"/>
        <v>0.13454576402321083</v>
      </c>
      <c r="G21" s="500">
        <f t="shared" si="3"/>
        <v>0.16818197292069634</v>
      </c>
      <c r="H21" s="464"/>
      <c r="I21" s="501">
        <f t="shared" si="0"/>
        <v>5.7966400000000001E-2</v>
      </c>
      <c r="J21" s="501">
        <f t="shared" si="1"/>
        <v>0.2318672</v>
      </c>
      <c r="K21" s="501">
        <f t="shared" si="4"/>
        <v>0.28983360000000002</v>
      </c>
      <c r="L21" s="502"/>
      <c r="M21" s="502"/>
      <c r="O21" s="1"/>
      <c r="Q21" s="1"/>
    </row>
    <row r="22" spans="1:17">
      <c r="A22">
        <v>2037</v>
      </c>
      <c r="B22" s="19">
        <v>38.369</v>
      </c>
      <c r="C22" s="19">
        <v>153.47800000000001</v>
      </c>
      <c r="D22" s="19">
        <v>258.11900000000003</v>
      </c>
      <c r="E22" s="18">
        <f t="shared" si="2"/>
        <v>3.562305609284333E-2</v>
      </c>
      <c r="F22" s="18">
        <f t="shared" si="2"/>
        <v>0.14249408123791107</v>
      </c>
      <c r="G22" s="500">
        <f t="shared" si="3"/>
        <v>0.1781171373307544</v>
      </c>
      <c r="H22" s="464"/>
      <c r="I22" s="501">
        <f t="shared" si="0"/>
        <v>6.1390399999999998E-2</v>
      </c>
      <c r="J22" s="501">
        <f t="shared" si="1"/>
        <v>0.24556480000000003</v>
      </c>
      <c r="K22" s="501">
        <f t="shared" si="4"/>
        <v>0.30695520000000004</v>
      </c>
      <c r="L22" s="502"/>
      <c r="M22" s="502"/>
      <c r="O22" s="1"/>
      <c r="Q22" s="1"/>
    </row>
    <row r="23" spans="1:17">
      <c r="A23">
        <v>2038</v>
      </c>
      <c r="B23" s="19">
        <v>40.292000000000002</v>
      </c>
      <c r="C23" s="19">
        <v>161.167</v>
      </c>
      <c r="D23" s="19">
        <v>273.375</v>
      </c>
      <c r="E23" s="18">
        <f t="shared" si="2"/>
        <v>3.7408433268858801E-2</v>
      </c>
      <c r="F23" s="18">
        <f t="shared" si="2"/>
        <v>0.14963280464216638</v>
      </c>
      <c r="G23" s="500">
        <f t="shared" si="3"/>
        <v>0.18704123791102517</v>
      </c>
      <c r="H23" s="464"/>
      <c r="I23" s="501">
        <f t="shared" si="0"/>
        <v>6.4467200000000002E-2</v>
      </c>
      <c r="J23" s="501">
        <f t="shared" si="1"/>
        <v>0.25786720000000002</v>
      </c>
      <c r="K23" s="501">
        <f t="shared" si="4"/>
        <v>0.32233440000000002</v>
      </c>
      <c r="L23" s="502"/>
      <c r="M23" s="502"/>
      <c r="O23" s="1"/>
      <c r="Q23" s="1"/>
    </row>
    <row r="24" spans="1:17">
      <c r="A24">
        <v>2039</v>
      </c>
      <c r="B24" s="19">
        <v>42.088999999999999</v>
      </c>
      <c r="C24" s="19">
        <v>168.35499999999999</v>
      </c>
      <c r="D24" s="19">
        <v>287.65800000000002</v>
      </c>
      <c r="E24" s="18">
        <f t="shared" si="2"/>
        <v>3.9076827852998069E-2</v>
      </c>
      <c r="F24" s="18">
        <f t="shared" si="2"/>
        <v>0.1563063829787234</v>
      </c>
      <c r="G24" s="500">
        <f t="shared" ref="G24:G48" si="5">+SUM(E24:F24)</f>
        <v>0.19538321083172147</v>
      </c>
      <c r="H24" s="464"/>
      <c r="I24" s="501">
        <f t="shared" si="0"/>
        <v>6.7342399999999997E-2</v>
      </c>
      <c r="J24" s="501">
        <f t="shared" si="1"/>
        <v>0.269368</v>
      </c>
      <c r="K24" s="501">
        <f t="shared" si="4"/>
        <v>0.33671039999999997</v>
      </c>
      <c r="L24" s="502"/>
      <c r="M24" s="502"/>
      <c r="O24" s="1"/>
      <c r="Q24" s="1"/>
    </row>
    <row r="25" spans="1:17">
      <c r="A25">
        <v>2040</v>
      </c>
      <c r="B25" s="19">
        <v>43.76</v>
      </c>
      <c r="C25" s="19">
        <v>175.03899999999999</v>
      </c>
      <c r="D25" s="19">
        <v>300.96199999999999</v>
      </c>
      <c r="E25" s="18">
        <f t="shared" si="2"/>
        <v>4.0628239845261128E-2</v>
      </c>
      <c r="F25" s="18">
        <f t="shared" si="2"/>
        <v>0.16251203094777564</v>
      </c>
      <c r="G25" s="500">
        <f t="shared" si="5"/>
        <v>0.20314027079303676</v>
      </c>
      <c r="H25" s="464"/>
      <c r="I25" s="501">
        <f t="shared" si="0"/>
        <v>7.0015999999999995E-2</v>
      </c>
      <c r="J25" s="501">
        <f t="shared" si="1"/>
        <v>0.28006239999999999</v>
      </c>
      <c r="K25" s="501">
        <f t="shared" si="4"/>
        <v>0.35007840000000001</v>
      </c>
      <c r="L25" s="502"/>
      <c r="M25" s="502"/>
      <c r="O25" s="1"/>
      <c r="Q25" s="1"/>
    </row>
    <row r="26" spans="1:17">
      <c r="A26">
        <v>2041</v>
      </c>
      <c r="B26" s="19">
        <v>45.304000000000002</v>
      </c>
      <c r="C26" s="19">
        <v>181.215</v>
      </c>
      <c r="D26" s="19">
        <v>313.27800000000002</v>
      </c>
      <c r="E26" s="18">
        <f t="shared" si="2"/>
        <v>4.2061740812379123E-2</v>
      </c>
      <c r="F26" s="18">
        <f t="shared" si="2"/>
        <v>0.16824603481624759</v>
      </c>
      <c r="G26" s="500">
        <f t="shared" si="5"/>
        <v>0.21030777562862671</v>
      </c>
      <c r="H26" s="464"/>
      <c r="I26" s="501">
        <f t="shared" si="0"/>
        <v>7.2486400000000006E-2</v>
      </c>
      <c r="J26" s="501">
        <f t="shared" si="1"/>
        <v>0.28994399999999998</v>
      </c>
      <c r="K26" s="501">
        <f t="shared" si="4"/>
        <v>0.36243039999999999</v>
      </c>
      <c r="L26" s="502"/>
      <c r="M26" s="502"/>
      <c r="O26" s="1"/>
      <c r="Q26" s="1"/>
    </row>
    <row r="27" spans="1:17">
      <c r="A27">
        <v>2042</v>
      </c>
      <c r="B27" s="19">
        <v>46.72</v>
      </c>
      <c r="C27" s="19">
        <v>186.881</v>
      </c>
      <c r="D27" s="19">
        <v>324.60700000000003</v>
      </c>
      <c r="E27" s="18">
        <f t="shared" si="2"/>
        <v>4.3376402321083175E-2</v>
      </c>
      <c r="F27" s="18">
        <f t="shared" si="2"/>
        <v>0.17350653771760155</v>
      </c>
      <c r="G27" s="500">
        <f t="shared" si="5"/>
        <v>0.21688294003868472</v>
      </c>
      <c r="H27" s="464"/>
      <c r="I27" s="501">
        <f t="shared" si="0"/>
        <v>7.4751999999999999E-2</v>
      </c>
      <c r="J27" s="501">
        <f t="shared" si="1"/>
        <v>0.29900959999999999</v>
      </c>
      <c r="K27" s="501">
        <f t="shared" si="4"/>
        <v>0.37376159999999997</v>
      </c>
      <c r="L27" s="502"/>
      <c r="M27" s="502"/>
      <c r="O27" s="1"/>
      <c r="Q27" s="1"/>
    </row>
    <row r="28" spans="1:17">
      <c r="A28">
        <v>2043</v>
      </c>
      <c r="B28" s="19">
        <v>48.01</v>
      </c>
      <c r="C28" s="19">
        <v>192.041</v>
      </c>
      <c r="D28" s="19">
        <v>334.959</v>
      </c>
      <c r="E28" s="18">
        <f t="shared" si="2"/>
        <v>4.4574081237911026E-2</v>
      </c>
      <c r="F28" s="18">
        <f t="shared" si="2"/>
        <v>0.17829725338491295</v>
      </c>
      <c r="G28" s="500">
        <f t="shared" si="5"/>
        <v>0.22287133462282399</v>
      </c>
      <c r="H28" s="464"/>
      <c r="I28" s="501">
        <f t="shared" si="0"/>
        <v>7.6815999999999995E-2</v>
      </c>
      <c r="J28" s="501">
        <f t="shared" si="1"/>
        <v>0.30726559999999997</v>
      </c>
      <c r="K28" s="501">
        <f t="shared" si="4"/>
        <v>0.38408159999999997</v>
      </c>
      <c r="L28" s="502"/>
      <c r="M28" s="502"/>
      <c r="O28" s="1"/>
      <c r="Q28" s="1"/>
    </row>
    <row r="29" spans="1:17">
      <c r="A29">
        <v>2044</v>
      </c>
      <c r="B29" s="19">
        <v>49.174999999999997</v>
      </c>
      <c r="C29" s="19">
        <v>196.7</v>
      </c>
      <c r="D29" s="19">
        <v>344.346</v>
      </c>
      <c r="E29" s="18">
        <f t="shared" si="2"/>
        <v>4.5655705996131536E-2</v>
      </c>
      <c r="F29" s="18">
        <f t="shared" si="2"/>
        <v>0.18262282398452614</v>
      </c>
      <c r="G29" s="500">
        <f t="shared" si="5"/>
        <v>0.22827852998065767</v>
      </c>
      <c r="H29" s="464"/>
      <c r="I29" s="501">
        <f t="shared" si="0"/>
        <v>7.868E-2</v>
      </c>
      <c r="J29" s="501">
        <f t="shared" si="1"/>
        <v>0.31472</v>
      </c>
      <c r="K29" s="501">
        <f t="shared" si="4"/>
        <v>0.39339999999999997</v>
      </c>
      <c r="L29" s="502"/>
      <c r="M29" s="502"/>
      <c r="O29" s="1"/>
      <c r="Q29" s="1"/>
    </row>
    <row r="30" spans="1:17">
      <c r="A30">
        <v>2045</v>
      </c>
      <c r="B30" s="19">
        <v>50.283999999999999</v>
      </c>
      <c r="C30" s="19">
        <v>201.136</v>
      </c>
      <c r="D30" s="19">
        <v>352.95100000000002</v>
      </c>
      <c r="E30" s="18">
        <f t="shared" si="2"/>
        <v>4.6685338491295941E-2</v>
      </c>
      <c r="F30" s="18">
        <f t="shared" si="2"/>
        <v>0.18674135396518377</v>
      </c>
      <c r="G30" s="500">
        <f t="shared" si="5"/>
        <v>0.23342669245647971</v>
      </c>
      <c r="H30" s="464"/>
      <c r="I30" s="501">
        <f t="shared" si="0"/>
        <v>8.0454399999999995E-2</v>
      </c>
      <c r="J30" s="501">
        <f t="shared" si="1"/>
        <v>0.32181759999999998</v>
      </c>
      <c r="K30" s="501">
        <f t="shared" si="4"/>
        <v>0.40227199999999996</v>
      </c>
      <c r="L30" s="502"/>
      <c r="M30" s="502"/>
      <c r="O30" s="1"/>
      <c r="Q30" s="1"/>
    </row>
    <row r="31" spans="1:17">
      <c r="A31">
        <v>2046</v>
      </c>
      <c r="B31" s="19">
        <v>51.27</v>
      </c>
      <c r="C31" s="19">
        <v>205.08099999999999</v>
      </c>
      <c r="D31" s="19">
        <v>360.66800000000001</v>
      </c>
      <c r="E31" s="18">
        <f t="shared" si="2"/>
        <v>4.7600773694390724E-2</v>
      </c>
      <c r="F31" s="18">
        <f t="shared" si="2"/>
        <v>0.19040402321083172</v>
      </c>
      <c r="G31" s="500">
        <f t="shared" si="5"/>
        <v>0.23800479690522244</v>
      </c>
      <c r="H31" s="464"/>
      <c r="I31" s="501">
        <f t="shared" si="0"/>
        <v>8.2032000000000008E-2</v>
      </c>
      <c r="J31" s="501">
        <f t="shared" si="1"/>
        <v>0.32812959999999997</v>
      </c>
      <c r="K31" s="501">
        <f t="shared" si="4"/>
        <v>0.41016159999999996</v>
      </c>
      <c r="L31" s="502"/>
      <c r="M31" s="502"/>
      <c r="O31" s="1"/>
      <c r="Q31" s="1"/>
    </row>
    <row r="32" spans="1:17">
      <c r="A32">
        <v>2047</v>
      </c>
      <c r="B32" s="19">
        <v>52.183999999999997</v>
      </c>
      <c r="C32" s="19">
        <v>208.738</v>
      </c>
      <c r="D32" s="19">
        <v>367.63</v>
      </c>
      <c r="E32" s="18">
        <f t="shared" si="2"/>
        <v>4.8449361702127665E-2</v>
      </c>
      <c r="F32" s="18">
        <f t="shared" si="2"/>
        <v>0.19379930367504841</v>
      </c>
      <c r="G32" s="500">
        <f t="shared" si="5"/>
        <v>0.24224866537717607</v>
      </c>
      <c r="H32" s="464"/>
      <c r="I32" s="501">
        <f t="shared" si="0"/>
        <v>8.3494399999999996E-2</v>
      </c>
      <c r="J32" s="501">
        <f t="shared" si="1"/>
        <v>0.33398080000000002</v>
      </c>
      <c r="K32" s="501">
        <f t="shared" si="4"/>
        <v>0.41747520000000005</v>
      </c>
      <c r="L32" s="502"/>
      <c r="M32" s="502"/>
      <c r="O32" s="1"/>
      <c r="Q32" s="1"/>
    </row>
    <row r="33" spans="1:17">
      <c r="A33">
        <v>2048</v>
      </c>
      <c r="B33" s="19">
        <v>53.021999999999998</v>
      </c>
      <c r="C33" s="19">
        <v>212.08799999999999</v>
      </c>
      <c r="D33" s="19">
        <v>373.86900000000003</v>
      </c>
      <c r="E33" s="18">
        <f t="shared" si="2"/>
        <v>4.9227388781431333E-2</v>
      </c>
      <c r="F33" s="18">
        <f t="shared" si="2"/>
        <v>0.19690955512572533</v>
      </c>
      <c r="G33" s="500">
        <f t="shared" si="5"/>
        <v>0.24613694390715668</v>
      </c>
      <c r="H33" s="464"/>
      <c r="I33" s="501">
        <f t="shared" si="0"/>
        <v>8.4835199999999999E-2</v>
      </c>
      <c r="J33" s="501">
        <f t="shared" si="1"/>
        <v>0.3393408</v>
      </c>
      <c r="K33" s="501">
        <f t="shared" si="4"/>
        <v>0.424176</v>
      </c>
      <c r="L33" s="502"/>
      <c r="M33" s="502"/>
      <c r="O33" s="1"/>
      <c r="Q33" s="1"/>
    </row>
    <row r="34" spans="1:17">
      <c r="A34">
        <v>2049</v>
      </c>
      <c r="B34" s="19">
        <v>53.777000000000001</v>
      </c>
      <c r="C34" s="19">
        <v>215.107</v>
      </c>
      <c r="D34" s="19">
        <v>379.40699999999998</v>
      </c>
      <c r="E34" s="18">
        <f t="shared" si="2"/>
        <v>4.9928355899419734E-2</v>
      </c>
      <c r="F34" s="18">
        <f t="shared" si="2"/>
        <v>0.19971249516441009</v>
      </c>
      <c r="G34" s="500">
        <f t="shared" si="5"/>
        <v>0.24964085106382983</v>
      </c>
      <c r="H34" s="464"/>
      <c r="I34" s="501">
        <f t="shared" si="0"/>
        <v>8.60432E-2</v>
      </c>
      <c r="J34" s="501">
        <f t="shared" si="1"/>
        <v>0.34417120000000001</v>
      </c>
      <c r="K34" s="501">
        <f t="shared" si="4"/>
        <v>0.4302144</v>
      </c>
      <c r="L34" s="502"/>
      <c r="M34" s="502"/>
      <c r="O34" s="1"/>
      <c r="Q34" s="1"/>
    </row>
    <row r="35" spans="1:17">
      <c r="A35">
        <v>2050</v>
      </c>
      <c r="B35" s="19">
        <v>54.470999999999997</v>
      </c>
      <c r="C35" s="19">
        <v>217.88200000000001</v>
      </c>
      <c r="D35" s="19">
        <v>384.32100000000003</v>
      </c>
      <c r="E35" s="18">
        <f t="shared" si="2"/>
        <v>5.0572688588007744E-2</v>
      </c>
      <c r="F35" s="18">
        <f t="shared" si="2"/>
        <v>0.20228889748549325</v>
      </c>
      <c r="G35" s="500">
        <f t="shared" si="5"/>
        <v>0.25286158607350101</v>
      </c>
      <c r="H35" s="464"/>
      <c r="I35" s="501">
        <f t="shared" si="0"/>
        <v>8.7153599999999998E-2</v>
      </c>
      <c r="J35" s="501">
        <f t="shared" si="1"/>
        <v>0.34861120000000001</v>
      </c>
      <c r="K35" s="501">
        <f t="shared" si="4"/>
        <v>0.43576480000000001</v>
      </c>
      <c r="L35" s="502"/>
      <c r="M35" s="502"/>
      <c r="O35" s="1"/>
      <c r="Q35" s="1"/>
    </row>
    <row r="36" spans="1:17">
      <c r="A36">
        <v>2051</v>
      </c>
      <c r="B36" s="19">
        <v>55.094999999999999</v>
      </c>
      <c r="C36" s="19">
        <v>220.381</v>
      </c>
      <c r="D36" s="19">
        <v>388.63400000000001</v>
      </c>
      <c r="E36" s="18">
        <f t="shared" si="2"/>
        <v>5.115203094777563E-2</v>
      </c>
      <c r="F36" s="18">
        <f t="shared" si="2"/>
        <v>0.2046090522243714</v>
      </c>
      <c r="G36" s="500">
        <f t="shared" si="5"/>
        <v>0.25576108317214702</v>
      </c>
      <c r="H36" s="464"/>
      <c r="I36" s="501">
        <f t="shared" si="0"/>
        <v>8.8151999999999994E-2</v>
      </c>
      <c r="J36" s="501">
        <f t="shared" si="1"/>
        <v>0.35260960000000002</v>
      </c>
      <c r="K36" s="501">
        <f t="shared" si="4"/>
        <v>0.44076160000000003</v>
      </c>
      <c r="L36" s="502"/>
      <c r="M36" s="502"/>
      <c r="O36" s="1"/>
      <c r="Q36" s="1"/>
    </row>
    <row r="37" spans="1:17">
      <c r="A37">
        <v>2052</v>
      </c>
      <c r="B37" s="19">
        <v>55.677</v>
      </c>
      <c r="C37" s="19">
        <v>222.71</v>
      </c>
      <c r="D37" s="19">
        <v>392.43599999999998</v>
      </c>
      <c r="E37" s="18">
        <f t="shared" si="2"/>
        <v>5.1692379110251457E-2</v>
      </c>
      <c r="F37" s="18">
        <f t="shared" si="2"/>
        <v>0.20677137330754353</v>
      </c>
      <c r="G37" s="500">
        <f t="shared" si="5"/>
        <v>0.25846375241779496</v>
      </c>
      <c r="H37" s="464"/>
      <c r="I37" s="501">
        <f t="shared" si="0"/>
        <v>8.9083200000000001E-2</v>
      </c>
      <c r="J37" s="501">
        <f t="shared" si="1"/>
        <v>0.35633599999999999</v>
      </c>
      <c r="K37" s="501">
        <f t="shared" si="4"/>
        <v>0.44541920000000002</v>
      </c>
      <c r="L37" s="502"/>
      <c r="M37" s="502"/>
      <c r="O37" s="1"/>
      <c r="Q37" s="1"/>
    </row>
    <row r="38" spans="1:17">
      <c r="A38">
        <v>2053</v>
      </c>
      <c r="B38" s="19">
        <v>56.201999999999998</v>
      </c>
      <c r="C38" s="19">
        <v>224.80799999999999</v>
      </c>
      <c r="D38" s="19">
        <v>395.73399999999998</v>
      </c>
      <c r="E38" s="18">
        <f t="shared" si="2"/>
        <v>5.2179806576402317E-2</v>
      </c>
      <c r="F38" s="18">
        <f t="shared" si="2"/>
        <v>0.20871922630560927</v>
      </c>
      <c r="G38" s="500">
        <f t="shared" si="5"/>
        <v>0.26089903288201161</v>
      </c>
      <c r="H38" s="464"/>
      <c r="I38" s="501">
        <f t="shared" si="0"/>
        <v>8.9923199999999995E-2</v>
      </c>
      <c r="J38" s="501">
        <f t="shared" si="1"/>
        <v>0.35969279999999998</v>
      </c>
      <c r="K38" s="501">
        <f t="shared" si="4"/>
        <v>0.44961599999999996</v>
      </c>
      <c r="L38" s="502"/>
      <c r="M38" s="502"/>
      <c r="O38" s="1"/>
      <c r="Q38" s="1"/>
    </row>
    <row r="39" spans="1:17">
      <c r="A39">
        <v>2054</v>
      </c>
      <c r="B39" s="19">
        <v>56.682000000000002</v>
      </c>
      <c r="C39" s="19">
        <v>226.727</v>
      </c>
      <c r="D39" s="19">
        <v>398.58699999999999</v>
      </c>
      <c r="E39" s="18">
        <f t="shared" si="2"/>
        <v>5.2625454545454552E-2</v>
      </c>
      <c r="F39" s="18">
        <f t="shared" si="2"/>
        <v>0.21050088974854933</v>
      </c>
      <c r="G39" s="500">
        <f t="shared" si="5"/>
        <v>0.26312634429400389</v>
      </c>
      <c r="H39" s="464"/>
      <c r="I39" s="501">
        <f t="shared" si="0"/>
        <v>9.06912E-2</v>
      </c>
      <c r="J39" s="501">
        <f t="shared" si="1"/>
        <v>0.36276320000000001</v>
      </c>
      <c r="K39" s="501">
        <f t="shared" si="4"/>
        <v>0.45345440000000004</v>
      </c>
      <c r="L39" s="502"/>
      <c r="M39" s="502"/>
      <c r="O39" s="1"/>
      <c r="Q39" s="1"/>
    </row>
    <row r="40" spans="1:17">
      <c r="A40">
        <v>2055</v>
      </c>
      <c r="B40" s="19">
        <v>57.113</v>
      </c>
      <c r="C40" s="19">
        <v>228.452</v>
      </c>
      <c r="D40" s="19">
        <v>401.01799999999997</v>
      </c>
      <c r="E40" s="18">
        <f t="shared" si="2"/>
        <v>5.3025609284332691E-2</v>
      </c>
      <c r="F40" s="18">
        <f t="shared" si="2"/>
        <v>0.21210243713733076</v>
      </c>
      <c r="G40" s="500">
        <f t="shared" si="5"/>
        <v>0.26512804642166343</v>
      </c>
      <c r="H40" s="464"/>
      <c r="I40" s="501">
        <f t="shared" si="0"/>
        <v>9.1380799999999998E-2</v>
      </c>
      <c r="J40" s="501">
        <f t="shared" si="1"/>
        <v>0.36552319999999999</v>
      </c>
      <c r="K40" s="501">
        <f t="shared" si="4"/>
        <v>0.45690399999999998</v>
      </c>
      <c r="L40" s="502"/>
      <c r="M40" s="502"/>
      <c r="O40" s="1"/>
      <c r="Q40" s="1"/>
    </row>
    <row r="41" spans="1:17">
      <c r="A41">
        <v>2056</v>
      </c>
      <c r="B41" s="19">
        <v>57.5</v>
      </c>
      <c r="C41" s="19">
        <v>229.999</v>
      </c>
      <c r="D41" s="19">
        <v>403.05900000000003</v>
      </c>
      <c r="E41" s="18">
        <f t="shared" si="2"/>
        <v>5.3384912959381046E-2</v>
      </c>
      <c r="F41" s="18">
        <f t="shared" si="2"/>
        <v>0.21353872340425534</v>
      </c>
      <c r="G41" s="500">
        <f t="shared" si="5"/>
        <v>0.26692363636363636</v>
      </c>
      <c r="H41" s="464"/>
      <c r="I41" s="501">
        <f t="shared" si="0"/>
        <v>9.1999999999999998E-2</v>
      </c>
      <c r="J41" s="501">
        <f t="shared" si="1"/>
        <v>0.3679984</v>
      </c>
      <c r="K41" s="501">
        <f t="shared" si="4"/>
        <v>0.45999840000000003</v>
      </c>
      <c r="L41" s="502"/>
      <c r="M41" s="502"/>
      <c r="O41" s="1"/>
      <c r="Q41" s="1"/>
    </row>
    <row r="42" spans="1:17">
      <c r="A42">
        <v>2057</v>
      </c>
      <c r="B42" s="19">
        <v>57.837000000000003</v>
      </c>
      <c r="C42" s="19">
        <v>231.346</v>
      </c>
      <c r="D42" s="19">
        <v>404.72300000000001</v>
      </c>
      <c r="E42" s="18">
        <f t="shared" si="2"/>
        <v>5.3697794970986465E-2</v>
      </c>
      <c r="F42" s="18">
        <f t="shared" si="2"/>
        <v>0.21478932301740816</v>
      </c>
      <c r="G42" s="500">
        <f t="shared" si="5"/>
        <v>0.26848711798839464</v>
      </c>
      <c r="H42" s="464"/>
      <c r="I42" s="501">
        <f t="shared" si="0"/>
        <v>9.2539200000000002E-2</v>
      </c>
      <c r="J42" s="501">
        <f t="shared" si="1"/>
        <v>0.37015360000000003</v>
      </c>
      <c r="K42" s="501">
        <f t="shared" si="4"/>
        <v>0.46269280000000002</v>
      </c>
      <c r="L42" s="502"/>
      <c r="M42" s="502"/>
      <c r="O42" s="1"/>
      <c r="Q42" s="1"/>
    </row>
    <row r="43" spans="1:17">
      <c r="A43">
        <v>2058</v>
      </c>
      <c r="B43" s="19">
        <v>58.106000000000002</v>
      </c>
      <c r="C43" s="19">
        <v>232.42599999999999</v>
      </c>
      <c r="D43" s="19">
        <v>405.99099999999999</v>
      </c>
      <c r="E43" s="18">
        <f t="shared" si="2"/>
        <v>5.3947543520309484E-2</v>
      </c>
      <c r="F43" s="18">
        <f t="shared" si="2"/>
        <v>0.21579203094777563</v>
      </c>
      <c r="G43" s="500">
        <f t="shared" si="5"/>
        <v>0.26973957446808511</v>
      </c>
      <c r="H43" s="464"/>
      <c r="I43" s="501">
        <f t="shared" si="0"/>
        <v>9.2969599999999999E-2</v>
      </c>
      <c r="J43" s="501">
        <f t="shared" si="1"/>
        <v>0.37188159999999998</v>
      </c>
      <c r="K43" s="501">
        <f t="shared" si="4"/>
        <v>0.46485119999999996</v>
      </c>
      <c r="L43" s="502"/>
      <c r="M43" s="502"/>
      <c r="O43" s="1"/>
      <c r="Q43" s="1"/>
    </row>
    <row r="44" spans="1:17">
      <c r="A44">
        <v>2059</v>
      </c>
      <c r="B44" s="19">
        <v>58.27</v>
      </c>
      <c r="C44" s="19">
        <v>233.08199999999999</v>
      </c>
      <c r="D44" s="19">
        <v>406.78199999999998</v>
      </c>
      <c r="E44" s="18">
        <f t="shared" si="2"/>
        <v>5.4099806576402329E-2</v>
      </c>
      <c r="F44" s="18">
        <f t="shared" si="2"/>
        <v>0.21640108317214701</v>
      </c>
      <c r="G44" s="500">
        <f t="shared" si="5"/>
        <v>0.27050088974854936</v>
      </c>
      <c r="H44" s="464"/>
      <c r="I44" s="501">
        <f t="shared" si="0"/>
        <v>9.3232000000000009E-2</v>
      </c>
      <c r="J44" s="501">
        <f t="shared" si="1"/>
        <v>0.37293119999999996</v>
      </c>
      <c r="K44" s="501">
        <f t="shared" si="4"/>
        <v>0.4661632</v>
      </c>
      <c r="L44" s="502"/>
      <c r="M44" s="502"/>
      <c r="O44" s="1"/>
      <c r="Q44" s="1"/>
    </row>
    <row r="45" spans="1:17">
      <c r="A45">
        <v>2060</v>
      </c>
      <c r="B45" s="19">
        <v>58.332999999999998</v>
      </c>
      <c r="C45" s="19">
        <v>233.333</v>
      </c>
      <c r="D45" s="19">
        <v>407.08800000000002</v>
      </c>
      <c r="E45" s="18">
        <f t="shared" si="2"/>
        <v>5.4158297872340423E-2</v>
      </c>
      <c r="F45" s="18">
        <f t="shared" si="2"/>
        <v>0.2166341199226306</v>
      </c>
      <c r="G45" s="500">
        <f t="shared" si="5"/>
        <v>0.27079241779497104</v>
      </c>
      <c r="H45" s="464"/>
      <c r="I45" s="501">
        <f t="shared" si="0"/>
        <v>9.3332799999999994E-2</v>
      </c>
      <c r="J45" s="501">
        <f t="shared" si="1"/>
        <v>0.37333280000000002</v>
      </c>
      <c r="K45" s="501">
        <f t="shared" si="4"/>
        <v>0.46666560000000001</v>
      </c>
      <c r="L45" s="502"/>
      <c r="M45" s="502"/>
      <c r="O45" s="1"/>
      <c r="Q45" s="1"/>
    </row>
    <row r="46" spans="1:17">
      <c r="A46">
        <v>2061</v>
      </c>
      <c r="B46" s="19">
        <v>58.3</v>
      </c>
      <c r="C46" s="19">
        <v>233.2</v>
      </c>
      <c r="D46" s="19">
        <v>406.90499999999997</v>
      </c>
      <c r="E46" s="18">
        <f t="shared" si="2"/>
        <v>5.4127659574468093E-2</v>
      </c>
      <c r="F46" s="18">
        <f t="shared" si="2"/>
        <v>0.21651063829787237</v>
      </c>
      <c r="G46" s="500">
        <f t="shared" si="5"/>
        <v>0.27063829787234045</v>
      </c>
      <c r="H46" s="464"/>
      <c r="I46" s="501">
        <f t="shared" si="0"/>
        <v>9.3280000000000002E-2</v>
      </c>
      <c r="J46" s="501">
        <f t="shared" si="1"/>
        <v>0.37312000000000001</v>
      </c>
      <c r="K46" s="501">
        <f t="shared" si="4"/>
        <v>0.46640000000000004</v>
      </c>
      <c r="L46" s="502"/>
      <c r="M46" s="502"/>
      <c r="O46" s="1"/>
      <c r="Q46" s="1"/>
    </row>
    <row r="47" spans="1:17">
      <c r="A47">
        <v>2062</v>
      </c>
      <c r="B47" s="19">
        <v>58.174999999999997</v>
      </c>
      <c r="C47" s="19">
        <v>232.702</v>
      </c>
      <c r="D47" s="19">
        <v>406.23599999999999</v>
      </c>
      <c r="E47" s="18">
        <f t="shared" si="2"/>
        <v>5.4011605415860739E-2</v>
      </c>
      <c r="F47" s="18">
        <f t="shared" si="2"/>
        <v>0.21604827852998068</v>
      </c>
      <c r="G47" s="500">
        <f t="shared" si="5"/>
        <v>0.27005988394584141</v>
      </c>
      <c r="H47" s="464"/>
      <c r="I47" s="501">
        <f t="shared" si="0"/>
        <v>9.3079999999999996E-2</v>
      </c>
      <c r="J47" s="501">
        <f t="shared" si="1"/>
        <v>0.37232320000000002</v>
      </c>
      <c r="K47" s="501">
        <f t="shared" si="4"/>
        <v>0.46540320000000002</v>
      </c>
      <c r="L47" s="502"/>
      <c r="M47" s="502"/>
      <c r="O47" s="1"/>
      <c r="Q47" s="1"/>
    </row>
    <row r="48" spans="1:17">
      <c r="A48">
        <v>2063</v>
      </c>
      <c r="B48" s="19">
        <v>57.965000000000003</v>
      </c>
      <c r="C48" s="19">
        <v>231.85900000000001</v>
      </c>
      <c r="D48" s="19">
        <v>405.08800000000002</v>
      </c>
      <c r="E48" s="18">
        <f t="shared" si="2"/>
        <v>5.3816634429400392E-2</v>
      </c>
      <c r="F48" s="18">
        <f t="shared" si="2"/>
        <v>0.21526560928433272</v>
      </c>
      <c r="G48" s="500">
        <f t="shared" si="5"/>
        <v>0.26908224371373313</v>
      </c>
      <c r="H48" s="464"/>
      <c r="I48" s="501">
        <f t="shared" si="0"/>
        <v>9.2744000000000007E-2</v>
      </c>
      <c r="J48" s="501">
        <f t="shared" si="1"/>
        <v>0.37097440000000004</v>
      </c>
      <c r="K48" s="501">
        <f t="shared" si="4"/>
        <v>0.46371840000000003</v>
      </c>
      <c r="L48" s="502"/>
      <c r="M48" s="502"/>
      <c r="O48" s="1"/>
      <c r="Q48" s="1"/>
    </row>
    <row r="49" spans="1:7">
      <c r="A49">
        <v>2064</v>
      </c>
      <c r="B49" s="19">
        <v>57.673000000000002</v>
      </c>
      <c r="C49" s="19">
        <v>230.691</v>
      </c>
      <c r="D49" s="19">
        <v>403.47199999999998</v>
      </c>
      <c r="E49" s="18">
        <f>+(B49/$C$3)/$C$5/($C$6)</f>
        <v>5.354553191489362E-2</v>
      </c>
      <c r="F49" s="18">
        <f>+(C49/$C$3)/$C$5/($C$6)</f>
        <v>0.21418119922630563</v>
      </c>
      <c r="G49" s="500">
        <f>+SUM(E49:F49)</f>
        <v>0.26772673114119927</v>
      </c>
    </row>
    <row r="50" spans="1:7">
      <c r="A50">
        <v>2065</v>
      </c>
      <c r="B50" s="19">
        <v>57.305</v>
      </c>
      <c r="C50" s="19">
        <v>229.21899999999999</v>
      </c>
      <c r="D50" s="19">
        <v>401.40100000000001</v>
      </c>
      <c r="E50" s="18">
        <f>+(B50/$C$3)/$C$5/($C$6)</f>
        <v>5.3203868471953582E-2</v>
      </c>
      <c r="F50" s="18">
        <f>+(C50/$C$3)/$C$5/($C$6)</f>
        <v>0.21281454545454548</v>
      </c>
      <c r="G50" s="500">
        <f>+SUM(E50:F50)</f>
        <v>0.26601841392649905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DC1F0F2D97C04690DF7AC407C65BA5" ma:contentTypeVersion="19" ma:contentTypeDescription="Create a new document." ma:contentTypeScope="" ma:versionID="138ac169aaadc9c430b97b25b46ecc4e">
  <xsd:schema xmlns:xsd="http://www.w3.org/2001/XMLSchema" xmlns:xs="http://www.w3.org/2001/XMLSchema" xmlns:p="http://schemas.microsoft.com/office/2006/metadata/properties" xmlns:ns2="5944c9fc-9421-4c39-b608-61ce31788618" xmlns:ns3="3ba820af-9c36-47fb-8383-9944acc4573c" targetNamespace="http://schemas.microsoft.com/office/2006/metadata/properties" ma:root="true" ma:fieldsID="4cce58cbed9668fc3dbbcfb9a7470718" ns2:_="" ns3:_="">
    <xsd:import namespace="5944c9fc-9421-4c39-b608-61ce31788618"/>
    <xsd:import namespace="3ba820af-9c36-47fb-8383-9944acc457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4c9fc-9421-4c39-b608-61ce317886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b97863a-9c53-4d79-aa62-b4edf9878b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a820af-9c36-47fb-8383-9944acc4573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4e236bb-6ba1-491a-998c-53c379aa7070}" ma:internalName="TaxCatchAll" ma:showField="CatchAllData" ma:web="3ba820af-9c36-47fb-8383-9944acc457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44c9fc-9421-4c39-b608-61ce31788618">
      <Terms xmlns="http://schemas.microsoft.com/office/infopath/2007/PartnerControls"/>
    </lcf76f155ced4ddcb4097134ff3c332f>
    <TaxCatchAll xmlns="3ba820af-9c36-47fb-8383-9944acc4573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FD288D-E539-4AC1-875A-DA7EED97A1D5}"/>
</file>

<file path=customXml/itemProps2.xml><?xml version="1.0" encoding="utf-8"?>
<ds:datastoreItem xmlns:ds="http://schemas.openxmlformats.org/officeDocument/2006/customXml" ds:itemID="{D1AC79CC-8475-4647-972F-FF6B174B747E}"/>
</file>

<file path=customXml/itemProps3.xml><?xml version="1.0" encoding="utf-8"?>
<ds:datastoreItem xmlns:ds="http://schemas.openxmlformats.org/officeDocument/2006/customXml" ds:itemID="{75DA5A7C-DECD-49E1-9557-C02CD608F2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Beau Milliken</dc:creator>
  <cp:keywords/>
  <dc:description/>
  <cp:lastModifiedBy>Priyanka Garg</cp:lastModifiedBy>
  <cp:revision/>
  <dcterms:created xsi:type="dcterms:W3CDTF">2025-01-18T00:26:49Z</dcterms:created>
  <dcterms:modified xsi:type="dcterms:W3CDTF">2025-09-16T09:27:26Z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0x010100CDDC1F0F2D97C04690DF7AC407C65BA5</vt:lpwstr>
  </property>
  <property fmtid="{D5CDD505-2E9C-101B-9397-08002B2CF9AE}" pid="3" name="MediaServiceImageTags">
    <vt:lpwstr/>
  </property>
</Properties>
</file>