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tul Takarkhede\01 Applus Work\06 GS VERIFICATIONS\47.La La Hydro Vietnam\01 TR Submission_10.03.2023\"/>
    </mc:Choice>
  </mc:AlternateContent>
  <xr:revisionPtr revIDLastSave="0" documentId="13_ncr:1_{AFA562F6-F2E2-44C3-BDE2-E2E81280AF9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ER-Spreadsheet" sheetId="11" r:id="rId1"/>
    <sheet name="Output &amp; CERs" sheetId="8" r:id="rId2"/>
    <sheet name="InputData Supply PEG" sheetId="1" r:id="rId3"/>
    <sheet name="inputdata consumption EC" sheetId="2" state="hidden" r:id="rId4"/>
    <sheet name="InputData Reservoir Level" sheetId="4" r:id="rId5"/>
    <sheet name="Input data monthly1" sheetId="3" r:id="rId6"/>
    <sheet name="Fixed para" sheetId="7" r:id="rId7"/>
    <sheet name="QC-QA" sheetId="9" r:id="rId8"/>
    <sheet name="Power Density " sheetId="12" r:id="rId9"/>
  </sheets>
  <calcPr calcId="191029"/>
</workbook>
</file>

<file path=xl/calcChain.xml><?xml version="1.0" encoding="utf-8"?>
<calcChain xmlns="http://schemas.openxmlformats.org/spreadsheetml/2006/main">
  <c r="E13" i="11" l="1"/>
  <c r="J28" i="8"/>
  <c r="J27" i="8"/>
  <c r="C7" i="8"/>
  <c r="C20" i="8"/>
  <c r="H12" i="11"/>
  <c r="L12" i="12"/>
  <c r="K12" i="12"/>
  <c r="J12" i="12"/>
  <c r="I12" i="12"/>
  <c r="H12" i="12"/>
  <c r="G12" i="12"/>
  <c r="F12" i="12"/>
  <c r="E12" i="12"/>
  <c r="D20" i="8"/>
  <c r="G20" i="8" s="1"/>
  <c r="D7" i="8"/>
  <c r="H28" i="8"/>
  <c r="I28" i="8"/>
  <c r="E12" i="11"/>
  <c r="E20" i="8" l="1"/>
  <c r="E7" i="8"/>
  <c r="F28" i="8"/>
  <c r="G7" i="8"/>
  <c r="K62" i="4"/>
  <c r="K59" i="4"/>
  <c r="K56" i="4"/>
  <c r="J52" i="4"/>
  <c r="K52" i="4" s="1"/>
  <c r="J49" i="4"/>
  <c r="K49" i="4" s="1"/>
  <c r="K45" i="4"/>
  <c r="J45" i="4"/>
  <c r="J42" i="4"/>
  <c r="K42" i="4" s="1"/>
  <c r="D14" i="9" l="1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13" i="9"/>
  <c r="D117" i="4"/>
  <c r="E117" i="4" s="1"/>
  <c r="L15" i="4"/>
  <c r="D118" i="4"/>
  <c r="E118" i="4" s="1"/>
  <c r="D119" i="4"/>
  <c r="E119" i="4" s="1"/>
  <c r="D120" i="4"/>
  <c r="E120" i="4"/>
  <c r="D121" i="4"/>
  <c r="E121" i="4" s="1"/>
  <c r="D122" i="4"/>
  <c r="E122" i="4" s="1"/>
  <c r="D123" i="4"/>
  <c r="L16" i="4"/>
  <c r="E123" i="4"/>
  <c r="D124" i="4"/>
  <c r="E124" i="4" s="1"/>
  <c r="L18" i="4"/>
  <c r="K18" i="4"/>
  <c r="L17" i="4"/>
  <c r="K17" i="4"/>
  <c r="K16" i="4"/>
  <c r="K15" i="4"/>
  <c r="L14" i="4"/>
  <c r="K14" i="4"/>
  <c r="L13" i="4"/>
  <c r="K13" i="4"/>
  <c r="L12" i="4"/>
  <c r="K12" i="4"/>
  <c r="L11" i="4"/>
  <c r="K11" i="4"/>
  <c r="L10" i="4"/>
  <c r="K10" i="4"/>
  <c r="L9" i="4"/>
  <c r="K9" i="4"/>
  <c r="L8" i="4"/>
  <c r="K8" i="4"/>
  <c r="L7" i="4"/>
  <c r="K7" i="4"/>
  <c r="L6" i="4"/>
  <c r="K6" i="4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40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45" i="1"/>
  <c r="G17" i="3"/>
  <c r="F17" i="3"/>
  <c r="H17" i="3" s="1"/>
  <c r="U25" i="2"/>
  <c r="J25" i="2"/>
  <c r="J24" i="2"/>
  <c r="F71" i="3"/>
  <c r="H71" i="3"/>
  <c r="D14" i="8" s="1"/>
  <c r="C71" i="3"/>
  <c r="F72" i="3"/>
  <c r="H72" i="3" s="1"/>
  <c r="D15" i="8" s="1"/>
  <c r="C72" i="3"/>
  <c r="E72" i="3" s="1"/>
  <c r="C15" i="8" s="1"/>
  <c r="F73" i="3"/>
  <c r="H73" i="3" s="1"/>
  <c r="D16" i="8" s="1"/>
  <c r="C73" i="3"/>
  <c r="F74" i="3"/>
  <c r="H74" i="3" s="1"/>
  <c r="D17" i="8" s="1"/>
  <c r="G110" i="1"/>
  <c r="C74" i="3"/>
  <c r="B83" i="9" s="1"/>
  <c r="C83" i="9" s="1"/>
  <c r="F75" i="3"/>
  <c r="H75" i="3" s="1"/>
  <c r="D18" i="8" s="1"/>
  <c r="G111" i="1"/>
  <c r="C75" i="3" s="1"/>
  <c r="F76" i="3"/>
  <c r="H76" i="3" s="1"/>
  <c r="D19" i="8" s="1"/>
  <c r="G112" i="1"/>
  <c r="C76" i="3" s="1"/>
  <c r="F77" i="3"/>
  <c r="H77" i="3" s="1"/>
  <c r="G113" i="1"/>
  <c r="F78" i="3"/>
  <c r="H78" i="3"/>
  <c r="D21" i="8" s="1"/>
  <c r="G114" i="1"/>
  <c r="C78" i="3"/>
  <c r="F79" i="3"/>
  <c r="H79" i="3" s="1"/>
  <c r="D23" i="8" s="1"/>
  <c r="G115" i="1"/>
  <c r="C79" i="3"/>
  <c r="B88" i="9" s="1"/>
  <c r="C88" i="9" s="1"/>
  <c r="F80" i="3"/>
  <c r="H80" i="3" s="1"/>
  <c r="D24" i="8" s="1"/>
  <c r="G116" i="1"/>
  <c r="C80" i="3" s="1"/>
  <c r="F81" i="3"/>
  <c r="H81" i="3" s="1"/>
  <c r="D25" i="8" s="1"/>
  <c r="G117" i="1"/>
  <c r="C81" i="3" s="1"/>
  <c r="F82" i="3"/>
  <c r="H82" i="3" s="1"/>
  <c r="D26" i="8" s="1"/>
  <c r="G118" i="1"/>
  <c r="C82" i="3" s="1"/>
  <c r="C5" i="3"/>
  <c r="E5" i="3" s="1"/>
  <c r="F5" i="3"/>
  <c r="H5" i="3" s="1"/>
  <c r="C6" i="3"/>
  <c r="E6" i="3" s="1"/>
  <c r="F6" i="3"/>
  <c r="H6" i="3" s="1"/>
  <c r="C7" i="3"/>
  <c r="F7" i="3"/>
  <c r="H7" i="3" s="1"/>
  <c r="C8" i="3"/>
  <c r="B17" i="9" s="1"/>
  <c r="C17" i="9" s="1"/>
  <c r="F8" i="3"/>
  <c r="H8" i="3"/>
  <c r="C9" i="3"/>
  <c r="E9" i="3" s="1"/>
  <c r="F9" i="3"/>
  <c r="H9" i="3"/>
  <c r="C10" i="3"/>
  <c r="B19" i="9" s="1"/>
  <c r="C19" i="9" s="1"/>
  <c r="F10" i="3"/>
  <c r="H10" i="3"/>
  <c r="C11" i="3"/>
  <c r="E11" i="3"/>
  <c r="F11" i="3"/>
  <c r="H11" i="3"/>
  <c r="C12" i="3"/>
  <c r="E12" i="3"/>
  <c r="F12" i="3"/>
  <c r="H12" i="3"/>
  <c r="C13" i="3"/>
  <c r="E13" i="3"/>
  <c r="F13" i="3"/>
  <c r="H13" i="3"/>
  <c r="C14" i="3"/>
  <c r="E14" i="3"/>
  <c r="F14" i="3"/>
  <c r="H14" i="3" s="1"/>
  <c r="C15" i="3"/>
  <c r="E15" i="3" s="1"/>
  <c r="F15" i="3"/>
  <c r="H15" i="3" s="1"/>
  <c r="C16" i="3"/>
  <c r="B25" i="9" s="1"/>
  <c r="C25" i="9" s="1"/>
  <c r="F16" i="3"/>
  <c r="H16" i="3" s="1"/>
  <c r="C17" i="3"/>
  <c r="B26" i="9" s="1"/>
  <c r="C26" i="9" s="1"/>
  <c r="C18" i="3"/>
  <c r="E18" i="3"/>
  <c r="F18" i="3"/>
  <c r="H18" i="3"/>
  <c r="C19" i="3"/>
  <c r="F19" i="3"/>
  <c r="H19" i="3" s="1"/>
  <c r="C20" i="3"/>
  <c r="E20" i="3" s="1"/>
  <c r="F20" i="3"/>
  <c r="H20" i="3"/>
  <c r="C21" i="3"/>
  <c r="F21" i="3"/>
  <c r="H21" i="3" s="1"/>
  <c r="C22" i="3"/>
  <c r="E22" i="3" s="1"/>
  <c r="F22" i="3"/>
  <c r="H22" i="3" s="1"/>
  <c r="C23" i="3"/>
  <c r="F23" i="3"/>
  <c r="H23" i="3"/>
  <c r="C24" i="3"/>
  <c r="E24" i="3"/>
  <c r="F24" i="3"/>
  <c r="H24" i="3"/>
  <c r="C25" i="3"/>
  <c r="F25" i="3"/>
  <c r="H25" i="3" s="1"/>
  <c r="C26" i="3"/>
  <c r="E26" i="3" s="1"/>
  <c r="F26" i="3"/>
  <c r="H26" i="3" s="1"/>
  <c r="C27" i="3"/>
  <c r="F27" i="3"/>
  <c r="H27" i="3"/>
  <c r="C28" i="3"/>
  <c r="E28" i="3"/>
  <c r="F28" i="3"/>
  <c r="H28" i="3" s="1"/>
  <c r="C29" i="3"/>
  <c r="F29" i="3"/>
  <c r="H29" i="3"/>
  <c r="C30" i="3"/>
  <c r="E30" i="3" s="1"/>
  <c r="F30" i="3"/>
  <c r="H30" i="3"/>
  <c r="C31" i="3"/>
  <c r="F31" i="3"/>
  <c r="H31" i="3" s="1"/>
  <c r="C32" i="3"/>
  <c r="E32" i="3" s="1"/>
  <c r="F32" i="3"/>
  <c r="H32" i="3" s="1"/>
  <c r="C33" i="3"/>
  <c r="F33" i="3"/>
  <c r="H33" i="3"/>
  <c r="C34" i="3"/>
  <c r="E34" i="3" s="1"/>
  <c r="F34" i="3"/>
  <c r="H34" i="3"/>
  <c r="C35" i="3"/>
  <c r="F35" i="3"/>
  <c r="H35" i="3" s="1"/>
  <c r="C36" i="3"/>
  <c r="E36" i="3" s="1"/>
  <c r="F36" i="3"/>
  <c r="H36" i="3" s="1"/>
  <c r="C37" i="3"/>
  <c r="F37" i="3"/>
  <c r="H37" i="3" s="1"/>
  <c r="C38" i="3"/>
  <c r="E38" i="3" s="1"/>
  <c r="F38" i="3"/>
  <c r="H38" i="3" s="1"/>
  <c r="C39" i="3"/>
  <c r="F39" i="3"/>
  <c r="H39" i="3" s="1"/>
  <c r="C40" i="3"/>
  <c r="E40" i="3" s="1"/>
  <c r="F40" i="3"/>
  <c r="H40" i="3" s="1"/>
  <c r="C41" i="3"/>
  <c r="F41" i="3"/>
  <c r="H41" i="3" s="1"/>
  <c r="C42" i="3"/>
  <c r="E42" i="3" s="1"/>
  <c r="F42" i="3"/>
  <c r="H42" i="3" s="1"/>
  <c r="C43" i="3"/>
  <c r="F43" i="3"/>
  <c r="H43" i="3" s="1"/>
  <c r="C44" i="3"/>
  <c r="E44" i="3" s="1"/>
  <c r="F44" i="3"/>
  <c r="H44" i="3" s="1"/>
  <c r="C45" i="3"/>
  <c r="F45" i="3"/>
  <c r="H45" i="3" s="1"/>
  <c r="C46" i="3"/>
  <c r="E46" i="3" s="1"/>
  <c r="F46" i="3"/>
  <c r="H46" i="3" s="1"/>
  <c r="C47" i="3"/>
  <c r="F47" i="3"/>
  <c r="H47" i="3" s="1"/>
  <c r="C48" i="3"/>
  <c r="E48" i="3" s="1"/>
  <c r="F48" i="3"/>
  <c r="H48" i="3" s="1"/>
  <c r="C49" i="3"/>
  <c r="F49" i="3"/>
  <c r="H49" i="3" s="1"/>
  <c r="C50" i="3"/>
  <c r="E50" i="3" s="1"/>
  <c r="F50" i="3"/>
  <c r="H50" i="3" s="1"/>
  <c r="C51" i="3"/>
  <c r="F51" i="3"/>
  <c r="H51" i="3" s="1"/>
  <c r="C52" i="3"/>
  <c r="E52" i="3" s="1"/>
  <c r="F52" i="3"/>
  <c r="H52" i="3" s="1"/>
  <c r="C53" i="3"/>
  <c r="B62" i="9" s="1"/>
  <c r="C62" i="9" s="1"/>
  <c r="F53" i="3"/>
  <c r="H53" i="3" s="1"/>
  <c r="C54" i="3"/>
  <c r="E54" i="3"/>
  <c r="F54" i="3"/>
  <c r="H54" i="3" s="1"/>
  <c r="C55" i="3"/>
  <c r="F55" i="3"/>
  <c r="H55" i="3" s="1"/>
  <c r="C56" i="3"/>
  <c r="B65" i="9" s="1"/>
  <c r="C65" i="9" s="1"/>
  <c r="F56" i="3"/>
  <c r="H56" i="3" s="1"/>
  <c r="C57" i="3"/>
  <c r="B66" i="9" s="1"/>
  <c r="C66" i="9" s="1"/>
  <c r="F57" i="3"/>
  <c r="H57" i="3" s="1"/>
  <c r="C58" i="3"/>
  <c r="E58" i="3"/>
  <c r="F58" i="3"/>
  <c r="H58" i="3" s="1"/>
  <c r="C59" i="3"/>
  <c r="F59" i="3"/>
  <c r="H59" i="3" s="1"/>
  <c r="C60" i="3"/>
  <c r="E60" i="3" s="1"/>
  <c r="F60" i="3"/>
  <c r="H60" i="3"/>
  <c r="C61" i="3"/>
  <c r="F61" i="3"/>
  <c r="H61" i="3" s="1"/>
  <c r="C62" i="3"/>
  <c r="E62" i="3" s="1"/>
  <c r="F62" i="3"/>
  <c r="H62" i="3" s="1"/>
  <c r="C63" i="3"/>
  <c r="F63" i="3"/>
  <c r="H63" i="3"/>
  <c r="C64" i="3"/>
  <c r="E64" i="3"/>
  <c r="C6" i="8" s="1"/>
  <c r="E6" i="8" s="1"/>
  <c r="F64" i="3"/>
  <c r="H64" i="3"/>
  <c r="D6" i="8" s="1"/>
  <c r="C65" i="3"/>
  <c r="F65" i="3"/>
  <c r="H65" i="3" s="1"/>
  <c r="C66" i="3"/>
  <c r="E66" i="3" s="1"/>
  <c r="C8" i="8" s="1"/>
  <c r="F66" i="3"/>
  <c r="H66" i="3" s="1"/>
  <c r="D8" i="8" s="1"/>
  <c r="C67" i="3"/>
  <c r="F67" i="3"/>
  <c r="H67" i="3"/>
  <c r="D10" i="8" s="1"/>
  <c r="C68" i="3"/>
  <c r="E68" i="3"/>
  <c r="C11" i="8" s="1"/>
  <c r="F68" i="3"/>
  <c r="H68" i="3"/>
  <c r="D11" i="8" s="1"/>
  <c r="C69" i="3"/>
  <c r="F69" i="3"/>
  <c r="H69" i="3" s="1"/>
  <c r="D12" i="8" s="1"/>
  <c r="C70" i="3"/>
  <c r="E70" i="3" s="1"/>
  <c r="C13" i="8" s="1"/>
  <c r="F70" i="3"/>
  <c r="H70" i="3" s="1"/>
  <c r="D13" i="8" s="1"/>
  <c r="G77" i="3"/>
  <c r="G65" i="3"/>
  <c r="G53" i="3"/>
  <c r="G41" i="3"/>
  <c r="G29" i="3"/>
  <c r="S113" i="1"/>
  <c r="D77" i="3" s="1"/>
  <c r="B86" i="9" s="1"/>
  <c r="C86" i="9" s="1"/>
  <c r="S114" i="1"/>
  <c r="D78" i="3"/>
  <c r="G78" i="3"/>
  <c r="S115" i="1"/>
  <c r="D79" i="3" s="1"/>
  <c r="G79" i="3"/>
  <c r="S116" i="1"/>
  <c r="D80" i="3" s="1"/>
  <c r="G80" i="3"/>
  <c r="S117" i="1"/>
  <c r="G81" i="3"/>
  <c r="S118" i="1"/>
  <c r="W118" i="1" s="1"/>
  <c r="G82" i="3"/>
  <c r="D71" i="3"/>
  <c r="G71" i="3"/>
  <c r="D72" i="3"/>
  <c r="G72" i="3"/>
  <c r="D73" i="3"/>
  <c r="G73" i="3"/>
  <c r="S110" i="1"/>
  <c r="D74" i="3"/>
  <c r="G74" i="3"/>
  <c r="S111" i="1"/>
  <c r="D75" i="3"/>
  <c r="G75" i="3"/>
  <c r="S112" i="1"/>
  <c r="W112" i="1" s="1"/>
  <c r="G76" i="3"/>
  <c r="D65" i="3"/>
  <c r="D53" i="3"/>
  <c r="D41" i="3"/>
  <c r="U85" i="2"/>
  <c r="J85" i="2"/>
  <c r="U73" i="2"/>
  <c r="J73" i="2"/>
  <c r="U61" i="2"/>
  <c r="J61" i="2"/>
  <c r="U49" i="2"/>
  <c r="J49" i="2"/>
  <c r="W101" i="1"/>
  <c r="K101" i="1"/>
  <c r="W89" i="1"/>
  <c r="K89" i="1"/>
  <c r="W77" i="1"/>
  <c r="K77" i="1"/>
  <c r="U37" i="2"/>
  <c r="J37" i="2"/>
  <c r="D29" i="3"/>
  <c r="W65" i="1"/>
  <c r="K65" i="1"/>
  <c r="W53" i="1"/>
  <c r="K56" i="1"/>
  <c r="K57" i="1"/>
  <c r="K58" i="1"/>
  <c r="K59" i="1"/>
  <c r="K60" i="1"/>
  <c r="K61" i="1"/>
  <c r="K62" i="1"/>
  <c r="K63" i="1"/>
  <c r="K64" i="1"/>
  <c r="K66" i="1"/>
  <c r="K67" i="1"/>
  <c r="K68" i="1"/>
  <c r="K69" i="1"/>
  <c r="K70" i="1"/>
  <c r="K71" i="1"/>
  <c r="K72" i="1"/>
  <c r="K73" i="1"/>
  <c r="K74" i="1"/>
  <c r="K75" i="1"/>
  <c r="K76" i="1"/>
  <c r="K78" i="1"/>
  <c r="K79" i="1"/>
  <c r="K80" i="1"/>
  <c r="K81" i="1"/>
  <c r="K82" i="1"/>
  <c r="K83" i="1"/>
  <c r="K84" i="1"/>
  <c r="K85" i="1"/>
  <c r="K86" i="1"/>
  <c r="K87" i="1"/>
  <c r="K88" i="1"/>
  <c r="K90" i="1"/>
  <c r="K91" i="1"/>
  <c r="K92" i="1"/>
  <c r="K93" i="1"/>
  <c r="K94" i="1"/>
  <c r="K95" i="1"/>
  <c r="K96" i="1"/>
  <c r="K97" i="1"/>
  <c r="K98" i="1"/>
  <c r="K99" i="1"/>
  <c r="K100" i="1"/>
  <c r="K102" i="1"/>
  <c r="K103" i="1"/>
  <c r="K104" i="1"/>
  <c r="K105" i="1"/>
  <c r="K106" i="1"/>
  <c r="K107" i="1"/>
  <c r="K108" i="1"/>
  <c r="K109" i="1"/>
  <c r="K110" i="1"/>
  <c r="K111" i="1"/>
  <c r="K112" i="1"/>
  <c r="K114" i="1"/>
  <c r="K115" i="1"/>
  <c r="K116" i="1"/>
  <c r="K117" i="1"/>
  <c r="K118" i="1"/>
  <c r="K55" i="1"/>
  <c r="K54" i="1"/>
  <c r="D17" i="3"/>
  <c r="K53" i="1"/>
  <c r="W42" i="1"/>
  <c r="W43" i="1"/>
  <c r="W44" i="1"/>
  <c r="W45" i="1"/>
  <c r="W46" i="1"/>
  <c r="W47" i="1"/>
  <c r="W48" i="1"/>
  <c r="W49" i="1"/>
  <c r="W50" i="1"/>
  <c r="W51" i="1"/>
  <c r="W52" i="1"/>
  <c r="W54" i="1"/>
  <c r="W55" i="1"/>
  <c r="W56" i="1"/>
  <c r="W57" i="1"/>
  <c r="W58" i="1"/>
  <c r="W59" i="1"/>
  <c r="W60" i="1"/>
  <c r="W61" i="1"/>
  <c r="W62" i="1"/>
  <c r="W63" i="1"/>
  <c r="W64" i="1"/>
  <c r="W66" i="1"/>
  <c r="W67" i="1"/>
  <c r="W68" i="1"/>
  <c r="W69" i="1"/>
  <c r="W70" i="1"/>
  <c r="W71" i="1"/>
  <c r="W72" i="1"/>
  <c r="W73" i="1"/>
  <c r="W74" i="1"/>
  <c r="W75" i="1"/>
  <c r="W76" i="1"/>
  <c r="W78" i="1"/>
  <c r="W79" i="1"/>
  <c r="W80" i="1"/>
  <c r="W81" i="1"/>
  <c r="W82" i="1"/>
  <c r="W83" i="1"/>
  <c r="W84" i="1"/>
  <c r="W85" i="1"/>
  <c r="W86" i="1"/>
  <c r="W87" i="1"/>
  <c r="W88" i="1"/>
  <c r="W90" i="1"/>
  <c r="W91" i="1"/>
  <c r="W92" i="1"/>
  <c r="W93" i="1"/>
  <c r="W94" i="1"/>
  <c r="W95" i="1"/>
  <c r="W96" i="1"/>
  <c r="W97" i="1"/>
  <c r="W98" i="1"/>
  <c r="W99" i="1"/>
  <c r="W100" i="1"/>
  <c r="W102" i="1"/>
  <c r="W103" i="1"/>
  <c r="W104" i="1"/>
  <c r="W105" i="1"/>
  <c r="W106" i="1"/>
  <c r="W107" i="1"/>
  <c r="W108" i="1"/>
  <c r="W109" i="1"/>
  <c r="W111" i="1"/>
  <c r="W115" i="1"/>
  <c r="W116" i="1"/>
  <c r="W41" i="1"/>
  <c r="K43" i="1"/>
  <c r="K44" i="1"/>
  <c r="K45" i="1"/>
  <c r="K46" i="1"/>
  <c r="K47" i="1"/>
  <c r="K48" i="1"/>
  <c r="K49" i="1"/>
  <c r="K50" i="1"/>
  <c r="K51" i="1"/>
  <c r="K52" i="1"/>
  <c r="K42" i="1"/>
  <c r="K41" i="1"/>
  <c r="K40" i="1"/>
  <c r="W40" i="1"/>
  <c r="D4" i="3"/>
  <c r="C4" i="3"/>
  <c r="B13" i="9" s="1"/>
  <c r="C13" i="9" s="1"/>
  <c r="D5" i="3"/>
  <c r="D6" i="3"/>
  <c r="D7" i="3"/>
  <c r="D8" i="3"/>
  <c r="D9" i="3"/>
  <c r="D10" i="3"/>
  <c r="D11" i="3"/>
  <c r="D12" i="3"/>
  <c r="D13" i="3"/>
  <c r="D14" i="3"/>
  <c r="B23" i="9" s="1"/>
  <c r="C23" i="9" s="1"/>
  <c r="D15" i="3"/>
  <c r="D16" i="3"/>
  <c r="D18" i="3"/>
  <c r="D19" i="3"/>
  <c r="B28" i="9" s="1"/>
  <c r="C28" i="9" s="1"/>
  <c r="D20" i="3"/>
  <c r="D21" i="3"/>
  <c r="D22" i="3"/>
  <c r="D23" i="3"/>
  <c r="D24" i="3"/>
  <c r="D25" i="3"/>
  <c r="D26" i="3"/>
  <c r="D27" i="3"/>
  <c r="B36" i="9" s="1"/>
  <c r="C36" i="9" s="1"/>
  <c r="D28" i="3"/>
  <c r="D30" i="3"/>
  <c r="D31" i="3"/>
  <c r="D32" i="3"/>
  <c r="D33" i="3"/>
  <c r="D34" i="3"/>
  <c r="D35" i="3"/>
  <c r="D36" i="3"/>
  <c r="B45" i="9" s="1"/>
  <c r="C45" i="9" s="1"/>
  <c r="D37" i="3"/>
  <c r="D38" i="3"/>
  <c r="D39" i="3"/>
  <c r="D40" i="3"/>
  <c r="D42" i="3"/>
  <c r="D43" i="3"/>
  <c r="D44" i="3"/>
  <c r="D45" i="3"/>
  <c r="B54" i="9" s="1"/>
  <c r="C54" i="9" s="1"/>
  <c r="D46" i="3"/>
  <c r="D47" i="3"/>
  <c r="D48" i="3"/>
  <c r="D49" i="3"/>
  <c r="D50" i="3"/>
  <c r="D51" i="3"/>
  <c r="D52" i="3"/>
  <c r="D54" i="3"/>
  <c r="D55" i="3"/>
  <c r="D56" i="3"/>
  <c r="D57" i="3"/>
  <c r="D58" i="3"/>
  <c r="D59" i="3"/>
  <c r="D60" i="3"/>
  <c r="D61" i="3"/>
  <c r="D62" i="3"/>
  <c r="B71" i="9" s="1"/>
  <c r="C71" i="9" s="1"/>
  <c r="D63" i="3"/>
  <c r="D64" i="3"/>
  <c r="D66" i="3"/>
  <c r="D67" i="3"/>
  <c r="D68" i="3"/>
  <c r="D69" i="3"/>
  <c r="D70" i="3"/>
  <c r="F4" i="3"/>
  <c r="H4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8" i="3"/>
  <c r="G19" i="3"/>
  <c r="G20" i="3"/>
  <c r="G21" i="3"/>
  <c r="G22" i="3"/>
  <c r="G23" i="3"/>
  <c r="G24" i="3"/>
  <c r="G25" i="3"/>
  <c r="G26" i="3"/>
  <c r="G27" i="3"/>
  <c r="G28" i="3"/>
  <c r="G30" i="3"/>
  <c r="G31" i="3"/>
  <c r="G32" i="3"/>
  <c r="G33" i="3"/>
  <c r="G34" i="3"/>
  <c r="G35" i="3"/>
  <c r="G36" i="3"/>
  <c r="G37" i="3"/>
  <c r="G38" i="3"/>
  <c r="G39" i="3"/>
  <c r="G40" i="3"/>
  <c r="G42" i="3"/>
  <c r="G43" i="3"/>
  <c r="G44" i="3"/>
  <c r="G45" i="3"/>
  <c r="G46" i="3"/>
  <c r="G47" i="3"/>
  <c r="G48" i="3"/>
  <c r="G49" i="3"/>
  <c r="G50" i="3"/>
  <c r="G51" i="3"/>
  <c r="G52" i="3"/>
  <c r="G54" i="3"/>
  <c r="G55" i="3"/>
  <c r="G56" i="3"/>
  <c r="G57" i="3"/>
  <c r="G58" i="3"/>
  <c r="G59" i="3"/>
  <c r="G60" i="3"/>
  <c r="G61" i="3"/>
  <c r="G62" i="3"/>
  <c r="G63" i="3"/>
  <c r="G64" i="3"/>
  <c r="G66" i="3"/>
  <c r="G67" i="3"/>
  <c r="G68" i="3"/>
  <c r="G69" i="3"/>
  <c r="G70" i="3"/>
  <c r="J17" i="2"/>
  <c r="J18" i="2"/>
  <c r="J19" i="2"/>
  <c r="J20" i="2"/>
  <c r="J21" i="2"/>
  <c r="J22" i="2"/>
  <c r="J23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8" i="2"/>
  <c r="U39" i="2"/>
  <c r="U40" i="2"/>
  <c r="U41" i="2"/>
  <c r="U42" i="2"/>
  <c r="U43" i="2"/>
  <c r="U44" i="2"/>
  <c r="U45" i="2"/>
  <c r="U46" i="2"/>
  <c r="U47" i="2"/>
  <c r="U48" i="2"/>
  <c r="U50" i="2"/>
  <c r="U51" i="2"/>
  <c r="U52" i="2"/>
  <c r="U53" i="2"/>
  <c r="U54" i="2"/>
  <c r="U55" i="2"/>
  <c r="U56" i="2"/>
  <c r="U57" i="2"/>
  <c r="U58" i="2"/>
  <c r="U59" i="2"/>
  <c r="U60" i="2"/>
  <c r="U62" i="2"/>
  <c r="U63" i="2"/>
  <c r="U64" i="2"/>
  <c r="U65" i="2"/>
  <c r="U66" i="2"/>
  <c r="U67" i="2"/>
  <c r="U68" i="2"/>
  <c r="U69" i="2"/>
  <c r="U70" i="2"/>
  <c r="U71" i="2"/>
  <c r="U72" i="2"/>
  <c r="U74" i="2"/>
  <c r="U75" i="2"/>
  <c r="U76" i="2"/>
  <c r="U77" i="2"/>
  <c r="U78" i="2"/>
  <c r="U79" i="2"/>
  <c r="U80" i="2"/>
  <c r="U81" i="2"/>
  <c r="U82" i="2"/>
  <c r="U83" i="2"/>
  <c r="U84" i="2"/>
  <c r="U86" i="2"/>
  <c r="U87" i="2"/>
  <c r="U88" i="2"/>
  <c r="U89" i="2"/>
  <c r="U90" i="2"/>
  <c r="J26" i="2"/>
  <c r="J27" i="2"/>
  <c r="J28" i="2"/>
  <c r="J29" i="2"/>
  <c r="J30" i="2"/>
  <c r="J31" i="2"/>
  <c r="J32" i="2"/>
  <c r="J33" i="2"/>
  <c r="J34" i="2"/>
  <c r="J35" i="2"/>
  <c r="J36" i="2"/>
  <c r="J38" i="2"/>
  <c r="J39" i="2"/>
  <c r="J40" i="2"/>
  <c r="J41" i="2"/>
  <c r="J42" i="2"/>
  <c r="J43" i="2"/>
  <c r="J44" i="2"/>
  <c r="J45" i="2"/>
  <c r="J46" i="2"/>
  <c r="J47" i="2"/>
  <c r="J48" i="2"/>
  <c r="J50" i="2"/>
  <c r="J51" i="2"/>
  <c r="J52" i="2"/>
  <c r="J53" i="2"/>
  <c r="J54" i="2"/>
  <c r="J55" i="2"/>
  <c r="J56" i="2"/>
  <c r="J57" i="2"/>
  <c r="J58" i="2"/>
  <c r="J59" i="2"/>
  <c r="J60" i="2"/>
  <c r="J62" i="2"/>
  <c r="J63" i="2"/>
  <c r="J64" i="2"/>
  <c r="J65" i="2"/>
  <c r="J66" i="2"/>
  <c r="J67" i="2"/>
  <c r="J68" i="2"/>
  <c r="J69" i="2"/>
  <c r="J70" i="2"/>
  <c r="J71" i="2"/>
  <c r="J72" i="2"/>
  <c r="J74" i="2"/>
  <c r="J75" i="2"/>
  <c r="J76" i="2"/>
  <c r="J77" i="2"/>
  <c r="J78" i="2"/>
  <c r="J79" i="2"/>
  <c r="J80" i="2"/>
  <c r="J81" i="2"/>
  <c r="J82" i="2"/>
  <c r="J83" i="2"/>
  <c r="J84" i="2"/>
  <c r="J86" i="2"/>
  <c r="J87" i="2"/>
  <c r="J88" i="2"/>
  <c r="J89" i="2"/>
  <c r="J90" i="2"/>
  <c r="U16" i="2"/>
  <c r="J16" i="2"/>
  <c r="R5" i="2"/>
  <c r="B74" i="9"/>
  <c r="C74" i="9" s="1"/>
  <c r="E65" i="3"/>
  <c r="J7" i="8" s="1"/>
  <c r="B58" i="9"/>
  <c r="C58" i="9" s="1"/>
  <c r="E49" i="3"/>
  <c r="B50" i="9"/>
  <c r="C50" i="9" s="1"/>
  <c r="E41" i="3"/>
  <c r="B42" i="9"/>
  <c r="C42" i="9" s="1"/>
  <c r="E33" i="3"/>
  <c r="B34" i="9"/>
  <c r="C34" i="9" s="1"/>
  <c r="E25" i="3"/>
  <c r="B21" i="9"/>
  <c r="C21" i="9" s="1"/>
  <c r="E10" i="3"/>
  <c r="B78" i="9"/>
  <c r="C78" i="9" s="1"/>
  <c r="E69" i="3"/>
  <c r="C12" i="8"/>
  <c r="E12" i="8" s="1"/>
  <c r="B70" i="9"/>
  <c r="C70" i="9" s="1"/>
  <c r="E61" i="3"/>
  <c r="E45" i="3"/>
  <c r="B46" i="9"/>
  <c r="C46" i="9" s="1"/>
  <c r="E37" i="3"/>
  <c r="B38" i="9"/>
  <c r="C38" i="9" s="1"/>
  <c r="E29" i="3"/>
  <c r="B30" i="9"/>
  <c r="C30" i="9" s="1"/>
  <c r="E21" i="3"/>
  <c r="B16" i="9"/>
  <c r="C16" i="9" s="1"/>
  <c r="E7" i="3"/>
  <c r="C77" i="3"/>
  <c r="K113" i="1"/>
  <c r="W114" i="1"/>
  <c r="B76" i="9"/>
  <c r="C76" i="9" s="1"/>
  <c r="E67" i="3"/>
  <c r="C10" i="8"/>
  <c r="B68" i="9"/>
  <c r="C68" i="9" s="1"/>
  <c r="E59" i="3"/>
  <c r="B60" i="9"/>
  <c r="C60" i="9" s="1"/>
  <c r="E51" i="3"/>
  <c r="B52" i="9"/>
  <c r="C52" i="9" s="1"/>
  <c r="E43" i="3"/>
  <c r="B44" i="9"/>
  <c r="C44" i="9" s="1"/>
  <c r="E35" i="3"/>
  <c r="E27" i="3"/>
  <c r="E19" i="3"/>
  <c r="E71" i="3"/>
  <c r="C14" i="8" s="1"/>
  <c r="B80" i="9"/>
  <c r="C80" i="9" s="1"/>
  <c r="W110" i="1"/>
  <c r="D81" i="3"/>
  <c r="W117" i="1"/>
  <c r="B72" i="9"/>
  <c r="C72" i="9" s="1"/>
  <c r="E63" i="3"/>
  <c r="B64" i="9"/>
  <c r="C64" i="9" s="1"/>
  <c r="E55" i="3"/>
  <c r="B56" i="9"/>
  <c r="C56" i="9" s="1"/>
  <c r="E47" i="3"/>
  <c r="B48" i="9"/>
  <c r="C48" i="9" s="1"/>
  <c r="E39" i="3"/>
  <c r="B40" i="9"/>
  <c r="C40" i="9" s="1"/>
  <c r="E31" i="3"/>
  <c r="B32" i="9"/>
  <c r="C32" i="9" s="1"/>
  <c r="E23" i="3"/>
  <c r="E16" i="3"/>
  <c r="B79" i="9"/>
  <c r="C79" i="9" s="1"/>
  <c r="B77" i="9"/>
  <c r="C77" i="9" s="1"/>
  <c r="B75" i="9"/>
  <c r="C75" i="9" s="1"/>
  <c r="B73" i="9"/>
  <c r="C73" i="9" s="1"/>
  <c r="B67" i="9"/>
  <c r="C67" i="9" s="1"/>
  <c r="B63" i="9"/>
  <c r="C63" i="9" s="1"/>
  <c r="B61" i="9"/>
  <c r="C61" i="9" s="1"/>
  <c r="B59" i="9"/>
  <c r="C59" i="9" s="1"/>
  <c r="B57" i="9"/>
  <c r="C57" i="9" s="1"/>
  <c r="B55" i="9"/>
  <c r="C55" i="9" s="1"/>
  <c r="B53" i="9"/>
  <c r="C53" i="9" s="1"/>
  <c r="B51" i="9"/>
  <c r="C51" i="9" s="1"/>
  <c r="B49" i="9"/>
  <c r="C49" i="9" s="1"/>
  <c r="B47" i="9"/>
  <c r="C47" i="9" s="1"/>
  <c r="B43" i="9"/>
  <c r="C43" i="9" s="1"/>
  <c r="B41" i="9"/>
  <c r="C41" i="9" s="1"/>
  <c r="B39" i="9"/>
  <c r="C39" i="9" s="1"/>
  <c r="B37" i="9"/>
  <c r="C37" i="9" s="1"/>
  <c r="B35" i="9"/>
  <c r="C35" i="9" s="1"/>
  <c r="B33" i="9"/>
  <c r="C33" i="9" s="1"/>
  <c r="B31" i="9"/>
  <c r="C31" i="9" s="1"/>
  <c r="B29" i="9"/>
  <c r="C29" i="9" s="1"/>
  <c r="B27" i="9"/>
  <c r="C27" i="9" s="1"/>
  <c r="B87" i="9"/>
  <c r="C87" i="9" s="1"/>
  <c r="E78" i="3"/>
  <c r="C21" i="8" s="1"/>
  <c r="E21" i="8" s="1"/>
  <c r="B24" i="9"/>
  <c r="C24" i="9" s="1"/>
  <c r="B22" i="9"/>
  <c r="C22" i="9" s="1"/>
  <c r="B20" i="9"/>
  <c r="C20" i="9" s="1"/>
  <c r="B18" i="9"/>
  <c r="C18" i="9" s="1"/>
  <c r="B15" i="9"/>
  <c r="C15" i="9" s="1"/>
  <c r="B82" i="9"/>
  <c r="C82" i="9" s="1"/>
  <c r="B81" i="9"/>
  <c r="C81" i="9" s="1"/>
  <c r="E73" i="3"/>
  <c r="C16" i="8" s="1"/>
  <c r="E16" i="8" s="1"/>
  <c r="E77" i="3"/>
  <c r="J20" i="8" s="1"/>
  <c r="E14" i="8" l="1"/>
  <c r="E13" i="8"/>
  <c r="E10" i="8"/>
  <c r="E11" i="8"/>
  <c r="E15" i="8"/>
  <c r="E8" i="8"/>
  <c r="G16" i="8"/>
  <c r="J16" i="8" s="1"/>
  <c r="G21" i="8"/>
  <c r="J21" i="8" s="1"/>
  <c r="G12" i="8"/>
  <c r="J12" i="8" s="1"/>
  <c r="G13" i="8"/>
  <c r="J13" i="8" s="1"/>
  <c r="G6" i="8"/>
  <c r="J6" i="8" s="1"/>
  <c r="G14" i="8"/>
  <c r="J14" i="8" s="1"/>
  <c r="G10" i="8"/>
  <c r="J10" i="8" s="1"/>
  <c r="D28" i="8"/>
  <c r="G11" i="8"/>
  <c r="J11" i="8" s="1"/>
  <c r="G15" i="8"/>
  <c r="J15" i="8" s="1"/>
  <c r="G8" i="8"/>
  <c r="J8" i="8" s="1"/>
  <c r="E76" i="3"/>
  <c r="C19" i="8" s="1"/>
  <c r="E19" i="8" s="1"/>
  <c r="E82" i="3"/>
  <c r="C26" i="8" s="1"/>
  <c r="E26" i="8" s="1"/>
  <c r="B84" i="9"/>
  <c r="C84" i="9" s="1"/>
  <c r="E75" i="3"/>
  <c r="C18" i="8" s="1"/>
  <c r="E18" i="8" s="1"/>
  <c r="E81" i="3"/>
  <c r="C25" i="8" s="1"/>
  <c r="E25" i="8" s="1"/>
  <c r="B90" i="9"/>
  <c r="C90" i="9" s="1"/>
  <c r="E80" i="3"/>
  <c r="C24" i="8" s="1"/>
  <c r="E24" i="8" s="1"/>
  <c r="B89" i="9"/>
  <c r="C89" i="9" s="1"/>
  <c r="B69" i="9"/>
  <c r="C69" i="9" s="1"/>
  <c r="E53" i="3"/>
  <c r="E57" i="3"/>
  <c r="E4" i="3"/>
  <c r="W113" i="1"/>
  <c r="E79" i="3"/>
  <c r="C23" i="8" s="1"/>
  <c r="E23" i="8" s="1"/>
  <c r="B14" i="9"/>
  <c r="C14" i="9" s="1"/>
  <c r="E8" i="3"/>
  <c r="E74" i="3"/>
  <c r="C17" i="8" s="1"/>
  <c r="E17" i="8" s="1"/>
  <c r="E56" i="3"/>
  <c r="E17" i="3"/>
  <c r="D76" i="3"/>
  <c r="B85" i="9" s="1"/>
  <c r="C85" i="9" s="1"/>
  <c r="D82" i="3"/>
  <c r="B91" i="9" s="1"/>
  <c r="C91" i="9" s="1"/>
  <c r="J9" i="8" l="1"/>
  <c r="E28" i="8"/>
  <c r="G25" i="8"/>
  <c r="J25" i="8" s="1"/>
  <c r="G17" i="8"/>
  <c r="J17" i="8" s="1"/>
  <c r="J22" i="8" s="1"/>
  <c r="G19" i="8"/>
  <c r="J19" i="8" s="1"/>
  <c r="C28" i="8"/>
  <c r="D29" i="8" s="1"/>
  <c r="G18" i="8"/>
  <c r="J18" i="8" s="1"/>
  <c r="G24" i="8"/>
  <c r="J24" i="8" s="1"/>
  <c r="G23" i="8"/>
  <c r="J23" i="8" s="1"/>
  <c r="G26" i="8"/>
  <c r="J26" i="8" s="1"/>
  <c r="G28" i="8" l="1"/>
  <c r="E14" i="11" l="1"/>
  <c r="E18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DELL</author>
  </authors>
  <commentList>
    <comment ref="C1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+3.795, chênh lệch sau kiểm định</t>
        </r>
      </text>
    </comment>
    <comment ref="D17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+3.795 chênh lệch sau kiểm định
</t>
        </r>
      </text>
    </comment>
    <comment ref="F17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trừ 1.000 sl sau kiểm định</t>
        </r>
      </text>
    </comment>
    <comment ref="G17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 xml:space="preserve">trừ 1.010 cl sau kiểm định
</t>
        </r>
      </text>
    </comment>
    <comment ref="C29" authorId="0" shapeId="0" xr:uid="{00000000-0006-0000-0300-000005000000}">
      <text>
        <r>
          <rPr>
            <b/>
            <sz val="9"/>
            <color rgb="FF000000"/>
            <rFont val="Tahoma"/>
            <family val="2"/>
          </rPr>
          <t>trừ 0.49 chênh lệch sau kiểm định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29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trừ 0.49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9" authorId="1" shapeId="0" xr:uid="{00000000-0006-0000-0300-000007000000}">
      <text>
        <r>
          <rPr>
            <b/>
            <sz val="9"/>
            <color indexed="81"/>
            <rFont val="Tahoma"/>
            <family val="2"/>
          </rPr>
          <t>trừ 0.410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1" shapeId="0" xr:uid="{00000000-0006-0000-0300-000008000000}">
      <text>
        <r>
          <rPr>
            <b/>
            <sz val="9"/>
            <color indexed="81"/>
            <rFont val="Tahoma"/>
            <family val="2"/>
          </rPr>
          <t>trừ 0.410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1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cộng 2.198 cL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1" authorId="1" shapeId="0" xr:uid="{00000000-0006-0000-0300-00000A000000}">
      <text>
        <r>
          <rPr>
            <sz val="9"/>
            <color indexed="81"/>
            <rFont val="Tahoma"/>
            <family val="2"/>
          </rPr>
          <t xml:space="preserve">cộng 2.208 cl sau kiểm định
</t>
        </r>
      </text>
    </comment>
    <comment ref="F41" authorId="1" shapeId="0" xr:uid="{00000000-0006-0000-0300-00000B000000}">
      <text>
        <r>
          <rPr>
            <b/>
            <sz val="9"/>
            <color indexed="81"/>
            <rFont val="Tahoma"/>
            <family val="2"/>
          </rPr>
          <t>Trừ 0.250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1" authorId="1" shapeId="0" xr:uid="{00000000-0006-0000-0300-00000C000000}">
      <text>
        <r>
          <rPr>
            <b/>
            <sz val="9"/>
            <color indexed="81"/>
            <rFont val="Tahoma"/>
            <family val="2"/>
          </rPr>
          <t>Trừ 0.250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3" authorId="1" shapeId="0" xr:uid="{00000000-0006-0000-0300-00000D000000}">
      <text>
        <r>
          <rPr>
            <b/>
            <sz val="9"/>
            <color indexed="81"/>
            <rFont val="Tahoma"/>
            <family val="2"/>
          </rPr>
          <t xml:space="preserve">trừ  0.470 cl sau kiểm định
</t>
        </r>
      </text>
    </comment>
    <comment ref="D53" authorId="1" shapeId="0" xr:uid="{00000000-0006-0000-0300-00000E000000}">
      <text>
        <r>
          <rPr>
            <b/>
            <sz val="9"/>
            <color indexed="81"/>
            <rFont val="Tahoma"/>
            <family val="2"/>
          </rPr>
          <t xml:space="preserve">trừ 0.470 cl sau kiểm định
</t>
        </r>
      </text>
    </comment>
    <comment ref="F53" authorId="1" shapeId="0" xr:uid="{00000000-0006-0000-0300-00000F000000}">
      <text>
        <r>
          <rPr>
            <b/>
            <sz val="9"/>
            <color indexed="81"/>
            <rFont val="Tahoma"/>
            <family val="2"/>
          </rPr>
          <t>Trừ 1.020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1" shapeId="0" xr:uid="{00000000-0006-0000-0300-000010000000}">
      <text>
        <r>
          <rPr>
            <b/>
            <sz val="9"/>
            <color indexed="81"/>
            <rFont val="Tahoma"/>
            <family val="2"/>
          </rPr>
          <t>Trừ 1.013
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5" authorId="1" shapeId="0" xr:uid="{00000000-0006-0000-0300-000011000000}">
      <text>
        <r>
          <rPr>
            <b/>
            <sz val="9"/>
            <color indexed="81"/>
            <rFont val="Tahoma"/>
            <family val="2"/>
          </rPr>
          <t xml:space="preserve">cộng 0.719 cl sau kiểm định
</t>
        </r>
      </text>
    </comment>
    <comment ref="D65" authorId="1" shapeId="0" xr:uid="{00000000-0006-0000-0300-000012000000}">
      <text>
        <r>
          <rPr>
            <b/>
            <sz val="9"/>
            <color indexed="81"/>
            <rFont val="Tahoma"/>
            <family val="2"/>
          </rPr>
          <t xml:space="preserve">cộng 0.721 cl sau kiểm định
</t>
        </r>
      </text>
    </comment>
    <comment ref="F65" authorId="1" shapeId="0" xr:uid="{00000000-0006-0000-0300-000013000000}">
      <text>
        <r>
          <rPr>
            <b/>
            <sz val="9"/>
            <color indexed="81"/>
            <rFont val="Tahoma"/>
            <family val="2"/>
          </rPr>
          <t>Trừ 0.361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5" authorId="1" shapeId="0" xr:uid="{00000000-0006-0000-0300-000014000000}">
      <text>
        <r>
          <rPr>
            <b/>
            <sz val="9"/>
            <color indexed="81"/>
            <rFont val="Tahoma"/>
            <family val="2"/>
          </rPr>
          <t>Trừ 0.362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7" authorId="1" shapeId="0" xr:uid="{00000000-0006-0000-0300-000015000000}">
      <text>
        <r>
          <rPr>
            <b/>
            <sz val="9"/>
            <color indexed="81"/>
            <rFont val="Tahoma"/>
            <family val="2"/>
          </rPr>
          <t>cộng 3.588 cl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7" authorId="1" shapeId="0" xr:uid="{00000000-0006-0000-0300-000016000000}">
      <text>
        <r>
          <rPr>
            <b/>
            <sz val="9"/>
            <color indexed="81"/>
            <rFont val="Tahoma"/>
            <family val="2"/>
          </rPr>
          <t>cộng 3.588 cl sau kiểm định</t>
        </r>
      </text>
    </comment>
    <comment ref="F77" authorId="1" shapeId="0" xr:uid="{00000000-0006-0000-0300-000017000000}">
      <text>
        <r>
          <rPr>
            <b/>
            <sz val="9"/>
            <color indexed="81"/>
            <rFont val="Tahoma"/>
            <family val="2"/>
          </rPr>
          <t>Trừ 0.390 chênh lệch sau kiểm định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7" authorId="1" shapeId="0" xr:uid="{00000000-0006-0000-0300-000018000000}">
      <text>
        <r>
          <rPr>
            <b/>
            <sz val="9"/>
            <color indexed="81"/>
            <rFont val="Tahoma"/>
            <family val="2"/>
          </rPr>
          <t>Trừ 0.390 chênh lệch sau kiểm định</t>
        </r>
      </text>
    </comment>
  </commentList>
</comments>
</file>

<file path=xl/sharedStrings.xml><?xml version="1.0" encoding="utf-8"?>
<sst xmlns="http://schemas.openxmlformats.org/spreadsheetml/2006/main" count="849" uniqueCount="370">
  <si>
    <t>LALA HPP CDM Monitoring Input Sheet</t>
  </si>
  <si>
    <t>Unit</t>
  </si>
  <si>
    <t>MWh</t>
  </si>
  <si>
    <t>Biểu 1</t>
  </si>
  <si>
    <t>Biểu 2</t>
  </si>
  <si>
    <t>Biểu 3</t>
  </si>
  <si>
    <t>Năm</t>
  </si>
  <si>
    <t>2012-2019</t>
  </si>
  <si>
    <t>Chỉ số đọc lúc bắt đầu đc tính tiền từ nhà máy</t>
  </si>
  <si>
    <t>YEAR</t>
  </si>
  <si>
    <t>SUPPLY</t>
  </si>
  <si>
    <t>Đồng hồ chính  (đồng hồ được tính tiền với EVN)</t>
  </si>
  <si>
    <t>M11</t>
  </si>
  <si>
    <t>M12</t>
  </si>
  <si>
    <t>Tháng</t>
  </si>
  <si>
    <t>Ngày</t>
  </si>
  <si>
    <t>chỉ số đọc đồng hồ</t>
  </si>
  <si>
    <t>Người chốt chỉ số công tơ</t>
  </si>
  <si>
    <t>Ref. Document
(ly làm)</t>
  </si>
  <si>
    <t>Ghi chú (nêu rõ tháng nào có thời gian kiểm định đồng hồ và số lượng điện ko được thanh toán trong quá trình kiểm định)</t>
  </si>
  <si>
    <t>Ref. Document</t>
  </si>
  <si>
    <t>31/05/2016</t>
  </si>
  <si>
    <t>-</t>
  </si>
  <si>
    <t>Ngũ Văn Tài</t>
  </si>
  <si>
    <t>Đồng hồ dự phòng</t>
  </si>
  <si>
    <t xml:space="preserve">seri đồng hồ: 11060674 </t>
  </si>
  <si>
    <t xml:space="preserve">Serial Nr: 11060670   </t>
  </si>
  <si>
    <t>Giờ</t>
  </si>
  <si>
    <t>Tổng lượng điện mua</t>
  </si>
  <si>
    <t>Tổng lượng điện bán cho EVN</t>
  </si>
  <si>
    <t>Graph: Relation between Volume, Surface area and water level at dam site of upper cascade</t>
  </si>
  <si>
    <t>WATEL LEVEL</t>
  </si>
  <si>
    <t>Ruler at main dam site inlet gate</t>
  </si>
  <si>
    <t>Month</t>
  </si>
  <si>
    <t>Date</t>
  </si>
  <si>
    <t>Time</t>
  </si>
  <si>
    <t>Highest Water Level [m a.s.l.]</t>
  </si>
  <si>
    <t>Comments</t>
  </si>
  <si>
    <t>Upper Reservoir</t>
  </si>
  <si>
    <t>m a.s.l.</t>
  </si>
  <si>
    <t>Lala CDM Monitoring Input Sheet Reservoir level / area</t>
  </si>
  <si>
    <t xml:space="preserve">Highest Water level in 2012: </t>
  </si>
  <si>
    <t xml:space="preserve">Highest Water level in 2013: </t>
  </si>
  <si>
    <t xml:space="preserve">Highest Water level in 2014: </t>
  </si>
  <si>
    <t xml:space="preserve">Highest Water level in 2015: </t>
  </si>
  <si>
    <t xml:space="preserve">Highest Water level in 2016: </t>
  </si>
  <si>
    <t xml:space="preserve">Highest Water level in 2017: </t>
  </si>
  <si>
    <t>ID</t>
  </si>
  <si>
    <t>Parameter</t>
  </si>
  <si>
    <t>Description</t>
  </si>
  <si>
    <t>SUPPLY Measured by the main meter M11</t>
  </si>
  <si>
    <t>SUPPLY measured by the backup meter M12</t>
  </si>
  <si>
    <t>Consumption main meter M11</t>
  </si>
  <si>
    <t>Consumption backup meter M12</t>
  </si>
  <si>
    <t>TOTAL ELECTRICITY CONSUMPTION</t>
  </si>
  <si>
    <t>TOTAL ELECTRICITY GENERATION</t>
  </si>
  <si>
    <t>MONTH-YEAR</t>
  </si>
  <si>
    <t>Z</t>
  </si>
  <si>
    <t>W</t>
  </si>
  <si>
    <t>F</t>
  </si>
  <si>
    <t>∆W</t>
  </si>
  <si>
    <t>∆F</t>
  </si>
  <si>
    <t>m</t>
  </si>
  <si>
    <t>Meter conversion Factor agreed by EVN and CC1</t>
  </si>
  <si>
    <t>Factor for CER-Calculation</t>
  </si>
  <si>
    <t>Reference</t>
  </si>
  <si>
    <t>EFgrid,CM</t>
  </si>
  <si>
    <t>Combined margin in the year</t>
  </si>
  <si>
    <t>tCO2/MWh</t>
  </si>
  <si>
    <t>Coefficient for electric meter</t>
  </si>
  <si>
    <t>LALA HPP CDM Monitoring Fixed Parameters</t>
  </si>
  <si>
    <t>LALA CDM Monitoring Output and CERs</t>
  </si>
  <si>
    <t>Baseline emissions</t>
  </si>
  <si>
    <t xml:space="preserve">Project emissions </t>
    <phoneticPr fontId="3"/>
  </si>
  <si>
    <t>Leakage emissions</t>
  </si>
  <si>
    <t>Emission Reductions</t>
  </si>
  <si>
    <t>Month-year</t>
  </si>
  <si>
    <t>PEG</t>
    <phoneticPr fontId="3"/>
  </si>
  <si>
    <t>EC</t>
    <phoneticPr fontId="3"/>
  </si>
  <si>
    <t>BE</t>
  </si>
  <si>
    <t>PE</t>
    <phoneticPr fontId="3"/>
  </si>
  <si>
    <t>LE</t>
  </si>
  <si>
    <t>ER</t>
  </si>
  <si>
    <t>MWh</t>
    <phoneticPr fontId="3"/>
  </si>
  <si>
    <t>tCO2</t>
  </si>
  <si>
    <t>Control of equipment maintenance</t>
  </si>
  <si>
    <t>Meter place</t>
  </si>
  <si>
    <t>Type</t>
  </si>
  <si>
    <t>Serial No</t>
  </si>
  <si>
    <t>Meter accuracy class</t>
  </si>
  <si>
    <t>Calibr. Frequency/yr</t>
  </si>
  <si>
    <t>Elster A 1700</t>
  </si>
  <si>
    <t>Quality Assurance/Control</t>
  </si>
  <si>
    <t>Value 
(%)</t>
    <phoneticPr fontId="3" type="noConversion"/>
  </si>
  <si>
    <t>Reference value
(%)</t>
    <phoneticPr fontId="3" type="noConversion"/>
  </si>
  <si>
    <t>Status</t>
    <phoneticPr fontId="3" type="noConversion"/>
  </si>
  <si>
    <t>Comments/Expla-nations</t>
  </si>
  <si>
    <t>Lala CDM Monitoring Quality Assurance and Control</t>
  </si>
  <si>
    <t>0.5S</t>
  </si>
  <si>
    <t>31.10.2012</t>
  </si>
  <si>
    <t>30.11.2012</t>
  </si>
  <si>
    <t>31.12.2012</t>
  </si>
  <si>
    <t>31.01.2013</t>
  </si>
  <si>
    <t>28.02.2013</t>
  </si>
  <si>
    <t>đồng hồ dự phòng hỏng từ 1/12 đến 22/12</t>
  </si>
  <si>
    <t>trừ 0.410 chênh lệch sau kiểm định</t>
  </si>
  <si>
    <t>Nguyễn Hoàng Thắng</t>
  </si>
  <si>
    <t>Lã Quý Quyền</t>
  </si>
  <si>
    <t>Hồ Tiến Sỹ</t>
  </si>
  <si>
    <t>Lê Cao anh</t>
  </si>
  <si>
    <t>Lê Minh Tiến</t>
  </si>
  <si>
    <t>Lê Cao Anh</t>
  </si>
  <si>
    <t>Trừ 0.250 chênh lệch sau kiểm định</t>
  </si>
  <si>
    <t>Trừ 1.020 chênh lệch sau kiểm định</t>
  </si>
  <si>
    <t>Trừ 1.013 chênh lệch sau kiểm định</t>
  </si>
  <si>
    <t>Trừ 0.361 chênh lệch sau kiểm định</t>
  </si>
  <si>
    <t>Trừ 0.362 chênh lệch sau kiểm định</t>
  </si>
  <si>
    <t>Trừ 0.390 chênh lệch sau kiểm định</t>
  </si>
  <si>
    <t>trừ 1.000 chênh lệch sau kiểm định</t>
  </si>
  <si>
    <t xml:space="preserve">Highest Water level in 2018: </t>
  </si>
  <si>
    <t xml:space="preserve">Highest Water level in 2019: </t>
  </si>
  <si>
    <t>2012 - 2019</t>
  </si>
  <si>
    <t>Difference of electricity between the main meter and  the sub-meter</t>
  </si>
  <si>
    <t>m2</t>
  </si>
  <si>
    <t xml:space="preserve"> m3</t>
  </si>
  <si>
    <t>Area of Reservoir according to graph 1 (m2)</t>
  </si>
  <si>
    <t>File1.1</t>
  </si>
  <si>
    <t>File1.2</t>
  </si>
  <si>
    <t>File1.3</t>
  </si>
  <si>
    <t>File1.4</t>
  </si>
  <si>
    <t>File1.5</t>
  </si>
  <si>
    <t>File1.6</t>
  </si>
  <si>
    <t>File1.7</t>
  </si>
  <si>
    <t>File1.8</t>
  </si>
  <si>
    <t>File1.9</t>
  </si>
  <si>
    <t>File1.10</t>
  </si>
  <si>
    <t>File1.11</t>
  </si>
  <si>
    <t>File1.12</t>
  </si>
  <si>
    <t>File1.13</t>
  </si>
  <si>
    <t>File1.14</t>
  </si>
  <si>
    <t>File1.15</t>
  </si>
  <si>
    <t>File1.16</t>
  </si>
  <si>
    <t>File1.17</t>
  </si>
  <si>
    <t>File1.18</t>
  </si>
  <si>
    <t>File1.19</t>
  </si>
  <si>
    <t>File1.20</t>
  </si>
  <si>
    <t>File1.21</t>
  </si>
  <si>
    <t>File1.22</t>
  </si>
  <si>
    <t>File1.23</t>
  </si>
  <si>
    <t>File1.24</t>
  </si>
  <si>
    <t>File1.25</t>
  </si>
  <si>
    <t>File1.26</t>
  </si>
  <si>
    <t>File1.27</t>
  </si>
  <si>
    <t>File1.28</t>
  </si>
  <si>
    <t>File1.29</t>
  </si>
  <si>
    <t>File1.30</t>
  </si>
  <si>
    <t>File1.31</t>
  </si>
  <si>
    <t>File1.32</t>
  </si>
  <si>
    <t>File1.33</t>
  </si>
  <si>
    <t>File1.34</t>
  </si>
  <si>
    <t>File1.35</t>
  </si>
  <si>
    <t>File1.36</t>
  </si>
  <si>
    <t>File1.37</t>
  </si>
  <si>
    <t>File1.38</t>
  </si>
  <si>
    <t>File1.39</t>
  </si>
  <si>
    <t>File1.40</t>
  </si>
  <si>
    <t>File1.41</t>
  </si>
  <si>
    <t>File1.42</t>
  </si>
  <si>
    <t>File1.43</t>
  </si>
  <si>
    <t>File1.44</t>
  </si>
  <si>
    <t>File1.45</t>
  </si>
  <si>
    <t>File1.46</t>
  </si>
  <si>
    <t>File1.47</t>
  </si>
  <si>
    <t>File1.48</t>
  </si>
  <si>
    <t>File1.49</t>
  </si>
  <si>
    <t>File1.50</t>
  </si>
  <si>
    <t>File1.51</t>
  </si>
  <si>
    <t>File1.52</t>
  </si>
  <si>
    <t>File1.53</t>
  </si>
  <si>
    <t>File1.54</t>
  </si>
  <si>
    <t>File1.55</t>
  </si>
  <si>
    <t>File1.56</t>
  </si>
  <si>
    <t>File1.57</t>
  </si>
  <si>
    <t>File1.58</t>
  </si>
  <si>
    <t>File1.59</t>
  </si>
  <si>
    <t>File1.60</t>
  </si>
  <si>
    <t>File1.61</t>
  </si>
  <si>
    <t>File1.62</t>
  </si>
  <si>
    <t>File1.63</t>
  </si>
  <si>
    <t>File1.64</t>
  </si>
  <si>
    <t>File1.65</t>
  </si>
  <si>
    <t>File1.66</t>
  </si>
  <si>
    <t>File1.67</t>
  </si>
  <si>
    <t>File1.68</t>
  </si>
  <si>
    <t>File1.69</t>
  </si>
  <si>
    <t>File1.70</t>
  </si>
  <si>
    <t>File1.71</t>
  </si>
  <si>
    <t>File1.72</t>
  </si>
  <si>
    <t>File1.73</t>
  </si>
  <si>
    <t>File1.74</t>
  </si>
  <si>
    <t>File1.75</t>
  </si>
  <si>
    <t>File1.76</t>
  </si>
  <si>
    <t>File1.77</t>
  </si>
  <si>
    <t>File1.78</t>
  </si>
  <si>
    <t>File1.79</t>
  </si>
  <si>
    <t>File 21.1</t>
  </si>
  <si>
    <t>File 21.2</t>
  </si>
  <si>
    <t>File 21.3</t>
  </si>
  <si>
    <t>File 21.4</t>
  </si>
  <si>
    <t>File 21.5</t>
  </si>
  <si>
    <t>File 21.6</t>
  </si>
  <si>
    <t>File 21.7</t>
  </si>
  <si>
    <t>File 21.8</t>
  </si>
  <si>
    <t>File 21.9</t>
  </si>
  <si>
    <t>File 21.10</t>
  </si>
  <si>
    <t>File 21.11</t>
  </si>
  <si>
    <t>File 21.12</t>
  </si>
  <si>
    <t>File 21.13</t>
  </si>
  <si>
    <t>File 21.14</t>
  </si>
  <si>
    <t>File 21.15</t>
  </si>
  <si>
    <t>File 21.16</t>
  </si>
  <si>
    <t>File 21.17</t>
  </si>
  <si>
    <t>File 21.18</t>
  </si>
  <si>
    <t>File 21.19</t>
  </si>
  <si>
    <t>File 21.20</t>
  </si>
  <si>
    <t>File 21.21</t>
  </si>
  <si>
    <t>File 21.22</t>
  </si>
  <si>
    <t>File 21.23</t>
  </si>
  <si>
    <t>File 21.24</t>
  </si>
  <si>
    <t>File 21.25</t>
  </si>
  <si>
    <t>File 21.26</t>
  </si>
  <si>
    <t>File 21.27</t>
  </si>
  <si>
    <t>File 21.28</t>
  </si>
  <si>
    <t>File 21.29</t>
  </si>
  <si>
    <t>File 21.30</t>
  </si>
  <si>
    <t>File 21.31</t>
  </si>
  <si>
    <t>File 21.32</t>
  </si>
  <si>
    <t>File 21.33</t>
  </si>
  <si>
    <t>File 21.34</t>
  </si>
  <si>
    <t>File 21.35</t>
  </si>
  <si>
    <t>File 21.36</t>
  </si>
  <si>
    <t>File 21.37</t>
  </si>
  <si>
    <t>File 21.38</t>
  </si>
  <si>
    <t>File 21.39</t>
  </si>
  <si>
    <t>File 21.40</t>
  </si>
  <si>
    <t>File 21.41</t>
  </si>
  <si>
    <t>File 21.42</t>
  </si>
  <si>
    <t>File 21.43</t>
  </si>
  <si>
    <t>File 21.44</t>
  </si>
  <si>
    <t>File 21.45</t>
  </si>
  <si>
    <t>File 21.46</t>
  </si>
  <si>
    <t>File 21.47</t>
  </si>
  <si>
    <t>File 21.48</t>
  </si>
  <si>
    <t>File 21.49</t>
  </si>
  <si>
    <t>File 21.50</t>
  </si>
  <si>
    <t>File 21.51</t>
  </si>
  <si>
    <t>File 21.52</t>
  </si>
  <si>
    <t>File 21.53</t>
  </si>
  <si>
    <t>File 21.54</t>
  </si>
  <si>
    <t>File 21.55</t>
  </si>
  <si>
    <t>File 21.56</t>
  </si>
  <si>
    <t>File 21.57</t>
  </si>
  <si>
    <t>File 21.58</t>
  </si>
  <si>
    <t>File 21.59</t>
  </si>
  <si>
    <t>File 21.60</t>
  </si>
  <si>
    <t>File 21.61</t>
  </si>
  <si>
    <t>File 21.62</t>
  </si>
  <si>
    <t>File 21.63</t>
  </si>
  <si>
    <t>File 21.64</t>
  </si>
  <si>
    <t>File 21.65</t>
  </si>
  <si>
    <t>File 21.66</t>
  </si>
  <si>
    <t>File 21.67</t>
  </si>
  <si>
    <t>File 21.68</t>
  </si>
  <si>
    <t>File 21.69</t>
  </si>
  <si>
    <t>File 21.70</t>
  </si>
  <si>
    <t>File 21.71</t>
  </si>
  <si>
    <t>File 21.72</t>
  </si>
  <si>
    <t>File 21.73</t>
  </si>
  <si>
    <t>File 21.74</t>
  </si>
  <si>
    <t>File 21.75</t>
  </si>
  <si>
    <t>File 21.76</t>
  </si>
  <si>
    <t xml:space="preserve">20:30:00 </t>
  </si>
  <si>
    <t>Reading in Oct -2012</t>
  </si>
  <si>
    <t>Year</t>
  </si>
  <si>
    <t>tarrif 1</t>
  </si>
  <si>
    <t>tarrif 2</t>
  </si>
  <si>
    <t>tarrif 3</t>
  </si>
  <si>
    <t>Respons. Person</t>
  </si>
  <si>
    <t xml:space="preserve">Meter Reading </t>
  </si>
  <si>
    <t xml:space="preserve">Seri Nr: 11060674 </t>
  </si>
  <si>
    <t>Backup  Meter</t>
  </si>
  <si>
    <t xml:space="preserve">Main Meter </t>
  </si>
  <si>
    <t xml:space="preserve">Ref. Document
</t>
  </si>
  <si>
    <t>Note</t>
  </si>
  <si>
    <t>plus 3.795 MWh after calibration</t>
  </si>
  <si>
    <t>minus 0.49 after calibration</t>
  </si>
  <si>
    <t>Plus 2.198 after calibration</t>
  </si>
  <si>
    <t>Minus 0.470 after calibration</t>
  </si>
  <si>
    <t>Plus 0.719 after calibration</t>
  </si>
  <si>
    <t>Plus 3.588 after calibration</t>
  </si>
  <si>
    <t>Power generation without measurement</t>
  </si>
  <si>
    <t>plus 3.795 after calibration</t>
  </si>
  <si>
    <t>Input data monthly</t>
  </si>
  <si>
    <t>plus 2.208 after calibration</t>
  </si>
  <si>
    <t>minus 0.470 after calibration</t>
  </si>
  <si>
    <t>Plus 0.721 after calibration</t>
  </si>
  <si>
    <t>plus 3.588 after calibration</t>
  </si>
  <si>
    <t>max 2.5% difference according to accuracy norms in Vietnam (main 0.5% / backup 1%)</t>
  </si>
  <si>
    <t>14 bis 15</t>
  </si>
  <si>
    <t>16 bis 17</t>
  </si>
  <si>
    <t>12 bis 13</t>
  </si>
  <si>
    <t>13 bis 14</t>
  </si>
  <si>
    <t>15 bsi 16</t>
  </si>
  <si>
    <t>17 bis 18</t>
  </si>
  <si>
    <t>18 bs 19</t>
  </si>
  <si>
    <t>PDD, MONRE, Vietnam, File 82</t>
  </si>
  <si>
    <t>Combined margin</t>
  </si>
  <si>
    <t>Source (Reference)</t>
  </si>
  <si>
    <t>Value</t>
  </si>
  <si>
    <t>Fixed Parameter</t>
  </si>
  <si>
    <t>Based on the highest water level during the monitoring period (water level: 309.20 m a.s.l.</t>
  </si>
  <si>
    <t>W/m2</t>
  </si>
  <si>
    <t>Power Density of the Monitoring Period</t>
  </si>
  <si>
    <t>PD</t>
  </si>
  <si>
    <t>Maximum area of reservoir during monitoring period</t>
  </si>
  <si>
    <t>A,PJ</t>
  </si>
  <si>
    <t>Inbuilt capacity of the new hydropower plant</t>
  </si>
  <si>
    <t>Cap; PJ</t>
  </si>
  <si>
    <t>Value-2019</t>
  </si>
  <si>
    <t>Value-2018</t>
  </si>
  <si>
    <t>Value-2017</t>
  </si>
  <si>
    <t>Value-2016</t>
  </si>
  <si>
    <t>Value-2015</t>
  </si>
  <si>
    <t>Value-2014</t>
  </si>
  <si>
    <t>Value-2013</t>
  </si>
  <si>
    <t>Value-2012</t>
  </si>
  <si>
    <t>A,PJ = Maximum Area of Reservoir during Monitoring</t>
  </si>
  <si>
    <t>Cap,PJ = inbuilt capactity of  hydropower plant (project activity)</t>
  </si>
  <si>
    <t>Where</t>
  </si>
  <si>
    <t>PD = Cap,PJ / A,PJ</t>
  </si>
  <si>
    <t xml:space="preserve">Power Density </t>
  </si>
  <si>
    <t>(2) No Leakage emissions are integrated according to Methodology ACM0002</t>
  </si>
  <si>
    <t>(1) Project Emission = 0 because power density &gt; 10 W/m2</t>
  </si>
  <si>
    <t>Electricity consumption from the grid</t>
  </si>
  <si>
    <t xml:space="preserve"> Electricity supplied to the grid (ACCORDING TO MAIN METER M11)</t>
  </si>
  <si>
    <t>ER = BE - PE - LE</t>
  </si>
  <si>
    <t>BE = (PEG - EC) x EF grid,CM</t>
  </si>
  <si>
    <t xml:space="preserve">Emission Reduction </t>
  </si>
  <si>
    <t>Daniel Wunderlin ecotawa AG</t>
  </si>
  <si>
    <t>Author</t>
  </si>
  <si>
    <t>Version of the Spreadsheet</t>
  </si>
  <si>
    <t>Monitoring Period</t>
  </si>
  <si>
    <t>Number of Monitoring Period</t>
  </si>
  <si>
    <t>Project: La La Hydropower Project, Vietnam</t>
  </si>
  <si>
    <t>STARTING FIGURES OF THE MAIN METER</t>
  </si>
  <si>
    <t>STARTING FIGURES OF THE BACK-UP METER</t>
  </si>
  <si>
    <t>Emission Reduction Estimated for the Validation (according to PDD)</t>
  </si>
  <si>
    <t>Annual Electricity Production Estimated according to PDD</t>
  </si>
  <si>
    <t>Combined Margin</t>
  </si>
  <si>
    <t>Annual Emission Reduction</t>
  </si>
  <si>
    <t>tCO2/y</t>
  </si>
  <si>
    <t>tCO2/7 y</t>
  </si>
  <si>
    <t xml:space="preserve">Emission Reduction Estimated Ex-ante vs actual emission reduction </t>
  </si>
  <si>
    <t>Total:</t>
  </si>
  <si>
    <t>Actual Emission reductions achieved during this MP</t>
  </si>
  <si>
    <t>Error factor applied for delayed calibrations</t>
  </si>
  <si>
    <t>Net Electricity as per EVN records</t>
  </si>
  <si>
    <t>Net Electricity (Sales Invoices)</t>
  </si>
  <si>
    <t xml:space="preserve">01/10/2017 - 29/04/2019 </t>
  </si>
  <si>
    <t>Emission Reduction during monitoring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</si>
</sst>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\ _C_H_F_-;\-* #,##0.00\ _C_H_F_-;_-* &quot;-&quot;??\ _C_H_F_-;_-@_-"/>
    <numFmt numFmtId="166" formatCode="_(* #,##0.00_);_(* \(#,##0.00\);_(* &quot;-&quot;??_);_(@_)"/>
    <numFmt numFmtId="167" formatCode="0.0"/>
    <numFmt numFmtId="168" formatCode="#,##0.000"/>
    <numFmt numFmtId="169" formatCode="0.0000"/>
    <numFmt numFmtId="170" formatCode="_-* #,##0.000_-;\-* #,##0.000_-;_-* &quot;-&quot;??_-;_-@_-"/>
    <numFmt numFmtId="171" formatCode="0.000"/>
    <numFmt numFmtId="172" formatCode="0.0%"/>
    <numFmt numFmtId="173" formatCode="#,##0.0000"/>
  </numFmts>
  <fonts count="27" x14ac:knownFonts="1">
    <font>
      <sz val="10"/>
      <name val="Verdana"/>
    </font>
    <font>
      <b/>
      <sz val="26"/>
      <color indexed="8"/>
      <name val="Calibri"/>
      <family val="2"/>
    </font>
    <font>
      <b/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sz val="10"/>
      <color theme="1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b/>
      <sz val="11"/>
      <color indexed="10"/>
      <name val="Verdana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1"/>
      <color indexed="8"/>
      <name val="Calibri"/>
      <family val="2"/>
    </font>
    <font>
      <sz val="12"/>
      <name val="Verdan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6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46" fontId="2" fillId="0" borderId="1" xfId="0" applyNumberFormat="1" applyFont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167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21" fontId="3" fillId="0" borderId="1" xfId="0" quotePrefix="1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0" fillId="0" borderId="0" xfId="0" applyNumberForma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21" fontId="3" fillId="0" borderId="0" xfId="0" quotePrefix="1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0" xfId="0" applyFont="1"/>
    <xf numFmtId="17" fontId="8" fillId="0" borderId="1" xfId="0" applyNumberFormat="1" applyFont="1" applyBorder="1" applyAlignment="1">
      <alignment horizontal="left" vertical="center"/>
    </xf>
    <xf numFmtId="0" fontId="6" fillId="0" borderId="0" xfId="3"/>
    <xf numFmtId="0" fontId="7" fillId="0" borderId="0" xfId="3" applyFont="1"/>
    <xf numFmtId="0" fontId="1" fillId="0" borderId="0" xfId="0" applyFont="1"/>
    <xf numFmtId="0" fontId="0" fillId="0" borderId="0" xfId="0" applyAlignment="1">
      <alignment horizontal="center"/>
    </xf>
    <xf numFmtId="0" fontId="9" fillId="8" borderId="15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169" fontId="5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169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11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vertical="center" wrapText="1"/>
    </xf>
    <xf numFmtId="168" fontId="2" fillId="4" borderId="1" xfId="0" applyNumberFormat="1" applyFont="1" applyFill="1" applyBorder="1" applyAlignment="1">
      <alignment horizontal="center" vertical="center"/>
    </xf>
    <xf numFmtId="2" fontId="2" fillId="4" borderId="1" xfId="0" quotePrefix="1" applyNumberFormat="1" applyFont="1" applyFill="1" applyBorder="1" applyAlignment="1">
      <alignment horizontal="center" vertical="center"/>
    </xf>
    <xf numFmtId="0" fontId="15" fillId="13" borderId="22" xfId="0" applyFont="1" applyFill="1" applyBorder="1"/>
    <xf numFmtId="4" fontId="2" fillId="4" borderId="0" xfId="0" applyNumberFormat="1" applyFont="1" applyFill="1" applyAlignment="1">
      <alignment horizontal="center" vertical="center"/>
    </xf>
    <xf numFmtId="170" fontId="3" fillId="4" borderId="1" xfId="1" applyNumberFormat="1" applyFont="1" applyFill="1" applyBorder="1" applyAlignment="1">
      <alignment horizontal="center" vertical="center"/>
    </xf>
    <xf numFmtId="168" fontId="2" fillId="4" borderId="0" xfId="0" applyNumberFormat="1" applyFont="1" applyFill="1" applyAlignment="1">
      <alignment horizontal="center" vertical="center"/>
    </xf>
    <xf numFmtId="0" fontId="16" fillId="9" borderId="2" xfId="0" applyFont="1" applyFill="1" applyBorder="1" applyAlignment="1">
      <alignment horizontal="left" vertical="center" wrapText="1"/>
    </xf>
    <xf numFmtId="0" fontId="16" fillId="10" borderId="2" xfId="0" applyFont="1" applyFill="1" applyBorder="1" applyAlignment="1">
      <alignment horizontal="left" vertical="center" wrapText="1"/>
    </xf>
    <xf numFmtId="0" fontId="16" fillId="10" borderId="18" xfId="0" applyFont="1" applyFill="1" applyBorder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71" fontId="3" fillId="4" borderId="1" xfId="0" applyNumberFormat="1" applyFont="1" applyFill="1" applyBorder="1" applyAlignment="1">
      <alignment horizontal="center" vertical="center"/>
    </xf>
    <xf numFmtId="17" fontId="14" fillId="0" borderId="1" xfId="0" applyNumberFormat="1" applyFont="1" applyBorder="1" applyAlignment="1">
      <alignment horizontal="left" vertical="center"/>
    </xf>
    <xf numFmtId="4" fontId="14" fillId="0" borderId="1" xfId="0" applyNumberFormat="1" applyFont="1" applyBorder="1"/>
    <xf numFmtId="0" fontId="14" fillId="0" borderId="1" xfId="0" applyFont="1" applyBorder="1"/>
    <xf numFmtId="0" fontId="3" fillId="0" borderId="0" xfId="3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" fontId="0" fillId="0" borderId="1" xfId="0" applyNumberFormat="1" applyBorder="1"/>
    <xf numFmtId="10" fontId="0" fillId="0" borderId="1" xfId="5" applyNumberFormat="1" applyFont="1" applyBorder="1"/>
    <xf numFmtId="172" fontId="0" fillId="0" borderId="1" xfId="5" applyNumberFormat="1" applyFont="1" applyBorder="1"/>
    <xf numFmtId="2" fontId="3" fillId="0" borderId="0" xfId="0" quotePrefix="1" applyNumberFormat="1" applyFont="1" applyAlignment="1">
      <alignment horizontal="center"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8"/>
    <xf numFmtId="171" fontId="6" fillId="0" borderId="0" xfId="8" applyNumberFormat="1"/>
    <xf numFmtId="0" fontId="6" fillId="0" borderId="1" xfId="8" applyBorder="1"/>
    <xf numFmtId="0" fontId="10" fillId="0" borderId="1" xfId="8" applyFont="1" applyBorder="1" applyAlignment="1">
      <alignment horizontal="left" vertical="center"/>
    </xf>
    <xf numFmtId="0" fontId="5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center" vertical="center"/>
    </xf>
    <xf numFmtId="0" fontId="5" fillId="0" borderId="1" xfId="8" applyFont="1" applyBorder="1" applyAlignment="1">
      <alignment horizontal="left" vertical="center"/>
    </xf>
    <xf numFmtId="0" fontId="9" fillId="4" borderId="1" xfId="8" applyFont="1" applyFill="1" applyBorder="1" applyAlignment="1">
      <alignment horizontal="center" vertical="center"/>
    </xf>
    <xf numFmtId="0" fontId="6" fillId="4" borderId="1" xfId="8" applyFill="1" applyBorder="1"/>
    <xf numFmtId="0" fontId="4" fillId="0" borderId="0" xfId="8" applyFont="1"/>
    <xf numFmtId="171" fontId="2" fillId="14" borderId="0" xfId="8" applyNumberFormat="1" applyFont="1" applyFill="1"/>
    <xf numFmtId="171" fontId="2" fillId="2" borderId="1" xfId="8" applyNumberFormat="1" applyFont="1" applyFill="1" applyBorder="1"/>
    <xf numFmtId="171" fontId="2" fillId="14" borderId="1" xfId="8" applyNumberFormat="1" applyFont="1" applyFill="1" applyBorder="1"/>
    <xf numFmtId="0" fontId="2" fillId="14" borderId="1" xfId="8" applyFont="1" applyFill="1" applyBorder="1"/>
    <xf numFmtId="3" fontId="6" fillId="0" borderId="0" xfId="8" applyNumberFormat="1"/>
    <xf numFmtId="1" fontId="6" fillId="0" borderId="0" xfId="8" applyNumberFormat="1"/>
    <xf numFmtId="3" fontId="6" fillId="0" borderId="1" xfId="8" applyNumberFormat="1" applyBorder="1"/>
    <xf numFmtId="0" fontId="21" fillId="0" borderId="0" xfId="8" applyFont="1"/>
    <xf numFmtId="17" fontId="22" fillId="8" borderId="0" xfId="8" applyNumberFormat="1" applyFont="1" applyFill="1" applyAlignment="1">
      <alignment horizontal="center" vertical="center"/>
    </xf>
    <xf numFmtId="17" fontId="22" fillId="8" borderId="16" xfId="8" applyNumberFormat="1" applyFont="1" applyFill="1" applyBorder="1" applyAlignment="1">
      <alignment horizontal="center" vertical="center"/>
    </xf>
    <xf numFmtId="0" fontId="22" fillId="8" borderId="16" xfId="8" applyFont="1" applyFill="1" applyBorder="1" applyAlignment="1">
      <alignment horizontal="center" vertical="center"/>
    </xf>
    <xf numFmtId="0" fontId="2" fillId="0" borderId="0" xfId="8" applyFont="1"/>
    <xf numFmtId="0" fontId="23" fillId="0" borderId="0" xfId="8" applyFont="1"/>
    <xf numFmtId="14" fontId="6" fillId="0" borderId="0" xfId="8" applyNumberFormat="1" applyAlignment="1">
      <alignment horizontal="center"/>
    </xf>
    <xf numFmtId="0" fontId="1" fillId="0" borderId="0" xfId="8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4" fontId="6" fillId="0" borderId="0" xfId="8" applyNumberFormat="1" applyAlignment="1">
      <alignment horizontal="center"/>
    </xf>
    <xf numFmtId="14" fontId="6" fillId="0" borderId="1" xfId="8" applyNumberFormat="1" applyBorder="1" applyAlignment="1">
      <alignment horizontal="center"/>
    </xf>
    <xf numFmtId="4" fontId="6" fillId="0" borderId="1" xfId="8" applyNumberFormat="1" applyBorder="1" applyAlignment="1">
      <alignment horizontal="center"/>
    </xf>
    <xf numFmtId="173" fontId="6" fillId="0" borderId="1" xfId="8" applyNumberFormat="1" applyBorder="1" applyAlignment="1">
      <alignment horizontal="center"/>
    </xf>
    <xf numFmtId="3" fontId="6" fillId="0" borderId="1" xfId="8" applyNumberFormat="1" applyBorder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2" fillId="12" borderId="1" xfId="0" applyFont="1" applyFill="1" applyBorder="1" applyAlignment="1">
      <alignment horizontal="left" vertical="center" wrapText="1"/>
    </xf>
    <xf numFmtId="0" fontId="2" fillId="0" borderId="0" xfId="0" applyFont="1"/>
    <xf numFmtId="171" fontId="0" fillId="15" borderId="1" xfId="0" applyNumberFormat="1" applyFill="1" applyBorder="1"/>
    <xf numFmtId="0" fontId="0" fillId="15" borderId="1" xfId="0" applyFill="1" applyBorder="1"/>
    <xf numFmtId="0" fontId="0" fillId="15" borderId="0" xfId="0" applyFill="1"/>
    <xf numFmtId="1" fontId="0" fillId="0" borderId="0" xfId="0" applyNumberFormat="1"/>
    <xf numFmtId="171" fontId="2" fillId="0" borderId="0" xfId="0" applyNumberFormat="1" applyFont="1"/>
    <xf numFmtId="2" fontId="6" fillId="0" borderId="0" xfId="8" applyNumberFormat="1" applyAlignment="1">
      <alignment horizontal="center"/>
    </xf>
    <xf numFmtId="171" fontId="0" fillId="0" borderId="1" xfId="0" applyNumberFormat="1" applyBorder="1"/>
    <xf numFmtId="14" fontId="6" fillId="0" borderId="11" xfId="8" applyNumberFormat="1" applyBorder="1" applyAlignment="1">
      <alignment horizontal="center"/>
    </xf>
    <xf numFmtId="14" fontId="6" fillId="0" borderId="12" xfId="8" applyNumberFormat="1" applyBorder="1" applyAlignment="1">
      <alignment horizontal="center"/>
    </xf>
    <xf numFmtId="14" fontId="6" fillId="0" borderId="13" xfId="8" applyNumberFormat="1" applyBorder="1" applyAlignment="1">
      <alignment horizontal="center"/>
    </xf>
    <xf numFmtId="0" fontId="1" fillId="0" borderId="0" xfId="8" applyFont="1" applyAlignment="1">
      <alignment horizontal="left" vertical="center"/>
    </xf>
    <xf numFmtId="0" fontId="6" fillId="0" borderId="11" xfId="8" applyBorder="1" applyAlignment="1">
      <alignment horizontal="center"/>
    </xf>
    <xf numFmtId="0" fontId="6" fillId="0" borderId="12" xfId="8" applyBorder="1" applyAlignment="1">
      <alignment horizontal="center"/>
    </xf>
    <xf numFmtId="0" fontId="6" fillId="0" borderId="13" xfId="8" applyBorder="1" applyAlignment="1">
      <alignment horizontal="center"/>
    </xf>
    <xf numFmtId="167" fontId="6" fillId="0" borderId="11" xfId="8" applyNumberFormat="1" applyBorder="1" applyAlignment="1">
      <alignment horizontal="center"/>
    </xf>
    <xf numFmtId="167" fontId="6" fillId="0" borderId="12" xfId="8" applyNumberFormat="1" applyBorder="1" applyAlignment="1">
      <alignment horizontal="center"/>
    </xf>
    <xf numFmtId="167" fontId="6" fillId="0" borderId="13" xfId="8" applyNumberFormat="1" applyBorder="1" applyAlignment="1">
      <alignment horizontal="center"/>
    </xf>
    <xf numFmtId="0" fontId="3" fillId="12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3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8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/>
    </xf>
    <xf numFmtId="0" fontId="9" fillId="4" borderId="1" xfId="8" applyFont="1" applyFill="1" applyBorder="1" applyAlignment="1">
      <alignment horizontal="center" vertical="center"/>
    </xf>
    <xf numFmtId="0" fontId="9" fillId="4" borderId="11" xfId="8" applyFont="1" applyFill="1" applyBorder="1" applyAlignment="1">
      <alignment horizontal="center" vertical="center"/>
    </xf>
    <xf numFmtId="0" fontId="9" fillId="4" borderId="12" xfId="8" applyFont="1" applyFill="1" applyBorder="1" applyAlignment="1">
      <alignment horizontal="center" vertical="center"/>
    </xf>
    <xf numFmtId="0" fontId="9" fillId="4" borderId="13" xfId="8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26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171" fontId="2" fillId="0" borderId="1" xfId="0" applyNumberFormat="1" applyFont="1" applyBorder="1"/>
    <xf numFmtId="1" fontId="2" fillId="0" borderId="1" xfId="0" applyNumberFormat="1" applyFont="1" applyBorder="1"/>
    <xf numFmtId="17" fontId="8" fillId="0" borderId="0" xfId="0" applyNumberFormat="1" applyFont="1" applyBorder="1" applyAlignment="1">
      <alignment horizontal="left" vertical="center"/>
    </xf>
    <xf numFmtId="0" fontId="0" fillId="0" borderId="0" xfId="0" applyBorder="1"/>
    <xf numFmtId="171" fontId="0" fillId="0" borderId="0" xfId="0" applyNumberFormat="1" applyBorder="1"/>
    <xf numFmtId="1" fontId="2" fillId="0" borderId="0" xfId="0" applyNumberFormat="1" applyFont="1"/>
    <xf numFmtId="0" fontId="6" fillId="16" borderId="0" xfId="8" applyFill="1"/>
    <xf numFmtId="0" fontId="2" fillId="0" borderId="1" xfId="8" applyFont="1" applyBorder="1"/>
    <xf numFmtId="9" fontId="2" fillId="0" borderId="1" xfId="5" applyFont="1" applyBorder="1"/>
  </cellXfs>
  <cellStyles count="9">
    <cellStyle name="Comma" xfId="1" builtinId="3"/>
    <cellStyle name="Comma 3" xfId="4" xr:uid="{00000000-0005-0000-0000-000001000000}"/>
    <cellStyle name="Normal" xfId="0" builtinId="0"/>
    <cellStyle name="Normal 2" xfId="3" xr:uid="{00000000-0005-0000-0000-000003000000}"/>
    <cellStyle name="Normal 2 2" xfId="6" xr:uid="{00000000-0005-0000-0000-000004000000}"/>
    <cellStyle name="Normal 3" xfId="7" xr:uid="{00000000-0005-0000-0000-000005000000}"/>
    <cellStyle name="Percent" xfId="5" builtinId="5"/>
    <cellStyle name="Percent 2" xfId="2" xr:uid="{00000000-0005-0000-0000-000007000000}"/>
    <cellStyle name="Standard 2" xfId="8" xr:uid="{A9B10099-1C28-1943-A877-5B0325BAE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371475</xdr:colOff>
      <xdr:row>1</xdr:row>
      <xdr:rowOff>66675</xdr:rowOff>
    </xdr:from>
    <xdr:to>
      <xdr:col>24</xdr:col>
      <xdr:colOff>714375</xdr:colOff>
      <xdr:row>1</xdr:row>
      <xdr:rowOff>600075</xdr:rowOff>
    </xdr:to>
    <xdr:pic>
      <xdr:nvPicPr>
        <xdr:cNvPr id="2" name="Picture 1" descr="ecotawa">
          <a:extLst>
            <a:ext uri="{FF2B5EF4-FFF2-40B4-BE49-F238E27FC236}">
              <a16:creationId xmlns:a16="http://schemas.microsoft.com/office/drawing/2014/main" id="{56597E75-9E0A-9941-94E8-859C2822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50075" y="231775"/>
          <a:ext cx="1181100" cy="10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152400</xdr:rowOff>
    </xdr:from>
    <xdr:to>
      <xdr:col>7</xdr:col>
      <xdr:colOff>0</xdr:colOff>
      <xdr:row>2</xdr:row>
      <xdr:rowOff>47625</xdr:rowOff>
    </xdr:to>
    <xdr:pic>
      <xdr:nvPicPr>
        <xdr:cNvPr id="2" name="Picture 1" descr="ecotawa">
          <a:extLst>
            <a:ext uri="{FF2B5EF4-FFF2-40B4-BE49-F238E27FC236}">
              <a16:creationId xmlns:a16="http://schemas.microsoft.com/office/drawing/2014/main" id="{6AEC8B61-AED2-4301-9853-C6299177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52400"/>
          <a:ext cx="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0</xdr:row>
      <xdr:rowOff>152400</xdr:rowOff>
    </xdr:from>
    <xdr:to>
      <xdr:col>7</xdr:col>
      <xdr:colOff>0</xdr:colOff>
      <xdr:row>2</xdr:row>
      <xdr:rowOff>47625</xdr:rowOff>
    </xdr:to>
    <xdr:pic>
      <xdr:nvPicPr>
        <xdr:cNvPr id="3" name="Picture 2" descr="ecotawa">
          <a:extLst>
            <a:ext uri="{FF2B5EF4-FFF2-40B4-BE49-F238E27FC236}">
              <a16:creationId xmlns:a16="http://schemas.microsoft.com/office/drawing/2014/main" id="{EC8E3EB7-7A5E-4ACD-80C6-AE19C145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52400"/>
          <a:ext cx="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2590800</xdr:colOff>
      <xdr:row>0</xdr:row>
      <xdr:rowOff>85725</xdr:rowOff>
    </xdr:from>
    <xdr:to>
      <xdr:col>6</xdr:col>
      <xdr:colOff>476250</xdr:colOff>
      <xdr:row>0</xdr:row>
      <xdr:rowOff>38100</xdr:rowOff>
    </xdr:to>
    <xdr:pic>
      <xdr:nvPicPr>
        <xdr:cNvPr id="2" name="Picture 1" descr="ecotawa">
          <a:extLst>
            <a:ext uri="{FF2B5EF4-FFF2-40B4-BE49-F238E27FC236}">
              <a16:creationId xmlns:a16="http://schemas.microsoft.com/office/drawing/2014/main" id="{6BA230C2-A53F-4AD4-AC20-A072A976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247650"/>
          <a:ext cx="14097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0</xdr:row>
      <xdr:rowOff>114300</xdr:rowOff>
    </xdr:from>
    <xdr:to>
      <xdr:col>14</xdr:col>
      <xdr:colOff>28575</xdr:colOff>
      <xdr:row>1</xdr:row>
      <xdr:rowOff>28575</xdr:rowOff>
    </xdr:to>
    <xdr:pic>
      <xdr:nvPicPr>
        <xdr:cNvPr id="2" name="Picture 1" descr="ecotawa">
          <a:extLst>
            <a:ext uri="{FF2B5EF4-FFF2-40B4-BE49-F238E27FC236}">
              <a16:creationId xmlns:a16="http://schemas.microsoft.com/office/drawing/2014/main" id="{B702DE14-8B0D-4628-9048-EECFED92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14300"/>
          <a:ext cx="1104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3F2E-2043-3D48-865F-F03AAF9166EF}">
  <dimension ref="A2:CJ37"/>
  <sheetViews>
    <sheetView tabSelected="1" workbookViewId="0">
      <selection activeCell="F22" sqref="F22"/>
    </sheetView>
  </sheetViews>
  <sheetFormatPr defaultColWidth="11" defaultRowHeight="12.75" x14ac:dyDescent="0.2"/>
  <cols>
    <col min="1" max="1" width="5.125" style="118" customWidth="1"/>
    <col min="2" max="2" width="8.5" style="118" customWidth="1"/>
    <col min="3" max="3" width="60" style="118" customWidth="1"/>
    <col min="4" max="4" width="7.5" style="118" customWidth="1"/>
    <col min="5" max="88" width="12.875" style="118" customWidth="1"/>
    <col min="89" max="89" width="16.125" style="118" customWidth="1"/>
    <col min="90" max="16384" width="11" style="118"/>
  </cols>
  <sheetData>
    <row r="2" spans="1:21" ht="54" customHeight="1" x14ac:dyDescent="0.2">
      <c r="A2" s="163" t="s">
        <v>353</v>
      </c>
      <c r="B2" s="163"/>
      <c r="C2" s="163"/>
      <c r="D2" s="163"/>
      <c r="E2" s="163"/>
      <c r="F2" s="142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ht="20.100000000000001" customHeight="1" x14ac:dyDescent="0.2">
      <c r="C3" s="120" t="s">
        <v>352</v>
      </c>
      <c r="D3" s="164">
        <v>1</v>
      </c>
      <c r="E3" s="165"/>
      <c r="F3" s="166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ht="20.100000000000001" customHeight="1" x14ac:dyDescent="0.2">
      <c r="C4" s="120" t="s">
        <v>351</v>
      </c>
      <c r="D4" s="164" t="s">
        <v>368</v>
      </c>
      <c r="E4" s="165"/>
      <c r="F4" s="166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</row>
    <row r="5" spans="1:21" ht="20.100000000000001" customHeight="1" x14ac:dyDescent="0.2">
      <c r="C5" s="120" t="s">
        <v>350</v>
      </c>
      <c r="D5" s="167">
        <v>2</v>
      </c>
      <c r="E5" s="168"/>
      <c r="F5" s="169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1" ht="20.100000000000001" customHeight="1" x14ac:dyDescent="0.2">
      <c r="C6" s="120" t="s">
        <v>34</v>
      </c>
      <c r="D6" s="160">
        <v>44748</v>
      </c>
      <c r="E6" s="161"/>
      <c r="F6" s="162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</row>
    <row r="7" spans="1:21" ht="20.100000000000001" customHeight="1" x14ac:dyDescent="0.2">
      <c r="C7" s="120" t="s">
        <v>349</v>
      </c>
      <c r="D7" s="160" t="s">
        <v>348</v>
      </c>
      <c r="E7" s="161"/>
      <c r="F7" s="162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</row>
    <row r="8" spans="1:21" ht="20.100000000000001" customHeight="1" x14ac:dyDescent="0.2"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</row>
    <row r="9" spans="1:21" ht="20.100000000000001" customHeight="1" x14ac:dyDescent="0.25">
      <c r="A9" s="135" t="s">
        <v>356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</row>
    <row r="10" spans="1:21" ht="20.100000000000001" customHeight="1" x14ac:dyDescent="0.2">
      <c r="C10" s="120" t="s">
        <v>357</v>
      </c>
      <c r="D10" s="145"/>
      <c r="E10" s="146">
        <v>11980</v>
      </c>
      <c r="F10" s="145" t="s">
        <v>2</v>
      </c>
      <c r="G10" s="141"/>
      <c r="H10" s="141">
        <v>43009</v>
      </c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</row>
    <row r="11" spans="1:21" ht="20.100000000000001" customHeight="1" x14ac:dyDescent="0.2">
      <c r="C11" s="120" t="s">
        <v>358</v>
      </c>
      <c r="D11" s="145"/>
      <c r="E11" s="147">
        <v>0.57640000000000002</v>
      </c>
      <c r="F11" s="145" t="s">
        <v>68</v>
      </c>
      <c r="G11" s="141"/>
      <c r="H11" s="141">
        <v>43584</v>
      </c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</row>
    <row r="12" spans="1:21" ht="20.100000000000001" customHeight="1" x14ac:dyDescent="0.2">
      <c r="C12" s="120" t="s">
        <v>359</v>
      </c>
      <c r="D12" s="145"/>
      <c r="E12" s="148">
        <f>ROUNDDOWN(E10*E11,0)</f>
        <v>6905</v>
      </c>
      <c r="F12" s="145" t="s">
        <v>360</v>
      </c>
      <c r="G12" s="141"/>
      <c r="H12" s="158">
        <f>H11-H10+1</f>
        <v>576</v>
      </c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</row>
    <row r="13" spans="1:21" ht="20.100000000000001" customHeight="1" x14ac:dyDescent="0.2">
      <c r="C13" s="120" t="s">
        <v>369</v>
      </c>
      <c r="D13" s="145"/>
      <c r="E13" s="148">
        <f>(E12/365)*H12</f>
        <v>10896.657534246575</v>
      </c>
      <c r="F13" s="145" t="s">
        <v>361</v>
      </c>
      <c r="G13" s="141"/>
      <c r="H13" s="141"/>
      <c r="I13" s="141"/>
      <c r="J13" s="158"/>
      <c r="K13" s="141"/>
      <c r="L13" s="141"/>
      <c r="M13" s="141"/>
      <c r="N13" s="141"/>
      <c r="O13" s="141"/>
      <c r="P13" s="141"/>
      <c r="Q13" s="141"/>
      <c r="R13" s="141"/>
      <c r="S13" s="141"/>
    </row>
    <row r="14" spans="1:21" ht="20.100000000000001" customHeight="1" x14ac:dyDescent="0.2">
      <c r="C14" s="120" t="s">
        <v>364</v>
      </c>
      <c r="D14" s="145"/>
      <c r="E14" s="146">
        <f>'Output &amp; CERs'!J28</f>
        <v>7884</v>
      </c>
      <c r="F14" s="145" t="s">
        <v>84</v>
      </c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</row>
    <row r="15" spans="1:21" ht="20.100000000000001" customHeight="1" x14ac:dyDescent="0.2">
      <c r="D15" s="141"/>
      <c r="E15" s="144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21" ht="18" x14ac:dyDescent="0.25">
      <c r="C16" s="135"/>
    </row>
    <row r="18" spans="3:19" x14ac:dyDescent="0.2">
      <c r="C18" s="212" t="s">
        <v>362</v>
      </c>
      <c r="D18" s="212"/>
      <c r="E18" s="213">
        <f>-(1-E14/E13)</f>
        <v>-0.27647538015930484</v>
      </c>
      <c r="F18" s="212"/>
    </row>
    <row r="19" spans="3:19" x14ac:dyDescent="0.2">
      <c r="F19" s="211"/>
    </row>
    <row r="23" spans="3:19" x14ac:dyDescent="0.2">
      <c r="S23" s="132"/>
    </row>
    <row r="37" spans="10:88" x14ac:dyDescent="0.2"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</row>
  </sheetData>
  <mergeCells count="6">
    <mergeCell ref="D7:F7"/>
    <mergeCell ref="A2:E2"/>
    <mergeCell ref="D3:F3"/>
    <mergeCell ref="D4:F4"/>
    <mergeCell ref="D5:F5"/>
    <mergeCell ref="D6:F6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workbookViewId="0">
      <selection activeCell="O25" sqref="O25"/>
    </sheetView>
  </sheetViews>
  <sheetFormatPr defaultColWidth="8.875" defaultRowHeight="12.75" x14ac:dyDescent="0.2"/>
  <cols>
    <col min="3" max="3" width="19.875" customWidth="1"/>
    <col min="4" max="6" width="18.125" customWidth="1"/>
    <col min="7" max="7" width="11.125" customWidth="1"/>
    <col min="8" max="8" width="12.5" customWidth="1"/>
    <col min="9" max="9" width="11.5" customWidth="1"/>
    <col min="10" max="10" width="13.625" customWidth="1"/>
  </cols>
  <sheetData>
    <row r="1" spans="1:16" x14ac:dyDescent="0.2">
      <c r="A1" s="64" t="s">
        <v>71</v>
      </c>
    </row>
    <row r="3" spans="1:16" ht="51" x14ac:dyDescent="0.2">
      <c r="B3" s="170" t="s">
        <v>76</v>
      </c>
      <c r="C3" s="151" t="s">
        <v>344</v>
      </c>
      <c r="D3" s="149" t="s">
        <v>343</v>
      </c>
      <c r="E3" s="149" t="s">
        <v>366</v>
      </c>
      <c r="F3" s="149" t="s">
        <v>367</v>
      </c>
      <c r="G3" s="93" t="s">
        <v>72</v>
      </c>
      <c r="H3" s="93" t="s">
        <v>73</v>
      </c>
      <c r="I3" s="94" t="s">
        <v>74</v>
      </c>
      <c r="J3" s="94" t="s">
        <v>75</v>
      </c>
    </row>
    <row r="4" spans="1:16" x14ac:dyDescent="0.2">
      <c r="B4" s="170"/>
      <c r="C4" s="92" t="s">
        <v>77</v>
      </c>
      <c r="D4" s="92" t="s">
        <v>78</v>
      </c>
      <c r="E4" s="92"/>
      <c r="F4" s="92"/>
      <c r="G4" s="92" t="s">
        <v>79</v>
      </c>
      <c r="H4" s="92" t="s">
        <v>80</v>
      </c>
      <c r="I4" s="92" t="s">
        <v>81</v>
      </c>
      <c r="J4" s="92" t="s">
        <v>82</v>
      </c>
    </row>
    <row r="5" spans="1:16" x14ac:dyDescent="0.2">
      <c r="B5" s="170"/>
      <c r="C5" s="92" t="s">
        <v>2</v>
      </c>
      <c r="D5" s="92" t="s">
        <v>83</v>
      </c>
      <c r="E5" s="92" t="s">
        <v>83</v>
      </c>
      <c r="F5" s="92" t="s">
        <v>83</v>
      </c>
      <c r="G5" s="92" t="s">
        <v>84</v>
      </c>
      <c r="H5" s="92" t="s">
        <v>84</v>
      </c>
      <c r="I5" s="92" t="s">
        <v>84</v>
      </c>
      <c r="J5" s="92" t="s">
        <v>84</v>
      </c>
    </row>
    <row r="6" spans="1:16" x14ac:dyDescent="0.2">
      <c r="B6" s="65">
        <v>43039</v>
      </c>
      <c r="C6" s="91">
        <f>+'Input data monthly1'!E64</f>
        <v>876.41700000000174</v>
      </c>
      <c r="D6" s="91">
        <f>+'Input data monthly1'!H64</f>
        <v>0.18100000000000449</v>
      </c>
      <c r="E6" s="159">
        <f t="shared" ref="E6:E26" si="0">(C6-D6)</f>
        <v>876.2360000000017</v>
      </c>
      <c r="F6" s="91">
        <v>876.2360000000017</v>
      </c>
      <c r="G6" s="91">
        <f>ROUNDDOWN(((C6-D6)*'Fixed para'!$F$5),0)</f>
        <v>505</v>
      </c>
      <c r="H6" s="91">
        <v>0</v>
      </c>
      <c r="I6" s="91">
        <v>0</v>
      </c>
      <c r="J6" s="150">
        <f t="shared" ref="J6:J11" si="1">+G6-H6-I6</f>
        <v>505</v>
      </c>
    </row>
    <row r="7" spans="1:16" x14ac:dyDescent="0.2">
      <c r="B7" s="65">
        <v>43069</v>
      </c>
      <c r="C7" s="154">
        <f>(+'Input data monthly1'!E65)*(1-0.5%)</f>
        <v>1020.1048450000002</v>
      </c>
      <c r="D7" s="154">
        <f>(+'Input data monthly1'!H65)*(1+0.5%)</f>
        <v>0.12663000000000188</v>
      </c>
      <c r="E7" s="159">
        <f t="shared" si="0"/>
        <v>1019.9782150000002</v>
      </c>
      <c r="F7" s="159">
        <v>1025.1050000000002</v>
      </c>
      <c r="G7" s="91">
        <f>ROUNDDOWN(((C7-D7)*'Fixed para'!$F$5),0)</f>
        <v>587</v>
      </c>
      <c r="H7" s="91">
        <v>0</v>
      </c>
      <c r="I7" s="91">
        <v>0</v>
      </c>
      <c r="J7" s="150">
        <f t="shared" si="1"/>
        <v>587</v>
      </c>
    </row>
    <row r="8" spans="1:16" x14ac:dyDescent="0.2">
      <c r="B8" s="65">
        <v>43100</v>
      </c>
      <c r="C8" s="91">
        <f>+'Input data monthly1'!E66</f>
        <v>857.48199999999724</v>
      </c>
      <c r="D8" s="91">
        <f>+'Input data monthly1'!H66</f>
        <v>0.18800000000000239</v>
      </c>
      <c r="E8" s="159">
        <f t="shared" si="0"/>
        <v>857.29399999999725</v>
      </c>
      <c r="F8" s="91">
        <v>857.29399999999725</v>
      </c>
      <c r="G8" s="91">
        <f>ROUNDDOWN(((C8-D8)*'Fixed para'!$F$5),0)</f>
        <v>494</v>
      </c>
      <c r="H8" s="91">
        <v>0</v>
      </c>
      <c r="I8" s="91">
        <v>0</v>
      </c>
      <c r="J8" s="150">
        <f t="shared" si="1"/>
        <v>494</v>
      </c>
    </row>
    <row r="9" spans="1:16" s="152" customFormat="1" x14ac:dyDescent="0.2">
      <c r="B9" s="203"/>
      <c r="C9" s="204"/>
      <c r="D9" s="204"/>
      <c r="E9" s="205"/>
      <c r="F9" s="204"/>
      <c r="G9" s="204"/>
      <c r="H9" s="204"/>
      <c r="I9" s="204"/>
      <c r="J9" s="206">
        <f>ROUNDDOWN(SUM(J6:J8),0)</f>
        <v>1586</v>
      </c>
    </row>
    <row r="10" spans="1:16" x14ac:dyDescent="0.2">
      <c r="B10" s="65">
        <v>43131</v>
      </c>
      <c r="C10" s="91">
        <f>+'Input data monthly1'!E67</f>
        <v>703.51400000000115</v>
      </c>
      <c r="D10" s="91">
        <f>+'Input data monthly1'!H67</f>
        <v>0.15999999999999659</v>
      </c>
      <c r="E10" s="159">
        <f t="shared" si="0"/>
        <v>703.35400000000118</v>
      </c>
      <c r="F10" s="91">
        <v>703.35400000000118</v>
      </c>
      <c r="G10" s="91">
        <f>ROUNDDOWN(((C10-D10)*'Fixed para'!$F$5),0)</f>
        <v>405</v>
      </c>
      <c r="H10" s="91">
        <v>0</v>
      </c>
      <c r="I10" s="91">
        <v>0</v>
      </c>
      <c r="J10" s="150">
        <f t="shared" si="1"/>
        <v>405</v>
      </c>
    </row>
    <row r="11" spans="1:16" x14ac:dyDescent="0.2">
      <c r="B11" s="65">
        <v>43159</v>
      </c>
      <c r="C11" s="91">
        <f>+'Input data monthly1'!E68</f>
        <v>417.16600000000017</v>
      </c>
      <c r="D11" s="91">
        <f>+'Input data monthly1'!H68</f>
        <v>0.21900000000000119</v>
      </c>
      <c r="E11" s="159">
        <f t="shared" si="0"/>
        <v>416.94700000000017</v>
      </c>
      <c r="F11" s="91">
        <v>416.94700000000017</v>
      </c>
      <c r="G11" s="91">
        <f>ROUNDDOWN(((C11-D11)*'Fixed para'!$F$5),0)</f>
        <v>240</v>
      </c>
      <c r="H11" s="91">
        <v>0</v>
      </c>
      <c r="I11" s="91">
        <v>0</v>
      </c>
      <c r="J11" s="150">
        <f t="shared" si="1"/>
        <v>240</v>
      </c>
    </row>
    <row r="12" spans="1:16" ht="18" x14ac:dyDescent="0.25">
      <c r="B12" s="65">
        <v>43190</v>
      </c>
      <c r="C12" s="91">
        <f>+'Input data monthly1'!E69</f>
        <v>354.45399999999819</v>
      </c>
      <c r="D12" s="91">
        <f>+'Input data monthly1'!H69</f>
        <v>1.0330000000000013</v>
      </c>
      <c r="E12" s="159">
        <f t="shared" si="0"/>
        <v>353.42099999999817</v>
      </c>
      <c r="F12" s="91">
        <v>353.42099999999817</v>
      </c>
      <c r="G12" s="91">
        <f>ROUNDDOWN(((C12-D12)*'Fixed para'!$F$5),0)</f>
        <v>203</v>
      </c>
      <c r="H12" s="91">
        <v>0</v>
      </c>
      <c r="I12" s="91">
        <v>0</v>
      </c>
      <c r="J12" s="150">
        <f t="shared" ref="J12:J13" si="2">+G12-H12-I12</f>
        <v>203</v>
      </c>
      <c r="L12" s="135" t="s">
        <v>347</v>
      </c>
      <c r="M12" s="139"/>
      <c r="N12" s="118"/>
      <c r="O12" s="118"/>
      <c r="P12" s="118"/>
    </row>
    <row r="13" spans="1:16" x14ac:dyDescent="0.2">
      <c r="B13" s="65">
        <v>43220</v>
      </c>
      <c r="C13" s="91">
        <f>+'Input data monthly1'!E70</f>
        <v>275.39200000000096</v>
      </c>
      <c r="D13" s="91">
        <f>+'Input data monthly1'!H70</f>
        <v>8.5999999999998522E-2</v>
      </c>
      <c r="E13" s="159">
        <f t="shared" si="0"/>
        <v>275.30600000000095</v>
      </c>
      <c r="F13" s="91">
        <v>275.30600000000095</v>
      </c>
      <c r="G13" s="91">
        <f>ROUNDDOWN(((C13-D13)*'Fixed para'!$F$5),0)</f>
        <v>158</v>
      </c>
      <c r="H13" s="91">
        <v>0</v>
      </c>
      <c r="I13" s="91">
        <v>0</v>
      </c>
      <c r="J13" s="150">
        <f t="shared" si="2"/>
        <v>158</v>
      </c>
      <c r="L13" s="118"/>
      <c r="M13" s="118"/>
      <c r="N13" s="118"/>
      <c r="O13" s="118"/>
      <c r="P13" s="118"/>
    </row>
    <row r="14" spans="1:16" ht="15" x14ac:dyDescent="0.2">
      <c r="B14" s="65">
        <v>43251</v>
      </c>
      <c r="C14" s="91">
        <f>+'Input data monthly1'!E71</f>
        <v>281.99699999999865</v>
      </c>
      <c r="D14" s="91">
        <f>+'Input data monthly1'!H71</f>
        <v>0.32100000000000506</v>
      </c>
      <c r="E14" s="159">
        <f t="shared" si="0"/>
        <v>281.67599999999862</v>
      </c>
      <c r="F14" s="91">
        <v>281.67599999999862</v>
      </c>
      <c r="G14" s="91">
        <f>ROUNDDOWN(((C14-D14)*'Fixed para'!$F$5),0)</f>
        <v>162</v>
      </c>
      <c r="H14" s="91">
        <v>0</v>
      </c>
      <c r="I14" s="91">
        <v>0</v>
      </c>
      <c r="J14" s="150">
        <f t="shared" ref="J14:J26" si="3">+G14-H14-I14</f>
        <v>162</v>
      </c>
      <c r="L14" s="127" t="s">
        <v>346</v>
      </c>
      <c r="M14" s="140"/>
      <c r="O14" s="140"/>
      <c r="P14" s="140"/>
    </row>
    <row r="15" spans="1:16" ht="15" x14ac:dyDescent="0.2">
      <c r="B15" s="65">
        <v>43281</v>
      </c>
      <c r="C15" s="91">
        <f>+'Input data monthly1'!E72</f>
        <v>458.01300000000094</v>
      </c>
      <c r="D15" s="91">
        <f>+'Input data monthly1'!H72</f>
        <v>0.10899999999999466</v>
      </c>
      <c r="E15" s="159">
        <f t="shared" si="0"/>
        <v>457.90400000000096</v>
      </c>
      <c r="F15" s="91">
        <v>457.90400000000096</v>
      </c>
      <c r="G15" s="91">
        <f>ROUNDDOWN(((C15-D15)*'Fixed para'!$F$5),0)</f>
        <v>263</v>
      </c>
      <c r="H15" s="91">
        <v>0</v>
      </c>
      <c r="I15" s="91">
        <v>0</v>
      </c>
      <c r="J15" s="150">
        <f t="shared" si="3"/>
        <v>263</v>
      </c>
      <c r="L15" s="127" t="s">
        <v>345</v>
      </c>
      <c r="M15" s="140"/>
      <c r="O15" s="140"/>
      <c r="P15" s="140"/>
    </row>
    <row r="16" spans="1:16" x14ac:dyDescent="0.2">
      <c r="B16" s="65">
        <v>43312</v>
      </c>
      <c r="C16" s="91">
        <f>+'Input data monthly1'!E73</f>
        <v>1339.9109999999978</v>
      </c>
      <c r="D16" s="91">
        <f>+'Input data monthly1'!H73</f>
        <v>7.4000000000005173E-2</v>
      </c>
      <c r="E16" s="159">
        <f t="shared" si="0"/>
        <v>1339.8369999999977</v>
      </c>
      <c r="F16" s="91">
        <v>1339.8369999999977</v>
      </c>
      <c r="G16" s="91">
        <f>ROUNDDOWN(((C16-D16)*'Fixed para'!$F$5),0)</f>
        <v>772</v>
      </c>
      <c r="H16" s="91">
        <v>0</v>
      </c>
      <c r="I16" s="91">
        <v>0</v>
      </c>
      <c r="J16" s="150">
        <f t="shared" si="3"/>
        <v>772</v>
      </c>
      <c r="L16" s="118"/>
      <c r="M16" s="118"/>
      <c r="O16" s="118"/>
      <c r="P16" s="118"/>
    </row>
    <row r="17" spans="2:16" x14ac:dyDescent="0.2">
      <c r="B17" s="65">
        <v>43343</v>
      </c>
      <c r="C17" s="91">
        <f>+'Input data monthly1'!E74</f>
        <v>2163.5559919999955</v>
      </c>
      <c r="D17" s="91">
        <f>+'Input data monthly1'!H74</f>
        <v>5.9999999999931219E-3</v>
      </c>
      <c r="E17" s="159">
        <f t="shared" si="0"/>
        <v>2163.5499919999957</v>
      </c>
      <c r="F17" s="91">
        <v>2163.5499919999957</v>
      </c>
      <c r="G17" s="91">
        <f>ROUNDDOWN(((C17-D17)*'Fixed para'!$F$5),0)</f>
        <v>1247</v>
      </c>
      <c r="H17" s="91">
        <v>0</v>
      </c>
      <c r="I17" s="91">
        <v>0</v>
      </c>
      <c r="J17" s="150">
        <f t="shared" si="3"/>
        <v>1247</v>
      </c>
      <c r="L17" s="118"/>
      <c r="M17" s="118"/>
      <c r="O17" s="118"/>
      <c r="P17" s="118"/>
    </row>
    <row r="18" spans="2:16" x14ac:dyDescent="0.2">
      <c r="B18" s="65">
        <v>43373</v>
      </c>
      <c r="C18" s="91">
        <f>+'Input data monthly1'!E75</f>
        <v>1744.6390520000123</v>
      </c>
      <c r="D18" s="91">
        <f>+'Input data monthly1'!H75</f>
        <v>7.0000000000050022E-3</v>
      </c>
      <c r="E18" s="159">
        <f t="shared" si="0"/>
        <v>1744.6320520000122</v>
      </c>
      <c r="F18" s="91">
        <v>1744.6320520000122</v>
      </c>
      <c r="G18" s="91">
        <f>ROUNDDOWN(((C18-D18)*'Fixed para'!$F$5),0)</f>
        <v>1005</v>
      </c>
      <c r="H18" s="91">
        <v>0</v>
      </c>
      <c r="I18" s="91">
        <v>0</v>
      </c>
      <c r="J18" s="150">
        <f t="shared" si="3"/>
        <v>1005</v>
      </c>
      <c r="L18" s="118" t="s">
        <v>342</v>
      </c>
      <c r="M18" s="118"/>
      <c r="O18" s="118"/>
      <c r="P18" s="118"/>
    </row>
    <row r="19" spans="2:16" x14ac:dyDescent="0.2">
      <c r="B19" s="65">
        <v>43404</v>
      </c>
      <c r="C19" s="91">
        <f>+'Input data monthly1'!E76</f>
        <v>1047.5675079999974</v>
      </c>
      <c r="D19" s="91">
        <f>+'Input data monthly1'!H76</f>
        <v>2.4999999999998579E-2</v>
      </c>
      <c r="E19" s="159">
        <f t="shared" si="0"/>
        <v>1047.5425079999973</v>
      </c>
      <c r="F19" s="91">
        <v>1047.5425079999973</v>
      </c>
      <c r="G19" s="91">
        <f>ROUNDDOWN(((C19-D19)*'Fixed para'!$F$5),0)</f>
        <v>603</v>
      </c>
      <c r="H19" s="91">
        <v>0</v>
      </c>
      <c r="I19" s="91">
        <v>0</v>
      </c>
      <c r="J19" s="150">
        <f t="shared" si="3"/>
        <v>603</v>
      </c>
      <c r="L19" s="118" t="s">
        <v>341</v>
      </c>
      <c r="M19" s="118"/>
      <c r="O19" s="118"/>
      <c r="P19" s="118"/>
    </row>
    <row r="20" spans="2:16" x14ac:dyDescent="0.2">
      <c r="B20" s="65">
        <v>43434</v>
      </c>
      <c r="C20" s="154">
        <f>(+'Input data monthly1'!E77)*(1-0.5%)</f>
        <v>642.37621083999841</v>
      </c>
      <c r="D20" s="153">
        <f>(+'Input data monthly1'!H77)*(1+0.5%)</f>
        <v>0.38993999999999862</v>
      </c>
      <c r="E20" s="159">
        <f t="shared" si="0"/>
        <v>641.98627083999838</v>
      </c>
      <c r="F20" s="159">
        <v>645.2162319999984</v>
      </c>
      <c r="G20" s="91">
        <f>ROUNDDOWN(((C20-D20)*'Fixed para'!$F$5),0)</f>
        <v>370</v>
      </c>
      <c r="H20" s="91">
        <v>0</v>
      </c>
      <c r="I20" s="91">
        <v>0</v>
      </c>
      <c r="J20" s="150">
        <f t="shared" si="3"/>
        <v>370</v>
      </c>
    </row>
    <row r="21" spans="2:16" x14ac:dyDescent="0.2">
      <c r="B21" s="65">
        <v>43465</v>
      </c>
      <c r="C21" s="91">
        <f>+'Input data monthly1'!E78</f>
        <v>524.03322400000104</v>
      </c>
      <c r="D21" s="91">
        <f>+'Input data monthly1'!H78</f>
        <v>0.15299999999999869</v>
      </c>
      <c r="E21" s="159">
        <f t="shared" si="0"/>
        <v>523.88022400000102</v>
      </c>
      <c r="F21" s="91">
        <v>523.88022400000102</v>
      </c>
      <c r="G21" s="91">
        <f>ROUNDDOWN(((C21-D21)*'Fixed para'!$F$5),0)</f>
        <v>301</v>
      </c>
      <c r="H21" s="91">
        <v>0</v>
      </c>
      <c r="I21" s="91">
        <v>0</v>
      </c>
      <c r="J21" s="150">
        <f t="shared" si="3"/>
        <v>301</v>
      </c>
    </row>
    <row r="22" spans="2:16" x14ac:dyDescent="0.2">
      <c r="B22" s="65"/>
      <c r="C22" s="91"/>
      <c r="D22" s="91"/>
      <c r="E22" s="159"/>
      <c r="F22" s="91"/>
      <c r="G22" s="91"/>
      <c r="H22" s="91"/>
      <c r="I22" s="91"/>
      <c r="J22" s="206">
        <f>ROUNDDOWN(SUM(J10:J21),0)</f>
        <v>5729</v>
      </c>
    </row>
    <row r="23" spans="2:16" x14ac:dyDescent="0.2">
      <c r="B23" s="65">
        <v>43496</v>
      </c>
      <c r="C23" s="91">
        <f>+'Input data monthly1'!E79</f>
        <v>399.17274799999342</v>
      </c>
      <c r="D23" s="91">
        <f>+'Input data monthly1'!H79</f>
        <v>0.10300000000000153</v>
      </c>
      <c r="E23" s="159">
        <f t="shared" si="0"/>
        <v>399.06974799999341</v>
      </c>
      <c r="F23" s="91">
        <v>399.06974799999341</v>
      </c>
      <c r="G23" s="91">
        <f>ROUNDDOWN(((C23-D23)*'Fixed para'!$F$5),0)</f>
        <v>230</v>
      </c>
      <c r="H23" s="91">
        <v>0</v>
      </c>
      <c r="I23" s="91">
        <v>0</v>
      </c>
      <c r="J23" s="150">
        <f t="shared" si="3"/>
        <v>230</v>
      </c>
    </row>
    <row r="24" spans="2:16" x14ac:dyDescent="0.2">
      <c r="B24" s="65">
        <v>43524</v>
      </c>
      <c r="C24" s="91">
        <f>+'Input data monthly1'!E80</f>
        <v>233.59580400000448</v>
      </c>
      <c r="D24" s="91">
        <f>+'Input data monthly1'!H80</f>
        <v>0.19299999999999784</v>
      </c>
      <c r="E24" s="159">
        <f t="shared" si="0"/>
        <v>233.40280400000449</v>
      </c>
      <c r="F24" s="91">
        <v>233.40280400000449</v>
      </c>
      <c r="G24" s="91">
        <f>ROUNDDOWN(((C24-D24)*'Fixed para'!$F$5),0)</f>
        <v>134</v>
      </c>
      <c r="H24" s="91">
        <v>0</v>
      </c>
      <c r="I24" s="91">
        <v>0</v>
      </c>
      <c r="J24" s="150">
        <f t="shared" si="3"/>
        <v>134</v>
      </c>
    </row>
    <row r="25" spans="2:16" x14ac:dyDescent="0.2">
      <c r="B25" s="65">
        <v>43555</v>
      </c>
      <c r="C25" s="91">
        <f>+'Input data monthly1'!E81</f>
        <v>183.47851599999493</v>
      </c>
      <c r="D25" s="91">
        <f>+'Input data monthly1'!H81</f>
        <v>0.2430000000000021</v>
      </c>
      <c r="E25" s="159">
        <f t="shared" si="0"/>
        <v>183.23551599999493</v>
      </c>
      <c r="F25" s="91">
        <v>183.23551599999493</v>
      </c>
      <c r="G25" s="91">
        <f>ROUNDDOWN(((C25-D25)*'Fixed para'!$F$5),0)</f>
        <v>105</v>
      </c>
      <c r="H25" s="91">
        <v>0</v>
      </c>
      <c r="I25" s="91">
        <v>0</v>
      </c>
      <c r="J25" s="150">
        <f t="shared" si="3"/>
        <v>105</v>
      </c>
    </row>
    <row r="26" spans="2:16" x14ac:dyDescent="0.2">
      <c r="B26" s="65">
        <v>43585</v>
      </c>
      <c r="C26" s="91">
        <f>+'Input data monthly1'!E82</f>
        <v>174.4452319999985</v>
      </c>
      <c r="D26" s="91">
        <f>+'Input data monthly1'!H82</f>
        <v>0.46499999999999631</v>
      </c>
      <c r="E26" s="159">
        <f t="shared" si="0"/>
        <v>173.98023199999849</v>
      </c>
      <c r="F26" s="91">
        <v>173.98023199999849</v>
      </c>
      <c r="G26" s="91">
        <f>ROUNDDOWN(((C26-D26)*'Fixed para'!$F$5),0)</f>
        <v>100</v>
      </c>
      <c r="H26" s="91">
        <v>0</v>
      </c>
      <c r="I26" s="91">
        <v>0</v>
      </c>
      <c r="J26" s="150">
        <f t="shared" si="3"/>
        <v>100</v>
      </c>
      <c r="K26" s="156"/>
    </row>
    <row r="27" spans="2:16" x14ac:dyDescent="0.2">
      <c r="B27" s="207"/>
      <c r="C27" s="208"/>
      <c r="D27" s="208"/>
      <c r="E27" s="209"/>
      <c r="F27" s="208"/>
      <c r="G27" s="208"/>
      <c r="H27" s="208"/>
      <c r="I27" s="208"/>
      <c r="J27" s="206">
        <f>ROUNDDOWN(SUM(J23:J26),0)</f>
        <v>569</v>
      </c>
      <c r="K27" s="156"/>
    </row>
    <row r="28" spans="2:16" x14ac:dyDescent="0.2">
      <c r="B28" s="152" t="s">
        <v>363</v>
      </c>
      <c r="C28" s="157">
        <f>SUM(C6:C26)</f>
        <v>13697.31513183999</v>
      </c>
      <c r="D28" s="152">
        <f>SUM(D6:D26)</f>
        <v>4.0825700000000031</v>
      </c>
      <c r="E28" s="157">
        <f>SUM(E6:E26)</f>
        <v>13693.232561839992</v>
      </c>
      <c r="F28" s="157">
        <f>SUM(F6:F26)</f>
        <v>13701.589307999993</v>
      </c>
      <c r="G28" s="152">
        <f>SUM(G6:G26)</f>
        <v>7884</v>
      </c>
      <c r="H28" s="152">
        <f>SUM(H6:H26)</f>
        <v>0</v>
      </c>
      <c r="I28" s="152">
        <f>SUM(I6:I26)</f>
        <v>0</v>
      </c>
      <c r="J28" s="210">
        <f>SUM(J9+J22+J27)</f>
        <v>7884</v>
      </c>
      <c r="K28" s="156"/>
    </row>
    <row r="29" spans="2:16" x14ac:dyDescent="0.2">
      <c r="D29" s="157">
        <f>C28-D28</f>
        <v>13693.23256183999</v>
      </c>
    </row>
    <row r="31" spans="2:16" x14ac:dyDescent="0.2">
      <c r="B31" s="155"/>
      <c r="C31" t="s">
        <v>365</v>
      </c>
    </row>
  </sheetData>
  <mergeCells count="1">
    <mergeCell ref="B3:B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18"/>
  <sheetViews>
    <sheetView topLeftCell="A32" zoomScale="90" zoomScaleNormal="90" workbookViewId="0">
      <selection activeCell="B46" sqref="B46"/>
    </sheetView>
  </sheetViews>
  <sheetFormatPr defaultColWidth="8.875" defaultRowHeight="12.75" x14ac:dyDescent="0.2"/>
  <cols>
    <col min="1" max="1" width="11.875" style="4" customWidth="1"/>
    <col min="2" max="2" width="13.875" style="4" bestFit="1" customWidth="1"/>
    <col min="3" max="7" width="14.875" style="4" customWidth="1"/>
    <col min="8" max="8" width="22.375" style="4" customWidth="1"/>
    <col min="9" max="9" width="14.875" style="4" customWidth="1"/>
    <col min="10" max="10" width="12.125" style="4" customWidth="1"/>
    <col min="11" max="11" width="8.875" style="4" hidden="1" customWidth="1"/>
    <col min="12" max="12" width="17.625" style="4" customWidth="1"/>
    <col min="13" max="14" width="14.875" style="4" customWidth="1"/>
    <col min="15" max="15" width="17" style="4" customWidth="1"/>
    <col min="16" max="16" width="16" style="4" customWidth="1"/>
    <col min="17" max="17" width="25.625" style="4" customWidth="1"/>
    <col min="18" max="19" width="12.625" style="4" customWidth="1"/>
    <col min="20" max="22" width="14.875" style="4" customWidth="1"/>
    <col min="23" max="23" width="20.625" style="4" hidden="1" customWidth="1"/>
    <col min="24" max="27" width="12.625" style="4" customWidth="1"/>
    <col min="28" max="28" width="14.625" style="4" customWidth="1"/>
    <col min="29" max="30" width="14.875" style="4" customWidth="1"/>
    <col min="31" max="34" width="12.625" style="4" customWidth="1"/>
    <col min="35" max="35" width="14.625" style="4" customWidth="1"/>
    <col min="36" max="37" width="14.875" style="4" customWidth="1"/>
    <col min="38" max="41" width="12.625" style="4" customWidth="1"/>
    <col min="42" max="42" width="14.625" style="4" customWidth="1"/>
    <col min="43" max="44" width="14.875" style="4" customWidth="1"/>
    <col min="45" max="48" width="12.625" style="4" customWidth="1"/>
    <col min="49" max="49" width="14.625" style="4" customWidth="1"/>
    <col min="50" max="51" width="14.875" style="4" customWidth="1"/>
    <col min="52" max="55" width="12.625" style="4" customWidth="1"/>
    <col min="56" max="56" width="14.625" style="4" customWidth="1"/>
    <col min="57" max="58" width="14.875" style="4" customWidth="1"/>
    <col min="59" max="62" width="12.625" style="4" customWidth="1"/>
    <col min="63" max="63" width="14.625" style="4" customWidth="1"/>
    <col min="64" max="65" width="14.875" style="4" customWidth="1"/>
    <col min="66" max="69" width="12.625" style="4" customWidth="1"/>
    <col min="70" max="70" width="14.625" style="4" customWidth="1"/>
    <col min="71" max="72" width="14.875" style="4" customWidth="1"/>
    <col min="73" max="76" width="12.625" style="4" customWidth="1"/>
    <col min="77" max="77" width="14.625" style="4" customWidth="1"/>
    <col min="78" max="79" width="14.875" style="4" customWidth="1"/>
    <col min="80" max="83" width="12.625" style="4" customWidth="1"/>
    <col min="84" max="84" width="14.625" style="4" customWidth="1"/>
    <col min="85" max="86" width="14.875" style="4" customWidth="1"/>
    <col min="87" max="90" width="12.625" style="4" customWidth="1"/>
    <col min="91" max="91" width="14.625" style="4" customWidth="1"/>
    <col min="92" max="250" width="9" style="4"/>
    <col min="251" max="251" width="11.875" style="4" customWidth="1"/>
    <col min="252" max="252" width="13.875" style="4" bestFit="1" customWidth="1"/>
    <col min="253" max="256" width="14.875" style="4" customWidth="1"/>
    <col min="257" max="257" width="18.875" style="4" bestFit="1" customWidth="1"/>
    <col min="258" max="258" width="14.875" style="4" customWidth="1"/>
    <col min="259" max="259" width="25.625" style="4" customWidth="1"/>
    <col min="260" max="260" width="17.625" style="4" bestFit="1" customWidth="1"/>
    <col min="261" max="262" width="14.875" style="4" customWidth="1"/>
    <col min="263" max="263" width="17" style="4" customWidth="1"/>
    <col min="264" max="264" width="16" style="4" customWidth="1"/>
    <col min="265" max="265" width="25.625" style="4" customWidth="1"/>
    <col min="266" max="266" width="12.625" style="4" customWidth="1"/>
    <col min="267" max="269" width="14.875" style="4" customWidth="1"/>
    <col min="270" max="270" width="20.625" style="4" bestFit="1" customWidth="1"/>
    <col min="271" max="272" width="14.875" style="4" customWidth="1"/>
    <col min="273" max="273" width="16.5" style="4" customWidth="1"/>
    <col min="274" max="274" width="18.625" style="4" customWidth="1"/>
    <col min="275" max="275" width="14.625" style="4" customWidth="1"/>
    <col min="276" max="276" width="12.625" style="4" customWidth="1"/>
    <col min="277" max="277" width="14.375" style="4" customWidth="1"/>
    <col min="278" max="279" width="14.875" style="4" customWidth="1"/>
    <col min="280" max="283" width="12.625" style="4" customWidth="1"/>
    <col min="284" max="284" width="14.625" style="4" customWidth="1"/>
    <col min="285" max="286" width="14.875" style="4" customWidth="1"/>
    <col min="287" max="290" width="12.625" style="4" customWidth="1"/>
    <col min="291" max="291" width="14.625" style="4" customWidth="1"/>
    <col min="292" max="293" width="14.875" style="4" customWidth="1"/>
    <col min="294" max="297" width="12.625" style="4" customWidth="1"/>
    <col min="298" max="298" width="14.625" style="4" customWidth="1"/>
    <col min="299" max="300" width="14.875" style="4" customWidth="1"/>
    <col min="301" max="304" width="12.625" style="4" customWidth="1"/>
    <col min="305" max="305" width="14.625" style="4" customWidth="1"/>
    <col min="306" max="307" width="14.875" style="4" customWidth="1"/>
    <col min="308" max="311" width="12.625" style="4" customWidth="1"/>
    <col min="312" max="312" width="14.625" style="4" customWidth="1"/>
    <col min="313" max="314" width="14.875" style="4" customWidth="1"/>
    <col min="315" max="318" width="12.625" style="4" customWidth="1"/>
    <col min="319" max="319" width="14.625" style="4" customWidth="1"/>
    <col min="320" max="321" width="14.875" style="4" customWidth="1"/>
    <col min="322" max="325" width="12.625" style="4" customWidth="1"/>
    <col min="326" max="326" width="14.625" style="4" customWidth="1"/>
    <col min="327" max="328" width="14.875" style="4" customWidth="1"/>
    <col min="329" max="332" width="12.625" style="4" customWidth="1"/>
    <col min="333" max="333" width="14.625" style="4" customWidth="1"/>
    <col min="334" max="335" width="14.875" style="4" customWidth="1"/>
    <col min="336" max="339" width="12.625" style="4" customWidth="1"/>
    <col min="340" max="340" width="14.625" style="4" customWidth="1"/>
    <col min="341" max="342" width="14.875" style="4" customWidth="1"/>
    <col min="343" max="346" width="12.625" style="4" customWidth="1"/>
    <col min="347" max="347" width="14.625" style="4" customWidth="1"/>
    <col min="348" max="506" width="9" style="4"/>
    <col min="507" max="507" width="11.875" style="4" customWidth="1"/>
    <col min="508" max="508" width="13.875" style="4" bestFit="1" customWidth="1"/>
    <col min="509" max="512" width="14.875" style="4" customWidth="1"/>
    <col min="513" max="513" width="18.875" style="4" bestFit="1" customWidth="1"/>
    <col min="514" max="514" width="14.875" style="4" customWidth="1"/>
    <col min="515" max="515" width="25.625" style="4" customWidth="1"/>
    <col min="516" max="516" width="17.625" style="4" bestFit="1" customWidth="1"/>
    <col min="517" max="518" width="14.875" style="4" customWidth="1"/>
    <col min="519" max="519" width="17" style="4" customWidth="1"/>
    <col min="520" max="520" width="16" style="4" customWidth="1"/>
    <col min="521" max="521" width="25.625" style="4" customWidth="1"/>
    <col min="522" max="522" width="12.625" style="4" customWidth="1"/>
    <col min="523" max="525" width="14.875" style="4" customWidth="1"/>
    <col min="526" max="526" width="20.625" style="4" bestFit="1" customWidth="1"/>
    <col min="527" max="528" width="14.875" style="4" customWidth="1"/>
    <col min="529" max="529" width="16.5" style="4" customWidth="1"/>
    <col min="530" max="530" width="18.625" style="4" customWidth="1"/>
    <col min="531" max="531" width="14.625" style="4" customWidth="1"/>
    <col min="532" max="532" width="12.625" style="4" customWidth="1"/>
    <col min="533" max="533" width="14.375" style="4" customWidth="1"/>
    <col min="534" max="535" width="14.875" style="4" customWidth="1"/>
    <col min="536" max="539" width="12.625" style="4" customWidth="1"/>
    <col min="540" max="540" width="14.625" style="4" customWidth="1"/>
    <col min="541" max="542" width="14.875" style="4" customWidth="1"/>
    <col min="543" max="546" width="12.625" style="4" customWidth="1"/>
    <col min="547" max="547" width="14.625" style="4" customWidth="1"/>
    <col min="548" max="549" width="14.875" style="4" customWidth="1"/>
    <col min="550" max="553" width="12.625" style="4" customWidth="1"/>
    <col min="554" max="554" width="14.625" style="4" customWidth="1"/>
    <col min="555" max="556" width="14.875" style="4" customWidth="1"/>
    <col min="557" max="560" width="12.625" style="4" customWidth="1"/>
    <col min="561" max="561" width="14.625" style="4" customWidth="1"/>
    <col min="562" max="563" width="14.875" style="4" customWidth="1"/>
    <col min="564" max="567" width="12.625" style="4" customWidth="1"/>
    <col min="568" max="568" width="14.625" style="4" customWidth="1"/>
    <col min="569" max="570" width="14.875" style="4" customWidth="1"/>
    <col min="571" max="574" width="12.625" style="4" customWidth="1"/>
    <col min="575" max="575" width="14.625" style="4" customWidth="1"/>
    <col min="576" max="577" width="14.875" style="4" customWidth="1"/>
    <col min="578" max="581" width="12.625" style="4" customWidth="1"/>
    <col min="582" max="582" width="14.625" style="4" customWidth="1"/>
    <col min="583" max="584" width="14.875" style="4" customWidth="1"/>
    <col min="585" max="588" width="12.625" style="4" customWidth="1"/>
    <col min="589" max="589" width="14.625" style="4" customWidth="1"/>
    <col min="590" max="591" width="14.875" style="4" customWidth="1"/>
    <col min="592" max="595" width="12.625" style="4" customWidth="1"/>
    <col min="596" max="596" width="14.625" style="4" customWidth="1"/>
    <col min="597" max="598" width="14.875" style="4" customWidth="1"/>
    <col min="599" max="602" width="12.625" style="4" customWidth="1"/>
    <col min="603" max="603" width="14.625" style="4" customWidth="1"/>
    <col min="604" max="762" width="9" style="4"/>
    <col min="763" max="763" width="11.875" style="4" customWidth="1"/>
    <col min="764" max="764" width="13.875" style="4" bestFit="1" customWidth="1"/>
    <col min="765" max="768" width="14.875" style="4" customWidth="1"/>
    <col min="769" max="769" width="18.875" style="4" bestFit="1" customWidth="1"/>
    <col min="770" max="770" width="14.875" style="4" customWidth="1"/>
    <col min="771" max="771" width="25.625" style="4" customWidth="1"/>
    <col min="772" max="772" width="17.625" style="4" bestFit="1" customWidth="1"/>
    <col min="773" max="774" width="14.875" style="4" customWidth="1"/>
    <col min="775" max="775" width="17" style="4" customWidth="1"/>
    <col min="776" max="776" width="16" style="4" customWidth="1"/>
    <col min="777" max="777" width="25.625" style="4" customWidth="1"/>
    <col min="778" max="778" width="12.625" style="4" customWidth="1"/>
    <col min="779" max="781" width="14.875" style="4" customWidth="1"/>
    <col min="782" max="782" width="20.625" style="4" bestFit="1" customWidth="1"/>
    <col min="783" max="784" width="14.875" style="4" customWidth="1"/>
    <col min="785" max="785" width="16.5" style="4" customWidth="1"/>
    <col min="786" max="786" width="18.625" style="4" customWidth="1"/>
    <col min="787" max="787" width="14.625" style="4" customWidth="1"/>
    <col min="788" max="788" width="12.625" style="4" customWidth="1"/>
    <col min="789" max="789" width="14.375" style="4" customWidth="1"/>
    <col min="790" max="791" width="14.875" style="4" customWidth="1"/>
    <col min="792" max="795" width="12.625" style="4" customWidth="1"/>
    <col min="796" max="796" width="14.625" style="4" customWidth="1"/>
    <col min="797" max="798" width="14.875" style="4" customWidth="1"/>
    <col min="799" max="802" width="12.625" style="4" customWidth="1"/>
    <col min="803" max="803" width="14.625" style="4" customWidth="1"/>
    <col min="804" max="805" width="14.875" style="4" customWidth="1"/>
    <col min="806" max="809" width="12.625" style="4" customWidth="1"/>
    <col min="810" max="810" width="14.625" style="4" customWidth="1"/>
    <col min="811" max="812" width="14.875" style="4" customWidth="1"/>
    <col min="813" max="816" width="12.625" style="4" customWidth="1"/>
    <col min="817" max="817" width="14.625" style="4" customWidth="1"/>
    <col min="818" max="819" width="14.875" style="4" customWidth="1"/>
    <col min="820" max="823" width="12.625" style="4" customWidth="1"/>
    <col min="824" max="824" width="14.625" style="4" customWidth="1"/>
    <col min="825" max="826" width="14.875" style="4" customWidth="1"/>
    <col min="827" max="830" width="12.625" style="4" customWidth="1"/>
    <col min="831" max="831" width="14.625" style="4" customWidth="1"/>
    <col min="832" max="833" width="14.875" style="4" customWidth="1"/>
    <col min="834" max="837" width="12.625" style="4" customWidth="1"/>
    <col min="838" max="838" width="14.625" style="4" customWidth="1"/>
    <col min="839" max="840" width="14.875" style="4" customWidth="1"/>
    <col min="841" max="844" width="12.625" style="4" customWidth="1"/>
    <col min="845" max="845" width="14.625" style="4" customWidth="1"/>
    <col min="846" max="847" width="14.875" style="4" customWidth="1"/>
    <col min="848" max="851" width="12.625" style="4" customWidth="1"/>
    <col min="852" max="852" width="14.625" style="4" customWidth="1"/>
    <col min="853" max="854" width="14.875" style="4" customWidth="1"/>
    <col min="855" max="858" width="12.625" style="4" customWidth="1"/>
    <col min="859" max="859" width="14.625" style="4" customWidth="1"/>
    <col min="860" max="1018" width="9" style="4"/>
    <col min="1019" max="1019" width="11.875" style="4" customWidth="1"/>
    <col min="1020" max="1020" width="13.875" style="4" bestFit="1" customWidth="1"/>
    <col min="1021" max="1024" width="14.875" style="4" customWidth="1"/>
    <col min="1025" max="1025" width="18.875" style="4" bestFit="1" customWidth="1"/>
    <col min="1026" max="1026" width="14.875" style="4" customWidth="1"/>
    <col min="1027" max="1027" width="25.625" style="4" customWidth="1"/>
    <col min="1028" max="1028" width="17.625" style="4" bestFit="1" customWidth="1"/>
    <col min="1029" max="1030" width="14.875" style="4" customWidth="1"/>
    <col min="1031" max="1031" width="17" style="4" customWidth="1"/>
    <col min="1032" max="1032" width="16" style="4" customWidth="1"/>
    <col min="1033" max="1033" width="25.625" style="4" customWidth="1"/>
    <col min="1034" max="1034" width="12.625" style="4" customWidth="1"/>
    <col min="1035" max="1037" width="14.875" style="4" customWidth="1"/>
    <col min="1038" max="1038" width="20.625" style="4" bestFit="1" customWidth="1"/>
    <col min="1039" max="1040" width="14.875" style="4" customWidth="1"/>
    <col min="1041" max="1041" width="16.5" style="4" customWidth="1"/>
    <col min="1042" max="1042" width="18.625" style="4" customWidth="1"/>
    <col min="1043" max="1043" width="14.625" style="4" customWidth="1"/>
    <col min="1044" max="1044" width="12.625" style="4" customWidth="1"/>
    <col min="1045" max="1045" width="14.375" style="4" customWidth="1"/>
    <col min="1046" max="1047" width="14.875" style="4" customWidth="1"/>
    <col min="1048" max="1051" width="12.625" style="4" customWidth="1"/>
    <col min="1052" max="1052" width="14.625" style="4" customWidth="1"/>
    <col min="1053" max="1054" width="14.875" style="4" customWidth="1"/>
    <col min="1055" max="1058" width="12.625" style="4" customWidth="1"/>
    <col min="1059" max="1059" width="14.625" style="4" customWidth="1"/>
    <col min="1060" max="1061" width="14.875" style="4" customWidth="1"/>
    <col min="1062" max="1065" width="12.625" style="4" customWidth="1"/>
    <col min="1066" max="1066" width="14.625" style="4" customWidth="1"/>
    <col min="1067" max="1068" width="14.875" style="4" customWidth="1"/>
    <col min="1069" max="1072" width="12.625" style="4" customWidth="1"/>
    <col min="1073" max="1073" width="14.625" style="4" customWidth="1"/>
    <col min="1074" max="1075" width="14.875" style="4" customWidth="1"/>
    <col min="1076" max="1079" width="12.625" style="4" customWidth="1"/>
    <col min="1080" max="1080" width="14.625" style="4" customWidth="1"/>
    <col min="1081" max="1082" width="14.875" style="4" customWidth="1"/>
    <col min="1083" max="1086" width="12.625" style="4" customWidth="1"/>
    <col min="1087" max="1087" width="14.625" style="4" customWidth="1"/>
    <col min="1088" max="1089" width="14.875" style="4" customWidth="1"/>
    <col min="1090" max="1093" width="12.625" style="4" customWidth="1"/>
    <col min="1094" max="1094" width="14.625" style="4" customWidth="1"/>
    <col min="1095" max="1096" width="14.875" style="4" customWidth="1"/>
    <col min="1097" max="1100" width="12.625" style="4" customWidth="1"/>
    <col min="1101" max="1101" width="14.625" style="4" customWidth="1"/>
    <col min="1102" max="1103" width="14.875" style="4" customWidth="1"/>
    <col min="1104" max="1107" width="12.625" style="4" customWidth="1"/>
    <col min="1108" max="1108" width="14.625" style="4" customWidth="1"/>
    <col min="1109" max="1110" width="14.875" style="4" customWidth="1"/>
    <col min="1111" max="1114" width="12.625" style="4" customWidth="1"/>
    <col min="1115" max="1115" width="14.625" style="4" customWidth="1"/>
    <col min="1116" max="1274" width="9" style="4"/>
    <col min="1275" max="1275" width="11.875" style="4" customWidth="1"/>
    <col min="1276" max="1276" width="13.875" style="4" bestFit="1" customWidth="1"/>
    <col min="1277" max="1280" width="14.875" style="4" customWidth="1"/>
    <col min="1281" max="1281" width="18.875" style="4" bestFit="1" customWidth="1"/>
    <col min="1282" max="1282" width="14.875" style="4" customWidth="1"/>
    <col min="1283" max="1283" width="25.625" style="4" customWidth="1"/>
    <col min="1284" max="1284" width="17.625" style="4" bestFit="1" customWidth="1"/>
    <col min="1285" max="1286" width="14.875" style="4" customWidth="1"/>
    <col min="1287" max="1287" width="17" style="4" customWidth="1"/>
    <col min="1288" max="1288" width="16" style="4" customWidth="1"/>
    <col min="1289" max="1289" width="25.625" style="4" customWidth="1"/>
    <col min="1290" max="1290" width="12.625" style="4" customWidth="1"/>
    <col min="1291" max="1293" width="14.875" style="4" customWidth="1"/>
    <col min="1294" max="1294" width="20.625" style="4" bestFit="1" customWidth="1"/>
    <col min="1295" max="1296" width="14.875" style="4" customWidth="1"/>
    <col min="1297" max="1297" width="16.5" style="4" customWidth="1"/>
    <col min="1298" max="1298" width="18.625" style="4" customWidth="1"/>
    <col min="1299" max="1299" width="14.625" style="4" customWidth="1"/>
    <col min="1300" max="1300" width="12.625" style="4" customWidth="1"/>
    <col min="1301" max="1301" width="14.375" style="4" customWidth="1"/>
    <col min="1302" max="1303" width="14.875" style="4" customWidth="1"/>
    <col min="1304" max="1307" width="12.625" style="4" customWidth="1"/>
    <col min="1308" max="1308" width="14.625" style="4" customWidth="1"/>
    <col min="1309" max="1310" width="14.875" style="4" customWidth="1"/>
    <col min="1311" max="1314" width="12.625" style="4" customWidth="1"/>
    <col min="1315" max="1315" width="14.625" style="4" customWidth="1"/>
    <col min="1316" max="1317" width="14.875" style="4" customWidth="1"/>
    <col min="1318" max="1321" width="12.625" style="4" customWidth="1"/>
    <col min="1322" max="1322" width="14.625" style="4" customWidth="1"/>
    <col min="1323" max="1324" width="14.875" style="4" customWidth="1"/>
    <col min="1325" max="1328" width="12.625" style="4" customWidth="1"/>
    <col min="1329" max="1329" width="14.625" style="4" customWidth="1"/>
    <col min="1330" max="1331" width="14.875" style="4" customWidth="1"/>
    <col min="1332" max="1335" width="12.625" style="4" customWidth="1"/>
    <col min="1336" max="1336" width="14.625" style="4" customWidth="1"/>
    <col min="1337" max="1338" width="14.875" style="4" customWidth="1"/>
    <col min="1339" max="1342" width="12.625" style="4" customWidth="1"/>
    <col min="1343" max="1343" width="14.625" style="4" customWidth="1"/>
    <col min="1344" max="1345" width="14.875" style="4" customWidth="1"/>
    <col min="1346" max="1349" width="12.625" style="4" customWidth="1"/>
    <col min="1350" max="1350" width="14.625" style="4" customWidth="1"/>
    <col min="1351" max="1352" width="14.875" style="4" customWidth="1"/>
    <col min="1353" max="1356" width="12.625" style="4" customWidth="1"/>
    <col min="1357" max="1357" width="14.625" style="4" customWidth="1"/>
    <col min="1358" max="1359" width="14.875" style="4" customWidth="1"/>
    <col min="1360" max="1363" width="12.625" style="4" customWidth="1"/>
    <col min="1364" max="1364" width="14.625" style="4" customWidth="1"/>
    <col min="1365" max="1366" width="14.875" style="4" customWidth="1"/>
    <col min="1367" max="1370" width="12.625" style="4" customWidth="1"/>
    <col min="1371" max="1371" width="14.625" style="4" customWidth="1"/>
    <col min="1372" max="1530" width="9" style="4"/>
    <col min="1531" max="1531" width="11.875" style="4" customWidth="1"/>
    <col min="1532" max="1532" width="13.875" style="4" bestFit="1" customWidth="1"/>
    <col min="1533" max="1536" width="14.875" style="4" customWidth="1"/>
    <col min="1537" max="1537" width="18.875" style="4" bestFit="1" customWidth="1"/>
    <col min="1538" max="1538" width="14.875" style="4" customWidth="1"/>
    <col min="1539" max="1539" width="25.625" style="4" customWidth="1"/>
    <col min="1540" max="1540" width="17.625" style="4" bestFit="1" customWidth="1"/>
    <col min="1541" max="1542" width="14.875" style="4" customWidth="1"/>
    <col min="1543" max="1543" width="17" style="4" customWidth="1"/>
    <col min="1544" max="1544" width="16" style="4" customWidth="1"/>
    <col min="1545" max="1545" width="25.625" style="4" customWidth="1"/>
    <col min="1546" max="1546" width="12.625" style="4" customWidth="1"/>
    <col min="1547" max="1549" width="14.875" style="4" customWidth="1"/>
    <col min="1550" max="1550" width="20.625" style="4" bestFit="1" customWidth="1"/>
    <col min="1551" max="1552" width="14.875" style="4" customWidth="1"/>
    <col min="1553" max="1553" width="16.5" style="4" customWidth="1"/>
    <col min="1554" max="1554" width="18.625" style="4" customWidth="1"/>
    <col min="1555" max="1555" width="14.625" style="4" customWidth="1"/>
    <col min="1556" max="1556" width="12.625" style="4" customWidth="1"/>
    <col min="1557" max="1557" width="14.375" style="4" customWidth="1"/>
    <col min="1558" max="1559" width="14.875" style="4" customWidth="1"/>
    <col min="1560" max="1563" width="12.625" style="4" customWidth="1"/>
    <col min="1564" max="1564" width="14.625" style="4" customWidth="1"/>
    <col min="1565" max="1566" width="14.875" style="4" customWidth="1"/>
    <col min="1567" max="1570" width="12.625" style="4" customWidth="1"/>
    <col min="1571" max="1571" width="14.625" style="4" customWidth="1"/>
    <col min="1572" max="1573" width="14.875" style="4" customWidth="1"/>
    <col min="1574" max="1577" width="12.625" style="4" customWidth="1"/>
    <col min="1578" max="1578" width="14.625" style="4" customWidth="1"/>
    <col min="1579" max="1580" width="14.875" style="4" customWidth="1"/>
    <col min="1581" max="1584" width="12.625" style="4" customWidth="1"/>
    <col min="1585" max="1585" width="14.625" style="4" customWidth="1"/>
    <col min="1586" max="1587" width="14.875" style="4" customWidth="1"/>
    <col min="1588" max="1591" width="12.625" style="4" customWidth="1"/>
    <col min="1592" max="1592" width="14.625" style="4" customWidth="1"/>
    <col min="1593" max="1594" width="14.875" style="4" customWidth="1"/>
    <col min="1595" max="1598" width="12.625" style="4" customWidth="1"/>
    <col min="1599" max="1599" width="14.625" style="4" customWidth="1"/>
    <col min="1600" max="1601" width="14.875" style="4" customWidth="1"/>
    <col min="1602" max="1605" width="12.625" style="4" customWidth="1"/>
    <col min="1606" max="1606" width="14.625" style="4" customWidth="1"/>
    <col min="1607" max="1608" width="14.875" style="4" customWidth="1"/>
    <col min="1609" max="1612" width="12.625" style="4" customWidth="1"/>
    <col min="1613" max="1613" width="14.625" style="4" customWidth="1"/>
    <col min="1614" max="1615" width="14.875" style="4" customWidth="1"/>
    <col min="1616" max="1619" width="12.625" style="4" customWidth="1"/>
    <col min="1620" max="1620" width="14.625" style="4" customWidth="1"/>
    <col min="1621" max="1622" width="14.875" style="4" customWidth="1"/>
    <col min="1623" max="1626" width="12.625" style="4" customWidth="1"/>
    <col min="1627" max="1627" width="14.625" style="4" customWidth="1"/>
    <col min="1628" max="1786" width="9" style="4"/>
    <col min="1787" max="1787" width="11.875" style="4" customWidth="1"/>
    <col min="1788" max="1788" width="13.875" style="4" bestFit="1" customWidth="1"/>
    <col min="1789" max="1792" width="14.875" style="4" customWidth="1"/>
    <col min="1793" max="1793" width="18.875" style="4" bestFit="1" customWidth="1"/>
    <col min="1794" max="1794" width="14.875" style="4" customWidth="1"/>
    <col min="1795" max="1795" width="25.625" style="4" customWidth="1"/>
    <col min="1796" max="1796" width="17.625" style="4" bestFit="1" customWidth="1"/>
    <col min="1797" max="1798" width="14.875" style="4" customWidth="1"/>
    <col min="1799" max="1799" width="17" style="4" customWidth="1"/>
    <col min="1800" max="1800" width="16" style="4" customWidth="1"/>
    <col min="1801" max="1801" width="25.625" style="4" customWidth="1"/>
    <col min="1802" max="1802" width="12.625" style="4" customWidth="1"/>
    <col min="1803" max="1805" width="14.875" style="4" customWidth="1"/>
    <col min="1806" max="1806" width="20.625" style="4" bestFit="1" customWidth="1"/>
    <col min="1807" max="1808" width="14.875" style="4" customWidth="1"/>
    <col min="1809" max="1809" width="16.5" style="4" customWidth="1"/>
    <col min="1810" max="1810" width="18.625" style="4" customWidth="1"/>
    <col min="1811" max="1811" width="14.625" style="4" customWidth="1"/>
    <col min="1812" max="1812" width="12.625" style="4" customWidth="1"/>
    <col min="1813" max="1813" width="14.375" style="4" customWidth="1"/>
    <col min="1814" max="1815" width="14.875" style="4" customWidth="1"/>
    <col min="1816" max="1819" width="12.625" style="4" customWidth="1"/>
    <col min="1820" max="1820" width="14.625" style="4" customWidth="1"/>
    <col min="1821" max="1822" width="14.875" style="4" customWidth="1"/>
    <col min="1823" max="1826" width="12.625" style="4" customWidth="1"/>
    <col min="1827" max="1827" width="14.625" style="4" customWidth="1"/>
    <col min="1828" max="1829" width="14.875" style="4" customWidth="1"/>
    <col min="1830" max="1833" width="12.625" style="4" customWidth="1"/>
    <col min="1834" max="1834" width="14.625" style="4" customWidth="1"/>
    <col min="1835" max="1836" width="14.875" style="4" customWidth="1"/>
    <col min="1837" max="1840" width="12.625" style="4" customWidth="1"/>
    <col min="1841" max="1841" width="14.625" style="4" customWidth="1"/>
    <col min="1842" max="1843" width="14.875" style="4" customWidth="1"/>
    <col min="1844" max="1847" width="12.625" style="4" customWidth="1"/>
    <col min="1848" max="1848" width="14.625" style="4" customWidth="1"/>
    <col min="1849" max="1850" width="14.875" style="4" customWidth="1"/>
    <col min="1851" max="1854" width="12.625" style="4" customWidth="1"/>
    <col min="1855" max="1855" width="14.625" style="4" customWidth="1"/>
    <col min="1856" max="1857" width="14.875" style="4" customWidth="1"/>
    <col min="1858" max="1861" width="12.625" style="4" customWidth="1"/>
    <col min="1862" max="1862" width="14.625" style="4" customWidth="1"/>
    <col min="1863" max="1864" width="14.875" style="4" customWidth="1"/>
    <col min="1865" max="1868" width="12.625" style="4" customWidth="1"/>
    <col min="1869" max="1869" width="14.625" style="4" customWidth="1"/>
    <col min="1870" max="1871" width="14.875" style="4" customWidth="1"/>
    <col min="1872" max="1875" width="12.625" style="4" customWidth="1"/>
    <col min="1876" max="1876" width="14.625" style="4" customWidth="1"/>
    <col min="1877" max="1878" width="14.875" style="4" customWidth="1"/>
    <col min="1879" max="1882" width="12.625" style="4" customWidth="1"/>
    <col min="1883" max="1883" width="14.625" style="4" customWidth="1"/>
    <col min="1884" max="2042" width="9" style="4"/>
    <col min="2043" max="2043" width="11.875" style="4" customWidth="1"/>
    <col min="2044" max="2044" width="13.875" style="4" bestFit="1" customWidth="1"/>
    <col min="2045" max="2048" width="14.875" style="4" customWidth="1"/>
    <col min="2049" max="2049" width="18.875" style="4" bestFit="1" customWidth="1"/>
    <col min="2050" max="2050" width="14.875" style="4" customWidth="1"/>
    <col min="2051" max="2051" width="25.625" style="4" customWidth="1"/>
    <col min="2052" max="2052" width="17.625" style="4" bestFit="1" customWidth="1"/>
    <col min="2053" max="2054" width="14.875" style="4" customWidth="1"/>
    <col min="2055" max="2055" width="17" style="4" customWidth="1"/>
    <col min="2056" max="2056" width="16" style="4" customWidth="1"/>
    <col min="2057" max="2057" width="25.625" style="4" customWidth="1"/>
    <col min="2058" max="2058" width="12.625" style="4" customWidth="1"/>
    <col min="2059" max="2061" width="14.875" style="4" customWidth="1"/>
    <col min="2062" max="2062" width="20.625" style="4" bestFit="1" customWidth="1"/>
    <col min="2063" max="2064" width="14.875" style="4" customWidth="1"/>
    <col min="2065" max="2065" width="16.5" style="4" customWidth="1"/>
    <col min="2066" max="2066" width="18.625" style="4" customWidth="1"/>
    <col min="2067" max="2067" width="14.625" style="4" customWidth="1"/>
    <col min="2068" max="2068" width="12.625" style="4" customWidth="1"/>
    <col min="2069" max="2069" width="14.375" style="4" customWidth="1"/>
    <col min="2070" max="2071" width="14.875" style="4" customWidth="1"/>
    <col min="2072" max="2075" width="12.625" style="4" customWidth="1"/>
    <col min="2076" max="2076" width="14.625" style="4" customWidth="1"/>
    <col min="2077" max="2078" width="14.875" style="4" customWidth="1"/>
    <col min="2079" max="2082" width="12.625" style="4" customWidth="1"/>
    <col min="2083" max="2083" width="14.625" style="4" customWidth="1"/>
    <col min="2084" max="2085" width="14.875" style="4" customWidth="1"/>
    <col min="2086" max="2089" width="12.625" style="4" customWidth="1"/>
    <col min="2090" max="2090" width="14.625" style="4" customWidth="1"/>
    <col min="2091" max="2092" width="14.875" style="4" customWidth="1"/>
    <col min="2093" max="2096" width="12.625" style="4" customWidth="1"/>
    <col min="2097" max="2097" width="14.625" style="4" customWidth="1"/>
    <col min="2098" max="2099" width="14.875" style="4" customWidth="1"/>
    <col min="2100" max="2103" width="12.625" style="4" customWidth="1"/>
    <col min="2104" max="2104" width="14.625" style="4" customWidth="1"/>
    <col min="2105" max="2106" width="14.875" style="4" customWidth="1"/>
    <col min="2107" max="2110" width="12.625" style="4" customWidth="1"/>
    <col min="2111" max="2111" width="14.625" style="4" customWidth="1"/>
    <col min="2112" max="2113" width="14.875" style="4" customWidth="1"/>
    <col min="2114" max="2117" width="12.625" style="4" customWidth="1"/>
    <col min="2118" max="2118" width="14.625" style="4" customWidth="1"/>
    <col min="2119" max="2120" width="14.875" style="4" customWidth="1"/>
    <col min="2121" max="2124" width="12.625" style="4" customWidth="1"/>
    <col min="2125" max="2125" width="14.625" style="4" customWidth="1"/>
    <col min="2126" max="2127" width="14.875" style="4" customWidth="1"/>
    <col min="2128" max="2131" width="12.625" style="4" customWidth="1"/>
    <col min="2132" max="2132" width="14.625" style="4" customWidth="1"/>
    <col min="2133" max="2134" width="14.875" style="4" customWidth="1"/>
    <col min="2135" max="2138" width="12.625" style="4" customWidth="1"/>
    <col min="2139" max="2139" width="14.625" style="4" customWidth="1"/>
    <col min="2140" max="2298" width="9" style="4"/>
    <col min="2299" max="2299" width="11.875" style="4" customWidth="1"/>
    <col min="2300" max="2300" width="13.875" style="4" bestFit="1" customWidth="1"/>
    <col min="2301" max="2304" width="14.875" style="4" customWidth="1"/>
    <col min="2305" max="2305" width="18.875" style="4" bestFit="1" customWidth="1"/>
    <col min="2306" max="2306" width="14.875" style="4" customWidth="1"/>
    <col min="2307" max="2307" width="25.625" style="4" customWidth="1"/>
    <col min="2308" max="2308" width="17.625" style="4" bestFit="1" customWidth="1"/>
    <col min="2309" max="2310" width="14.875" style="4" customWidth="1"/>
    <col min="2311" max="2311" width="17" style="4" customWidth="1"/>
    <col min="2312" max="2312" width="16" style="4" customWidth="1"/>
    <col min="2313" max="2313" width="25.625" style="4" customWidth="1"/>
    <col min="2314" max="2314" width="12.625" style="4" customWidth="1"/>
    <col min="2315" max="2317" width="14.875" style="4" customWidth="1"/>
    <col min="2318" max="2318" width="20.625" style="4" bestFit="1" customWidth="1"/>
    <col min="2319" max="2320" width="14.875" style="4" customWidth="1"/>
    <col min="2321" max="2321" width="16.5" style="4" customWidth="1"/>
    <col min="2322" max="2322" width="18.625" style="4" customWidth="1"/>
    <col min="2323" max="2323" width="14.625" style="4" customWidth="1"/>
    <col min="2324" max="2324" width="12.625" style="4" customWidth="1"/>
    <col min="2325" max="2325" width="14.375" style="4" customWidth="1"/>
    <col min="2326" max="2327" width="14.875" style="4" customWidth="1"/>
    <col min="2328" max="2331" width="12.625" style="4" customWidth="1"/>
    <col min="2332" max="2332" width="14.625" style="4" customWidth="1"/>
    <col min="2333" max="2334" width="14.875" style="4" customWidth="1"/>
    <col min="2335" max="2338" width="12.625" style="4" customWidth="1"/>
    <col min="2339" max="2339" width="14.625" style="4" customWidth="1"/>
    <col min="2340" max="2341" width="14.875" style="4" customWidth="1"/>
    <col min="2342" max="2345" width="12.625" style="4" customWidth="1"/>
    <col min="2346" max="2346" width="14.625" style="4" customWidth="1"/>
    <col min="2347" max="2348" width="14.875" style="4" customWidth="1"/>
    <col min="2349" max="2352" width="12.625" style="4" customWidth="1"/>
    <col min="2353" max="2353" width="14.625" style="4" customWidth="1"/>
    <col min="2354" max="2355" width="14.875" style="4" customWidth="1"/>
    <col min="2356" max="2359" width="12.625" style="4" customWidth="1"/>
    <col min="2360" max="2360" width="14.625" style="4" customWidth="1"/>
    <col min="2361" max="2362" width="14.875" style="4" customWidth="1"/>
    <col min="2363" max="2366" width="12.625" style="4" customWidth="1"/>
    <col min="2367" max="2367" width="14.625" style="4" customWidth="1"/>
    <col min="2368" max="2369" width="14.875" style="4" customWidth="1"/>
    <col min="2370" max="2373" width="12.625" style="4" customWidth="1"/>
    <col min="2374" max="2374" width="14.625" style="4" customWidth="1"/>
    <col min="2375" max="2376" width="14.875" style="4" customWidth="1"/>
    <col min="2377" max="2380" width="12.625" style="4" customWidth="1"/>
    <col min="2381" max="2381" width="14.625" style="4" customWidth="1"/>
    <col min="2382" max="2383" width="14.875" style="4" customWidth="1"/>
    <col min="2384" max="2387" width="12.625" style="4" customWidth="1"/>
    <col min="2388" max="2388" width="14.625" style="4" customWidth="1"/>
    <col min="2389" max="2390" width="14.875" style="4" customWidth="1"/>
    <col min="2391" max="2394" width="12.625" style="4" customWidth="1"/>
    <col min="2395" max="2395" width="14.625" style="4" customWidth="1"/>
    <col min="2396" max="2554" width="9" style="4"/>
    <col min="2555" max="2555" width="11.875" style="4" customWidth="1"/>
    <col min="2556" max="2556" width="13.875" style="4" bestFit="1" customWidth="1"/>
    <col min="2557" max="2560" width="14.875" style="4" customWidth="1"/>
    <col min="2561" max="2561" width="18.875" style="4" bestFit="1" customWidth="1"/>
    <col min="2562" max="2562" width="14.875" style="4" customWidth="1"/>
    <col min="2563" max="2563" width="25.625" style="4" customWidth="1"/>
    <col min="2564" max="2564" width="17.625" style="4" bestFit="1" customWidth="1"/>
    <col min="2565" max="2566" width="14.875" style="4" customWidth="1"/>
    <col min="2567" max="2567" width="17" style="4" customWidth="1"/>
    <col min="2568" max="2568" width="16" style="4" customWidth="1"/>
    <col min="2569" max="2569" width="25.625" style="4" customWidth="1"/>
    <col min="2570" max="2570" width="12.625" style="4" customWidth="1"/>
    <col min="2571" max="2573" width="14.875" style="4" customWidth="1"/>
    <col min="2574" max="2574" width="20.625" style="4" bestFit="1" customWidth="1"/>
    <col min="2575" max="2576" width="14.875" style="4" customWidth="1"/>
    <col min="2577" max="2577" width="16.5" style="4" customWidth="1"/>
    <col min="2578" max="2578" width="18.625" style="4" customWidth="1"/>
    <col min="2579" max="2579" width="14.625" style="4" customWidth="1"/>
    <col min="2580" max="2580" width="12.625" style="4" customWidth="1"/>
    <col min="2581" max="2581" width="14.375" style="4" customWidth="1"/>
    <col min="2582" max="2583" width="14.875" style="4" customWidth="1"/>
    <col min="2584" max="2587" width="12.625" style="4" customWidth="1"/>
    <col min="2588" max="2588" width="14.625" style="4" customWidth="1"/>
    <col min="2589" max="2590" width="14.875" style="4" customWidth="1"/>
    <col min="2591" max="2594" width="12.625" style="4" customWidth="1"/>
    <col min="2595" max="2595" width="14.625" style="4" customWidth="1"/>
    <col min="2596" max="2597" width="14.875" style="4" customWidth="1"/>
    <col min="2598" max="2601" width="12.625" style="4" customWidth="1"/>
    <col min="2602" max="2602" width="14.625" style="4" customWidth="1"/>
    <col min="2603" max="2604" width="14.875" style="4" customWidth="1"/>
    <col min="2605" max="2608" width="12.625" style="4" customWidth="1"/>
    <col min="2609" max="2609" width="14.625" style="4" customWidth="1"/>
    <col min="2610" max="2611" width="14.875" style="4" customWidth="1"/>
    <col min="2612" max="2615" width="12.625" style="4" customWidth="1"/>
    <col min="2616" max="2616" width="14.625" style="4" customWidth="1"/>
    <col min="2617" max="2618" width="14.875" style="4" customWidth="1"/>
    <col min="2619" max="2622" width="12.625" style="4" customWidth="1"/>
    <col min="2623" max="2623" width="14.625" style="4" customWidth="1"/>
    <col min="2624" max="2625" width="14.875" style="4" customWidth="1"/>
    <col min="2626" max="2629" width="12.625" style="4" customWidth="1"/>
    <col min="2630" max="2630" width="14.625" style="4" customWidth="1"/>
    <col min="2631" max="2632" width="14.875" style="4" customWidth="1"/>
    <col min="2633" max="2636" width="12.625" style="4" customWidth="1"/>
    <col min="2637" max="2637" width="14.625" style="4" customWidth="1"/>
    <col min="2638" max="2639" width="14.875" style="4" customWidth="1"/>
    <col min="2640" max="2643" width="12.625" style="4" customWidth="1"/>
    <col min="2644" max="2644" width="14.625" style="4" customWidth="1"/>
    <col min="2645" max="2646" width="14.875" style="4" customWidth="1"/>
    <col min="2647" max="2650" width="12.625" style="4" customWidth="1"/>
    <col min="2651" max="2651" width="14.625" style="4" customWidth="1"/>
    <col min="2652" max="2810" width="9" style="4"/>
    <col min="2811" max="2811" width="11.875" style="4" customWidth="1"/>
    <col min="2812" max="2812" width="13.875" style="4" bestFit="1" customWidth="1"/>
    <col min="2813" max="2816" width="14.875" style="4" customWidth="1"/>
    <col min="2817" max="2817" width="18.875" style="4" bestFit="1" customWidth="1"/>
    <col min="2818" max="2818" width="14.875" style="4" customWidth="1"/>
    <col min="2819" max="2819" width="25.625" style="4" customWidth="1"/>
    <col min="2820" max="2820" width="17.625" style="4" bestFit="1" customWidth="1"/>
    <col min="2821" max="2822" width="14.875" style="4" customWidth="1"/>
    <col min="2823" max="2823" width="17" style="4" customWidth="1"/>
    <col min="2824" max="2824" width="16" style="4" customWidth="1"/>
    <col min="2825" max="2825" width="25.625" style="4" customWidth="1"/>
    <col min="2826" max="2826" width="12.625" style="4" customWidth="1"/>
    <col min="2827" max="2829" width="14.875" style="4" customWidth="1"/>
    <col min="2830" max="2830" width="20.625" style="4" bestFit="1" customWidth="1"/>
    <col min="2831" max="2832" width="14.875" style="4" customWidth="1"/>
    <col min="2833" max="2833" width="16.5" style="4" customWidth="1"/>
    <col min="2834" max="2834" width="18.625" style="4" customWidth="1"/>
    <col min="2835" max="2835" width="14.625" style="4" customWidth="1"/>
    <col min="2836" max="2836" width="12.625" style="4" customWidth="1"/>
    <col min="2837" max="2837" width="14.375" style="4" customWidth="1"/>
    <col min="2838" max="2839" width="14.875" style="4" customWidth="1"/>
    <col min="2840" max="2843" width="12.625" style="4" customWidth="1"/>
    <col min="2844" max="2844" width="14.625" style="4" customWidth="1"/>
    <col min="2845" max="2846" width="14.875" style="4" customWidth="1"/>
    <col min="2847" max="2850" width="12.625" style="4" customWidth="1"/>
    <col min="2851" max="2851" width="14.625" style="4" customWidth="1"/>
    <col min="2852" max="2853" width="14.875" style="4" customWidth="1"/>
    <col min="2854" max="2857" width="12.625" style="4" customWidth="1"/>
    <col min="2858" max="2858" width="14.625" style="4" customWidth="1"/>
    <col min="2859" max="2860" width="14.875" style="4" customWidth="1"/>
    <col min="2861" max="2864" width="12.625" style="4" customWidth="1"/>
    <col min="2865" max="2865" width="14.625" style="4" customWidth="1"/>
    <col min="2866" max="2867" width="14.875" style="4" customWidth="1"/>
    <col min="2868" max="2871" width="12.625" style="4" customWidth="1"/>
    <col min="2872" max="2872" width="14.625" style="4" customWidth="1"/>
    <col min="2873" max="2874" width="14.875" style="4" customWidth="1"/>
    <col min="2875" max="2878" width="12.625" style="4" customWidth="1"/>
    <col min="2879" max="2879" width="14.625" style="4" customWidth="1"/>
    <col min="2880" max="2881" width="14.875" style="4" customWidth="1"/>
    <col min="2882" max="2885" width="12.625" style="4" customWidth="1"/>
    <col min="2886" max="2886" width="14.625" style="4" customWidth="1"/>
    <col min="2887" max="2888" width="14.875" style="4" customWidth="1"/>
    <col min="2889" max="2892" width="12.625" style="4" customWidth="1"/>
    <col min="2893" max="2893" width="14.625" style="4" customWidth="1"/>
    <col min="2894" max="2895" width="14.875" style="4" customWidth="1"/>
    <col min="2896" max="2899" width="12.625" style="4" customWidth="1"/>
    <col min="2900" max="2900" width="14.625" style="4" customWidth="1"/>
    <col min="2901" max="2902" width="14.875" style="4" customWidth="1"/>
    <col min="2903" max="2906" width="12.625" style="4" customWidth="1"/>
    <col min="2907" max="2907" width="14.625" style="4" customWidth="1"/>
    <col min="2908" max="3066" width="9" style="4"/>
    <col min="3067" max="3067" width="11.875" style="4" customWidth="1"/>
    <col min="3068" max="3068" width="13.875" style="4" bestFit="1" customWidth="1"/>
    <col min="3069" max="3072" width="14.875" style="4" customWidth="1"/>
    <col min="3073" max="3073" width="18.875" style="4" bestFit="1" customWidth="1"/>
    <col min="3074" max="3074" width="14.875" style="4" customWidth="1"/>
    <col min="3075" max="3075" width="25.625" style="4" customWidth="1"/>
    <col min="3076" max="3076" width="17.625" style="4" bestFit="1" customWidth="1"/>
    <col min="3077" max="3078" width="14.875" style="4" customWidth="1"/>
    <col min="3079" max="3079" width="17" style="4" customWidth="1"/>
    <col min="3080" max="3080" width="16" style="4" customWidth="1"/>
    <col min="3081" max="3081" width="25.625" style="4" customWidth="1"/>
    <col min="3082" max="3082" width="12.625" style="4" customWidth="1"/>
    <col min="3083" max="3085" width="14.875" style="4" customWidth="1"/>
    <col min="3086" max="3086" width="20.625" style="4" bestFit="1" customWidth="1"/>
    <col min="3087" max="3088" width="14.875" style="4" customWidth="1"/>
    <col min="3089" max="3089" width="16.5" style="4" customWidth="1"/>
    <col min="3090" max="3090" width="18.625" style="4" customWidth="1"/>
    <col min="3091" max="3091" width="14.625" style="4" customWidth="1"/>
    <col min="3092" max="3092" width="12.625" style="4" customWidth="1"/>
    <col min="3093" max="3093" width="14.375" style="4" customWidth="1"/>
    <col min="3094" max="3095" width="14.875" style="4" customWidth="1"/>
    <col min="3096" max="3099" width="12.625" style="4" customWidth="1"/>
    <col min="3100" max="3100" width="14.625" style="4" customWidth="1"/>
    <col min="3101" max="3102" width="14.875" style="4" customWidth="1"/>
    <col min="3103" max="3106" width="12.625" style="4" customWidth="1"/>
    <col min="3107" max="3107" width="14.625" style="4" customWidth="1"/>
    <col min="3108" max="3109" width="14.875" style="4" customWidth="1"/>
    <col min="3110" max="3113" width="12.625" style="4" customWidth="1"/>
    <col min="3114" max="3114" width="14.625" style="4" customWidth="1"/>
    <col min="3115" max="3116" width="14.875" style="4" customWidth="1"/>
    <col min="3117" max="3120" width="12.625" style="4" customWidth="1"/>
    <col min="3121" max="3121" width="14.625" style="4" customWidth="1"/>
    <col min="3122" max="3123" width="14.875" style="4" customWidth="1"/>
    <col min="3124" max="3127" width="12.625" style="4" customWidth="1"/>
    <col min="3128" max="3128" width="14.625" style="4" customWidth="1"/>
    <col min="3129" max="3130" width="14.875" style="4" customWidth="1"/>
    <col min="3131" max="3134" width="12.625" style="4" customWidth="1"/>
    <col min="3135" max="3135" width="14.625" style="4" customWidth="1"/>
    <col min="3136" max="3137" width="14.875" style="4" customWidth="1"/>
    <col min="3138" max="3141" width="12.625" style="4" customWidth="1"/>
    <col min="3142" max="3142" width="14.625" style="4" customWidth="1"/>
    <col min="3143" max="3144" width="14.875" style="4" customWidth="1"/>
    <col min="3145" max="3148" width="12.625" style="4" customWidth="1"/>
    <col min="3149" max="3149" width="14.625" style="4" customWidth="1"/>
    <col min="3150" max="3151" width="14.875" style="4" customWidth="1"/>
    <col min="3152" max="3155" width="12.625" style="4" customWidth="1"/>
    <col min="3156" max="3156" width="14.625" style="4" customWidth="1"/>
    <col min="3157" max="3158" width="14.875" style="4" customWidth="1"/>
    <col min="3159" max="3162" width="12.625" style="4" customWidth="1"/>
    <col min="3163" max="3163" width="14.625" style="4" customWidth="1"/>
    <col min="3164" max="3322" width="9" style="4"/>
    <col min="3323" max="3323" width="11.875" style="4" customWidth="1"/>
    <col min="3324" max="3324" width="13.875" style="4" bestFit="1" customWidth="1"/>
    <col min="3325" max="3328" width="14.875" style="4" customWidth="1"/>
    <col min="3329" max="3329" width="18.875" style="4" bestFit="1" customWidth="1"/>
    <col min="3330" max="3330" width="14.875" style="4" customWidth="1"/>
    <col min="3331" max="3331" width="25.625" style="4" customWidth="1"/>
    <col min="3332" max="3332" width="17.625" style="4" bestFit="1" customWidth="1"/>
    <col min="3333" max="3334" width="14.875" style="4" customWidth="1"/>
    <col min="3335" max="3335" width="17" style="4" customWidth="1"/>
    <col min="3336" max="3336" width="16" style="4" customWidth="1"/>
    <col min="3337" max="3337" width="25.625" style="4" customWidth="1"/>
    <col min="3338" max="3338" width="12.625" style="4" customWidth="1"/>
    <col min="3339" max="3341" width="14.875" style="4" customWidth="1"/>
    <col min="3342" max="3342" width="20.625" style="4" bestFit="1" customWidth="1"/>
    <col min="3343" max="3344" width="14.875" style="4" customWidth="1"/>
    <col min="3345" max="3345" width="16.5" style="4" customWidth="1"/>
    <col min="3346" max="3346" width="18.625" style="4" customWidth="1"/>
    <col min="3347" max="3347" width="14.625" style="4" customWidth="1"/>
    <col min="3348" max="3348" width="12.625" style="4" customWidth="1"/>
    <col min="3349" max="3349" width="14.375" style="4" customWidth="1"/>
    <col min="3350" max="3351" width="14.875" style="4" customWidth="1"/>
    <col min="3352" max="3355" width="12.625" style="4" customWidth="1"/>
    <col min="3356" max="3356" width="14.625" style="4" customWidth="1"/>
    <col min="3357" max="3358" width="14.875" style="4" customWidth="1"/>
    <col min="3359" max="3362" width="12.625" style="4" customWidth="1"/>
    <col min="3363" max="3363" width="14.625" style="4" customWidth="1"/>
    <col min="3364" max="3365" width="14.875" style="4" customWidth="1"/>
    <col min="3366" max="3369" width="12.625" style="4" customWidth="1"/>
    <col min="3370" max="3370" width="14.625" style="4" customWidth="1"/>
    <col min="3371" max="3372" width="14.875" style="4" customWidth="1"/>
    <col min="3373" max="3376" width="12.625" style="4" customWidth="1"/>
    <col min="3377" max="3377" width="14.625" style="4" customWidth="1"/>
    <col min="3378" max="3379" width="14.875" style="4" customWidth="1"/>
    <col min="3380" max="3383" width="12.625" style="4" customWidth="1"/>
    <col min="3384" max="3384" width="14.625" style="4" customWidth="1"/>
    <col min="3385" max="3386" width="14.875" style="4" customWidth="1"/>
    <col min="3387" max="3390" width="12.625" style="4" customWidth="1"/>
    <col min="3391" max="3391" width="14.625" style="4" customWidth="1"/>
    <col min="3392" max="3393" width="14.875" style="4" customWidth="1"/>
    <col min="3394" max="3397" width="12.625" style="4" customWidth="1"/>
    <col min="3398" max="3398" width="14.625" style="4" customWidth="1"/>
    <col min="3399" max="3400" width="14.875" style="4" customWidth="1"/>
    <col min="3401" max="3404" width="12.625" style="4" customWidth="1"/>
    <col min="3405" max="3405" width="14.625" style="4" customWidth="1"/>
    <col min="3406" max="3407" width="14.875" style="4" customWidth="1"/>
    <col min="3408" max="3411" width="12.625" style="4" customWidth="1"/>
    <col min="3412" max="3412" width="14.625" style="4" customWidth="1"/>
    <col min="3413" max="3414" width="14.875" style="4" customWidth="1"/>
    <col min="3415" max="3418" width="12.625" style="4" customWidth="1"/>
    <col min="3419" max="3419" width="14.625" style="4" customWidth="1"/>
    <col min="3420" max="3578" width="9" style="4"/>
    <col min="3579" max="3579" width="11.875" style="4" customWidth="1"/>
    <col min="3580" max="3580" width="13.875" style="4" bestFit="1" customWidth="1"/>
    <col min="3581" max="3584" width="14.875" style="4" customWidth="1"/>
    <col min="3585" max="3585" width="18.875" style="4" bestFit="1" customWidth="1"/>
    <col min="3586" max="3586" width="14.875" style="4" customWidth="1"/>
    <col min="3587" max="3587" width="25.625" style="4" customWidth="1"/>
    <col min="3588" max="3588" width="17.625" style="4" bestFit="1" customWidth="1"/>
    <col min="3589" max="3590" width="14.875" style="4" customWidth="1"/>
    <col min="3591" max="3591" width="17" style="4" customWidth="1"/>
    <col min="3592" max="3592" width="16" style="4" customWidth="1"/>
    <col min="3593" max="3593" width="25.625" style="4" customWidth="1"/>
    <col min="3594" max="3594" width="12.625" style="4" customWidth="1"/>
    <col min="3595" max="3597" width="14.875" style="4" customWidth="1"/>
    <col min="3598" max="3598" width="20.625" style="4" bestFit="1" customWidth="1"/>
    <col min="3599" max="3600" width="14.875" style="4" customWidth="1"/>
    <col min="3601" max="3601" width="16.5" style="4" customWidth="1"/>
    <col min="3602" max="3602" width="18.625" style="4" customWidth="1"/>
    <col min="3603" max="3603" width="14.625" style="4" customWidth="1"/>
    <col min="3604" max="3604" width="12.625" style="4" customWidth="1"/>
    <col min="3605" max="3605" width="14.375" style="4" customWidth="1"/>
    <col min="3606" max="3607" width="14.875" style="4" customWidth="1"/>
    <col min="3608" max="3611" width="12.625" style="4" customWidth="1"/>
    <col min="3612" max="3612" width="14.625" style="4" customWidth="1"/>
    <col min="3613" max="3614" width="14.875" style="4" customWidth="1"/>
    <col min="3615" max="3618" width="12.625" style="4" customWidth="1"/>
    <col min="3619" max="3619" width="14.625" style="4" customWidth="1"/>
    <col min="3620" max="3621" width="14.875" style="4" customWidth="1"/>
    <col min="3622" max="3625" width="12.625" style="4" customWidth="1"/>
    <col min="3626" max="3626" width="14.625" style="4" customWidth="1"/>
    <col min="3627" max="3628" width="14.875" style="4" customWidth="1"/>
    <col min="3629" max="3632" width="12.625" style="4" customWidth="1"/>
    <col min="3633" max="3633" width="14.625" style="4" customWidth="1"/>
    <col min="3634" max="3635" width="14.875" style="4" customWidth="1"/>
    <col min="3636" max="3639" width="12.625" style="4" customWidth="1"/>
    <col min="3640" max="3640" width="14.625" style="4" customWidth="1"/>
    <col min="3641" max="3642" width="14.875" style="4" customWidth="1"/>
    <col min="3643" max="3646" width="12.625" style="4" customWidth="1"/>
    <col min="3647" max="3647" width="14.625" style="4" customWidth="1"/>
    <col min="3648" max="3649" width="14.875" style="4" customWidth="1"/>
    <col min="3650" max="3653" width="12.625" style="4" customWidth="1"/>
    <col min="3654" max="3654" width="14.625" style="4" customWidth="1"/>
    <col min="3655" max="3656" width="14.875" style="4" customWidth="1"/>
    <col min="3657" max="3660" width="12.625" style="4" customWidth="1"/>
    <col min="3661" max="3661" width="14.625" style="4" customWidth="1"/>
    <col min="3662" max="3663" width="14.875" style="4" customWidth="1"/>
    <col min="3664" max="3667" width="12.625" style="4" customWidth="1"/>
    <col min="3668" max="3668" width="14.625" style="4" customWidth="1"/>
    <col min="3669" max="3670" width="14.875" style="4" customWidth="1"/>
    <col min="3671" max="3674" width="12.625" style="4" customWidth="1"/>
    <col min="3675" max="3675" width="14.625" style="4" customWidth="1"/>
    <col min="3676" max="3834" width="9" style="4"/>
    <col min="3835" max="3835" width="11.875" style="4" customWidth="1"/>
    <col min="3836" max="3836" width="13.875" style="4" bestFit="1" customWidth="1"/>
    <col min="3837" max="3840" width="14.875" style="4" customWidth="1"/>
    <col min="3841" max="3841" width="18.875" style="4" bestFit="1" customWidth="1"/>
    <col min="3842" max="3842" width="14.875" style="4" customWidth="1"/>
    <col min="3843" max="3843" width="25.625" style="4" customWidth="1"/>
    <col min="3844" max="3844" width="17.625" style="4" bestFit="1" customWidth="1"/>
    <col min="3845" max="3846" width="14.875" style="4" customWidth="1"/>
    <col min="3847" max="3847" width="17" style="4" customWidth="1"/>
    <col min="3848" max="3848" width="16" style="4" customWidth="1"/>
    <col min="3849" max="3849" width="25.625" style="4" customWidth="1"/>
    <col min="3850" max="3850" width="12.625" style="4" customWidth="1"/>
    <col min="3851" max="3853" width="14.875" style="4" customWidth="1"/>
    <col min="3854" max="3854" width="20.625" style="4" bestFit="1" customWidth="1"/>
    <col min="3855" max="3856" width="14.875" style="4" customWidth="1"/>
    <col min="3857" max="3857" width="16.5" style="4" customWidth="1"/>
    <col min="3858" max="3858" width="18.625" style="4" customWidth="1"/>
    <col min="3859" max="3859" width="14.625" style="4" customWidth="1"/>
    <col min="3860" max="3860" width="12.625" style="4" customWidth="1"/>
    <col min="3861" max="3861" width="14.375" style="4" customWidth="1"/>
    <col min="3862" max="3863" width="14.875" style="4" customWidth="1"/>
    <col min="3864" max="3867" width="12.625" style="4" customWidth="1"/>
    <col min="3868" max="3868" width="14.625" style="4" customWidth="1"/>
    <col min="3869" max="3870" width="14.875" style="4" customWidth="1"/>
    <col min="3871" max="3874" width="12.625" style="4" customWidth="1"/>
    <col min="3875" max="3875" width="14.625" style="4" customWidth="1"/>
    <col min="3876" max="3877" width="14.875" style="4" customWidth="1"/>
    <col min="3878" max="3881" width="12.625" style="4" customWidth="1"/>
    <col min="3882" max="3882" width="14.625" style="4" customWidth="1"/>
    <col min="3883" max="3884" width="14.875" style="4" customWidth="1"/>
    <col min="3885" max="3888" width="12.625" style="4" customWidth="1"/>
    <col min="3889" max="3889" width="14.625" style="4" customWidth="1"/>
    <col min="3890" max="3891" width="14.875" style="4" customWidth="1"/>
    <col min="3892" max="3895" width="12.625" style="4" customWidth="1"/>
    <col min="3896" max="3896" width="14.625" style="4" customWidth="1"/>
    <col min="3897" max="3898" width="14.875" style="4" customWidth="1"/>
    <col min="3899" max="3902" width="12.625" style="4" customWidth="1"/>
    <col min="3903" max="3903" width="14.625" style="4" customWidth="1"/>
    <col min="3904" max="3905" width="14.875" style="4" customWidth="1"/>
    <col min="3906" max="3909" width="12.625" style="4" customWidth="1"/>
    <col min="3910" max="3910" width="14.625" style="4" customWidth="1"/>
    <col min="3911" max="3912" width="14.875" style="4" customWidth="1"/>
    <col min="3913" max="3916" width="12.625" style="4" customWidth="1"/>
    <col min="3917" max="3917" width="14.625" style="4" customWidth="1"/>
    <col min="3918" max="3919" width="14.875" style="4" customWidth="1"/>
    <col min="3920" max="3923" width="12.625" style="4" customWidth="1"/>
    <col min="3924" max="3924" width="14.625" style="4" customWidth="1"/>
    <col min="3925" max="3926" width="14.875" style="4" customWidth="1"/>
    <col min="3927" max="3930" width="12.625" style="4" customWidth="1"/>
    <col min="3931" max="3931" width="14.625" style="4" customWidth="1"/>
    <col min="3932" max="4090" width="9" style="4"/>
    <col min="4091" max="4091" width="11.875" style="4" customWidth="1"/>
    <col min="4092" max="4092" width="13.875" style="4" bestFit="1" customWidth="1"/>
    <col min="4093" max="4096" width="14.875" style="4" customWidth="1"/>
    <col min="4097" max="4097" width="18.875" style="4" bestFit="1" customWidth="1"/>
    <col min="4098" max="4098" width="14.875" style="4" customWidth="1"/>
    <col min="4099" max="4099" width="25.625" style="4" customWidth="1"/>
    <col min="4100" max="4100" width="17.625" style="4" bestFit="1" customWidth="1"/>
    <col min="4101" max="4102" width="14.875" style="4" customWidth="1"/>
    <col min="4103" max="4103" width="17" style="4" customWidth="1"/>
    <col min="4104" max="4104" width="16" style="4" customWidth="1"/>
    <col min="4105" max="4105" width="25.625" style="4" customWidth="1"/>
    <col min="4106" max="4106" width="12.625" style="4" customWidth="1"/>
    <col min="4107" max="4109" width="14.875" style="4" customWidth="1"/>
    <col min="4110" max="4110" width="20.625" style="4" bestFit="1" customWidth="1"/>
    <col min="4111" max="4112" width="14.875" style="4" customWidth="1"/>
    <col min="4113" max="4113" width="16.5" style="4" customWidth="1"/>
    <col min="4114" max="4114" width="18.625" style="4" customWidth="1"/>
    <col min="4115" max="4115" width="14.625" style="4" customWidth="1"/>
    <col min="4116" max="4116" width="12.625" style="4" customWidth="1"/>
    <col min="4117" max="4117" width="14.375" style="4" customWidth="1"/>
    <col min="4118" max="4119" width="14.875" style="4" customWidth="1"/>
    <col min="4120" max="4123" width="12.625" style="4" customWidth="1"/>
    <col min="4124" max="4124" width="14.625" style="4" customWidth="1"/>
    <col min="4125" max="4126" width="14.875" style="4" customWidth="1"/>
    <col min="4127" max="4130" width="12.625" style="4" customWidth="1"/>
    <col min="4131" max="4131" width="14.625" style="4" customWidth="1"/>
    <col min="4132" max="4133" width="14.875" style="4" customWidth="1"/>
    <col min="4134" max="4137" width="12.625" style="4" customWidth="1"/>
    <col min="4138" max="4138" width="14.625" style="4" customWidth="1"/>
    <col min="4139" max="4140" width="14.875" style="4" customWidth="1"/>
    <col min="4141" max="4144" width="12.625" style="4" customWidth="1"/>
    <col min="4145" max="4145" width="14.625" style="4" customWidth="1"/>
    <col min="4146" max="4147" width="14.875" style="4" customWidth="1"/>
    <col min="4148" max="4151" width="12.625" style="4" customWidth="1"/>
    <col min="4152" max="4152" width="14.625" style="4" customWidth="1"/>
    <col min="4153" max="4154" width="14.875" style="4" customWidth="1"/>
    <col min="4155" max="4158" width="12.625" style="4" customWidth="1"/>
    <col min="4159" max="4159" width="14.625" style="4" customWidth="1"/>
    <col min="4160" max="4161" width="14.875" style="4" customWidth="1"/>
    <col min="4162" max="4165" width="12.625" style="4" customWidth="1"/>
    <col min="4166" max="4166" width="14.625" style="4" customWidth="1"/>
    <col min="4167" max="4168" width="14.875" style="4" customWidth="1"/>
    <col min="4169" max="4172" width="12.625" style="4" customWidth="1"/>
    <col min="4173" max="4173" width="14.625" style="4" customWidth="1"/>
    <col min="4174" max="4175" width="14.875" style="4" customWidth="1"/>
    <col min="4176" max="4179" width="12.625" style="4" customWidth="1"/>
    <col min="4180" max="4180" width="14.625" style="4" customWidth="1"/>
    <col min="4181" max="4182" width="14.875" style="4" customWidth="1"/>
    <col min="4183" max="4186" width="12.625" style="4" customWidth="1"/>
    <col min="4187" max="4187" width="14.625" style="4" customWidth="1"/>
    <col min="4188" max="4346" width="9" style="4"/>
    <col min="4347" max="4347" width="11.875" style="4" customWidth="1"/>
    <col min="4348" max="4348" width="13.875" style="4" bestFit="1" customWidth="1"/>
    <col min="4349" max="4352" width="14.875" style="4" customWidth="1"/>
    <col min="4353" max="4353" width="18.875" style="4" bestFit="1" customWidth="1"/>
    <col min="4354" max="4354" width="14.875" style="4" customWidth="1"/>
    <col min="4355" max="4355" width="25.625" style="4" customWidth="1"/>
    <col min="4356" max="4356" width="17.625" style="4" bestFit="1" customWidth="1"/>
    <col min="4357" max="4358" width="14.875" style="4" customWidth="1"/>
    <col min="4359" max="4359" width="17" style="4" customWidth="1"/>
    <col min="4360" max="4360" width="16" style="4" customWidth="1"/>
    <col min="4361" max="4361" width="25.625" style="4" customWidth="1"/>
    <col min="4362" max="4362" width="12.625" style="4" customWidth="1"/>
    <col min="4363" max="4365" width="14.875" style="4" customWidth="1"/>
    <col min="4366" max="4366" width="20.625" style="4" bestFit="1" customWidth="1"/>
    <col min="4367" max="4368" width="14.875" style="4" customWidth="1"/>
    <col min="4369" max="4369" width="16.5" style="4" customWidth="1"/>
    <col min="4370" max="4370" width="18.625" style="4" customWidth="1"/>
    <col min="4371" max="4371" width="14.625" style="4" customWidth="1"/>
    <col min="4372" max="4372" width="12.625" style="4" customWidth="1"/>
    <col min="4373" max="4373" width="14.375" style="4" customWidth="1"/>
    <col min="4374" max="4375" width="14.875" style="4" customWidth="1"/>
    <col min="4376" max="4379" width="12.625" style="4" customWidth="1"/>
    <col min="4380" max="4380" width="14.625" style="4" customWidth="1"/>
    <col min="4381" max="4382" width="14.875" style="4" customWidth="1"/>
    <col min="4383" max="4386" width="12.625" style="4" customWidth="1"/>
    <col min="4387" max="4387" width="14.625" style="4" customWidth="1"/>
    <col min="4388" max="4389" width="14.875" style="4" customWidth="1"/>
    <col min="4390" max="4393" width="12.625" style="4" customWidth="1"/>
    <col min="4394" max="4394" width="14.625" style="4" customWidth="1"/>
    <col min="4395" max="4396" width="14.875" style="4" customWidth="1"/>
    <col min="4397" max="4400" width="12.625" style="4" customWidth="1"/>
    <col min="4401" max="4401" width="14.625" style="4" customWidth="1"/>
    <col min="4402" max="4403" width="14.875" style="4" customWidth="1"/>
    <col min="4404" max="4407" width="12.625" style="4" customWidth="1"/>
    <col min="4408" max="4408" width="14.625" style="4" customWidth="1"/>
    <col min="4409" max="4410" width="14.875" style="4" customWidth="1"/>
    <col min="4411" max="4414" width="12.625" style="4" customWidth="1"/>
    <col min="4415" max="4415" width="14.625" style="4" customWidth="1"/>
    <col min="4416" max="4417" width="14.875" style="4" customWidth="1"/>
    <col min="4418" max="4421" width="12.625" style="4" customWidth="1"/>
    <col min="4422" max="4422" width="14.625" style="4" customWidth="1"/>
    <col min="4423" max="4424" width="14.875" style="4" customWidth="1"/>
    <col min="4425" max="4428" width="12.625" style="4" customWidth="1"/>
    <col min="4429" max="4429" width="14.625" style="4" customWidth="1"/>
    <col min="4430" max="4431" width="14.875" style="4" customWidth="1"/>
    <col min="4432" max="4435" width="12.625" style="4" customWidth="1"/>
    <col min="4436" max="4436" width="14.625" style="4" customWidth="1"/>
    <col min="4437" max="4438" width="14.875" style="4" customWidth="1"/>
    <col min="4439" max="4442" width="12.625" style="4" customWidth="1"/>
    <col min="4443" max="4443" width="14.625" style="4" customWidth="1"/>
    <col min="4444" max="4602" width="9" style="4"/>
    <col min="4603" max="4603" width="11.875" style="4" customWidth="1"/>
    <col min="4604" max="4604" width="13.875" style="4" bestFit="1" customWidth="1"/>
    <col min="4605" max="4608" width="14.875" style="4" customWidth="1"/>
    <col min="4609" max="4609" width="18.875" style="4" bestFit="1" customWidth="1"/>
    <col min="4610" max="4610" width="14.875" style="4" customWidth="1"/>
    <col min="4611" max="4611" width="25.625" style="4" customWidth="1"/>
    <col min="4612" max="4612" width="17.625" style="4" bestFit="1" customWidth="1"/>
    <col min="4613" max="4614" width="14.875" style="4" customWidth="1"/>
    <col min="4615" max="4615" width="17" style="4" customWidth="1"/>
    <col min="4616" max="4616" width="16" style="4" customWidth="1"/>
    <col min="4617" max="4617" width="25.625" style="4" customWidth="1"/>
    <col min="4618" max="4618" width="12.625" style="4" customWidth="1"/>
    <col min="4619" max="4621" width="14.875" style="4" customWidth="1"/>
    <col min="4622" max="4622" width="20.625" style="4" bestFit="1" customWidth="1"/>
    <col min="4623" max="4624" width="14.875" style="4" customWidth="1"/>
    <col min="4625" max="4625" width="16.5" style="4" customWidth="1"/>
    <col min="4626" max="4626" width="18.625" style="4" customWidth="1"/>
    <col min="4627" max="4627" width="14.625" style="4" customWidth="1"/>
    <col min="4628" max="4628" width="12.625" style="4" customWidth="1"/>
    <col min="4629" max="4629" width="14.375" style="4" customWidth="1"/>
    <col min="4630" max="4631" width="14.875" style="4" customWidth="1"/>
    <col min="4632" max="4635" width="12.625" style="4" customWidth="1"/>
    <col min="4636" max="4636" width="14.625" style="4" customWidth="1"/>
    <col min="4637" max="4638" width="14.875" style="4" customWidth="1"/>
    <col min="4639" max="4642" width="12.625" style="4" customWidth="1"/>
    <col min="4643" max="4643" width="14.625" style="4" customWidth="1"/>
    <col min="4644" max="4645" width="14.875" style="4" customWidth="1"/>
    <col min="4646" max="4649" width="12.625" style="4" customWidth="1"/>
    <col min="4650" max="4650" width="14.625" style="4" customWidth="1"/>
    <col min="4651" max="4652" width="14.875" style="4" customWidth="1"/>
    <col min="4653" max="4656" width="12.625" style="4" customWidth="1"/>
    <col min="4657" max="4657" width="14.625" style="4" customWidth="1"/>
    <col min="4658" max="4659" width="14.875" style="4" customWidth="1"/>
    <col min="4660" max="4663" width="12.625" style="4" customWidth="1"/>
    <col min="4664" max="4664" width="14.625" style="4" customWidth="1"/>
    <col min="4665" max="4666" width="14.875" style="4" customWidth="1"/>
    <col min="4667" max="4670" width="12.625" style="4" customWidth="1"/>
    <col min="4671" max="4671" width="14.625" style="4" customWidth="1"/>
    <col min="4672" max="4673" width="14.875" style="4" customWidth="1"/>
    <col min="4674" max="4677" width="12.625" style="4" customWidth="1"/>
    <col min="4678" max="4678" width="14.625" style="4" customWidth="1"/>
    <col min="4679" max="4680" width="14.875" style="4" customWidth="1"/>
    <col min="4681" max="4684" width="12.625" style="4" customWidth="1"/>
    <col min="4685" max="4685" width="14.625" style="4" customWidth="1"/>
    <col min="4686" max="4687" width="14.875" style="4" customWidth="1"/>
    <col min="4688" max="4691" width="12.625" style="4" customWidth="1"/>
    <col min="4692" max="4692" width="14.625" style="4" customWidth="1"/>
    <col min="4693" max="4694" width="14.875" style="4" customWidth="1"/>
    <col min="4695" max="4698" width="12.625" style="4" customWidth="1"/>
    <col min="4699" max="4699" width="14.625" style="4" customWidth="1"/>
    <col min="4700" max="4858" width="9" style="4"/>
    <col min="4859" max="4859" width="11.875" style="4" customWidth="1"/>
    <col min="4860" max="4860" width="13.875" style="4" bestFit="1" customWidth="1"/>
    <col min="4861" max="4864" width="14.875" style="4" customWidth="1"/>
    <col min="4865" max="4865" width="18.875" style="4" bestFit="1" customWidth="1"/>
    <col min="4866" max="4866" width="14.875" style="4" customWidth="1"/>
    <col min="4867" max="4867" width="25.625" style="4" customWidth="1"/>
    <col min="4868" max="4868" width="17.625" style="4" bestFit="1" customWidth="1"/>
    <col min="4869" max="4870" width="14.875" style="4" customWidth="1"/>
    <col min="4871" max="4871" width="17" style="4" customWidth="1"/>
    <col min="4872" max="4872" width="16" style="4" customWidth="1"/>
    <col min="4873" max="4873" width="25.625" style="4" customWidth="1"/>
    <col min="4874" max="4874" width="12.625" style="4" customWidth="1"/>
    <col min="4875" max="4877" width="14.875" style="4" customWidth="1"/>
    <col min="4878" max="4878" width="20.625" style="4" bestFit="1" customWidth="1"/>
    <col min="4879" max="4880" width="14.875" style="4" customWidth="1"/>
    <col min="4881" max="4881" width="16.5" style="4" customWidth="1"/>
    <col min="4882" max="4882" width="18.625" style="4" customWidth="1"/>
    <col min="4883" max="4883" width="14.625" style="4" customWidth="1"/>
    <col min="4884" max="4884" width="12.625" style="4" customWidth="1"/>
    <col min="4885" max="4885" width="14.375" style="4" customWidth="1"/>
    <col min="4886" max="4887" width="14.875" style="4" customWidth="1"/>
    <col min="4888" max="4891" width="12.625" style="4" customWidth="1"/>
    <col min="4892" max="4892" width="14.625" style="4" customWidth="1"/>
    <col min="4893" max="4894" width="14.875" style="4" customWidth="1"/>
    <col min="4895" max="4898" width="12.625" style="4" customWidth="1"/>
    <col min="4899" max="4899" width="14.625" style="4" customWidth="1"/>
    <col min="4900" max="4901" width="14.875" style="4" customWidth="1"/>
    <col min="4902" max="4905" width="12.625" style="4" customWidth="1"/>
    <col min="4906" max="4906" width="14.625" style="4" customWidth="1"/>
    <col min="4907" max="4908" width="14.875" style="4" customWidth="1"/>
    <col min="4909" max="4912" width="12.625" style="4" customWidth="1"/>
    <col min="4913" max="4913" width="14.625" style="4" customWidth="1"/>
    <col min="4914" max="4915" width="14.875" style="4" customWidth="1"/>
    <col min="4916" max="4919" width="12.625" style="4" customWidth="1"/>
    <col min="4920" max="4920" width="14.625" style="4" customWidth="1"/>
    <col min="4921" max="4922" width="14.875" style="4" customWidth="1"/>
    <col min="4923" max="4926" width="12.625" style="4" customWidth="1"/>
    <col min="4927" max="4927" width="14.625" style="4" customWidth="1"/>
    <col min="4928" max="4929" width="14.875" style="4" customWidth="1"/>
    <col min="4930" max="4933" width="12.625" style="4" customWidth="1"/>
    <col min="4934" max="4934" width="14.625" style="4" customWidth="1"/>
    <col min="4935" max="4936" width="14.875" style="4" customWidth="1"/>
    <col min="4937" max="4940" width="12.625" style="4" customWidth="1"/>
    <col min="4941" max="4941" width="14.625" style="4" customWidth="1"/>
    <col min="4942" max="4943" width="14.875" style="4" customWidth="1"/>
    <col min="4944" max="4947" width="12.625" style="4" customWidth="1"/>
    <col min="4948" max="4948" width="14.625" style="4" customWidth="1"/>
    <col min="4949" max="4950" width="14.875" style="4" customWidth="1"/>
    <col min="4951" max="4954" width="12.625" style="4" customWidth="1"/>
    <col min="4955" max="4955" width="14.625" style="4" customWidth="1"/>
    <col min="4956" max="5114" width="9" style="4"/>
    <col min="5115" max="5115" width="11.875" style="4" customWidth="1"/>
    <col min="5116" max="5116" width="13.875" style="4" bestFit="1" customWidth="1"/>
    <col min="5117" max="5120" width="14.875" style="4" customWidth="1"/>
    <col min="5121" max="5121" width="18.875" style="4" bestFit="1" customWidth="1"/>
    <col min="5122" max="5122" width="14.875" style="4" customWidth="1"/>
    <col min="5123" max="5123" width="25.625" style="4" customWidth="1"/>
    <col min="5124" max="5124" width="17.625" style="4" bestFit="1" customWidth="1"/>
    <col min="5125" max="5126" width="14.875" style="4" customWidth="1"/>
    <col min="5127" max="5127" width="17" style="4" customWidth="1"/>
    <col min="5128" max="5128" width="16" style="4" customWidth="1"/>
    <col min="5129" max="5129" width="25.625" style="4" customWidth="1"/>
    <col min="5130" max="5130" width="12.625" style="4" customWidth="1"/>
    <col min="5131" max="5133" width="14.875" style="4" customWidth="1"/>
    <col min="5134" max="5134" width="20.625" style="4" bestFit="1" customWidth="1"/>
    <col min="5135" max="5136" width="14.875" style="4" customWidth="1"/>
    <col min="5137" max="5137" width="16.5" style="4" customWidth="1"/>
    <col min="5138" max="5138" width="18.625" style="4" customWidth="1"/>
    <col min="5139" max="5139" width="14.625" style="4" customWidth="1"/>
    <col min="5140" max="5140" width="12.625" style="4" customWidth="1"/>
    <col min="5141" max="5141" width="14.375" style="4" customWidth="1"/>
    <col min="5142" max="5143" width="14.875" style="4" customWidth="1"/>
    <col min="5144" max="5147" width="12.625" style="4" customWidth="1"/>
    <col min="5148" max="5148" width="14.625" style="4" customWidth="1"/>
    <col min="5149" max="5150" width="14.875" style="4" customWidth="1"/>
    <col min="5151" max="5154" width="12.625" style="4" customWidth="1"/>
    <col min="5155" max="5155" width="14.625" style="4" customWidth="1"/>
    <col min="5156" max="5157" width="14.875" style="4" customWidth="1"/>
    <col min="5158" max="5161" width="12.625" style="4" customWidth="1"/>
    <col min="5162" max="5162" width="14.625" style="4" customWidth="1"/>
    <col min="5163" max="5164" width="14.875" style="4" customWidth="1"/>
    <col min="5165" max="5168" width="12.625" style="4" customWidth="1"/>
    <col min="5169" max="5169" width="14.625" style="4" customWidth="1"/>
    <col min="5170" max="5171" width="14.875" style="4" customWidth="1"/>
    <col min="5172" max="5175" width="12.625" style="4" customWidth="1"/>
    <col min="5176" max="5176" width="14.625" style="4" customWidth="1"/>
    <col min="5177" max="5178" width="14.875" style="4" customWidth="1"/>
    <col min="5179" max="5182" width="12.625" style="4" customWidth="1"/>
    <col min="5183" max="5183" width="14.625" style="4" customWidth="1"/>
    <col min="5184" max="5185" width="14.875" style="4" customWidth="1"/>
    <col min="5186" max="5189" width="12.625" style="4" customWidth="1"/>
    <col min="5190" max="5190" width="14.625" style="4" customWidth="1"/>
    <col min="5191" max="5192" width="14.875" style="4" customWidth="1"/>
    <col min="5193" max="5196" width="12.625" style="4" customWidth="1"/>
    <col min="5197" max="5197" width="14.625" style="4" customWidth="1"/>
    <col min="5198" max="5199" width="14.875" style="4" customWidth="1"/>
    <col min="5200" max="5203" width="12.625" style="4" customWidth="1"/>
    <col min="5204" max="5204" width="14.625" style="4" customWidth="1"/>
    <col min="5205" max="5206" width="14.875" style="4" customWidth="1"/>
    <col min="5207" max="5210" width="12.625" style="4" customWidth="1"/>
    <col min="5211" max="5211" width="14.625" style="4" customWidth="1"/>
    <col min="5212" max="5370" width="9" style="4"/>
    <col min="5371" max="5371" width="11.875" style="4" customWidth="1"/>
    <col min="5372" max="5372" width="13.875" style="4" bestFit="1" customWidth="1"/>
    <col min="5373" max="5376" width="14.875" style="4" customWidth="1"/>
    <col min="5377" max="5377" width="18.875" style="4" bestFit="1" customWidth="1"/>
    <col min="5378" max="5378" width="14.875" style="4" customWidth="1"/>
    <col min="5379" max="5379" width="25.625" style="4" customWidth="1"/>
    <col min="5380" max="5380" width="17.625" style="4" bestFit="1" customWidth="1"/>
    <col min="5381" max="5382" width="14.875" style="4" customWidth="1"/>
    <col min="5383" max="5383" width="17" style="4" customWidth="1"/>
    <col min="5384" max="5384" width="16" style="4" customWidth="1"/>
    <col min="5385" max="5385" width="25.625" style="4" customWidth="1"/>
    <col min="5386" max="5386" width="12.625" style="4" customWidth="1"/>
    <col min="5387" max="5389" width="14.875" style="4" customWidth="1"/>
    <col min="5390" max="5390" width="20.625" style="4" bestFit="1" customWidth="1"/>
    <col min="5391" max="5392" width="14.875" style="4" customWidth="1"/>
    <col min="5393" max="5393" width="16.5" style="4" customWidth="1"/>
    <col min="5394" max="5394" width="18.625" style="4" customWidth="1"/>
    <col min="5395" max="5395" width="14.625" style="4" customWidth="1"/>
    <col min="5396" max="5396" width="12.625" style="4" customWidth="1"/>
    <col min="5397" max="5397" width="14.375" style="4" customWidth="1"/>
    <col min="5398" max="5399" width="14.875" style="4" customWidth="1"/>
    <col min="5400" max="5403" width="12.625" style="4" customWidth="1"/>
    <col min="5404" max="5404" width="14.625" style="4" customWidth="1"/>
    <col min="5405" max="5406" width="14.875" style="4" customWidth="1"/>
    <col min="5407" max="5410" width="12.625" style="4" customWidth="1"/>
    <col min="5411" max="5411" width="14.625" style="4" customWidth="1"/>
    <col min="5412" max="5413" width="14.875" style="4" customWidth="1"/>
    <col min="5414" max="5417" width="12.625" style="4" customWidth="1"/>
    <col min="5418" max="5418" width="14.625" style="4" customWidth="1"/>
    <col min="5419" max="5420" width="14.875" style="4" customWidth="1"/>
    <col min="5421" max="5424" width="12.625" style="4" customWidth="1"/>
    <col min="5425" max="5425" width="14.625" style="4" customWidth="1"/>
    <col min="5426" max="5427" width="14.875" style="4" customWidth="1"/>
    <col min="5428" max="5431" width="12.625" style="4" customWidth="1"/>
    <col min="5432" max="5432" width="14.625" style="4" customWidth="1"/>
    <col min="5433" max="5434" width="14.875" style="4" customWidth="1"/>
    <col min="5435" max="5438" width="12.625" style="4" customWidth="1"/>
    <col min="5439" max="5439" width="14.625" style="4" customWidth="1"/>
    <col min="5440" max="5441" width="14.875" style="4" customWidth="1"/>
    <col min="5442" max="5445" width="12.625" style="4" customWidth="1"/>
    <col min="5446" max="5446" width="14.625" style="4" customWidth="1"/>
    <col min="5447" max="5448" width="14.875" style="4" customWidth="1"/>
    <col min="5449" max="5452" width="12.625" style="4" customWidth="1"/>
    <col min="5453" max="5453" width="14.625" style="4" customWidth="1"/>
    <col min="5454" max="5455" width="14.875" style="4" customWidth="1"/>
    <col min="5456" max="5459" width="12.625" style="4" customWidth="1"/>
    <col min="5460" max="5460" width="14.625" style="4" customWidth="1"/>
    <col min="5461" max="5462" width="14.875" style="4" customWidth="1"/>
    <col min="5463" max="5466" width="12.625" style="4" customWidth="1"/>
    <col min="5467" max="5467" width="14.625" style="4" customWidth="1"/>
    <col min="5468" max="5626" width="9" style="4"/>
    <col min="5627" max="5627" width="11.875" style="4" customWidth="1"/>
    <col min="5628" max="5628" width="13.875" style="4" bestFit="1" customWidth="1"/>
    <col min="5629" max="5632" width="14.875" style="4" customWidth="1"/>
    <col min="5633" max="5633" width="18.875" style="4" bestFit="1" customWidth="1"/>
    <col min="5634" max="5634" width="14.875" style="4" customWidth="1"/>
    <col min="5635" max="5635" width="25.625" style="4" customWidth="1"/>
    <col min="5636" max="5636" width="17.625" style="4" bestFit="1" customWidth="1"/>
    <col min="5637" max="5638" width="14.875" style="4" customWidth="1"/>
    <col min="5639" max="5639" width="17" style="4" customWidth="1"/>
    <col min="5640" max="5640" width="16" style="4" customWidth="1"/>
    <col min="5641" max="5641" width="25.625" style="4" customWidth="1"/>
    <col min="5642" max="5642" width="12.625" style="4" customWidth="1"/>
    <col min="5643" max="5645" width="14.875" style="4" customWidth="1"/>
    <col min="5646" max="5646" width="20.625" style="4" bestFit="1" customWidth="1"/>
    <col min="5647" max="5648" width="14.875" style="4" customWidth="1"/>
    <col min="5649" max="5649" width="16.5" style="4" customWidth="1"/>
    <col min="5650" max="5650" width="18.625" style="4" customWidth="1"/>
    <col min="5651" max="5651" width="14.625" style="4" customWidth="1"/>
    <col min="5652" max="5652" width="12.625" style="4" customWidth="1"/>
    <col min="5653" max="5653" width="14.375" style="4" customWidth="1"/>
    <col min="5654" max="5655" width="14.875" style="4" customWidth="1"/>
    <col min="5656" max="5659" width="12.625" style="4" customWidth="1"/>
    <col min="5660" max="5660" width="14.625" style="4" customWidth="1"/>
    <col min="5661" max="5662" width="14.875" style="4" customWidth="1"/>
    <col min="5663" max="5666" width="12.625" style="4" customWidth="1"/>
    <col min="5667" max="5667" width="14.625" style="4" customWidth="1"/>
    <col min="5668" max="5669" width="14.875" style="4" customWidth="1"/>
    <col min="5670" max="5673" width="12.625" style="4" customWidth="1"/>
    <col min="5674" max="5674" width="14.625" style="4" customWidth="1"/>
    <col min="5675" max="5676" width="14.875" style="4" customWidth="1"/>
    <col min="5677" max="5680" width="12.625" style="4" customWidth="1"/>
    <col min="5681" max="5681" width="14.625" style="4" customWidth="1"/>
    <col min="5682" max="5683" width="14.875" style="4" customWidth="1"/>
    <col min="5684" max="5687" width="12.625" style="4" customWidth="1"/>
    <col min="5688" max="5688" width="14.625" style="4" customWidth="1"/>
    <col min="5689" max="5690" width="14.875" style="4" customWidth="1"/>
    <col min="5691" max="5694" width="12.625" style="4" customWidth="1"/>
    <col min="5695" max="5695" width="14.625" style="4" customWidth="1"/>
    <col min="5696" max="5697" width="14.875" style="4" customWidth="1"/>
    <col min="5698" max="5701" width="12.625" style="4" customWidth="1"/>
    <col min="5702" max="5702" width="14.625" style="4" customWidth="1"/>
    <col min="5703" max="5704" width="14.875" style="4" customWidth="1"/>
    <col min="5705" max="5708" width="12.625" style="4" customWidth="1"/>
    <col min="5709" max="5709" width="14.625" style="4" customWidth="1"/>
    <col min="5710" max="5711" width="14.875" style="4" customWidth="1"/>
    <col min="5712" max="5715" width="12.625" style="4" customWidth="1"/>
    <col min="5716" max="5716" width="14.625" style="4" customWidth="1"/>
    <col min="5717" max="5718" width="14.875" style="4" customWidth="1"/>
    <col min="5719" max="5722" width="12.625" style="4" customWidth="1"/>
    <col min="5723" max="5723" width="14.625" style="4" customWidth="1"/>
    <col min="5724" max="5882" width="9" style="4"/>
    <col min="5883" max="5883" width="11.875" style="4" customWidth="1"/>
    <col min="5884" max="5884" width="13.875" style="4" bestFit="1" customWidth="1"/>
    <col min="5885" max="5888" width="14.875" style="4" customWidth="1"/>
    <col min="5889" max="5889" width="18.875" style="4" bestFit="1" customWidth="1"/>
    <col min="5890" max="5890" width="14.875" style="4" customWidth="1"/>
    <col min="5891" max="5891" width="25.625" style="4" customWidth="1"/>
    <col min="5892" max="5892" width="17.625" style="4" bestFit="1" customWidth="1"/>
    <col min="5893" max="5894" width="14.875" style="4" customWidth="1"/>
    <col min="5895" max="5895" width="17" style="4" customWidth="1"/>
    <col min="5896" max="5896" width="16" style="4" customWidth="1"/>
    <col min="5897" max="5897" width="25.625" style="4" customWidth="1"/>
    <col min="5898" max="5898" width="12.625" style="4" customWidth="1"/>
    <col min="5899" max="5901" width="14.875" style="4" customWidth="1"/>
    <col min="5902" max="5902" width="20.625" style="4" bestFit="1" customWidth="1"/>
    <col min="5903" max="5904" width="14.875" style="4" customWidth="1"/>
    <col min="5905" max="5905" width="16.5" style="4" customWidth="1"/>
    <col min="5906" max="5906" width="18.625" style="4" customWidth="1"/>
    <col min="5907" max="5907" width="14.625" style="4" customWidth="1"/>
    <col min="5908" max="5908" width="12.625" style="4" customWidth="1"/>
    <col min="5909" max="5909" width="14.375" style="4" customWidth="1"/>
    <col min="5910" max="5911" width="14.875" style="4" customWidth="1"/>
    <col min="5912" max="5915" width="12.625" style="4" customWidth="1"/>
    <col min="5916" max="5916" width="14.625" style="4" customWidth="1"/>
    <col min="5917" max="5918" width="14.875" style="4" customWidth="1"/>
    <col min="5919" max="5922" width="12.625" style="4" customWidth="1"/>
    <col min="5923" max="5923" width="14.625" style="4" customWidth="1"/>
    <col min="5924" max="5925" width="14.875" style="4" customWidth="1"/>
    <col min="5926" max="5929" width="12.625" style="4" customWidth="1"/>
    <col min="5930" max="5930" width="14.625" style="4" customWidth="1"/>
    <col min="5931" max="5932" width="14.875" style="4" customWidth="1"/>
    <col min="5933" max="5936" width="12.625" style="4" customWidth="1"/>
    <col min="5937" max="5937" width="14.625" style="4" customWidth="1"/>
    <col min="5938" max="5939" width="14.875" style="4" customWidth="1"/>
    <col min="5940" max="5943" width="12.625" style="4" customWidth="1"/>
    <col min="5944" max="5944" width="14.625" style="4" customWidth="1"/>
    <col min="5945" max="5946" width="14.875" style="4" customWidth="1"/>
    <col min="5947" max="5950" width="12.625" style="4" customWidth="1"/>
    <col min="5951" max="5951" width="14.625" style="4" customWidth="1"/>
    <col min="5952" max="5953" width="14.875" style="4" customWidth="1"/>
    <col min="5954" max="5957" width="12.625" style="4" customWidth="1"/>
    <col min="5958" max="5958" width="14.625" style="4" customWidth="1"/>
    <col min="5959" max="5960" width="14.875" style="4" customWidth="1"/>
    <col min="5961" max="5964" width="12.625" style="4" customWidth="1"/>
    <col min="5965" max="5965" width="14.625" style="4" customWidth="1"/>
    <col min="5966" max="5967" width="14.875" style="4" customWidth="1"/>
    <col min="5968" max="5971" width="12.625" style="4" customWidth="1"/>
    <col min="5972" max="5972" width="14.625" style="4" customWidth="1"/>
    <col min="5973" max="5974" width="14.875" style="4" customWidth="1"/>
    <col min="5975" max="5978" width="12.625" style="4" customWidth="1"/>
    <col min="5979" max="5979" width="14.625" style="4" customWidth="1"/>
    <col min="5980" max="6138" width="9" style="4"/>
    <col min="6139" max="6139" width="11.875" style="4" customWidth="1"/>
    <col min="6140" max="6140" width="13.875" style="4" bestFit="1" customWidth="1"/>
    <col min="6141" max="6144" width="14.875" style="4" customWidth="1"/>
    <col min="6145" max="6145" width="18.875" style="4" bestFit="1" customWidth="1"/>
    <col min="6146" max="6146" width="14.875" style="4" customWidth="1"/>
    <col min="6147" max="6147" width="25.625" style="4" customWidth="1"/>
    <col min="6148" max="6148" width="17.625" style="4" bestFit="1" customWidth="1"/>
    <col min="6149" max="6150" width="14.875" style="4" customWidth="1"/>
    <col min="6151" max="6151" width="17" style="4" customWidth="1"/>
    <col min="6152" max="6152" width="16" style="4" customWidth="1"/>
    <col min="6153" max="6153" width="25.625" style="4" customWidth="1"/>
    <col min="6154" max="6154" width="12.625" style="4" customWidth="1"/>
    <col min="6155" max="6157" width="14.875" style="4" customWidth="1"/>
    <col min="6158" max="6158" width="20.625" style="4" bestFit="1" customWidth="1"/>
    <col min="6159" max="6160" width="14.875" style="4" customWidth="1"/>
    <col min="6161" max="6161" width="16.5" style="4" customWidth="1"/>
    <col min="6162" max="6162" width="18.625" style="4" customWidth="1"/>
    <col min="6163" max="6163" width="14.625" style="4" customWidth="1"/>
    <col min="6164" max="6164" width="12.625" style="4" customWidth="1"/>
    <col min="6165" max="6165" width="14.375" style="4" customWidth="1"/>
    <col min="6166" max="6167" width="14.875" style="4" customWidth="1"/>
    <col min="6168" max="6171" width="12.625" style="4" customWidth="1"/>
    <col min="6172" max="6172" width="14.625" style="4" customWidth="1"/>
    <col min="6173" max="6174" width="14.875" style="4" customWidth="1"/>
    <col min="6175" max="6178" width="12.625" style="4" customWidth="1"/>
    <col min="6179" max="6179" width="14.625" style="4" customWidth="1"/>
    <col min="6180" max="6181" width="14.875" style="4" customWidth="1"/>
    <col min="6182" max="6185" width="12.625" style="4" customWidth="1"/>
    <col min="6186" max="6186" width="14.625" style="4" customWidth="1"/>
    <col min="6187" max="6188" width="14.875" style="4" customWidth="1"/>
    <col min="6189" max="6192" width="12.625" style="4" customWidth="1"/>
    <col min="6193" max="6193" width="14.625" style="4" customWidth="1"/>
    <col min="6194" max="6195" width="14.875" style="4" customWidth="1"/>
    <col min="6196" max="6199" width="12.625" style="4" customWidth="1"/>
    <col min="6200" max="6200" width="14.625" style="4" customWidth="1"/>
    <col min="6201" max="6202" width="14.875" style="4" customWidth="1"/>
    <col min="6203" max="6206" width="12.625" style="4" customWidth="1"/>
    <col min="6207" max="6207" width="14.625" style="4" customWidth="1"/>
    <col min="6208" max="6209" width="14.875" style="4" customWidth="1"/>
    <col min="6210" max="6213" width="12.625" style="4" customWidth="1"/>
    <col min="6214" max="6214" width="14.625" style="4" customWidth="1"/>
    <col min="6215" max="6216" width="14.875" style="4" customWidth="1"/>
    <col min="6217" max="6220" width="12.625" style="4" customWidth="1"/>
    <col min="6221" max="6221" width="14.625" style="4" customWidth="1"/>
    <col min="6222" max="6223" width="14.875" style="4" customWidth="1"/>
    <col min="6224" max="6227" width="12.625" style="4" customWidth="1"/>
    <col min="6228" max="6228" width="14.625" style="4" customWidth="1"/>
    <col min="6229" max="6230" width="14.875" style="4" customWidth="1"/>
    <col min="6231" max="6234" width="12.625" style="4" customWidth="1"/>
    <col min="6235" max="6235" width="14.625" style="4" customWidth="1"/>
    <col min="6236" max="6394" width="9" style="4"/>
    <col min="6395" max="6395" width="11.875" style="4" customWidth="1"/>
    <col min="6396" max="6396" width="13.875" style="4" bestFit="1" customWidth="1"/>
    <col min="6397" max="6400" width="14.875" style="4" customWidth="1"/>
    <col min="6401" max="6401" width="18.875" style="4" bestFit="1" customWidth="1"/>
    <col min="6402" max="6402" width="14.875" style="4" customWidth="1"/>
    <col min="6403" max="6403" width="25.625" style="4" customWidth="1"/>
    <col min="6404" max="6404" width="17.625" style="4" bestFit="1" customWidth="1"/>
    <col min="6405" max="6406" width="14.875" style="4" customWidth="1"/>
    <col min="6407" max="6407" width="17" style="4" customWidth="1"/>
    <col min="6408" max="6408" width="16" style="4" customWidth="1"/>
    <col min="6409" max="6409" width="25.625" style="4" customWidth="1"/>
    <col min="6410" max="6410" width="12.625" style="4" customWidth="1"/>
    <col min="6411" max="6413" width="14.875" style="4" customWidth="1"/>
    <col min="6414" max="6414" width="20.625" style="4" bestFit="1" customWidth="1"/>
    <col min="6415" max="6416" width="14.875" style="4" customWidth="1"/>
    <col min="6417" max="6417" width="16.5" style="4" customWidth="1"/>
    <col min="6418" max="6418" width="18.625" style="4" customWidth="1"/>
    <col min="6419" max="6419" width="14.625" style="4" customWidth="1"/>
    <col min="6420" max="6420" width="12.625" style="4" customWidth="1"/>
    <col min="6421" max="6421" width="14.375" style="4" customWidth="1"/>
    <col min="6422" max="6423" width="14.875" style="4" customWidth="1"/>
    <col min="6424" max="6427" width="12.625" style="4" customWidth="1"/>
    <col min="6428" max="6428" width="14.625" style="4" customWidth="1"/>
    <col min="6429" max="6430" width="14.875" style="4" customWidth="1"/>
    <col min="6431" max="6434" width="12.625" style="4" customWidth="1"/>
    <col min="6435" max="6435" width="14.625" style="4" customWidth="1"/>
    <col min="6436" max="6437" width="14.875" style="4" customWidth="1"/>
    <col min="6438" max="6441" width="12.625" style="4" customWidth="1"/>
    <col min="6442" max="6442" width="14.625" style="4" customWidth="1"/>
    <col min="6443" max="6444" width="14.875" style="4" customWidth="1"/>
    <col min="6445" max="6448" width="12.625" style="4" customWidth="1"/>
    <col min="6449" max="6449" width="14.625" style="4" customWidth="1"/>
    <col min="6450" max="6451" width="14.875" style="4" customWidth="1"/>
    <col min="6452" max="6455" width="12.625" style="4" customWidth="1"/>
    <col min="6456" max="6456" width="14.625" style="4" customWidth="1"/>
    <col min="6457" max="6458" width="14.875" style="4" customWidth="1"/>
    <col min="6459" max="6462" width="12.625" style="4" customWidth="1"/>
    <col min="6463" max="6463" width="14.625" style="4" customWidth="1"/>
    <col min="6464" max="6465" width="14.875" style="4" customWidth="1"/>
    <col min="6466" max="6469" width="12.625" style="4" customWidth="1"/>
    <col min="6470" max="6470" width="14.625" style="4" customWidth="1"/>
    <col min="6471" max="6472" width="14.875" style="4" customWidth="1"/>
    <col min="6473" max="6476" width="12.625" style="4" customWidth="1"/>
    <col min="6477" max="6477" width="14.625" style="4" customWidth="1"/>
    <col min="6478" max="6479" width="14.875" style="4" customWidth="1"/>
    <col min="6480" max="6483" width="12.625" style="4" customWidth="1"/>
    <col min="6484" max="6484" width="14.625" style="4" customWidth="1"/>
    <col min="6485" max="6486" width="14.875" style="4" customWidth="1"/>
    <col min="6487" max="6490" width="12.625" style="4" customWidth="1"/>
    <col min="6491" max="6491" width="14.625" style="4" customWidth="1"/>
    <col min="6492" max="6650" width="9" style="4"/>
    <col min="6651" max="6651" width="11.875" style="4" customWidth="1"/>
    <col min="6652" max="6652" width="13.875" style="4" bestFit="1" customWidth="1"/>
    <col min="6653" max="6656" width="14.875" style="4" customWidth="1"/>
    <col min="6657" max="6657" width="18.875" style="4" bestFit="1" customWidth="1"/>
    <col min="6658" max="6658" width="14.875" style="4" customWidth="1"/>
    <col min="6659" max="6659" width="25.625" style="4" customWidth="1"/>
    <col min="6660" max="6660" width="17.625" style="4" bestFit="1" customWidth="1"/>
    <col min="6661" max="6662" width="14.875" style="4" customWidth="1"/>
    <col min="6663" max="6663" width="17" style="4" customWidth="1"/>
    <col min="6664" max="6664" width="16" style="4" customWidth="1"/>
    <col min="6665" max="6665" width="25.625" style="4" customWidth="1"/>
    <col min="6666" max="6666" width="12.625" style="4" customWidth="1"/>
    <col min="6667" max="6669" width="14.875" style="4" customWidth="1"/>
    <col min="6670" max="6670" width="20.625" style="4" bestFit="1" customWidth="1"/>
    <col min="6671" max="6672" width="14.875" style="4" customWidth="1"/>
    <col min="6673" max="6673" width="16.5" style="4" customWidth="1"/>
    <col min="6674" max="6674" width="18.625" style="4" customWidth="1"/>
    <col min="6675" max="6675" width="14.625" style="4" customWidth="1"/>
    <col min="6676" max="6676" width="12.625" style="4" customWidth="1"/>
    <col min="6677" max="6677" width="14.375" style="4" customWidth="1"/>
    <col min="6678" max="6679" width="14.875" style="4" customWidth="1"/>
    <col min="6680" max="6683" width="12.625" style="4" customWidth="1"/>
    <col min="6684" max="6684" width="14.625" style="4" customWidth="1"/>
    <col min="6685" max="6686" width="14.875" style="4" customWidth="1"/>
    <col min="6687" max="6690" width="12.625" style="4" customWidth="1"/>
    <col min="6691" max="6691" width="14.625" style="4" customWidth="1"/>
    <col min="6692" max="6693" width="14.875" style="4" customWidth="1"/>
    <col min="6694" max="6697" width="12.625" style="4" customWidth="1"/>
    <col min="6698" max="6698" width="14.625" style="4" customWidth="1"/>
    <col min="6699" max="6700" width="14.875" style="4" customWidth="1"/>
    <col min="6701" max="6704" width="12.625" style="4" customWidth="1"/>
    <col min="6705" max="6705" width="14.625" style="4" customWidth="1"/>
    <col min="6706" max="6707" width="14.875" style="4" customWidth="1"/>
    <col min="6708" max="6711" width="12.625" style="4" customWidth="1"/>
    <col min="6712" max="6712" width="14.625" style="4" customWidth="1"/>
    <col min="6713" max="6714" width="14.875" style="4" customWidth="1"/>
    <col min="6715" max="6718" width="12.625" style="4" customWidth="1"/>
    <col min="6719" max="6719" width="14.625" style="4" customWidth="1"/>
    <col min="6720" max="6721" width="14.875" style="4" customWidth="1"/>
    <col min="6722" max="6725" width="12.625" style="4" customWidth="1"/>
    <col min="6726" max="6726" width="14.625" style="4" customWidth="1"/>
    <col min="6727" max="6728" width="14.875" style="4" customWidth="1"/>
    <col min="6729" max="6732" width="12.625" style="4" customWidth="1"/>
    <col min="6733" max="6733" width="14.625" style="4" customWidth="1"/>
    <col min="6734" max="6735" width="14.875" style="4" customWidth="1"/>
    <col min="6736" max="6739" width="12.625" style="4" customWidth="1"/>
    <col min="6740" max="6740" width="14.625" style="4" customWidth="1"/>
    <col min="6741" max="6742" width="14.875" style="4" customWidth="1"/>
    <col min="6743" max="6746" width="12.625" style="4" customWidth="1"/>
    <col min="6747" max="6747" width="14.625" style="4" customWidth="1"/>
    <col min="6748" max="6906" width="9" style="4"/>
    <col min="6907" max="6907" width="11.875" style="4" customWidth="1"/>
    <col min="6908" max="6908" width="13.875" style="4" bestFit="1" customWidth="1"/>
    <col min="6909" max="6912" width="14.875" style="4" customWidth="1"/>
    <col min="6913" max="6913" width="18.875" style="4" bestFit="1" customWidth="1"/>
    <col min="6914" max="6914" width="14.875" style="4" customWidth="1"/>
    <col min="6915" max="6915" width="25.625" style="4" customWidth="1"/>
    <col min="6916" max="6916" width="17.625" style="4" bestFit="1" customWidth="1"/>
    <col min="6917" max="6918" width="14.875" style="4" customWidth="1"/>
    <col min="6919" max="6919" width="17" style="4" customWidth="1"/>
    <col min="6920" max="6920" width="16" style="4" customWidth="1"/>
    <col min="6921" max="6921" width="25.625" style="4" customWidth="1"/>
    <col min="6922" max="6922" width="12.625" style="4" customWidth="1"/>
    <col min="6923" max="6925" width="14.875" style="4" customWidth="1"/>
    <col min="6926" max="6926" width="20.625" style="4" bestFit="1" customWidth="1"/>
    <col min="6927" max="6928" width="14.875" style="4" customWidth="1"/>
    <col min="6929" max="6929" width="16.5" style="4" customWidth="1"/>
    <col min="6930" max="6930" width="18.625" style="4" customWidth="1"/>
    <col min="6931" max="6931" width="14.625" style="4" customWidth="1"/>
    <col min="6932" max="6932" width="12.625" style="4" customWidth="1"/>
    <col min="6933" max="6933" width="14.375" style="4" customWidth="1"/>
    <col min="6934" max="6935" width="14.875" style="4" customWidth="1"/>
    <col min="6936" max="6939" width="12.625" style="4" customWidth="1"/>
    <col min="6940" max="6940" width="14.625" style="4" customWidth="1"/>
    <col min="6941" max="6942" width="14.875" style="4" customWidth="1"/>
    <col min="6943" max="6946" width="12.625" style="4" customWidth="1"/>
    <col min="6947" max="6947" width="14.625" style="4" customWidth="1"/>
    <col min="6948" max="6949" width="14.875" style="4" customWidth="1"/>
    <col min="6950" max="6953" width="12.625" style="4" customWidth="1"/>
    <col min="6954" max="6954" width="14.625" style="4" customWidth="1"/>
    <col min="6955" max="6956" width="14.875" style="4" customWidth="1"/>
    <col min="6957" max="6960" width="12.625" style="4" customWidth="1"/>
    <col min="6961" max="6961" width="14.625" style="4" customWidth="1"/>
    <col min="6962" max="6963" width="14.875" style="4" customWidth="1"/>
    <col min="6964" max="6967" width="12.625" style="4" customWidth="1"/>
    <col min="6968" max="6968" width="14.625" style="4" customWidth="1"/>
    <col min="6969" max="6970" width="14.875" style="4" customWidth="1"/>
    <col min="6971" max="6974" width="12.625" style="4" customWidth="1"/>
    <col min="6975" max="6975" width="14.625" style="4" customWidth="1"/>
    <col min="6976" max="6977" width="14.875" style="4" customWidth="1"/>
    <col min="6978" max="6981" width="12.625" style="4" customWidth="1"/>
    <col min="6982" max="6982" width="14.625" style="4" customWidth="1"/>
    <col min="6983" max="6984" width="14.875" style="4" customWidth="1"/>
    <col min="6985" max="6988" width="12.625" style="4" customWidth="1"/>
    <col min="6989" max="6989" width="14.625" style="4" customWidth="1"/>
    <col min="6990" max="6991" width="14.875" style="4" customWidth="1"/>
    <col min="6992" max="6995" width="12.625" style="4" customWidth="1"/>
    <col min="6996" max="6996" width="14.625" style="4" customWidth="1"/>
    <col min="6997" max="6998" width="14.875" style="4" customWidth="1"/>
    <col min="6999" max="7002" width="12.625" style="4" customWidth="1"/>
    <col min="7003" max="7003" width="14.625" style="4" customWidth="1"/>
    <col min="7004" max="7162" width="9" style="4"/>
    <col min="7163" max="7163" width="11.875" style="4" customWidth="1"/>
    <col min="7164" max="7164" width="13.875" style="4" bestFit="1" customWidth="1"/>
    <col min="7165" max="7168" width="14.875" style="4" customWidth="1"/>
    <col min="7169" max="7169" width="18.875" style="4" bestFit="1" customWidth="1"/>
    <col min="7170" max="7170" width="14.875" style="4" customWidth="1"/>
    <col min="7171" max="7171" width="25.625" style="4" customWidth="1"/>
    <col min="7172" max="7172" width="17.625" style="4" bestFit="1" customWidth="1"/>
    <col min="7173" max="7174" width="14.875" style="4" customWidth="1"/>
    <col min="7175" max="7175" width="17" style="4" customWidth="1"/>
    <col min="7176" max="7176" width="16" style="4" customWidth="1"/>
    <col min="7177" max="7177" width="25.625" style="4" customWidth="1"/>
    <col min="7178" max="7178" width="12.625" style="4" customWidth="1"/>
    <col min="7179" max="7181" width="14.875" style="4" customWidth="1"/>
    <col min="7182" max="7182" width="20.625" style="4" bestFit="1" customWidth="1"/>
    <col min="7183" max="7184" width="14.875" style="4" customWidth="1"/>
    <col min="7185" max="7185" width="16.5" style="4" customWidth="1"/>
    <col min="7186" max="7186" width="18.625" style="4" customWidth="1"/>
    <col min="7187" max="7187" width="14.625" style="4" customWidth="1"/>
    <col min="7188" max="7188" width="12.625" style="4" customWidth="1"/>
    <col min="7189" max="7189" width="14.375" style="4" customWidth="1"/>
    <col min="7190" max="7191" width="14.875" style="4" customWidth="1"/>
    <col min="7192" max="7195" width="12.625" style="4" customWidth="1"/>
    <col min="7196" max="7196" width="14.625" style="4" customWidth="1"/>
    <col min="7197" max="7198" width="14.875" style="4" customWidth="1"/>
    <col min="7199" max="7202" width="12.625" style="4" customWidth="1"/>
    <col min="7203" max="7203" width="14.625" style="4" customWidth="1"/>
    <col min="7204" max="7205" width="14.875" style="4" customWidth="1"/>
    <col min="7206" max="7209" width="12.625" style="4" customWidth="1"/>
    <col min="7210" max="7210" width="14.625" style="4" customWidth="1"/>
    <col min="7211" max="7212" width="14.875" style="4" customWidth="1"/>
    <col min="7213" max="7216" width="12.625" style="4" customWidth="1"/>
    <col min="7217" max="7217" width="14.625" style="4" customWidth="1"/>
    <col min="7218" max="7219" width="14.875" style="4" customWidth="1"/>
    <col min="7220" max="7223" width="12.625" style="4" customWidth="1"/>
    <col min="7224" max="7224" width="14.625" style="4" customWidth="1"/>
    <col min="7225" max="7226" width="14.875" style="4" customWidth="1"/>
    <col min="7227" max="7230" width="12.625" style="4" customWidth="1"/>
    <col min="7231" max="7231" width="14.625" style="4" customWidth="1"/>
    <col min="7232" max="7233" width="14.875" style="4" customWidth="1"/>
    <col min="7234" max="7237" width="12.625" style="4" customWidth="1"/>
    <col min="7238" max="7238" width="14.625" style="4" customWidth="1"/>
    <col min="7239" max="7240" width="14.875" style="4" customWidth="1"/>
    <col min="7241" max="7244" width="12.625" style="4" customWidth="1"/>
    <col min="7245" max="7245" width="14.625" style="4" customWidth="1"/>
    <col min="7246" max="7247" width="14.875" style="4" customWidth="1"/>
    <col min="7248" max="7251" width="12.625" style="4" customWidth="1"/>
    <col min="7252" max="7252" width="14.625" style="4" customWidth="1"/>
    <col min="7253" max="7254" width="14.875" style="4" customWidth="1"/>
    <col min="7255" max="7258" width="12.625" style="4" customWidth="1"/>
    <col min="7259" max="7259" width="14.625" style="4" customWidth="1"/>
    <col min="7260" max="7418" width="9" style="4"/>
    <col min="7419" max="7419" width="11.875" style="4" customWidth="1"/>
    <col min="7420" max="7420" width="13.875" style="4" bestFit="1" customWidth="1"/>
    <col min="7421" max="7424" width="14.875" style="4" customWidth="1"/>
    <col min="7425" max="7425" width="18.875" style="4" bestFit="1" customWidth="1"/>
    <col min="7426" max="7426" width="14.875" style="4" customWidth="1"/>
    <col min="7427" max="7427" width="25.625" style="4" customWidth="1"/>
    <col min="7428" max="7428" width="17.625" style="4" bestFit="1" customWidth="1"/>
    <col min="7429" max="7430" width="14.875" style="4" customWidth="1"/>
    <col min="7431" max="7431" width="17" style="4" customWidth="1"/>
    <col min="7432" max="7432" width="16" style="4" customWidth="1"/>
    <col min="7433" max="7433" width="25.625" style="4" customWidth="1"/>
    <col min="7434" max="7434" width="12.625" style="4" customWidth="1"/>
    <col min="7435" max="7437" width="14.875" style="4" customWidth="1"/>
    <col min="7438" max="7438" width="20.625" style="4" bestFit="1" customWidth="1"/>
    <col min="7439" max="7440" width="14.875" style="4" customWidth="1"/>
    <col min="7441" max="7441" width="16.5" style="4" customWidth="1"/>
    <col min="7442" max="7442" width="18.625" style="4" customWidth="1"/>
    <col min="7443" max="7443" width="14.625" style="4" customWidth="1"/>
    <col min="7444" max="7444" width="12.625" style="4" customWidth="1"/>
    <col min="7445" max="7445" width="14.375" style="4" customWidth="1"/>
    <col min="7446" max="7447" width="14.875" style="4" customWidth="1"/>
    <col min="7448" max="7451" width="12.625" style="4" customWidth="1"/>
    <col min="7452" max="7452" width="14.625" style="4" customWidth="1"/>
    <col min="7453" max="7454" width="14.875" style="4" customWidth="1"/>
    <col min="7455" max="7458" width="12.625" style="4" customWidth="1"/>
    <col min="7459" max="7459" width="14.625" style="4" customWidth="1"/>
    <col min="7460" max="7461" width="14.875" style="4" customWidth="1"/>
    <col min="7462" max="7465" width="12.625" style="4" customWidth="1"/>
    <col min="7466" max="7466" width="14.625" style="4" customWidth="1"/>
    <col min="7467" max="7468" width="14.875" style="4" customWidth="1"/>
    <col min="7469" max="7472" width="12.625" style="4" customWidth="1"/>
    <col min="7473" max="7473" width="14.625" style="4" customWidth="1"/>
    <col min="7474" max="7475" width="14.875" style="4" customWidth="1"/>
    <col min="7476" max="7479" width="12.625" style="4" customWidth="1"/>
    <col min="7480" max="7480" width="14.625" style="4" customWidth="1"/>
    <col min="7481" max="7482" width="14.875" style="4" customWidth="1"/>
    <col min="7483" max="7486" width="12.625" style="4" customWidth="1"/>
    <col min="7487" max="7487" width="14.625" style="4" customWidth="1"/>
    <col min="7488" max="7489" width="14.875" style="4" customWidth="1"/>
    <col min="7490" max="7493" width="12.625" style="4" customWidth="1"/>
    <col min="7494" max="7494" width="14.625" style="4" customWidth="1"/>
    <col min="7495" max="7496" width="14.875" style="4" customWidth="1"/>
    <col min="7497" max="7500" width="12.625" style="4" customWidth="1"/>
    <col min="7501" max="7501" width="14.625" style="4" customWidth="1"/>
    <col min="7502" max="7503" width="14.875" style="4" customWidth="1"/>
    <col min="7504" max="7507" width="12.625" style="4" customWidth="1"/>
    <col min="7508" max="7508" width="14.625" style="4" customWidth="1"/>
    <col min="7509" max="7510" width="14.875" style="4" customWidth="1"/>
    <col min="7511" max="7514" width="12.625" style="4" customWidth="1"/>
    <col min="7515" max="7515" width="14.625" style="4" customWidth="1"/>
    <col min="7516" max="7674" width="9" style="4"/>
    <col min="7675" max="7675" width="11.875" style="4" customWidth="1"/>
    <col min="7676" max="7676" width="13.875" style="4" bestFit="1" customWidth="1"/>
    <col min="7677" max="7680" width="14.875" style="4" customWidth="1"/>
    <col min="7681" max="7681" width="18.875" style="4" bestFit="1" customWidth="1"/>
    <col min="7682" max="7682" width="14.875" style="4" customWidth="1"/>
    <col min="7683" max="7683" width="25.625" style="4" customWidth="1"/>
    <col min="7684" max="7684" width="17.625" style="4" bestFit="1" customWidth="1"/>
    <col min="7685" max="7686" width="14.875" style="4" customWidth="1"/>
    <col min="7687" max="7687" width="17" style="4" customWidth="1"/>
    <col min="7688" max="7688" width="16" style="4" customWidth="1"/>
    <col min="7689" max="7689" width="25.625" style="4" customWidth="1"/>
    <col min="7690" max="7690" width="12.625" style="4" customWidth="1"/>
    <col min="7691" max="7693" width="14.875" style="4" customWidth="1"/>
    <col min="7694" max="7694" width="20.625" style="4" bestFit="1" customWidth="1"/>
    <col min="7695" max="7696" width="14.875" style="4" customWidth="1"/>
    <col min="7697" max="7697" width="16.5" style="4" customWidth="1"/>
    <col min="7698" max="7698" width="18.625" style="4" customWidth="1"/>
    <col min="7699" max="7699" width="14.625" style="4" customWidth="1"/>
    <col min="7700" max="7700" width="12.625" style="4" customWidth="1"/>
    <col min="7701" max="7701" width="14.375" style="4" customWidth="1"/>
    <col min="7702" max="7703" width="14.875" style="4" customWidth="1"/>
    <col min="7704" max="7707" width="12.625" style="4" customWidth="1"/>
    <col min="7708" max="7708" width="14.625" style="4" customWidth="1"/>
    <col min="7709" max="7710" width="14.875" style="4" customWidth="1"/>
    <col min="7711" max="7714" width="12.625" style="4" customWidth="1"/>
    <col min="7715" max="7715" width="14.625" style="4" customWidth="1"/>
    <col min="7716" max="7717" width="14.875" style="4" customWidth="1"/>
    <col min="7718" max="7721" width="12.625" style="4" customWidth="1"/>
    <col min="7722" max="7722" width="14.625" style="4" customWidth="1"/>
    <col min="7723" max="7724" width="14.875" style="4" customWidth="1"/>
    <col min="7725" max="7728" width="12.625" style="4" customWidth="1"/>
    <col min="7729" max="7729" width="14.625" style="4" customWidth="1"/>
    <col min="7730" max="7731" width="14.875" style="4" customWidth="1"/>
    <col min="7732" max="7735" width="12.625" style="4" customWidth="1"/>
    <col min="7736" max="7736" width="14.625" style="4" customWidth="1"/>
    <col min="7737" max="7738" width="14.875" style="4" customWidth="1"/>
    <col min="7739" max="7742" width="12.625" style="4" customWidth="1"/>
    <col min="7743" max="7743" width="14.625" style="4" customWidth="1"/>
    <col min="7744" max="7745" width="14.875" style="4" customWidth="1"/>
    <col min="7746" max="7749" width="12.625" style="4" customWidth="1"/>
    <col min="7750" max="7750" width="14.625" style="4" customWidth="1"/>
    <col min="7751" max="7752" width="14.875" style="4" customWidth="1"/>
    <col min="7753" max="7756" width="12.625" style="4" customWidth="1"/>
    <col min="7757" max="7757" width="14.625" style="4" customWidth="1"/>
    <col min="7758" max="7759" width="14.875" style="4" customWidth="1"/>
    <col min="7760" max="7763" width="12.625" style="4" customWidth="1"/>
    <col min="7764" max="7764" width="14.625" style="4" customWidth="1"/>
    <col min="7765" max="7766" width="14.875" style="4" customWidth="1"/>
    <col min="7767" max="7770" width="12.625" style="4" customWidth="1"/>
    <col min="7771" max="7771" width="14.625" style="4" customWidth="1"/>
    <col min="7772" max="7930" width="9" style="4"/>
    <col min="7931" max="7931" width="11.875" style="4" customWidth="1"/>
    <col min="7932" max="7932" width="13.875" style="4" bestFit="1" customWidth="1"/>
    <col min="7933" max="7936" width="14.875" style="4" customWidth="1"/>
    <col min="7937" max="7937" width="18.875" style="4" bestFit="1" customWidth="1"/>
    <col min="7938" max="7938" width="14.875" style="4" customWidth="1"/>
    <col min="7939" max="7939" width="25.625" style="4" customWidth="1"/>
    <col min="7940" max="7940" width="17.625" style="4" bestFit="1" customWidth="1"/>
    <col min="7941" max="7942" width="14.875" style="4" customWidth="1"/>
    <col min="7943" max="7943" width="17" style="4" customWidth="1"/>
    <col min="7944" max="7944" width="16" style="4" customWidth="1"/>
    <col min="7945" max="7945" width="25.625" style="4" customWidth="1"/>
    <col min="7946" max="7946" width="12.625" style="4" customWidth="1"/>
    <col min="7947" max="7949" width="14.875" style="4" customWidth="1"/>
    <col min="7950" max="7950" width="20.625" style="4" bestFit="1" customWidth="1"/>
    <col min="7951" max="7952" width="14.875" style="4" customWidth="1"/>
    <col min="7953" max="7953" width="16.5" style="4" customWidth="1"/>
    <col min="7954" max="7954" width="18.625" style="4" customWidth="1"/>
    <col min="7955" max="7955" width="14.625" style="4" customWidth="1"/>
    <col min="7956" max="7956" width="12.625" style="4" customWidth="1"/>
    <col min="7957" max="7957" width="14.375" style="4" customWidth="1"/>
    <col min="7958" max="7959" width="14.875" style="4" customWidth="1"/>
    <col min="7960" max="7963" width="12.625" style="4" customWidth="1"/>
    <col min="7964" max="7964" width="14.625" style="4" customWidth="1"/>
    <col min="7965" max="7966" width="14.875" style="4" customWidth="1"/>
    <col min="7967" max="7970" width="12.625" style="4" customWidth="1"/>
    <col min="7971" max="7971" width="14.625" style="4" customWidth="1"/>
    <col min="7972" max="7973" width="14.875" style="4" customWidth="1"/>
    <col min="7974" max="7977" width="12.625" style="4" customWidth="1"/>
    <col min="7978" max="7978" width="14.625" style="4" customWidth="1"/>
    <col min="7979" max="7980" width="14.875" style="4" customWidth="1"/>
    <col min="7981" max="7984" width="12.625" style="4" customWidth="1"/>
    <col min="7985" max="7985" width="14.625" style="4" customWidth="1"/>
    <col min="7986" max="7987" width="14.875" style="4" customWidth="1"/>
    <col min="7988" max="7991" width="12.625" style="4" customWidth="1"/>
    <col min="7992" max="7992" width="14.625" style="4" customWidth="1"/>
    <col min="7993" max="7994" width="14.875" style="4" customWidth="1"/>
    <col min="7995" max="7998" width="12.625" style="4" customWidth="1"/>
    <col min="7999" max="7999" width="14.625" style="4" customWidth="1"/>
    <col min="8000" max="8001" width="14.875" style="4" customWidth="1"/>
    <col min="8002" max="8005" width="12.625" style="4" customWidth="1"/>
    <col min="8006" max="8006" width="14.625" style="4" customWidth="1"/>
    <col min="8007" max="8008" width="14.875" style="4" customWidth="1"/>
    <col min="8009" max="8012" width="12.625" style="4" customWidth="1"/>
    <col min="8013" max="8013" width="14.625" style="4" customWidth="1"/>
    <col min="8014" max="8015" width="14.875" style="4" customWidth="1"/>
    <col min="8016" max="8019" width="12.625" style="4" customWidth="1"/>
    <col min="8020" max="8020" width="14.625" style="4" customWidth="1"/>
    <col min="8021" max="8022" width="14.875" style="4" customWidth="1"/>
    <col min="8023" max="8026" width="12.625" style="4" customWidth="1"/>
    <col min="8027" max="8027" width="14.625" style="4" customWidth="1"/>
    <col min="8028" max="8186" width="9" style="4"/>
    <col min="8187" max="8187" width="11.875" style="4" customWidth="1"/>
    <col min="8188" max="8188" width="13.875" style="4" bestFit="1" customWidth="1"/>
    <col min="8189" max="8192" width="14.875" style="4" customWidth="1"/>
    <col min="8193" max="8193" width="18.875" style="4" bestFit="1" customWidth="1"/>
    <col min="8194" max="8194" width="14.875" style="4" customWidth="1"/>
    <col min="8195" max="8195" width="25.625" style="4" customWidth="1"/>
    <col min="8196" max="8196" width="17.625" style="4" bestFit="1" customWidth="1"/>
    <col min="8197" max="8198" width="14.875" style="4" customWidth="1"/>
    <col min="8199" max="8199" width="17" style="4" customWidth="1"/>
    <col min="8200" max="8200" width="16" style="4" customWidth="1"/>
    <col min="8201" max="8201" width="25.625" style="4" customWidth="1"/>
    <col min="8202" max="8202" width="12.625" style="4" customWidth="1"/>
    <col min="8203" max="8205" width="14.875" style="4" customWidth="1"/>
    <col min="8206" max="8206" width="20.625" style="4" bestFit="1" customWidth="1"/>
    <col min="8207" max="8208" width="14.875" style="4" customWidth="1"/>
    <col min="8209" max="8209" width="16.5" style="4" customWidth="1"/>
    <col min="8210" max="8210" width="18.625" style="4" customWidth="1"/>
    <col min="8211" max="8211" width="14.625" style="4" customWidth="1"/>
    <col min="8212" max="8212" width="12.625" style="4" customWidth="1"/>
    <col min="8213" max="8213" width="14.375" style="4" customWidth="1"/>
    <col min="8214" max="8215" width="14.875" style="4" customWidth="1"/>
    <col min="8216" max="8219" width="12.625" style="4" customWidth="1"/>
    <col min="8220" max="8220" width="14.625" style="4" customWidth="1"/>
    <col min="8221" max="8222" width="14.875" style="4" customWidth="1"/>
    <col min="8223" max="8226" width="12.625" style="4" customWidth="1"/>
    <col min="8227" max="8227" width="14.625" style="4" customWidth="1"/>
    <col min="8228" max="8229" width="14.875" style="4" customWidth="1"/>
    <col min="8230" max="8233" width="12.625" style="4" customWidth="1"/>
    <col min="8234" max="8234" width="14.625" style="4" customWidth="1"/>
    <col min="8235" max="8236" width="14.875" style="4" customWidth="1"/>
    <col min="8237" max="8240" width="12.625" style="4" customWidth="1"/>
    <col min="8241" max="8241" width="14.625" style="4" customWidth="1"/>
    <col min="8242" max="8243" width="14.875" style="4" customWidth="1"/>
    <col min="8244" max="8247" width="12.625" style="4" customWidth="1"/>
    <col min="8248" max="8248" width="14.625" style="4" customWidth="1"/>
    <col min="8249" max="8250" width="14.875" style="4" customWidth="1"/>
    <col min="8251" max="8254" width="12.625" style="4" customWidth="1"/>
    <col min="8255" max="8255" width="14.625" style="4" customWidth="1"/>
    <col min="8256" max="8257" width="14.875" style="4" customWidth="1"/>
    <col min="8258" max="8261" width="12.625" style="4" customWidth="1"/>
    <col min="8262" max="8262" width="14.625" style="4" customWidth="1"/>
    <col min="8263" max="8264" width="14.875" style="4" customWidth="1"/>
    <col min="8265" max="8268" width="12.625" style="4" customWidth="1"/>
    <col min="8269" max="8269" width="14.625" style="4" customWidth="1"/>
    <col min="8270" max="8271" width="14.875" style="4" customWidth="1"/>
    <col min="8272" max="8275" width="12.625" style="4" customWidth="1"/>
    <col min="8276" max="8276" width="14.625" style="4" customWidth="1"/>
    <col min="8277" max="8278" width="14.875" style="4" customWidth="1"/>
    <col min="8279" max="8282" width="12.625" style="4" customWidth="1"/>
    <col min="8283" max="8283" width="14.625" style="4" customWidth="1"/>
    <col min="8284" max="8442" width="9" style="4"/>
    <col min="8443" max="8443" width="11.875" style="4" customWidth="1"/>
    <col min="8444" max="8444" width="13.875" style="4" bestFit="1" customWidth="1"/>
    <col min="8445" max="8448" width="14.875" style="4" customWidth="1"/>
    <col min="8449" max="8449" width="18.875" style="4" bestFit="1" customWidth="1"/>
    <col min="8450" max="8450" width="14.875" style="4" customWidth="1"/>
    <col min="8451" max="8451" width="25.625" style="4" customWidth="1"/>
    <col min="8452" max="8452" width="17.625" style="4" bestFit="1" customWidth="1"/>
    <col min="8453" max="8454" width="14.875" style="4" customWidth="1"/>
    <col min="8455" max="8455" width="17" style="4" customWidth="1"/>
    <col min="8456" max="8456" width="16" style="4" customWidth="1"/>
    <col min="8457" max="8457" width="25.625" style="4" customWidth="1"/>
    <col min="8458" max="8458" width="12.625" style="4" customWidth="1"/>
    <col min="8459" max="8461" width="14.875" style="4" customWidth="1"/>
    <col min="8462" max="8462" width="20.625" style="4" bestFit="1" customWidth="1"/>
    <col min="8463" max="8464" width="14.875" style="4" customWidth="1"/>
    <col min="8465" max="8465" width="16.5" style="4" customWidth="1"/>
    <col min="8466" max="8466" width="18.625" style="4" customWidth="1"/>
    <col min="8467" max="8467" width="14.625" style="4" customWidth="1"/>
    <col min="8468" max="8468" width="12.625" style="4" customWidth="1"/>
    <col min="8469" max="8469" width="14.375" style="4" customWidth="1"/>
    <col min="8470" max="8471" width="14.875" style="4" customWidth="1"/>
    <col min="8472" max="8475" width="12.625" style="4" customWidth="1"/>
    <col min="8476" max="8476" width="14.625" style="4" customWidth="1"/>
    <col min="8477" max="8478" width="14.875" style="4" customWidth="1"/>
    <col min="8479" max="8482" width="12.625" style="4" customWidth="1"/>
    <col min="8483" max="8483" width="14.625" style="4" customWidth="1"/>
    <col min="8484" max="8485" width="14.875" style="4" customWidth="1"/>
    <col min="8486" max="8489" width="12.625" style="4" customWidth="1"/>
    <col min="8490" max="8490" width="14.625" style="4" customWidth="1"/>
    <col min="8491" max="8492" width="14.875" style="4" customWidth="1"/>
    <col min="8493" max="8496" width="12.625" style="4" customWidth="1"/>
    <col min="8497" max="8497" width="14.625" style="4" customWidth="1"/>
    <col min="8498" max="8499" width="14.875" style="4" customWidth="1"/>
    <col min="8500" max="8503" width="12.625" style="4" customWidth="1"/>
    <col min="8504" max="8504" width="14.625" style="4" customWidth="1"/>
    <col min="8505" max="8506" width="14.875" style="4" customWidth="1"/>
    <col min="8507" max="8510" width="12.625" style="4" customWidth="1"/>
    <col min="8511" max="8511" width="14.625" style="4" customWidth="1"/>
    <col min="8512" max="8513" width="14.875" style="4" customWidth="1"/>
    <col min="8514" max="8517" width="12.625" style="4" customWidth="1"/>
    <col min="8518" max="8518" width="14.625" style="4" customWidth="1"/>
    <col min="8519" max="8520" width="14.875" style="4" customWidth="1"/>
    <col min="8521" max="8524" width="12.625" style="4" customWidth="1"/>
    <col min="8525" max="8525" width="14.625" style="4" customWidth="1"/>
    <col min="8526" max="8527" width="14.875" style="4" customWidth="1"/>
    <col min="8528" max="8531" width="12.625" style="4" customWidth="1"/>
    <col min="8532" max="8532" width="14.625" style="4" customWidth="1"/>
    <col min="8533" max="8534" width="14.875" style="4" customWidth="1"/>
    <col min="8535" max="8538" width="12.625" style="4" customWidth="1"/>
    <col min="8539" max="8539" width="14.625" style="4" customWidth="1"/>
    <col min="8540" max="8698" width="9" style="4"/>
    <col min="8699" max="8699" width="11.875" style="4" customWidth="1"/>
    <col min="8700" max="8700" width="13.875" style="4" bestFit="1" customWidth="1"/>
    <col min="8701" max="8704" width="14.875" style="4" customWidth="1"/>
    <col min="8705" max="8705" width="18.875" style="4" bestFit="1" customWidth="1"/>
    <col min="8706" max="8706" width="14.875" style="4" customWidth="1"/>
    <col min="8707" max="8707" width="25.625" style="4" customWidth="1"/>
    <col min="8708" max="8708" width="17.625" style="4" bestFit="1" customWidth="1"/>
    <col min="8709" max="8710" width="14.875" style="4" customWidth="1"/>
    <col min="8711" max="8711" width="17" style="4" customWidth="1"/>
    <col min="8712" max="8712" width="16" style="4" customWidth="1"/>
    <col min="8713" max="8713" width="25.625" style="4" customWidth="1"/>
    <col min="8714" max="8714" width="12.625" style="4" customWidth="1"/>
    <col min="8715" max="8717" width="14.875" style="4" customWidth="1"/>
    <col min="8718" max="8718" width="20.625" style="4" bestFit="1" customWidth="1"/>
    <col min="8719" max="8720" width="14.875" style="4" customWidth="1"/>
    <col min="8721" max="8721" width="16.5" style="4" customWidth="1"/>
    <col min="8722" max="8722" width="18.625" style="4" customWidth="1"/>
    <col min="8723" max="8723" width="14.625" style="4" customWidth="1"/>
    <col min="8724" max="8724" width="12.625" style="4" customWidth="1"/>
    <col min="8725" max="8725" width="14.375" style="4" customWidth="1"/>
    <col min="8726" max="8727" width="14.875" style="4" customWidth="1"/>
    <col min="8728" max="8731" width="12.625" style="4" customWidth="1"/>
    <col min="8732" max="8732" width="14.625" style="4" customWidth="1"/>
    <col min="8733" max="8734" width="14.875" style="4" customWidth="1"/>
    <col min="8735" max="8738" width="12.625" style="4" customWidth="1"/>
    <col min="8739" max="8739" width="14.625" style="4" customWidth="1"/>
    <col min="8740" max="8741" width="14.875" style="4" customWidth="1"/>
    <col min="8742" max="8745" width="12.625" style="4" customWidth="1"/>
    <col min="8746" max="8746" width="14.625" style="4" customWidth="1"/>
    <col min="8747" max="8748" width="14.875" style="4" customWidth="1"/>
    <col min="8749" max="8752" width="12.625" style="4" customWidth="1"/>
    <col min="8753" max="8753" width="14.625" style="4" customWidth="1"/>
    <col min="8754" max="8755" width="14.875" style="4" customWidth="1"/>
    <col min="8756" max="8759" width="12.625" style="4" customWidth="1"/>
    <col min="8760" max="8760" width="14.625" style="4" customWidth="1"/>
    <col min="8761" max="8762" width="14.875" style="4" customWidth="1"/>
    <col min="8763" max="8766" width="12.625" style="4" customWidth="1"/>
    <col min="8767" max="8767" width="14.625" style="4" customWidth="1"/>
    <col min="8768" max="8769" width="14.875" style="4" customWidth="1"/>
    <col min="8770" max="8773" width="12.625" style="4" customWidth="1"/>
    <col min="8774" max="8774" width="14.625" style="4" customWidth="1"/>
    <col min="8775" max="8776" width="14.875" style="4" customWidth="1"/>
    <col min="8777" max="8780" width="12.625" style="4" customWidth="1"/>
    <col min="8781" max="8781" width="14.625" style="4" customWidth="1"/>
    <col min="8782" max="8783" width="14.875" style="4" customWidth="1"/>
    <col min="8784" max="8787" width="12.625" style="4" customWidth="1"/>
    <col min="8788" max="8788" width="14.625" style="4" customWidth="1"/>
    <col min="8789" max="8790" width="14.875" style="4" customWidth="1"/>
    <col min="8791" max="8794" width="12.625" style="4" customWidth="1"/>
    <col min="8795" max="8795" width="14.625" style="4" customWidth="1"/>
    <col min="8796" max="8954" width="9" style="4"/>
    <col min="8955" max="8955" width="11.875" style="4" customWidth="1"/>
    <col min="8956" max="8956" width="13.875" style="4" bestFit="1" customWidth="1"/>
    <col min="8957" max="8960" width="14.875" style="4" customWidth="1"/>
    <col min="8961" max="8961" width="18.875" style="4" bestFit="1" customWidth="1"/>
    <col min="8962" max="8962" width="14.875" style="4" customWidth="1"/>
    <col min="8963" max="8963" width="25.625" style="4" customWidth="1"/>
    <col min="8964" max="8964" width="17.625" style="4" bestFit="1" customWidth="1"/>
    <col min="8965" max="8966" width="14.875" style="4" customWidth="1"/>
    <col min="8967" max="8967" width="17" style="4" customWidth="1"/>
    <col min="8968" max="8968" width="16" style="4" customWidth="1"/>
    <col min="8969" max="8969" width="25.625" style="4" customWidth="1"/>
    <col min="8970" max="8970" width="12.625" style="4" customWidth="1"/>
    <col min="8971" max="8973" width="14.875" style="4" customWidth="1"/>
    <col min="8974" max="8974" width="20.625" style="4" bestFit="1" customWidth="1"/>
    <col min="8975" max="8976" width="14.875" style="4" customWidth="1"/>
    <col min="8977" max="8977" width="16.5" style="4" customWidth="1"/>
    <col min="8978" max="8978" width="18.625" style="4" customWidth="1"/>
    <col min="8979" max="8979" width="14.625" style="4" customWidth="1"/>
    <col min="8980" max="8980" width="12.625" style="4" customWidth="1"/>
    <col min="8981" max="8981" width="14.375" style="4" customWidth="1"/>
    <col min="8982" max="8983" width="14.875" style="4" customWidth="1"/>
    <col min="8984" max="8987" width="12.625" style="4" customWidth="1"/>
    <col min="8988" max="8988" width="14.625" style="4" customWidth="1"/>
    <col min="8989" max="8990" width="14.875" style="4" customWidth="1"/>
    <col min="8991" max="8994" width="12.625" style="4" customWidth="1"/>
    <col min="8995" max="8995" width="14.625" style="4" customWidth="1"/>
    <col min="8996" max="8997" width="14.875" style="4" customWidth="1"/>
    <col min="8998" max="9001" width="12.625" style="4" customWidth="1"/>
    <col min="9002" max="9002" width="14.625" style="4" customWidth="1"/>
    <col min="9003" max="9004" width="14.875" style="4" customWidth="1"/>
    <col min="9005" max="9008" width="12.625" style="4" customWidth="1"/>
    <col min="9009" max="9009" width="14.625" style="4" customWidth="1"/>
    <col min="9010" max="9011" width="14.875" style="4" customWidth="1"/>
    <col min="9012" max="9015" width="12.625" style="4" customWidth="1"/>
    <col min="9016" max="9016" width="14.625" style="4" customWidth="1"/>
    <col min="9017" max="9018" width="14.875" style="4" customWidth="1"/>
    <col min="9019" max="9022" width="12.625" style="4" customWidth="1"/>
    <col min="9023" max="9023" width="14.625" style="4" customWidth="1"/>
    <col min="9024" max="9025" width="14.875" style="4" customWidth="1"/>
    <col min="9026" max="9029" width="12.625" style="4" customWidth="1"/>
    <col min="9030" max="9030" width="14.625" style="4" customWidth="1"/>
    <col min="9031" max="9032" width="14.875" style="4" customWidth="1"/>
    <col min="9033" max="9036" width="12.625" style="4" customWidth="1"/>
    <col min="9037" max="9037" width="14.625" style="4" customWidth="1"/>
    <col min="9038" max="9039" width="14.875" style="4" customWidth="1"/>
    <col min="9040" max="9043" width="12.625" style="4" customWidth="1"/>
    <col min="9044" max="9044" width="14.625" style="4" customWidth="1"/>
    <col min="9045" max="9046" width="14.875" style="4" customWidth="1"/>
    <col min="9047" max="9050" width="12.625" style="4" customWidth="1"/>
    <col min="9051" max="9051" width="14.625" style="4" customWidth="1"/>
    <col min="9052" max="9210" width="9" style="4"/>
    <col min="9211" max="9211" width="11.875" style="4" customWidth="1"/>
    <col min="9212" max="9212" width="13.875" style="4" bestFit="1" customWidth="1"/>
    <col min="9213" max="9216" width="14.875" style="4" customWidth="1"/>
    <col min="9217" max="9217" width="18.875" style="4" bestFit="1" customWidth="1"/>
    <col min="9218" max="9218" width="14.875" style="4" customWidth="1"/>
    <col min="9219" max="9219" width="25.625" style="4" customWidth="1"/>
    <col min="9220" max="9220" width="17.625" style="4" bestFit="1" customWidth="1"/>
    <col min="9221" max="9222" width="14.875" style="4" customWidth="1"/>
    <col min="9223" max="9223" width="17" style="4" customWidth="1"/>
    <col min="9224" max="9224" width="16" style="4" customWidth="1"/>
    <col min="9225" max="9225" width="25.625" style="4" customWidth="1"/>
    <col min="9226" max="9226" width="12.625" style="4" customWidth="1"/>
    <col min="9227" max="9229" width="14.875" style="4" customWidth="1"/>
    <col min="9230" max="9230" width="20.625" style="4" bestFit="1" customWidth="1"/>
    <col min="9231" max="9232" width="14.875" style="4" customWidth="1"/>
    <col min="9233" max="9233" width="16.5" style="4" customWidth="1"/>
    <col min="9234" max="9234" width="18.625" style="4" customWidth="1"/>
    <col min="9235" max="9235" width="14.625" style="4" customWidth="1"/>
    <col min="9236" max="9236" width="12.625" style="4" customWidth="1"/>
    <col min="9237" max="9237" width="14.375" style="4" customWidth="1"/>
    <col min="9238" max="9239" width="14.875" style="4" customWidth="1"/>
    <col min="9240" max="9243" width="12.625" style="4" customWidth="1"/>
    <col min="9244" max="9244" width="14.625" style="4" customWidth="1"/>
    <col min="9245" max="9246" width="14.875" style="4" customWidth="1"/>
    <col min="9247" max="9250" width="12.625" style="4" customWidth="1"/>
    <col min="9251" max="9251" width="14.625" style="4" customWidth="1"/>
    <col min="9252" max="9253" width="14.875" style="4" customWidth="1"/>
    <col min="9254" max="9257" width="12.625" style="4" customWidth="1"/>
    <col min="9258" max="9258" width="14.625" style="4" customWidth="1"/>
    <col min="9259" max="9260" width="14.875" style="4" customWidth="1"/>
    <col min="9261" max="9264" width="12.625" style="4" customWidth="1"/>
    <col min="9265" max="9265" width="14.625" style="4" customWidth="1"/>
    <col min="9266" max="9267" width="14.875" style="4" customWidth="1"/>
    <col min="9268" max="9271" width="12.625" style="4" customWidth="1"/>
    <col min="9272" max="9272" width="14.625" style="4" customWidth="1"/>
    <col min="9273" max="9274" width="14.875" style="4" customWidth="1"/>
    <col min="9275" max="9278" width="12.625" style="4" customWidth="1"/>
    <col min="9279" max="9279" width="14.625" style="4" customWidth="1"/>
    <col min="9280" max="9281" width="14.875" style="4" customWidth="1"/>
    <col min="9282" max="9285" width="12.625" style="4" customWidth="1"/>
    <col min="9286" max="9286" width="14.625" style="4" customWidth="1"/>
    <col min="9287" max="9288" width="14.875" style="4" customWidth="1"/>
    <col min="9289" max="9292" width="12.625" style="4" customWidth="1"/>
    <col min="9293" max="9293" width="14.625" style="4" customWidth="1"/>
    <col min="9294" max="9295" width="14.875" style="4" customWidth="1"/>
    <col min="9296" max="9299" width="12.625" style="4" customWidth="1"/>
    <col min="9300" max="9300" width="14.625" style="4" customWidth="1"/>
    <col min="9301" max="9302" width="14.875" style="4" customWidth="1"/>
    <col min="9303" max="9306" width="12.625" style="4" customWidth="1"/>
    <col min="9307" max="9307" width="14.625" style="4" customWidth="1"/>
    <col min="9308" max="9466" width="9" style="4"/>
    <col min="9467" max="9467" width="11.875" style="4" customWidth="1"/>
    <col min="9468" max="9468" width="13.875" style="4" bestFit="1" customWidth="1"/>
    <col min="9469" max="9472" width="14.875" style="4" customWidth="1"/>
    <col min="9473" max="9473" width="18.875" style="4" bestFit="1" customWidth="1"/>
    <col min="9474" max="9474" width="14.875" style="4" customWidth="1"/>
    <col min="9475" max="9475" width="25.625" style="4" customWidth="1"/>
    <col min="9476" max="9476" width="17.625" style="4" bestFit="1" customWidth="1"/>
    <col min="9477" max="9478" width="14.875" style="4" customWidth="1"/>
    <col min="9479" max="9479" width="17" style="4" customWidth="1"/>
    <col min="9480" max="9480" width="16" style="4" customWidth="1"/>
    <col min="9481" max="9481" width="25.625" style="4" customWidth="1"/>
    <col min="9482" max="9482" width="12.625" style="4" customWidth="1"/>
    <col min="9483" max="9485" width="14.875" style="4" customWidth="1"/>
    <col min="9486" max="9486" width="20.625" style="4" bestFit="1" customWidth="1"/>
    <col min="9487" max="9488" width="14.875" style="4" customWidth="1"/>
    <col min="9489" max="9489" width="16.5" style="4" customWidth="1"/>
    <col min="9490" max="9490" width="18.625" style="4" customWidth="1"/>
    <col min="9491" max="9491" width="14.625" style="4" customWidth="1"/>
    <col min="9492" max="9492" width="12.625" style="4" customWidth="1"/>
    <col min="9493" max="9493" width="14.375" style="4" customWidth="1"/>
    <col min="9494" max="9495" width="14.875" style="4" customWidth="1"/>
    <col min="9496" max="9499" width="12.625" style="4" customWidth="1"/>
    <col min="9500" max="9500" width="14.625" style="4" customWidth="1"/>
    <col min="9501" max="9502" width="14.875" style="4" customWidth="1"/>
    <col min="9503" max="9506" width="12.625" style="4" customWidth="1"/>
    <col min="9507" max="9507" width="14.625" style="4" customWidth="1"/>
    <col min="9508" max="9509" width="14.875" style="4" customWidth="1"/>
    <col min="9510" max="9513" width="12.625" style="4" customWidth="1"/>
    <col min="9514" max="9514" width="14.625" style="4" customWidth="1"/>
    <col min="9515" max="9516" width="14.875" style="4" customWidth="1"/>
    <col min="9517" max="9520" width="12.625" style="4" customWidth="1"/>
    <col min="9521" max="9521" width="14.625" style="4" customWidth="1"/>
    <col min="9522" max="9523" width="14.875" style="4" customWidth="1"/>
    <col min="9524" max="9527" width="12.625" style="4" customWidth="1"/>
    <col min="9528" max="9528" width="14.625" style="4" customWidth="1"/>
    <col min="9529" max="9530" width="14.875" style="4" customWidth="1"/>
    <col min="9531" max="9534" width="12.625" style="4" customWidth="1"/>
    <col min="9535" max="9535" width="14.625" style="4" customWidth="1"/>
    <col min="9536" max="9537" width="14.875" style="4" customWidth="1"/>
    <col min="9538" max="9541" width="12.625" style="4" customWidth="1"/>
    <col min="9542" max="9542" width="14.625" style="4" customWidth="1"/>
    <col min="9543" max="9544" width="14.875" style="4" customWidth="1"/>
    <col min="9545" max="9548" width="12.625" style="4" customWidth="1"/>
    <col min="9549" max="9549" width="14.625" style="4" customWidth="1"/>
    <col min="9550" max="9551" width="14.875" style="4" customWidth="1"/>
    <col min="9552" max="9555" width="12.625" style="4" customWidth="1"/>
    <col min="9556" max="9556" width="14.625" style="4" customWidth="1"/>
    <col min="9557" max="9558" width="14.875" style="4" customWidth="1"/>
    <col min="9559" max="9562" width="12.625" style="4" customWidth="1"/>
    <col min="9563" max="9563" width="14.625" style="4" customWidth="1"/>
    <col min="9564" max="9722" width="9" style="4"/>
    <col min="9723" max="9723" width="11.875" style="4" customWidth="1"/>
    <col min="9724" max="9724" width="13.875" style="4" bestFit="1" customWidth="1"/>
    <col min="9725" max="9728" width="14.875" style="4" customWidth="1"/>
    <col min="9729" max="9729" width="18.875" style="4" bestFit="1" customWidth="1"/>
    <col min="9730" max="9730" width="14.875" style="4" customWidth="1"/>
    <col min="9731" max="9731" width="25.625" style="4" customWidth="1"/>
    <col min="9732" max="9732" width="17.625" style="4" bestFit="1" customWidth="1"/>
    <col min="9733" max="9734" width="14.875" style="4" customWidth="1"/>
    <col min="9735" max="9735" width="17" style="4" customWidth="1"/>
    <col min="9736" max="9736" width="16" style="4" customWidth="1"/>
    <col min="9737" max="9737" width="25.625" style="4" customWidth="1"/>
    <col min="9738" max="9738" width="12.625" style="4" customWidth="1"/>
    <col min="9739" max="9741" width="14.875" style="4" customWidth="1"/>
    <col min="9742" max="9742" width="20.625" style="4" bestFit="1" customWidth="1"/>
    <col min="9743" max="9744" width="14.875" style="4" customWidth="1"/>
    <col min="9745" max="9745" width="16.5" style="4" customWidth="1"/>
    <col min="9746" max="9746" width="18.625" style="4" customWidth="1"/>
    <col min="9747" max="9747" width="14.625" style="4" customWidth="1"/>
    <col min="9748" max="9748" width="12.625" style="4" customWidth="1"/>
    <col min="9749" max="9749" width="14.375" style="4" customWidth="1"/>
    <col min="9750" max="9751" width="14.875" style="4" customWidth="1"/>
    <col min="9752" max="9755" width="12.625" style="4" customWidth="1"/>
    <col min="9756" max="9756" width="14.625" style="4" customWidth="1"/>
    <col min="9757" max="9758" width="14.875" style="4" customWidth="1"/>
    <col min="9759" max="9762" width="12.625" style="4" customWidth="1"/>
    <col min="9763" max="9763" width="14.625" style="4" customWidth="1"/>
    <col min="9764" max="9765" width="14.875" style="4" customWidth="1"/>
    <col min="9766" max="9769" width="12.625" style="4" customWidth="1"/>
    <col min="9770" max="9770" width="14.625" style="4" customWidth="1"/>
    <col min="9771" max="9772" width="14.875" style="4" customWidth="1"/>
    <col min="9773" max="9776" width="12.625" style="4" customWidth="1"/>
    <col min="9777" max="9777" width="14.625" style="4" customWidth="1"/>
    <col min="9778" max="9779" width="14.875" style="4" customWidth="1"/>
    <col min="9780" max="9783" width="12.625" style="4" customWidth="1"/>
    <col min="9784" max="9784" width="14.625" style="4" customWidth="1"/>
    <col min="9785" max="9786" width="14.875" style="4" customWidth="1"/>
    <col min="9787" max="9790" width="12.625" style="4" customWidth="1"/>
    <col min="9791" max="9791" width="14.625" style="4" customWidth="1"/>
    <col min="9792" max="9793" width="14.875" style="4" customWidth="1"/>
    <col min="9794" max="9797" width="12.625" style="4" customWidth="1"/>
    <col min="9798" max="9798" width="14.625" style="4" customWidth="1"/>
    <col min="9799" max="9800" width="14.875" style="4" customWidth="1"/>
    <col min="9801" max="9804" width="12.625" style="4" customWidth="1"/>
    <col min="9805" max="9805" width="14.625" style="4" customWidth="1"/>
    <col min="9806" max="9807" width="14.875" style="4" customWidth="1"/>
    <col min="9808" max="9811" width="12.625" style="4" customWidth="1"/>
    <col min="9812" max="9812" width="14.625" style="4" customWidth="1"/>
    <col min="9813" max="9814" width="14.875" style="4" customWidth="1"/>
    <col min="9815" max="9818" width="12.625" style="4" customWidth="1"/>
    <col min="9819" max="9819" width="14.625" style="4" customWidth="1"/>
    <col min="9820" max="9978" width="9" style="4"/>
    <col min="9979" max="9979" width="11.875" style="4" customWidth="1"/>
    <col min="9980" max="9980" width="13.875" style="4" bestFit="1" customWidth="1"/>
    <col min="9981" max="9984" width="14.875" style="4" customWidth="1"/>
    <col min="9985" max="9985" width="18.875" style="4" bestFit="1" customWidth="1"/>
    <col min="9986" max="9986" width="14.875" style="4" customWidth="1"/>
    <col min="9987" max="9987" width="25.625" style="4" customWidth="1"/>
    <col min="9988" max="9988" width="17.625" style="4" bestFit="1" customWidth="1"/>
    <col min="9989" max="9990" width="14.875" style="4" customWidth="1"/>
    <col min="9991" max="9991" width="17" style="4" customWidth="1"/>
    <col min="9992" max="9992" width="16" style="4" customWidth="1"/>
    <col min="9993" max="9993" width="25.625" style="4" customWidth="1"/>
    <col min="9994" max="9994" width="12.625" style="4" customWidth="1"/>
    <col min="9995" max="9997" width="14.875" style="4" customWidth="1"/>
    <col min="9998" max="9998" width="20.625" style="4" bestFit="1" customWidth="1"/>
    <col min="9999" max="10000" width="14.875" style="4" customWidth="1"/>
    <col min="10001" max="10001" width="16.5" style="4" customWidth="1"/>
    <col min="10002" max="10002" width="18.625" style="4" customWidth="1"/>
    <col min="10003" max="10003" width="14.625" style="4" customWidth="1"/>
    <col min="10004" max="10004" width="12.625" style="4" customWidth="1"/>
    <col min="10005" max="10005" width="14.375" style="4" customWidth="1"/>
    <col min="10006" max="10007" width="14.875" style="4" customWidth="1"/>
    <col min="10008" max="10011" width="12.625" style="4" customWidth="1"/>
    <col min="10012" max="10012" width="14.625" style="4" customWidth="1"/>
    <col min="10013" max="10014" width="14.875" style="4" customWidth="1"/>
    <col min="10015" max="10018" width="12.625" style="4" customWidth="1"/>
    <col min="10019" max="10019" width="14.625" style="4" customWidth="1"/>
    <col min="10020" max="10021" width="14.875" style="4" customWidth="1"/>
    <col min="10022" max="10025" width="12.625" style="4" customWidth="1"/>
    <col min="10026" max="10026" width="14.625" style="4" customWidth="1"/>
    <col min="10027" max="10028" width="14.875" style="4" customWidth="1"/>
    <col min="10029" max="10032" width="12.625" style="4" customWidth="1"/>
    <col min="10033" max="10033" width="14.625" style="4" customWidth="1"/>
    <col min="10034" max="10035" width="14.875" style="4" customWidth="1"/>
    <col min="10036" max="10039" width="12.625" style="4" customWidth="1"/>
    <col min="10040" max="10040" width="14.625" style="4" customWidth="1"/>
    <col min="10041" max="10042" width="14.875" style="4" customWidth="1"/>
    <col min="10043" max="10046" width="12.625" style="4" customWidth="1"/>
    <col min="10047" max="10047" width="14.625" style="4" customWidth="1"/>
    <col min="10048" max="10049" width="14.875" style="4" customWidth="1"/>
    <col min="10050" max="10053" width="12.625" style="4" customWidth="1"/>
    <col min="10054" max="10054" width="14.625" style="4" customWidth="1"/>
    <col min="10055" max="10056" width="14.875" style="4" customWidth="1"/>
    <col min="10057" max="10060" width="12.625" style="4" customWidth="1"/>
    <col min="10061" max="10061" width="14.625" style="4" customWidth="1"/>
    <col min="10062" max="10063" width="14.875" style="4" customWidth="1"/>
    <col min="10064" max="10067" width="12.625" style="4" customWidth="1"/>
    <col min="10068" max="10068" width="14.625" style="4" customWidth="1"/>
    <col min="10069" max="10070" width="14.875" style="4" customWidth="1"/>
    <col min="10071" max="10074" width="12.625" style="4" customWidth="1"/>
    <col min="10075" max="10075" width="14.625" style="4" customWidth="1"/>
    <col min="10076" max="10234" width="9" style="4"/>
    <col min="10235" max="10235" width="11.875" style="4" customWidth="1"/>
    <col min="10236" max="10236" width="13.875" style="4" bestFit="1" customWidth="1"/>
    <col min="10237" max="10240" width="14.875" style="4" customWidth="1"/>
    <col min="10241" max="10241" width="18.875" style="4" bestFit="1" customWidth="1"/>
    <col min="10242" max="10242" width="14.875" style="4" customWidth="1"/>
    <col min="10243" max="10243" width="25.625" style="4" customWidth="1"/>
    <col min="10244" max="10244" width="17.625" style="4" bestFit="1" customWidth="1"/>
    <col min="10245" max="10246" width="14.875" style="4" customWidth="1"/>
    <col min="10247" max="10247" width="17" style="4" customWidth="1"/>
    <col min="10248" max="10248" width="16" style="4" customWidth="1"/>
    <col min="10249" max="10249" width="25.625" style="4" customWidth="1"/>
    <col min="10250" max="10250" width="12.625" style="4" customWidth="1"/>
    <col min="10251" max="10253" width="14.875" style="4" customWidth="1"/>
    <col min="10254" max="10254" width="20.625" style="4" bestFit="1" customWidth="1"/>
    <col min="10255" max="10256" width="14.875" style="4" customWidth="1"/>
    <col min="10257" max="10257" width="16.5" style="4" customWidth="1"/>
    <col min="10258" max="10258" width="18.625" style="4" customWidth="1"/>
    <col min="10259" max="10259" width="14.625" style="4" customWidth="1"/>
    <col min="10260" max="10260" width="12.625" style="4" customWidth="1"/>
    <col min="10261" max="10261" width="14.375" style="4" customWidth="1"/>
    <col min="10262" max="10263" width="14.875" style="4" customWidth="1"/>
    <col min="10264" max="10267" width="12.625" style="4" customWidth="1"/>
    <col min="10268" max="10268" width="14.625" style="4" customWidth="1"/>
    <col min="10269" max="10270" width="14.875" style="4" customWidth="1"/>
    <col min="10271" max="10274" width="12.625" style="4" customWidth="1"/>
    <col min="10275" max="10275" width="14.625" style="4" customWidth="1"/>
    <col min="10276" max="10277" width="14.875" style="4" customWidth="1"/>
    <col min="10278" max="10281" width="12.625" style="4" customWidth="1"/>
    <col min="10282" max="10282" width="14.625" style="4" customWidth="1"/>
    <col min="10283" max="10284" width="14.875" style="4" customWidth="1"/>
    <col min="10285" max="10288" width="12.625" style="4" customWidth="1"/>
    <col min="10289" max="10289" width="14.625" style="4" customWidth="1"/>
    <col min="10290" max="10291" width="14.875" style="4" customWidth="1"/>
    <col min="10292" max="10295" width="12.625" style="4" customWidth="1"/>
    <col min="10296" max="10296" width="14.625" style="4" customWidth="1"/>
    <col min="10297" max="10298" width="14.875" style="4" customWidth="1"/>
    <col min="10299" max="10302" width="12.625" style="4" customWidth="1"/>
    <col min="10303" max="10303" width="14.625" style="4" customWidth="1"/>
    <col min="10304" max="10305" width="14.875" style="4" customWidth="1"/>
    <col min="10306" max="10309" width="12.625" style="4" customWidth="1"/>
    <col min="10310" max="10310" width="14.625" style="4" customWidth="1"/>
    <col min="10311" max="10312" width="14.875" style="4" customWidth="1"/>
    <col min="10313" max="10316" width="12.625" style="4" customWidth="1"/>
    <col min="10317" max="10317" width="14.625" style="4" customWidth="1"/>
    <col min="10318" max="10319" width="14.875" style="4" customWidth="1"/>
    <col min="10320" max="10323" width="12.625" style="4" customWidth="1"/>
    <col min="10324" max="10324" width="14.625" style="4" customWidth="1"/>
    <col min="10325" max="10326" width="14.875" style="4" customWidth="1"/>
    <col min="10327" max="10330" width="12.625" style="4" customWidth="1"/>
    <col min="10331" max="10331" width="14.625" style="4" customWidth="1"/>
    <col min="10332" max="10490" width="9" style="4"/>
    <col min="10491" max="10491" width="11.875" style="4" customWidth="1"/>
    <col min="10492" max="10492" width="13.875" style="4" bestFit="1" customWidth="1"/>
    <col min="10493" max="10496" width="14.875" style="4" customWidth="1"/>
    <col min="10497" max="10497" width="18.875" style="4" bestFit="1" customWidth="1"/>
    <col min="10498" max="10498" width="14.875" style="4" customWidth="1"/>
    <col min="10499" max="10499" width="25.625" style="4" customWidth="1"/>
    <col min="10500" max="10500" width="17.625" style="4" bestFit="1" customWidth="1"/>
    <col min="10501" max="10502" width="14.875" style="4" customWidth="1"/>
    <col min="10503" max="10503" width="17" style="4" customWidth="1"/>
    <col min="10504" max="10504" width="16" style="4" customWidth="1"/>
    <col min="10505" max="10505" width="25.625" style="4" customWidth="1"/>
    <col min="10506" max="10506" width="12.625" style="4" customWidth="1"/>
    <col min="10507" max="10509" width="14.875" style="4" customWidth="1"/>
    <col min="10510" max="10510" width="20.625" style="4" bestFit="1" customWidth="1"/>
    <col min="10511" max="10512" width="14.875" style="4" customWidth="1"/>
    <col min="10513" max="10513" width="16.5" style="4" customWidth="1"/>
    <col min="10514" max="10514" width="18.625" style="4" customWidth="1"/>
    <col min="10515" max="10515" width="14.625" style="4" customWidth="1"/>
    <col min="10516" max="10516" width="12.625" style="4" customWidth="1"/>
    <col min="10517" max="10517" width="14.375" style="4" customWidth="1"/>
    <col min="10518" max="10519" width="14.875" style="4" customWidth="1"/>
    <col min="10520" max="10523" width="12.625" style="4" customWidth="1"/>
    <col min="10524" max="10524" width="14.625" style="4" customWidth="1"/>
    <col min="10525" max="10526" width="14.875" style="4" customWidth="1"/>
    <col min="10527" max="10530" width="12.625" style="4" customWidth="1"/>
    <col min="10531" max="10531" width="14.625" style="4" customWidth="1"/>
    <col min="10532" max="10533" width="14.875" style="4" customWidth="1"/>
    <col min="10534" max="10537" width="12.625" style="4" customWidth="1"/>
    <col min="10538" max="10538" width="14.625" style="4" customWidth="1"/>
    <col min="10539" max="10540" width="14.875" style="4" customWidth="1"/>
    <col min="10541" max="10544" width="12.625" style="4" customWidth="1"/>
    <col min="10545" max="10545" width="14.625" style="4" customWidth="1"/>
    <col min="10546" max="10547" width="14.875" style="4" customWidth="1"/>
    <col min="10548" max="10551" width="12.625" style="4" customWidth="1"/>
    <col min="10552" max="10552" width="14.625" style="4" customWidth="1"/>
    <col min="10553" max="10554" width="14.875" style="4" customWidth="1"/>
    <col min="10555" max="10558" width="12.625" style="4" customWidth="1"/>
    <col min="10559" max="10559" width="14.625" style="4" customWidth="1"/>
    <col min="10560" max="10561" width="14.875" style="4" customWidth="1"/>
    <col min="10562" max="10565" width="12.625" style="4" customWidth="1"/>
    <col min="10566" max="10566" width="14.625" style="4" customWidth="1"/>
    <col min="10567" max="10568" width="14.875" style="4" customWidth="1"/>
    <col min="10569" max="10572" width="12.625" style="4" customWidth="1"/>
    <col min="10573" max="10573" width="14.625" style="4" customWidth="1"/>
    <col min="10574" max="10575" width="14.875" style="4" customWidth="1"/>
    <col min="10576" max="10579" width="12.625" style="4" customWidth="1"/>
    <col min="10580" max="10580" width="14.625" style="4" customWidth="1"/>
    <col min="10581" max="10582" width="14.875" style="4" customWidth="1"/>
    <col min="10583" max="10586" width="12.625" style="4" customWidth="1"/>
    <col min="10587" max="10587" width="14.625" style="4" customWidth="1"/>
    <col min="10588" max="10746" width="9" style="4"/>
    <col min="10747" max="10747" width="11.875" style="4" customWidth="1"/>
    <col min="10748" max="10748" width="13.875" style="4" bestFit="1" customWidth="1"/>
    <col min="10749" max="10752" width="14.875" style="4" customWidth="1"/>
    <col min="10753" max="10753" width="18.875" style="4" bestFit="1" customWidth="1"/>
    <col min="10754" max="10754" width="14.875" style="4" customWidth="1"/>
    <col min="10755" max="10755" width="25.625" style="4" customWidth="1"/>
    <col min="10756" max="10756" width="17.625" style="4" bestFit="1" customWidth="1"/>
    <col min="10757" max="10758" width="14.875" style="4" customWidth="1"/>
    <col min="10759" max="10759" width="17" style="4" customWidth="1"/>
    <col min="10760" max="10760" width="16" style="4" customWidth="1"/>
    <col min="10761" max="10761" width="25.625" style="4" customWidth="1"/>
    <col min="10762" max="10762" width="12.625" style="4" customWidth="1"/>
    <col min="10763" max="10765" width="14.875" style="4" customWidth="1"/>
    <col min="10766" max="10766" width="20.625" style="4" bestFit="1" customWidth="1"/>
    <col min="10767" max="10768" width="14.875" style="4" customWidth="1"/>
    <col min="10769" max="10769" width="16.5" style="4" customWidth="1"/>
    <col min="10770" max="10770" width="18.625" style="4" customWidth="1"/>
    <col min="10771" max="10771" width="14.625" style="4" customWidth="1"/>
    <col min="10772" max="10772" width="12.625" style="4" customWidth="1"/>
    <col min="10773" max="10773" width="14.375" style="4" customWidth="1"/>
    <col min="10774" max="10775" width="14.875" style="4" customWidth="1"/>
    <col min="10776" max="10779" width="12.625" style="4" customWidth="1"/>
    <col min="10780" max="10780" width="14.625" style="4" customWidth="1"/>
    <col min="10781" max="10782" width="14.875" style="4" customWidth="1"/>
    <col min="10783" max="10786" width="12.625" style="4" customWidth="1"/>
    <col min="10787" max="10787" width="14.625" style="4" customWidth="1"/>
    <col min="10788" max="10789" width="14.875" style="4" customWidth="1"/>
    <col min="10790" max="10793" width="12.625" style="4" customWidth="1"/>
    <col min="10794" max="10794" width="14.625" style="4" customWidth="1"/>
    <col min="10795" max="10796" width="14.875" style="4" customWidth="1"/>
    <col min="10797" max="10800" width="12.625" style="4" customWidth="1"/>
    <col min="10801" max="10801" width="14.625" style="4" customWidth="1"/>
    <col min="10802" max="10803" width="14.875" style="4" customWidth="1"/>
    <col min="10804" max="10807" width="12.625" style="4" customWidth="1"/>
    <col min="10808" max="10808" width="14.625" style="4" customWidth="1"/>
    <col min="10809" max="10810" width="14.875" style="4" customWidth="1"/>
    <col min="10811" max="10814" width="12.625" style="4" customWidth="1"/>
    <col min="10815" max="10815" width="14.625" style="4" customWidth="1"/>
    <col min="10816" max="10817" width="14.875" style="4" customWidth="1"/>
    <col min="10818" max="10821" width="12.625" style="4" customWidth="1"/>
    <col min="10822" max="10822" width="14.625" style="4" customWidth="1"/>
    <col min="10823" max="10824" width="14.875" style="4" customWidth="1"/>
    <col min="10825" max="10828" width="12.625" style="4" customWidth="1"/>
    <col min="10829" max="10829" width="14.625" style="4" customWidth="1"/>
    <col min="10830" max="10831" width="14.875" style="4" customWidth="1"/>
    <col min="10832" max="10835" width="12.625" style="4" customWidth="1"/>
    <col min="10836" max="10836" width="14.625" style="4" customWidth="1"/>
    <col min="10837" max="10838" width="14.875" style="4" customWidth="1"/>
    <col min="10839" max="10842" width="12.625" style="4" customWidth="1"/>
    <col min="10843" max="10843" width="14.625" style="4" customWidth="1"/>
    <col min="10844" max="11002" width="9" style="4"/>
    <col min="11003" max="11003" width="11.875" style="4" customWidth="1"/>
    <col min="11004" max="11004" width="13.875" style="4" bestFit="1" customWidth="1"/>
    <col min="11005" max="11008" width="14.875" style="4" customWidth="1"/>
    <col min="11009" max="11009" width="18.875" style="4" bestFit="1" customWidth="1"/>
    <col min="11010" max="11010" width="14.875" style="4" customWidth="1"/>
    <col min="11011" max="11011" width="25.625" style="4" customWidth="1"/>
    <col min="11012" max="11012" width="17.625" style="4" bestFit="1" customWidth="1"/>
    <col min="11013" max="11014" width="14.875" style="4" customWidth="1"/>
    <col min="11015" max="11015" width="17" style="4" customWidth="1"/>
    <col min="11016" max="11016" width="16" style="4" customWidth="1"/>
    <col min="11017" max="11017" width="25.625" style="4" customWidth="1"/>
    <col min="11018" max="11018" width="12.625" style="4" customWidth="1"/>
    <col min="11019" max="11021" width="14.875" style="4" customWidth="1"/>
    <col min="11022" max="11022" width="20.625" style="4" bestFit="1" customWidth="1"/>
    <col min="11023" max="11024" width="14.875" style="4" customWidth="1"/>
    <col min="11025" max="11025" width="16.5" style="4" customWidth="1"/>
    <col min="11026" max="11026" width="18.625" style="4" customWidth="1"/>
    <col min="11027" max="11027" width="14.625" style="4" customWidth="1"/>
    <col min="11028" max="11028" width="12.625" style="4" customWidth="1"/>
    <col min="11029" max="11029" width="14.375" style="4" customWidth="1"/>
    <col min="11030" max="11031" width="14.875" style="4" customWidth="1"/>
    <col min="11032" max="11035" width="12.625" style="4" customWidth="1"/>
    <col min="11036" max="11036" width="14.625" style="4" customWidth="1"/>
    <col min="11037" max="11038" width="14.875" style="4" customWidth="1"/>
    <col min="11039" max="11042" width="12.625" style="4" customWidth="1"/>
    <col min="11043" max="11043" width="14.625" style="4" customWidth="1"/>
    <col min="11044" max="11045" width="14.875" style="4" customWidth="1"/>
    <col min="11046" max="11049" width="12.625" style="4" customWidth="1"/>
    <col min="11050" max="11050" width="14.625" style="4" customWidth="1"/>
    <col min="11051" max="11052" width="14.875" style="4" customWidth="1"/>
    <col min="11053" max="11056" width="12.625" style="4" customWidth="1"/>
    <col min="11057" max="11057" width="14.625" style="4" customWidth="1"/>
    <col min="11058" max="11059" width="14.875" style="4" customWidth="1"/>
    <col min="11060" max="11063" width="12.625" style="4" customWidth="1"/>
    <col min="11064" max="11064" width="14.625" style="4" customWidth="1"/>
    <col min="11065" max="11066" width="14.875" style="4" customWidth="1"/>
    <col min="11067" max="11070" width="12.625" style="4" customWidth="1"/>
    <col min="11071" max="11071" width="14.625" style="4" customWidth="1"/>
    <col min="11072" max="11073" width="14.875" style="4" customWidth="1"/>
    <col min="11074" max="11077" width="12.625" style="4" customWidth="1"/>
    <col min="11078" max="11078" width="14.625" style="4" customWidth="1"/>
    <col min="11079" max="11080" width="14.875" style="4" customWidth="1"/>
    <col min="11081" max="11084" width="12.625" style="4" customWidth="1"/>
    <col min="11085" max="11085" width="14.625" style="4" customWidth="1"/>
    <col min="11086" max="11087" width="14.875" style="4" customWidth="1"/>
    <col min="11088" max="11091" width="12.625" style="4" customWidth="1"/>
    <col min="11092" max="11092" width="14.625" style="4" customWidth="1"/>
    <col min="11093" max="11094" width="14.875" style="4" customWidth="1"/>
    <col min="11095" max="11098" width="12.625" style="4" customWidth="1"/>
    <col min="11099" max="11099" width="14.625" style="4" customWidth="1"/>
    <col min="11100" max="11258" width="9" style="4"/>
    <col min="11259" max="11259" width="11.875" style="4" customWidth="1"/>
    <col min="11260" max="11260" width="13.875" style="4" bestFit="1" customWidth="1"/>
    <col min="11261" max="11264" width="14.875" style="4" customWidth="1"/>
    <col min="11265" max="11265" width="18.875" style="4" bestFit="1" customWidth="1"/>
    <col min="11266" max="11266" width="14.875" style="4" customWidth="1"/>
    <col min="11267" max="11267" width="25.625" style="4" customWidth="1"/>
    <col min="11268" max="11268" width="17.625" style="4" bestFit="1" customWidth="1"/>
    <col min="11269" max="11270" width="14.875" style="4" customWidth="1"/>
    <col min="11271" max="11271" width="17" style="4" customWidth="1"/>
    <col min="11272" max="11272" width="16" style="4" customWidth="1"/>
    <col min="11273" max="11273" width="25.625" style="4" customWidth="1"/>
    <col min="11274" max="11274" width="12.625" style="4" customWidth="1"/>
    <col min="11275" max="11277" width="14.875" style="4" customWidth="1"/>
    <col min="11278" max="11278" width="20.625" style="4" bestFit="1" customWidth="1"/>
    <col min="11279" max="11280" width="14.875" style="4" customWidth="1"/>
    <col min="11281" max="11281" width="16.5" style="4" customWidth="1"/>
    <col min="11282" max="11282" width="18.625" style="4" customWidth="1"/>
    <col min="11283" max="11283" width="14.625" style="4" customWidth="1"/>
    <col min="11284" max="11284" width="12.625" style="4" customWidth="1"/>
    <col min="11285" max="11285" width="14.375" style="4" customWidth="1"/>
    <col min="11286" max="11287" width="14.875" style="4" customWidth="1"/>
    <col min="11288" max="11291" width="12.625" style="4" customWidth="1"/>
    <col min="11292" max="11292" width="14.625" style="4" customWidth="1"/>
    <col min="11293" max="11294" width="14.875" style="4" customWidth="1"/>
    <col min="11295" max="11298" width="12.625" style="4" customWidth="1"/>
    <col min="11299" max="11299" width="14.625" style="4" customWidth="1"/>
    <col min="11300" max="11301" width="14.875" style="4" customWidth="1"/>
    <col min="11302" max="11305" width="12.625" style="4" customWidth="1"/>
    <col min="11306" max="11306" width="14.625" style="4" customWidth="1"/>
    <col min="11307" max="11308" width="14.875" style="4" customWidth="1"/>
    <col min="11309" max="11312" width="12.625" style="4" customWidth="1"/>
    <col min="11313" max="11313" width="14.625" style="4" customWidth="1"/>
    <col min="11314" max="11315" width="14.875" style="4" customWidth="1"/>
    <col min="11316" max="11319" width="12.625" style="4" customWidth="1"/>
    <col min="11320" max="11320" width="14.625" style="4" customWidth="1"/>
    <col min="11321" max="11322" width="14.875" style="4" customWidth="1"/>
    <col min="11323" max="11326" width="12.625" style="4" customWidth="1"/>
    <col min="11327" max="11327" width="14.625" style="4" customWidth="1"/>
    <col min="11328" max="11329" width="14.875" style="4" customWidth="1"/>
    <col min="11330" max="11333" width="12.625" style="4" customWidth="1"/>
    <col min="11334" max="11334" width="14.625" style="4" customWidth="1"/>
    <col min="11335" max="11336" width="14.875" style="4" customWidth="1"/>
    <col min="11337" max="11340" width="12.625" style="4" customWidth="1"/>
    <col min="11341" max="11341" width="14.625" style="4" customWidth="1"/>
    <col min="11342" max="11343" width="14.875" style="4" customWidth="1"/>
    <col min="11344" max="11347" width="12.625" style="4" customWidth="1"/>
    <col min="11348" max="11348" width="14.625" style="4" customWidth="1"/>
    <col min="11349" max="11350" width="14.875" style="4" customWidth="1"/>
    <col min="11351" max="11354" width="12.625" style="4" customWidth="1"/>
    <col min="11355" max="11355" width="14.625" style="4" customWidth="1"/>
    <col min="11356" max="11514" width="9" style="4"/>
    <col min="11515" max="11515" width="11.875" style="4" customWidth="1"/>
    <col min="11516" max="11516" width="13.875" style="4" bestFit="1" customWidth="1"/>
    <col min="11517" max="11520" width="14.875" style="4" customWidth="1"/>
    <col min="11521" max="11521" width="18.875" style="4" bestFit="1" customWidth="1"/>
    <col min="11522" max="11522" width="14.875" style="4" customWidth="1"/>
    <col min="11523" max="11523" width="25.625" style="4" customWidth="1"/>
    <col min="11524" max="11524" width="17.625" style="4" bestFit="1" customWidth="1"/>
    <col min="11525" max="11526" width="14.875" style="4" customWidth="1"/>
    <col min="11527" max="11527" width="17" style="4" customWidth="1"/>
    <col min="11528" max="11528" width="16" style="4" customWidth="1"/>
    <col min="11529" max="11529" width="25.625" style="4" customWidth="1"/>
    <col min="11530" max="11530" width="12.625" style="4" customWidth="1"/>
    <col min="11531" max="11533" width="14.875" style="4" customWidth="1"/>
    <col min="11534" max="11534" width="20.625" style="4" bestFit="1" customWidth="1"/>
    <col min="11535" max="11536" width="14.875" style="4" customWidth="1"/>
    <col min="11537" max="11537" width="16.5" style="4" customWidth="1"/>
    <col min="11538" max="11538" width="18.625" style="4" customWidth="1"/>
    <col min="11539" max="11539" width="14.625" style="4" customWidth="1"/>
    <col min="11540" max="11540" width="12.625" style="4" customWidth="1"/>
    <col min="11541" max="11541" width="14.375" style="4" customWidth="1"/>
    <col min="11542" max="11543" width="14.875" style="4" customWidth="1"/>
    <col min="11544" max="11547" width="12.625" style="4" customWidth="1"/>
    <col min="11548" max="11548" width="14.625" style="4" customWidth="1"/>
    <col min="11549" max="11550" width="14.875" style="4" customWidth="1"/>
    <col min="11551" max="11554" width="12.625" style="4" customWidth="1"/>
    <col min="11555" max="11555" width="14.625" style="4" customWidth="1"/>
    <col min="11556" max="11557" width="14.875" style="4" customWidth="1"/>
    <col min="11558" max="11561" width="12.625" style="4" customWidth="1"/>
    <col min="11562" max="11562" width="14.625" style="4" customWidth="1"/>
    <col min="11563" max="11564" width="14.875" style="4" customWidth="1"/>
    <col min="11565" max="11568" width="12.625" style="4" customWidth="1"/>
    <col min="11569" max="11569" width="14.625" style="4" customWidth="1"/>
    <col min="11570" max="11571" width="14.875" style="4" customWidth="1"/>
    <col min="11572" max="11575" width="12.625" style="4" customWidth="1"/>
    <col min="11576" max="11576" width="14.625" style="4" customWidth="1"/>
    <col min="11577" max="11578" width="14.875" style="4" customWidth="1"/>
    <col min="11579" max="11582" width="12.625" style="4" customWidth="1"/>
    <col min="11583" max="11583" width="14.625" style="4" customWidth="1"/>
    <col min="11584" max="11585" width="14.875" style="4" customWidth="1"/>
    <col min="11586" max="11589" width="12.625" style="4" customWidth="1"/>
    <col min="11590" max="11590" width="14.625" style="4" customWidth="1"/>
    <col min="11591" max="11592" width="14.875" style="4" customWidth="1"/>
    <col min="11593" max="11596" width="12.625" style="4" customWidth="1"/>
    <col min="11597" max="11597" width="14.625" style="4" customWidth="1"/>
    <col min="11598" max="11599" width="14.875" style="4" customWidth="1"/>
    <col min="11600" max="11603" width="12.625" style="4" customWidth="1"/>
    <col min="11604" max="11604" width="14.625" style="4" customWidth="1"/>
    <col min="11605" max="11606" width="14.875" style="4" customWidth="1"/>
    <col min="11607" max="11610" width="12.625" style="4" customWidth="1"/>
    <col min="11611" max="11611" width="14.625" style="4" customWidth="1"/>
    <col min="11612" max="11770" width="9" style="4"/>
    <col min="11771" max="11771" width="11.875" style="4" customWidth="1"/>
    <col min="11772" max="11772" width="13.875" style="4" bestFit="1" customWidth="1"/>
    <col min="11773" max="11776" width="14.875" style="4" customWidth="1"/>
    <col min="11777" max="11777" width="18.875" style="4" bestFit="1" customWidth="1"/>
    <col min="11778" max="11778" width="14.875" style="4" customWidth="1"/>
    <col min="11779" max="11779" width="25.625" style="4" customWidth="1"/>
    <col min="11780" max="11780" width="17.625" style="4" bestFit="1" customWidth="1"/>
    <col min="11781" max="11782" width="14.875" style="4" customWidth="1"/>
    <col min="11783" max="11783" width="17" style="4" customWidth="1"/>
    <col min="11784" max="11784" width="16" style="4" customWidth="1"/>
    <col min="11785" max="11785" width="25.625" style="4" customWidth="1"/>
    <col min="11786" max="11786" width="12.625" style="4" customWidth="1"/>
    <col min="11787" max="11789" width="14.875" style="4" customWidth="1"/>
    <col min="11790" max="11790" width="20.625" style="4" bestFit="1" customWidth="1"/>
    <col min="11791" max="11792" width="14.875" style="4" customWidth="1"/>
    <col min="11793" max="11793" width="16.5" style="4" customWidth="1"/>
    <col min="11794" max="11794" width="18.625" style="4" customWidth="1"/>
    <col min="11795" max="11795" width="14.625" style="4" customWidth="1"/>
    <col min="11796" max="11796" width="12.625" style="4" customWidth="1"/>
    <col min="11797" max="11797" width="14.375" style="4" customWidth="1"/>
    <col min="11798" max="11799" width="14.875" style="4" customWidth="1"/>
    <col min="11800" max="11803" width="12.625" style="4" customWidth="1"/>
    <col min="11804" max="11804" width="14.625" style="4" customWidth="1"/>
    <col min="11805" max="11806" width="14.875" style="4" customWidth="1"/>
    <col min="11807" max="11810" width="12.625" style="4" customWidth="1"/>
    <col min="11811" max="11811" width="14.625" style="4" customWidth="1"/>
    <col min="11812" max="11813" width="14.875" style="4" customWidth="1"/>
    <col min="11814" max="11817" width="12.625" style="4" customWidth="1"/>
    <col min="11818" max="11818" width="14.625" style="4" customWidth="1"/>
    <col min="11819" max="11820" width="14.875" style="4" customWidth="1"/>
    <col min="11821" max="11824" width="12.625" style="4" customWidth="1"/>
    <col min="11825" max="11825" width="14.625" style="4" customWidth="1"/>
    <col min="11826" max="11827" width="14.875" style="4" customWidth="1"/>
    <col min="11828" max="11831" width="12.625" style="4" customWidth="1"/>
    <col min="11832" max="11832" width="14.625" style="4" customWidth="1"/>
    <col min="11833" max="11834" width="14.875" style="4" customWidth="1"/>
    <col min="11835" max="11838" width="12.625" style="4" customWidth="1"/>
    <col min="11839" max="11839" width="14.625" style="4" customWidth="1"/>
    <col min="11840" max="11841" width="14.875" style="4" customWidth="1"/>
    <col min="11842" max="11845" width="12.625" style="4" customWidth="1"/>
    <col min="11846" max="11846" width="14.625" style="4" customWidth="1"/>
    <col min="11847" max="11848" width="14.875" style="4" customWidth="1"/>
    <col min="11849" max="11852" width="12.625" style="4" customWidth="1"/>
    <col min="11853" max="11853" width="14.625" style="4" customWidth="1"/>
    <col min="11854" max="11855" width="14.875" style="4" customWidth="1"/>
    <col min="11856" max="11859" width="12.625" style="4" customWidth="1"/>
    <col min="11860" max="11860" width="14.625" style="4" customWidth="1"/>
    <col min="11861" max="11862" width="14.875" style="4" customWidth="1"/>
    <col min="11863" max="11866" width="12.625" style="4" customWidth="1"/>
    <col min="11867" max="11867" width="14.625" style="4" customWidth="1"/>
    <col min="11868" max="12026" width="9" style="4"/>
    <col min="12027" max="12027" width="11.875" style="4" customWidth="1"/>
    <col min="12028" max="12028" width="13.875" style="4" bestFit="1" customWidth="1"/>
    <col min="12029" max="12032" width="14.875" style="4" customWidth="1"/>
    <col min="12033" max="12033" width="18.875" style="4" bestFit="1" customWidth="1"/>
    <col min="12034" max="12034" width="14.875" style="4" customWidth="1"/>
    <col min="12035" max="12035" width="25.625" style="4" customWidth="1"/>
    <col min="12036" max="12036" width="17.625" style="4" bestFit="1" customWidth="1"/>
    <col min="12037" max="12038" width="14.875" style="4" customWidth="1"/>
    <col min="12039" max="12039" width="17" style="4" customWidth="1"/>
    <col min="12040" max="12040" width="16" style="4" customWidth="1"/>
    <col min="12041" max="12041" width="25.625" style="4" customWidth="1"/>
    <col min="12042" max="12042" width="12.625" style="4" customWidth="1"/>
    <col min="12043" max="12045" width="14.875" style="4" customWidth="1"/>
    <col min="12046" max="12046" width="20.625" style="4" bestFit="1" customWidth="1"/>
    <col min="12047" max="12048" width="14.875" style="4" customWidth="1"/>
    <col min="12049" max="12049" width="16.5" style="4" customWidth="1"/>
    <col min="12050" max="12050" width="18.625" style="4" customWidth="1"/>
    <col min="12051" max="12051" width="14.625" style="4" customWidth="1"/>
    <col min="12052" max="12052" width="12.625" style="4" customWidth="1"/>
    <col min="12053" max="12053" width="14.375" style="4" customWidth="1"/>
    <col min="12054" max="12055" width="14.875" style="4" customWidth="1"/>
    <col min="12056" max="12059" width="12.625" style="4" customWidth="1"/>
    <col min="12060" max="12060" width="14.625" style="4" customWidth="1"/>
    <col min="12061" max="12062" width="14.875" style="4" customWidth="1"/>
    <col min="12063" max="12066" width="12.625" style="4" customWidth="1"/>
    <col min="12067" max="12067" width="14.625" style="4" customWidth="1"/>
    <col min="12068" max="12069" width="14.875" style="4" customWidth="1"/>
    <col min="12070" max="12073" width="12.625" style="4" customWidth="1"/>
    <col min="12074" max="12074" width="14.625" style="4" customWidth="1"/>
    <col min="12075" max="12076" width="14.875" style="4" customWidth="1"/>
    <col min="12077" max="12080" width="12.625" style="4" customWidth="1"/>
    <col min="12081" max="12081" width="14.625" style="4" customWidth="1"/>
    <col min="12082" max="12083" width="14.875" style="4" customWidth="1"/>
    <col min="12084" max="12087" width="12.625" style="4" customWidth="1"/>
    <col min="12088" max="12088" width="14.625" style="4" customWidth="1"/>
    <col min="12089" max="12090" width="14.875" style="4" customWidth="1"/>
    <col min="12091" max="12094" width="12.625" style="4" customWidth="1"/>
    <col min="12095" max="12095" width="14.625" style="4" customWidth="1"/>
    <col min="12096" max="12097" width="14.875" style="4" customWidth="1"/>
    <col min="12098" max="12101" width="12.625" style="4" customWidth="1"/>
    <col min="12102" max="12102" width="14.625" style="4" customWidth="1"/>
    <col min="12103" max="12104" width="14.875" style="4" customWidth="1"/>
    <col min="12105" max="12108" width="12.625" style="4" customWidth="1"/>
    <col min="12109" max="12109" width="14.625" style="4" customWidth="1"/>
    <col min="12110" max="12111" width="14.875" style="4" customWidth="1"/>
    <col min="12112" max="12115" width="12.625" style="4" customWidth="1"/>
    <col min="12116" max="12116" width="14.625" style="4" customWidth="1"/>
    <col min="12117" max="12118" width="14.875" style="4" customWidth="1"/>
    <col min="12119" max="12122" width="12.625" style="4" customWidth="1"/>
    <col min="12123" max="12123" width="14.625" style="4" customWidth="1"/>
    <col min="12124" max="12282" width="9" style="4"/>
    <col min="12283" max="12283" width="11.875" style="4" customWidth="1"/>
    <col min="12284" max="12284" width="13.875" style="4" bestFit="1" customWidth="1"/>
    <col min="12285" max="12288" width="14.875" style="4" customWidth="1"/>
    <col min="12289" max="12289" width="18.875" style="4" bestFit="1" customWidth="1"/>
    <col min="12290" max="12290" width="14.875" style="4" customWidth="1"/>
    <col min="12291" max="12291" width="25.625" style="4" customWidth="1"/>
    <col min="12292" max="12292" width="17.625" style="4" bestFit="1" customWidth="1"/>
    <col min="12293" max="12294" width="14.875" style="4" customWidth="1"/>
    <col min="12295" max="12295" width="17" style="4" customWidth="1"/>
    <col min="12296" max="12296" width="16" style="4" customWidth="1"/>
    <col min="12297" max="12297" width="25.625" style="4" customWidth="1"/>
    <col min="12298" max="12298" width="12.625" style="4" customWidth="1"/>
    <col min="12299" max="12301" width="14.875" style="4" customWidth="1"/>
    <col min="12302" max="12302" width="20.625" style="4" bestFit="1" customWidth="1"/>
    <col min="12303" max="12304" width="14.875" style="4" customWidth="1"/>
    <col min="12305" max="12305" width="16.5" style="4" customWidth="1"/>
    <col min="12306" max="12306" width="18.625" style="4" customWidth="1"/>
    <col min="12307" max="12307" width="14.625" style="4" customWidth="1"/>
    <col min="12308" max="12308" width="12.625" style="4" customWidth="1"/>
    <col min="12309" max="12309" width="14.375" style="4" customWidth="1"/>
    <col min="12310" max="12311" width="14.875" style="4" customWidth="1"/>
    <col min="12312" max="12315" width="12.625" style="4" customWidth="1"/>
    <col min="12316" max="12316" width="14.625" style="4" customWidth="1"/>
    <col min="12317" max="12318" width="14.875" style="4" customWidth="1"/>
    <col min="12319" max="12322" width="12.625" style="4" customWidth="1"/>
    <col min="12323" max="12323" width="14.625" style="4" customWidth="1"/>
    <col min="12324" max="12325" width="14.875" style="4" customWidth="1"/>
    <col min="12326" max="12329" width="12.625" style="4" customWidth="1"/>
    <col min="12330" max="12330" width="14.625" style="4" customWidth="1"/>
    <col min="12331" max="12332" width="14.875" style="4" customWidth="1"/>
    <col min="12333" max="12336" width="12.625" style="4" customWidth="1"/>
    <col min="12337" max="12337" width="14.625" style="4" customWidth="1"/>
    <col min="12338" max="12339" width="14.875" style="4" customWidth="1"/>
    <col min="12340" max="12343" width="12.625" style="4" customWidth="1"/>
    <col min="12344" max="12344" width="14.625" style="4" customWidth="1"/>
    <col min="12345" max="12346" width="14.875" style="4" customWidth="1"/>
    <col min="12347" max="12350" width="12.625" style="4" customWidth="1"/>
    <col min="12351" max="12351" width="14.625" style="4" customWidth="1"/>
    <col min="12352" max="12353" width="14.875" style="4" customWidth="1"/>
    <col min="12354" max="12357" width="12.625" style="4" customWidth="1"/>
    <col min="12358" max="12358" width="14.625" style="4" customWidth="1"/>
    <col min="12359" max="12360" width="14.875" style="4" customWidth="1"/>
    <col min="12361" max="12364" width="12.625" style="4" customWidth="1"/>
    <col min="12365" max="12365" width="14.625" style="4" customWidth="1"/>
    <col min="12366" max="12367" width="14.875" style="4" customWidth="1"/>
    <col min="12368" max="12371" width="12.625" style="4" customWidth="1"/>
    <col min="12372" max="12372" width="14.625" style="4" customWidth="1"/>
    <col min="12373" max="12374" width="14.875" style="4" customWidth="1"/>
    <col min="12375" max="12378" width="12.625" style="4" customWidth="1"/>
    <col min="12379" max="12379" width="14.625" style="4" customWidth="1"/>
    <col min="12380" max="12538" width="9" style="4"/>
    <col min="12539" max="12539" width="11.875" style="4" customWidth="1"/>
    <col min="12540" max="12540" width="13.875" style="4" bestFit="1" customWidth="1"/>
    <col min="12541" max="12544" width="14.875" style="4" customWidth="1"/>
    <col min="12545" max="12545" width="18.875" style="4" bestFit="1" customWidth="1"/>
    <col min="12546" max="12546" width="14.875" style="4" customWidth="1"/>
    <col min="12547" max="12547" width="25.625" style="4" customWidth="1"/>
    <col min="12548" max="12548" width="17.625" style="4" bestFit="1" customWidth="1"/>
    <col min="12549" max="12550" width="14.875" style="4" customWidth="1"/>
    <col min="12551" max="12551" width="17" style="4" customWidth="1"/>
    <col min="12552" max="12552" width="16" style="4" customWidth="1"/>
    <col min="12553" max="12553" width="25.625" style="4" customWidth="1"/>
    <col min="12554" max="12554" width="12.625" style="4" customWidth="1"/>
    <col min="12555" max="12557" width="14.875" style="4" customWidth="1"/>
    <col min="12558" max="12558" width="20.625" style="4" bestFit="1" customWidth="1"/>
    <col min="12559" max="12560" width="14.875" style="4" customWidth="1"/>
    <col min="12561" max="12561" width="16.5" style="4" customWidth="1"/>
    <col min="12562" max="12562" width="18.625" style="4" customWidth="1"/>
    <col min="12563" max="12563" width="14.625" style="4" customWidth="1"/>
    <col min="12564" max="12564" width="12.625" style="4" customWidth="1"/>
    <col min="12565" max="12565" width="14.375" style="4" customWidth="1"/>
    <col min="12566" max="12567" width="14.875" style="4" customWidth="1"/>
    <col min="12568" max="12571" width="12.625" style="4" customWidth="1"/>
    <col min="12572" max="12572" width="14.625" style="4" customWidth="1"/>
    <col min="12573" max="12574" width="14.875" style="4" customWidth="1"/>
    <col min="12575" max="12578" width="12.625" style="4" customWidth="1"/>
    <col min="12579" max="12579" width="14.625" style="4" customWidth="1"/>
    <col min="12580" max="12581" width="14.875" style="4" customWidth="1"/>
    <col min="12582" max="12585" width="12.625" style="4" customWidth="1"/>
    <col min="12586" max="12586" width="14.625" style="4" customWidth="1"/>
    <col min="12587" max="12588" width="14.875" style="4" customWidth="1"/>
    <col min="12589" max="12592" width="12.625" style="4" customWidth="1"/>
    <col min="12593" max="12593" width="14.625" style="4" customWidth="1"/>
    <col min="12594" max="12595" width="14.875" style="4" customWidth="1"/>
    <col min="12596" max="12599" width="12.625" style="4" customWidth="1"/>
    <col min="12600" max="12600" width="14.625" style="4" customWidth="1"/>
    <col min="12601" max="12602" width="14.875" style="4" customWidth="1"/>
    <col min="12603" max="12606" width="12.625" style="4" customWidth="1"/>
    <col min="12607" max="12607" width="14.625" style="4" customWidth="1"/>
    <col min="12608" max="12609" width="14.875" style="4" customWidth="1"/>
    <col min="12610" max="12613" width="12.625" style="4" customWidth="1"/>
    <col min="12614" max="12614" width="14.625" style="4" customWidth="1"/>
    <col min="12615" max="12616" width="14.875" style="4" customWidth="1"/>
    <col min="12617" max="12620" width="12.625" style="4" customWidth="1"/>
    <col min="12621" max="12621" width="14.625" style="4" customWidth="1"/>
    <col min="12622" max="12623" width="14.875" style="4" customWidth="1"/>
    <col min="12624" max="12627" width="12.625" style="4" customWidth="1"/>
    <col min="12628" max="12628" width="14.625" style="4" customWidth="1"/>
    <col min="12629" max="12630" width="14.875" style="4" customWidth="1"/>
    <col min="12631" max="12634" width="12.625" style="4" customWidth="1"/>
    <col min="12635" max="12635" width="14.625" style="4" customWidth="1"/>
    <col min="12636" max="12794" width="9" style="4"/>
    <col min="12795" max="12795" width="11.875" style="4" customWidth="1"/>
    <col min="12796" max="12796" width="13.875" style="4" bestFit="1" customWidth="1"/>
    <col min="12797" max="12800" width="14.875" style="4" customWidth="1"/>
    <col min="12801" max="12801" width="18.875" style="4" bestFit="1" customWidth="1"/>
    <col min="12802" max="12802" width="14.875" style="4" customWidth="1"/>
    <col min="12803" max="12803" width="25.625" style="4" customWidth="1"/>
    <col min="12804" max="12804" width="17.625" style="4" bestFit="1" customWidth="1"/>
    <col min="12805" max="12806" width="14.875" style="4" customWidth="1"/>
    <col min="12807" max="12807" width="17" style="4" customWidth="1"/>
    <col min="12808" max="12808" width="16" style="4" customWidth="1"/>
    <col min="12809" max="12809" width="25.625" style="4" customWidth="1"/>
    <col min="12810" max="12810" width="12.625" style="4" customWidth="1"/>
    <col min="12811" max="12813" width="14.875" style="4" customWidth="1"/>
    <col min="12814" max="12814" width="20.625" style="4" bestFit="1" customWidth="1"/>
    <col min="12815" max="12816" width="14.875" style="4" customWidth="1"/>
    <col min="12817" max="12817" width="16.5" style="4" customWidth="1"/>
    <col min="12818" max="12818" width="18.625" style="4" customWidth="1"/>
    <col min="12819" max="12819" width="14.625" style="4" customWidth="1"/>
    <col min="12820" max="12820" width="12.625" style="4" customWidth="1"/>
    <col min="12821" max="12821" width="14.375" style="4" customWidth="1"/>
    <col min="12822" max="12823" width="14.875" style="4" customWidth="1"/>
    <col min="12824" max="12827" width="12.625" style="4" customWidth="1"/>
    <col min="12828" max="12828" width="14.625" style="4" customWidth="1"/>
    <col min="12829" max="12830" width="14.875" style="4" customWidth="1"/>
    <col min="12831" max="12834" width="12.625" style="4" customWidth="1"/>
    <col min="12835" max="12835" width="14.625" style="4" customWidth="1"/>
    <col min="12836" max="12837" width="14.875" style="4" customWidth="1"/>
    <col min="12838" max="12841" width="12.625" style="4" customWidth="1"/>
    <col min="12842" max="12842" width="14.625" style="4" customWidth="1"/>
    <col min="12843" max="12844" width="14.875" style="4" customWidth="1"/>
    <col min="12845" max="12848" width="12.625" style="4" customWidth="1"/>
    <col min="12849" max="12849" width="14.625" style="4" customWidth="1"/>
    <col min="12850" max="12851" width="14.875" style="4" customWidth="1"/>
    <col min="12852" max="12855" width="12.625" style="4" customWidth="1"/>
    <col min="12856" max="12856" width="14.625" style="4" customWidth="1"/>
    <col min="12857" max="12858" width="14.875" style="4" customWidth="1"/>
    <col min="12859" max="12862" width="12.625" style="4" customWidth="1"/>
    <col min="12863" max="12863" width="14.625" style="4" customWidth="1"/>
    <col min="12864" max="12865" width="14.875" style="4" customWidth="1"/>
    <col min="12866" max="12869" width="12.625" style="4" customWidth="1"/>
    <col min="12870" max="12870" width="14.625" style="4" customWidth="1"/>
    <col min="12871" max="12872" width="14.875" style="4" customWidth="1"/>
    <col min="12873" max="12876" width="12.625" style="4" customWidth="1"/>
    <col min="12877" max="12877" width="14.625" style="4" customWidth="1"/>
    <col min="12878" max="12879" width="14.875" style="4" customWidth="1"/>
    <col min="12880" max="12883" width="12.625" style="4" customWidth="1"/>
    <col min="12884" max="12884" width="14.625" style="4" customWidth="1"/>
    <col min="12885" max="12886" width="14.875" style="4" customWidth="1"/>
    <col min="12887" max="12890" width="12.625" style="4" customWidth="1"/>
    <col min="12891" max="12891" width="14.625" style="4" customWidth="1"/>
    <col min="12892" max="13050" width="9" style="4"/>
    <col min="13051" max="13051" width="11.875" style="4" customWidth="1"/>
    <col min="13052" max="13052" width="13.875" style="4" bestFit="1" customWidth="1"/>
    <col min="13053" max="13056" width="14.875" style="4" customWidth="1"/>
    <col min="13057" max="13057" width="18.875" style="4" bestFit="1" customWidth="1"/>
    <col min="13058" max="13058" width="14.875" style="4" customWidth="1"/>
    <col min="13059" max="13059" width="25.625" style="4" customWidth="1"/>
    <col min="13060" max="13060" width="17.625" style="4" bestFit="1" customWidth="1"/>
    <col min="13061" max="13062" width="14.875" style="4" customWidth="1"/>
    <col min="13063" max="13063" width="17" style="4" customWidth="1"/>
    <col min="13064" max="13064" width="16" style="4" customWidth="1"/>
    <col min="13065" max="13065" width="25.625" style="4" customWidth="1"/>
    <col min="13066" max="13066" width="12.625" style="4" customWidth="1"/>
    <col min="13067" max="13069" width="14.875" style="4" customWidth="1"/>
    <col min="13070" max="13070" width="20.625" style="4" bestFit="1" customWidth="1"/>
    <col min="13071" max="13072" width="14.875" style="4" customWidth="1"/>
    <col min="13073" max="13073" width="16.5" style="4" customWidth="1"/>
    <col min="13074" max="13074" width="18.625" style="4" customWidth="1"/>
    <col min="13075" max="13075" width="14.625" style="4" customWidth="1"/>
    <col min="13076" max="13076" width="12.625" style="4" customWidth="1"/>
    <col min="13077" max="13077" width="14.375" style="4" customWidth="1"/>
    <col min="13078" max="13079" width="14.875" style="4" customWidth="1"/>
    <col min="13080" max="13083" width="12.625" style="4" customWidth="1"/>
    <col min="13084" max="13084" width="14.625" style="4" customWidth="1"/>
    <col min="13085" max="13086" width="14.875" style="4" customWidth="1"/>
    <col min="13087" max="13090" width="12.625" style="4" customWidth="1"/>
    <col min="13091" max="13091" width="14.625" style="4" customWidth="1"/>
    <col min="13092" max="13093" width="14.875" style="4" customWidth="1"/>
    <col min="13094" max="13097" width="12.625" style="4" customWidth="1"/>
    <col min="13098" max="13098" width="14.625" style="4" customWidth="1"/>
    <col min="13099" max="13100" width="14.875" style="4" customWidth="1"/>
    <col min="13101" max="13104" width="12.625" style="4" customWidth="1"/>
    <col min="13105" max="13105" width="14.625" style="4" customWidth="1"/>
    <col min="13106" max="13107" width="14.875" style="4" customWidth="1"/>
    <col min="13108" max="13111" width="12.625" style="4" customWidth="1"/>
    <col min="13112" max="13112" width="14.625" style="4" customWidth="1"/>
    <col min="13113" max="13114" width="14.875" style="4" customWidth="1"/>
    <col min="13115" max="13118" width="12.625" style="4" customWidth="1"/>
    <col min="13119" max="13119" width="14.625" style="4" customWidth="1"/>
    <col min="13120" max="13121" width="14.875" style="4" customWidth="1"/>
    <col min="13122" max="13125" width="12.625" style="4" customWidth="1"/>
    <col min="13126" max="13126" width="14.625" style="4" customWidth="1"/>
    <col min="13127" max="13128" width="14.875" style="4" customWidth="1"/>
    <col min="13129" max="13132" width="12.625" style="4" customWidth="1"/>
    <col min="13133" max="13133" width="14.625" style="4" customWidth="1"/>
    <col min="13134" max="13135" width="14.875" style="4" customWidth="1"/>
    <col min="13136" max="13139" width="12.625" style="4" customWidth="1"/>
    <col min="13140" max="13140" width="14.625" style="4" customWidth="1"/>
    <col min="13141" max="13142" width="14.875" style="4" customWidth="1"/>
    <col min="13143" max="13146" width="12.625" style="4" customWidth="1"/>
    <col min="13147" max="13147" width="14.625" style="4" customWidth="1"/>
    <col min="13148" max="13306" width="9" style="4"/>
    <col min="13307" max="13307" width="11.875" style="4" customWidth="1"/>
    <col min="13308" max="13308" width="13.875" style="4" bestFit="1" customWidth="1"/>
    <col min="13309" max="13312" width="14.875" style="4" customWidth="1"/>
    <col min="13313" max="13313" width="18.875" style="4" bestFit="1" customWidth="1"/>
    <col min="13314" max="13314" width="14.875" style="4" customWidth="1"/>
    <col min="13315" max="13315" width="25.625" style="4" customWidth="1"/>
    <col min="13316" max="13316" width="17.625" style="4" bestFit="1" customWidth="1"/>
    <col min="13317" max="13318" width="14.875" style="4" customWidth="1"/>
    <col min="13319" max="13319" width="17" style="4" customWidth="1"/>
    <col min="13320" max="13320" width="16" style="4" customWidth="1"/>
    <col min="13321" max="13321" width="25.625" style="4" customWidth="1"/>
    <col min="13322" max="13322" width="12.625" style="4" customWidth="1"/>
    <col min="13323" max="13325" width="14.875" style="4" customWidth="1"/>
    <col min="13326" max="13326" width="20.625" style="4" bestFit="1" customWidth="1"/>
    <col min="13327" max="13328" width="14.875" style="4" customWidth="1"/>
    <col min="13329" max="13329" width="16.5" style="4" customWidth="1"/>
    <col min="13330" max="13330" width="18.625" style="4" customWidth="1"/>
    <col min="13331" max="13331" width="14.625" style="4" customWidth="1"/>
    <col min="13332" max="13332" width="12.625" style="4" customWidth="1"/>
    <col min="13333" max="13333" width="14.375" style="4" customWidth="1"/>
    <col min="13334" max="13335" width="14.875" style="4" customWidth="1"/>
    <col min="13336" max="13339" width="12.625" style="4" customWidth="1"/>
    <col min="13340" max="13340" width="14.625" style="4" customWidth="1"/>
    <col min="13341" max="13342" width="14.875" style="4" customWidth="1"/>
    <col min="13343" max="13346" width="12.625" style="4" customWidth="1"/>
    <col min="13347" max="13347" width="14.625" style="4" customWidth="1"/>
    <col min="13348" max="13349" width="14.875" style="4" customWidth="1"/>
    <col min="13350" max="13353" width="12.625" style="4" customWidth="1"/>
    <col min="13354" max="13354" width="14.625" style="4" customWidth="1"/>
    <col min="13355" max="13356" width="14.875" style="4" customWidth="1"/>
    <col min="13357" max="13360" width="12.625" style="4" customWidth="1"/>
    <col min="13361" max="13361" width="14.625" style="4" customWidth="1"/>
    <col min="13362" max="13363" width="14.875" style="4" customWidth="1"/>
    <col min="13364" max="13367" width="12.625" style="4" customWidth="1"/>
    <col min="13368" max="13368" width="14.625" style="4" customWidth="1"/>
    <col min="13369" max="13370" width="14.875" style="4" customWidth="1"/>
    <col min="13371" max="13374" width="12.625" style="4" customWidth="1"/>
    <col min="13375" max="13375" width="14.625" style="4" customWidth="1"/>
    <col min="13376" max="13377" width="14.875" style="4" customWidth="1"/>
    <col min="13378" max="13381" width="12.625" style="4" customWidth="1"/>
    <col min="13382" max="13382" width="14.625" style="4" customWidth="1"/>
    <col min="13383" max="13384" width="14.875" style="4" customWidth="1"/>
    <col min="13385" max="13388" width="12.625" style="4" customWidth="1"/>
    <col min="13389" max="13389" width="14.625" style="4" customWidth="1"/>
    <col min="13390" max="13391" width="14.875" style="4" customWidth="1"/>
    <col min="13392" max="13395" width="12.625" style="4" customWidth="1"/>
    <col min="13396" max="13396" width="14.625" style="4" customWidth="1"/>
    <col min="13397" max="13398" width="14.875" style="4" customWidth="1"/>
    <col min="13399" max="13402" width="12.625" style="4" customWidth="1"/>
    <col min="13403" max="13403" width="14.625" style="4" customWidth="1"/>
    <col min="13404" max="13562" width="9" style="4"/>
    <col min="13563" max="13563" width="11.875" style="4" customWidth="1"/>
    <col min="13564" max="13564" width="13.875" style="4" bestFit="1" customWidth="1"/>
    <col min="13565" max="13568" width="14.875" style="4" customWidth="1"/>
    <col min="13569" max="13569" width="18.875" style="4" bestFit="1" customWidth="1"/>
    <col min="13570" max="13570" width="14.875" style="4" customWidth="1"/>
    <col min="13571" max="13571" width="25.625" style="4" customWidth="1"/>
    <col min="13572" max="13572" width="17.625" style="4" bestFit="1" customWidth="1"/>
    <col min="13573" max="13574" width="14.875" style="4" customWidth="1"/>
    <col min="13575" max="13575" width="17" style="4" customWidth="1"/>
    <col min="13576" max="13576" width="16" style="4" customWidth="1"/>
    <col min="13577" max="13577" width="25.625" style="4" customWidth="1"/>
    <col min="13578" max="13578" width="12.625" style="4" customWidth="1"/>
    <col min="13579" max="13581" width="14.875" style="4" customWidth="1"/>
    <col min="13582" max="13582" width="20.625" style="4" bestFit="1" customWidth="1"/>
    <col min="13583" max="13584" width="14.875" style="4" customWidth="1"/>
    <col min="13585" max="13585" width="16.5" style="4" customWidth="1"/>
    <col min="13586" max="13586" width="18.625" style="4" customWidth="1"/>
    <col min="13587" max="13587" width="14.625" style="4" customWidth="1"/>
    <col min="13588" max="13588" width="12.625" style="4" customWidth="1"/>
    <col min="13589" max="13589" width="14.375" style="4" customWidth="1"/>
    <col min="13590" max="13591" width="14.875" style="4" customWidth="1"/>
    <col min="13592" max="13595" width="12.625" style="4" customWidth="1"/>
    <col min="13596" max="13596" width="14.625" style="4" customWidth="1"/>
    <col min="13597" max="13598" width="14.875" style="4" customWidth="1"/>
    <col min="13599" max="13602" width="12.625" style="4" customWidth="1"/>
    <col min="13603" max="13603" width="14.625" style="4" customWidth="1"/>
    <col min="13604" max="13605" width="14.875" style="4" customWidth="1"/>
    <col min="13606" max="13609" width="12.625" style="4" customWidth="1"/>
    <col min="13610" max="13610" width="14.625" style="4" customWidth="1"/>
    <col min="13611" max="13612" width="14.875" style="4" customWidth="1"/>
    <col min="13613" max="13616" width="12.625" style="4" customWidth="1"/>
    <col min="13617" max="13617" width="14.625" style="4" customWidth="1"/>
    <col min="13618" max="13619" width="14.875" style="4" customWidth="1"/>
    <col min="13620" max="13623" width="12.625" style="4" customWidth="1"/>
    <col min="13624" max="13624" width="14.625" style="4" customWidth="1"/>
    <col min="13625" max="13626" width="14.875" style="4" customWidth="1"/>
    <col min="13627" max="13630" width="12.625" style="4" customWidth="1"/>
    <col min="13631" max="13631" width="14.625" style="4" customWidth="1"/>
    <col min="13632" max="13633" width="14.875" style="4" customWidth="1"/>
    <col min="13634" max="13637" width="12.625" style="4" customWidth="1"/>
    <col min="13638" max="13638" width="14.625" style="4" customWidth="1"/>
    <col min="13639" max="13640" width="14.875" style="4" customWidth="1"/>
    <col min="13641" max="13644" width="12.625" style="4" customWidth="1"/>
    <col min="13645" max="13645" width="14.625" style="4" customWidth="1"/>
    <col min="13646" max="13647" width="14.875" style="4" customWidth="1"/>
    <col min="13648" max="13651" width="12.625" style="4" customWidth="1"/>
    <col min="13652" max="13652" width="14.625" style="4" customWidth="1"/>
    <col min="13653" max="13654" width="14.875" style="4" customWidth="1"/>
    <col min="13655" max="13658" width="12.625" style="4" customWidth="1"/>
    <col min="13659" max="13659" width="14.625" style="4" customWidth="1"/>
    <col min="13660" max="13818" width="9" style="4"/>
    <col min="13819" max="13819" width="11.875" style="4" customWidth="1"/>
    <col min="13820" max="13820" width="13.875" style="4" bestFit="1" customWidth="1"/>
    <col min="13821" max="13824" width="14.875" style="4" customWidth="1"/>
    <col min="13825" max="13825" width="18.875" style="4" bestFit="1" customWidth="1"/>
    <col min="13826" max="13826" width="14.875" style="4" customWidth="1"/>
    <col min="13827" max="13827" width="25.625" style="4" customWidth="1"/>
    <col min="13828" max="13828" width="17.625" style="4" bestFit="1" customWidth="1"/>
    <col min="13829" max="13830" width="14.875" style="4" customWidth="1"/>
    <col min="13831" max="13831" width="17" style="4" customWidth="1"/>
    <col min="13832" max="13832" width="16" style="4" customWidth="1"/>
    <col min="13833" max="13833" width="25.625" style="4" customWidth="1"/>
    <col min="13834" max="13834" width="12.625" style="4" customWidth="1"/>
    <col min="13835" max="13837" width="14.875" style="4" customWidth="1"/>
    <col min="13838" max="13838" width="20.625" style="4" bestFit="1" customWidth="1"/>
    <col min="13839" max="13840" width="14.875" style="4" customWidth="1"/>
    <col min="13841" max="13841" width="16.5" style="4" customWidth="1"/>
    <col min="13842" max="13842" width="18.625" style="4" customWidth="1"/>
    <col min="13843" max="13843" width="14.625" style="4" customWidth="1"/>
    <col min="13844" max="13844" width="12.625" style="4" customWidth="1"/>
    <col min="13845" max="13845" width="14.375" style="4" customWidth="1"/>
    <col min="13846" max="13847" width="14.875" style="4" customWidth="1"/>
    <col min="13848" max="13851" width="12.625" style="4" customWidth="1"/>
    <col min="13852" max="13852" width="14.625" style="4" customWidth="1"/>
    <col min="13853" max="13854" width="14.875" style="4" customWidth="1"/>
    <col min="13855" max="13858" width="12.625" style="4" customWidth="1"/>
    <col min="13859" max="13859" width="14.625" style="4" customWidth="1"/>
    <col min="13860" max="13861" width="14.875" style="4" customWidth="1"/>
    <col min="13862" max="13865" width="12.625" style="4" customWidth="1"/>
    <col min="13866" max="13866" width="14.625" style="4" customWidth="1"/>
    <col min="13867" max="13868" width="14.875" style="4" customWidth="1"/>
    <col min="13869" max="13872" width="12.625" style="4" customWidth="1"/>
    <col min="13873" max="13873" width="14.625" style="4" customWidth="1"/>
    <col min="13874" max="13875" width="14.875" style="4" customWidth="1"/>
    <col min="13876" max="13879" width="12.625" style="4" customWidth="1"/>
    <col min="13880" max="13880" width="14.625" style="4" customWidth="1"/>
    <col min="13881" max="13882" width="14.875" style="4" customWidth="1"/>
    <col min="13883" max="13886" width="12.625" style="4" customWidth="1"/>
    <col min="13887" max="13887" width="14.625" style="4" customWidth="1"/>
    <col min="13888" max="13889" width="14.875" style="4" customWidth="1"/>
    <col min="13890" max="13893" width="12.625" style="4" customWidth="1"/>
    <col min="13894" max="13894" width="14.625" style="4" customWidth="1"/>
    <col min="13895" max="13896" width="14.875" style="4" customWidth="1"/>
    <col min="13897" max="13900" width="12.625" style="4" customWidth="1"/>
    <col min="13901" max="13901" width="14.625" style="4" customWidth="1"/>
    <col min="13902" max="13903" width="14.875" style="4" customWidth="1"/>
    <col min="13904" max="13907" width="12.625" style="4" customWidth="1"/>
    <col min="13908" max="13908" width="14.625" style="4" customWidth="1"/>
    <col min="13909" max="13910" width="14.875" style="4" customWidth="1"/>
    <col min="13911" max="13914" width="12.625" style="4" customWidth="1"/>
    <col min="13915" max="13915" width="14.625" style="4" customWidth="1"/>
    <col min="13916" max="14074" width="9" style="4"/>
    <col min="14075" max="14075" width="11.875" style="4" customWidth="1"/>
    <col min="14076" max="14076" width="13.875" style="4" bestFit="1" customWidth="1"/>
    <col min="14077" max="14080" width="14.875" style="4" customWidth="1"/>
    <col min="14081" max="14081" width="18.875" style="4" bestFit="1" customWidth="1"/>
    <col min="14082" max="14082" width="14.875" style="4" customWidth="1"/>
    <col min="14083" max="14083" width="25.625" style="4" customWidth="1"/>
    <col min="14084" max="14084" width="17.625" style="4" bestFit="1" customWidth="1"/>
    <col min="14085" max="14086" width="14.875" style="4" customWidth="1"/>
    <col min="14087" max="14087" width="17" style="4" customWidth="1"/>
    <col min="14088" max="14088" width="16" style="4" customWidth="1"/>
    <col min="14089" max="14089" width="25.625" style="4" customWidth="1"/>
    <col min="14090" max="14090" width="12.625" style="4" customWidth="1"/>
    <col min="14091" max="14093" width="14.875" style="4" customWidth="1"/>
    <col min="14094" max="14094" width="20.625" style="4" bestFit="1" customWidth="1"/>
    <col min="14095" max="14096" width="14.875" style="4" customWidth="1"/>
    <col min="14097" max="14097" width="16.5" style="4" customWidth="1"/>
    <col min="14098" max="14098" width="18.625" style="4" customWidth="1"/>
    <col min="14099" max="14099" width="14.625" style="4" customWidth="1"/>
    <col min="14100" max="14100" width="12.625" style="4" customWidth="1"/>
    <col min="14101" max="14101" width="14.375" style="4" customWidth="1"/>
    <col min="14102" max="14103" width="14.875" style="4" customWidth="1"/>
    <col min="14104" max="14107" width="12.625" style="4" customWidth="1"/>
    <col min="14108" max="14108" width="14.625" style="4" customWidth="1"/>
    <col min="14109" max="14110" width="14.875" style="4" customWidth="1"/>
    <col min="14111" max="14114" width="12.625" style="4" customWidth="1"/>
    <col min="14115" max="14115" width="14.625" style="4" customWidth="1"/>
    <col min="14116" max="14117" width="14.875" style="4" customWidth="1"/>
    <col min="14118" max="14121" width="12.625" style="4" customWidth="1"/>
    <col min="14122" max="14122" width="14.625" style="4" customWidth="1"/>
    <col min="14123" max="14124" width="14.875" style="4" customWidth="1"/>
    <col min="14125" max="14128" width="12.625" style="4" customWidth="1"/>
    <col min="14129" max="14129" width="14.625" style="4" customWidth="1"/>
    <col min="14130" max="14131" width="14.875" style="4" customWidth="1"/>
    <col min="14132" max="14135" width="12.625" style="4" customWidth="1"/>
    <col min="14136" max="14136" width="14.625" style="4" customWidth="1"/>
    <col min="14137" max="14138" width="14.875" style="4" customWidth="1"/>
    <col min="14139" max="14142" width="12.625" style="4" customWidth="1"/>
    <col min="14143" max="14143" width="14.625" style="4" customWidth="1"/>
    <col min="14144" max="14145" width="14.875" style="4" customWidth="1"/>
    <col min="14146" max="14149" width="12.625" style="4" customWidth="1"/>
    <col min="14150" max="14150" width="14.625" style="4" customWidth="1"/>
    <col min="14151" max="14152" width="14.875" style="4" customWidth="1"/>
    <col min="14153" max="14156" width="12.625" style="4" customWidth="1"/>
    <col min="14157" max="14157" width="14.625" style="4" customWidth="1"/>
    <col min="14158" max="14159" width="14.875" style="4" customWidth="1"/>
    <col min="14160" max="14163" width="12.625" style="4" customWidth="1"/>
    <col min="14164" max="14164" width="14.625" style="4" customWidth="1"/>
    <col min="14165" max="14166" width="14.875" style="4" customWidth="1"/>
    <col min="14167" max="14170" width="12.625" style="4" customWidth="1"/>
    <col min="14171" max="14171" width="14.625" style="4" customWidth="1"/>
    <col min="14172" max="14330" width="9" style="4"/>
    <col min="14331" max="14331" width="11.875" style="4" customWidth="1"/>
    <col min="14332" max="14332" width="13.875" style="4" bestFit="1" customWidth="1"/>
    <col min="14333" max="14336" width="14.875" style="4" customWidth="1"/>
    <col min="14337" max="14337" width="18.875" style="4" bestFit="1" customWidth="1"/>
    <col min="14338" max="14338" width="14.875" style="4" customWidth="1"/>
    <col min="14339" max="14339" width="25.625" style="4" customWidth="1"/>
    <col min="14340" max="14340" width="17.625" style="4" bestFit="1" customWidth="1"/>
    <col min="14341" max="14342" width="14.875" style="4" customWidth="1"/>
    <col min="14343" max="14343" width="17" style="4" customWidth="1"/>
    <col min="14344" max="14344" width="16" style="4" customWidth="1"/>
    <col min="14345" max="14345" width="25.625" style="4" customWidth="1"/>
    <col min="14346" max="14346" width="12.625" style="4" customWidth="1"/>
    <col min="14347" max="14349" width="14.875" style="4" customWidth="1"/>
    <col min="14350" max="14350" width="20.625" style="4" bestFit="1" customWidth="1"/>
    <col min="14351" max="14352" width="14.875" style="4" customWidth="1"/>
    <col min="14353" max="14353" width="16.5" style="4" customWidth="1"/>
    <col min="14354" max="14354" width="18.625" style="4" customWidth="1"/>
    <col min="14355" max="14355" width="14.625" style="4" customWidth="1"/>
    <col min="14356" max="14356" width="12.625" style="4" customWidth="1"/>
    <col min="14357" max="14357" width="14.375" style="4" customWidth="1"/>
    <col min="14358" max="14359" width="14.875" style="4" customWidth="1"/>
    <col min="14360" max="14363" width="12.625" style="4" customWidth="1"/>
    <col min="14364" max="14364" width="14.625" style="4" customWidth="1"/>
    <col min="14365" max="14366" width="14.875" style="4" customWidth="1"/>
    <col min="14367" max="14370" width="12.625" style="4" customWidth="1"/>
    <col min="14371" max="14371" width="14.625" style="4" customWidth="1"/>
    <col min="14372" max="14373" width="14.875" style="4" customWidth="1"/>
    <col min="14374" max="14377" width="12.625" style="4" customWidth="1"/>
    <col min="14378" max="14378" width="14.625" style="4" customWidth="1"/>
    <col min="14379" max="14380" width="14.875" style="4" customWidth="1"/>
    <col min="14381" max="14384" width="12.625" style="4" customWidth="1"/>
    <col min="14385" max="14385" width="14.625" style="4" customWidth="1"/>
    <col min="14386" max="14387" width="14.875" style="4" customWidth="1"/>
    <col min="14388" max="14391" width="12.625" style="4" customWidth="1"/>
    <col min="14392" max="14392" width="14.625" style="4" customWidth="1"/>
    <col min="14393" max="14394" width="14.875" style="4" customWidth="1"/>
    <col min="14395" max="14398" width="12.625" style="4" customWidth="1"/>
    <col min="14399" max="14399" width="14.625" style="4" customWidth="1"/>
    <col min="14400" max="14401" width="14.875" style="4" customWidth="1"/>
    <col min="14402" max="14405" width="12.625" style="4" customWidth="1"/>
    <col min="14406" max="14406" width="14.625" style="4" customWidth="1"/>
    <col min="14407" max="14408" width="14.875" style="4" customWidth="1"/>
    <col min="14409" max="14412" width="12.625" style="4" customWidth="1"/>
    <col min="14413" max="14413" width="14.625" style="4" customWidth="1"/>
    <col min="14414" max="14415" width="14.875" style="4" customWidth="1"/>
    <col min="14416" max="14419" width="12.625" style="4" customWidth="1"/>
    <col min="14420" max="14420" width="14.625" style="4" customWidth="1"/>
    <col min="14421" max="14422" width="14.875" style="4" customWidth="1"/>
    <col min="14423" max="14426" width="12.625" style="4" customWidth="1"/>
    <col min="14427" max="14427" width="14.625" style="4" customWidth="1"/>
    <col min="14428" max="14586" width="9" style="4"/>
    <col min="14587" max="14587" width="11.875" style="4" customWidth="1"/>
    <col min="14588" max="14588" width="13.875" style="4" bestFit="1" customWidth="1"/>
    <col min="14589" max="14592" width="14.875" style="4" customWidth="1"/>
    <col min="14593" max="14593" width="18.875" style="4" bestFit="1" customWidth="1"/>
    <col min="14594" max="14594" width="14.875" style="4" customWidth="1"/>
    <col min="14595" max="14595" width="25.625" style="4" customWidth="1"/>
    <col min="14596" max="14596" width="17.625" style="4" bestFit="1" customWidth="1"/>
    <col min="14597" max="14598" width="14.875" style="4" customWidth="1"/>
    <col min="14599" max="14599" width="17" style="4" customWidth="1"/>
    <col min="14600" max="14600" width="16" style="4" customWidth="1"/>
    <col min="14601" max="14601" width="25.625" style="4" customWidth="1"/>
    <col min="14602" max="14602" width="12.625" style="4" customWidth="1"/>
    <col min="14603" max="14605" width="14.875" style="4" customWidth="1"/>
    <col min="14606" max="14606" width="20.625" style="4" bestFit="1" customWidth="1"/>
    <col min="14607" max="14608" width="14.875" style="4" customWidth="1"/>
    <col min="14609" max="14609" width="16.5" style="4" customWidth="1"/>
    <col min="14610" max="14610" width="18.625" style="4" customWidth="1"/>
    <col min="14611" max="14611" width="14.625" style="4" customWidth="1"/>
    <col min="14612" max="14612" width="12.625" style="4" customWidth="1"/>
    <col min="14613" max="14613" width="14.375" style="4" customWidth="1"/>
    <col min="14614" max="14615" width="14.875" style="4" customWidth="1"/>
    <col min="14616" max="14619" width="12.625" style="4" customWidth="1"/>
    <col min="14620" max="14620" width="14.625" style="4" customWidth="1"/>
    <col min="14621" max="14622" width="14.875" style="4" customWidth="1"/>
    <col min="14623" max="14626" width="12.625" style="4" customWidth="1"/>
    <col min="14627" max="14627" width="14.625" style="4" customWidth="1"/>
    <col min="14628" max="14629" width="14.875" style="4" customWidth="1"/>
    <col min="14630" max="14633" width="12.625" style="4" customWidth="1"/>
    <col min="14634" max="14634" width="14.625" style="4" customWidth="1"/>
    <col min="14635" max="14636" width="14.875" style="4" customWidth="1"/>
    <col min="14637" max="14640" width="12.625" style="4" customWidth="1"/>
    <col min="14641" max="14641" width="14.625" style="4" customWidth="1"/>
    <col min="14642" max="14643" width="14.875" style="4" customWidth="1"/>
    <col min="14644" max="14647" width="12.625" style="4" customWidth="1"/>
    <col min="14648" max="14648" width="14.625" style="4" customWidth="1"/>
    <col min="14649" max="14650" width="14.875" style="4" customWidth="1"/>
    <col min="14651" max="14654" width="12.625" style="4" customWidth="1"/>
    <col min="14655" max="14655" width="14.625" style="4" customWidth="1"/>
    <col min="14656" max="14657" width="14.875" style="4" customWidth="1"/>
    <col min="14658" max="14661" width="12.625" style="4" customWidth="1"/>
    <col min="14662" max="14662" width="14.625" style="4" customWidth="1"/>
    <col min="14663" max="14664" width="14.875" style="4" customWidth="1"/>
    <col min="14665" max="14668" width="12.625" style="4" customWidth="1"/>
    <col min="14669" max="14669" width="14.625" style="4" customWidth="1"/>
    <col min="14670" max="14671" width="14.875" style="4" customWidth="1"/>
    <col min="14672" max="14675" width="12.625" style="4" customWidth="1"/>
    <col min="14676" max="14676" width="14.625" style="4" customWidth="1"/>
    <col min="14677" max="14678" width="14.875" style="4" customWidth="1"/>
    <col min="14679" max="14682" width="12.625" style="4" customWidth="1"/>
    <col min="14683" max="14683" width="14.625" style="4" customWidth="1"/>
    <col min="14684" max="14842" width="9" style="4"/>
    <col min="14843" max="14843" width="11.875" style="4" customWidth="1"/>
    <col min="14844" max="14844" width="13.875" style="4" bestFit="1" customWidth="1"/>
    <col min="14845" max="14848" width="14.875" style="4" customWidth="1"/>
    <col min="14849" max="14849" width="18.875" style="4" bestFit="1" customWidth="1"/>
    <col min="14850" max="14850" width="14.875" style="4" customWidth="1"/>
    <col min="14851" max="14851" width="25.625" style="4" customWidth="1"/>
    <col min="14852" max="14852" width="17.625" style="4" bestFit="1" customWidth="1"/>
    <col min="14853" max="14854" width="14.875" style="4" customWidth="1"/>
    <col min="14855" max="14855" width="17" style="4" customWidth="1"/>
    <col min="14856" max="14856" width="16" style="4" customWidth="1"/>
    <col min="14857" max="14857" width="25.625" style="4" customWidth="1"/>
    <col min="14858" max="14858" width="12.625" style="4" customWidth="1"/>
    <col min="14859" max="14861" width="14.875" style="4" customWidth="1"/>
    <col min="14862" max="14862" width="20.625" style="4" bestFit="1" customWidth="1"/>
    <col min="14863" max="14864" width="14.875" style="4" customWidth="1"/>
    <col min="14865" max="14865" width="16.5" style="4" customWidth="1"/>
    <col min="14866" max="14866" width="18.625" style="4" customWidth="1"/>
    <col min="14867" max="14867" width="14.625" style="4" customWidth="1"/>
    <col min="14868" max="14868" width="12.625" style="4" customWidth="1"/>
    <col min="14869" max="14869" width="14.375" style="4" customWidth="1"/>
    <col min="14870" max="14871" width="14.875" style="4" customWidth="1"/>
    <col min="14872" max="14875" width="12.625" style="4" customWidth="1"/>
    <col min="14876" max="14876" width="14.625" style="4" customWidth="1"/>
    <col min="14877" max="14878" width="14.875" style="4" customWidth="1"/>
    <col min="14879" max="14882" width="12.625" style="4" customWidth="1"/>
    <col min="14883" max="14883" width="14.625" style="4" customWidth="1"/>
    <col min="14884" max="14885" width="14.875" style="4" customWidth="1"/>
    <col min="14886" max="14889" width="12.625" style="4" customWidth="1"/>
    <col min="14890" max="14890" width="14.625" style="4" customWidth="1"/>
    <col min="14891" max="14892" width="14.875" style="4" customWidth="1"/>
    <col min="14893" max="14896" width="12.625" style="4" customWidth="1"/>
    <col min="14897" max="14897" width="14.625" style="4" customWidth="1"/>
    <col min="14898" max="14899" width="14.875" style="4" customWidth="1"/>
    <col min="14900" max="14903" width="12.625" style="4" customWidth="1"/>
    <col min="14904" max="14904" width="14.625" style="4" customWidth="1"/>
    <col min="14905" max="14906" width="14.875" style="4" customWidth="1"/>
    <col min="14907" max="14910" width="12.625" style="4" customWidth="1"/>
    <col min="14911" max="14911" width="14.625" style="4" customWidth="1"/>
    <col min="14912" max="14913" width="14.875" style="4" customWidth="1"/>
    <col min="14914" max="14917" width="12.625" style="4" customWidth="1"/>
    <col min="14918" max="14918" width="14.625" style="4" customWidth="1"/>
    <col min="14919" max="14920" width="14.875" style="4" customWidth="1"/>
    <col min="14921" max="14924" width="12.625" style="4" customWidth="1"/>
    <col min="14925" max="14925" width="14.625" style="4" customWidth="1"/>
    <col min="14926" max="14927" width="14.875" style="4" customWidth="1"/>
    <col min="14928" max="14931" width="12.625" style="4" customWidth="1"/>
    <col min="14932" max="14932" width="14.625" style="4" customWidth="1"/>
    <col min="14933" max="14934" width="14.875" style="4" customWidth="1"/>
    <col min="14935" max="14938" width="12.625" style="4" customWidth="1"/>
    <col min="14939" max="14939" width="14.625" style="4" customWidth="1"/>
    <col min="14940" max="15098" width="9" style="4"/>
    <col min="15099" max="15099" width="11.875" style="4" customWidth="1"/>
    <col min="15100" max="15100" width="13.875" style="4" bestFit="1" customWidth="1"/>
    <col min="15101" max="15104" width="14.875" style="4" customWidth="1"/>
    <col min="15105" max="15105" width="18.875" style="4" bestFit="1" customWidth="1"/>
    <col min="15106" max="15106" width="14.875" style="4" customWidth="1"/>
    <col min="15107" max="15107" width="25.625" style="4" customWidth="1"/>
    <col min="15108" max="15108" width="17.625" style="4" bestFit="1" customWidth="1"/>
    <col min="15109" max="15110" width="14.875" style="4" customWidth="1"/>
    <col min="15111" max="15111" width="17" style="4" customWidth="1"/>
    <col min="15112" max="15112" width="16" style="4" customWidth="1"/>
    <col min="15113" max="15113" width="25.625" style="4" customWidth="1"/>
    <col min="15114" max="15114" width="12.625" style="4" customWidth="1"/>
    <col min="15115" max="15117" width="14.875" style="4" customWidth="1"/>
    <col min="15118" max="15118" width="20.625" style="4" bestFit="1" customWidth="1"/>
    <col min="15119" max="15120" width="14.875" style="4" customWidth="1"/>
    <col min="15121" max="15121" width="16.5" style="4" customWidth="1"/>
    <col min="15122" max="15122" width="18.625" style="4" customWidth="1"/>
    <col min="15123" max="15123" width="14.625" style="4" customWidth="1"/>
    <col min="15124" max="15124" width="12.625" style="4" customWidth="1"/>
    <col min="15125" max="15125" width="14.375" style="4" customWidth="1"/>
    <col min="15126" max="15127" width="14.875" style="4" customWidth="1"/>
    <col min="15128" max="15131" width="12.625" style="4" customWidth="1"/>
    <col min="15132" max="15132" width="14.625" style="4" customWidth="1"/>
    <col min="15133" max="15134" width="14.875" style="4" customWidth="1"/>
    <col min="15135" max="15138" width="12.625" style="4" customWidth="1"/>
    <col min="15139" max="15139" width="14.625" style="4" customWidth="1"/>
    <col min="15140" max="15141" width="14.875" style="4" customWidth="1"/>
    <col min="15142" max="15145" width="12.625" style="4" customWidth="1"/>
    <col min="15146" max="15146" width="14.625" style="4" customWidth="1"/>
    <col min="15147" max="15148" width="14.875" style="4" customWidth="1"/>
    <col min="15149" max="15152" width="12.625" style="4" customWidth="1"/>
    <col min="15153" max="15153" width="14.625" style="4" customWidth="1"/>
    <col min="15154" max="15155" width="14.875" style="4" customWidth="1"/>
    <col min="15156" max="15159" width="12.625" style="4" customWidth="1"/>
    <col min="15160" max="15160" width="14.625" style="4" customWidth="1"/>
    <col min="15161" max="15162" width="14.875" style="4" customWidth="1"/>
    <col min="15163" max="15166" width="12.625" style="4" customWidth="1"/>
    <col min="15167" max="15167" width="14.625" style="4" customWidth="1"/>
    <col min="15168" max="15169" width="14.875" style="4" customWidth="1"/>
    <col min="15170" max="15173" width="12.625" style="4" customWidth="1"/>
    <col min="15174" max="15174" width="14.625" style="4" customWidth="1"/>
    <col min="15175" max="15176" width="14.875" style="4" customWidth="1"/>
    <col min="15177" max="15180" width="12.625" style="4" customWidth="1"/>
    <col min="15181" max="15181" width="14.625" style="4" customWidth="1"/>
    <col min="15182" max="15183" width="14.875" style="4" customWidth="1"/>
    <col min="15184" max="15187" width="12.625" style="4" customWidth="1"/>
    <col min="15188" max="15188" width="14.625" style="4" customWidth="1"/>
    <col min="15189" max="15190" width="14.875" style="4" customWidth="1"/>
    <col min="15191" max="15194" width="12.625" style="4" customWidth="1"/>
    <col min="15195" max="15195" width="14.625" style="4" customWidth="1"/>
    <col min="15196" max="15354" width="9" style="4"/>
    <col min="15355" max="15355" width="11.875" style="4" customWidth="1"/>
    <col min="15356" max="15356" width="13.875" style="4" bestFit="1" customWidth="1"/>
    <col min="15357" max="15360" width="14.875" style="4" customWidth="1"/>
    <col min="15361" max="15361" width="18.875" style="4" bestFit="1" customWidth="1"/>
    <col min="15362" max="15362" width="14.875" style="4" customWidth="1"/>
    <col min="15363" max="15363" width="25.625" style="4" customWidth="1"/>
    <col min="15364" max="15364" width="17.625" style="4" bestFit="1" customWidth="1"/>
    <col min="15365" max="15366" width="14.875" style="4" customWidth="1"/>
    <col min="15367" max="15367" width="17" style="4" customWidth="1"/>
    <col min="15368" max="15368" width="16" style="4" customWidth="1"/>
    <col min="15369" max="15369" width="25.625" style="4" customWidth="1"/>
    <col min="15370" max="15370" width="12.625" style="4" customWidth="1"/>
    <col min="15371" max="15373" width="14.875" style="4" customWidth="1"/>
    <col min="15374" max="15374" width="20.625" style="4" bestFit="1" customWidth="1"/>
    <col min="15375" max="15376" width="14.875" style="4" customWidth="1"/>
    <col min="15377" max="15377" width="16.5" style="4" customWidth="1"/>
    <col min="15378" max="15378" width="18.625" style="4" customWidth="1"/>
    <col min="15379" max="15379" width="14.625" style="4" customWidth="1"/>
    <col min="15380" max="15380" width="12.625" style="4" customWidth="1"/>
    <col min="15381" max="15381" width="14.375" style="4" customWidth="1"/>
    <col min="15382" max="15383" width="14.875" style="4" customWidth="1"/>
    <col min="15384" max="15387" width="12.625" style="4" customWidth="1"/>
    <col min="15388" max="15388" width="14.625" style="4" customWidth="1"/>
    <col min="15389" max="15390" width="14.875" style="4" customWidth="1"/>
    <col min="15391" max="15394" width="12.625" style="4" customWidth="1"/>
    <col min="15395" max="15395" width="14.625" style="4" customWidth="1"/>
    <col min="15396" max="15397" width="14.875" style="4" customWidth="1"/>
    <col min="15398" max="15401" width="12.625" style="4" customWidth="1"/>
    <col min="15402" max="15402" width="14.625" style="4" customWidth="1"/>
    <col min="15403" max="15404" width="14.875" style="4" customWidth="1"/>
    <col min="15405" max="15408" width="12.625" style="4" customWidth="1"/>
    <col min="15409" max="15409" width="14.625" style="4" customWidth="1"/>
    <col min="15410" max="15411" width="14.875" style="4" customWidth="1"/>
    <col min="15412" max="15415" width="12.625" style="4" customWidth="1"/>
    <col min="15416" max="15416" width="14.625" style="4" customWidth="1"/>
    <col min="15417" max="15418" width="14.875" style="4" customWidth="1"/>
    <col min="15419" max="15422" width="12.625" style="4" customWidth="1"/>
    <col min="15423" max="15423" width="14.625" style="4" customWidth="1"/>
    <col min="15424" max="15425" width="14.875" style="4" customWidth="1"/>
    <col min="15426" max="15429" width="12.625" style="4" customWidth="1"/>
    <col min="15430" max="15430" width="14.625" style="4" customWidth="1"/>
    <col min="15431" max="15432" width="14.875" style="4" customWidth="1"/>
    <col min="15433" max="15436" width="12.625" style="4" customWidth="1"/>
    <col min="15437" max="15437" width="14.625" style="4" customWidth="1"/>
    <col min="15438" max="15439" width="14.875" style="4" customWidth="1"/>
    <col min="15440" max="15443" width="12.625" style="4" customWidth="1"/>
    <col min="15444" max="15444" width="14.625" style="4" customWidth="1"/>
    <col min="15445" max="15446" width="14.875" style="4" customWidth="1"/>
    <col min="15447" max="15450" width="12.625" style="4" customWidth="1"/>
    <col min="15451" max="15451" width="14.625" style="4" customWidth="1"/>
    <col min="15452" max="15610" width="9" style="4"/>
    <col min="15611" max="15611" width="11.875" style="4" customWidth="1"/>
    <col min="15612" max="15612" width="13.875" style="4" bestFit="1" customWidth="1"/>
    <col min="15613" max="15616" width="14.875" style="4" customWidth="1"/>
    <col min="15617" max="15617" width="18.875" style="4" bestFit="1" customWidth="1"/>
    <col min="15618" max="15618" width="14.875" style="4" customWidth="1"/>
    <col min="15619" max="15619" width="25.625" style="4" customWidth="1"/>
    <col min="15620" max="15620" width="17.625" style="4" bestFit="1" customWidth="1"/>
    <col min="15621" max="15622" width="14.875" style="4" customWidth="1"/>
    <col min="15623" max="15623" width="17" style="4" customWidth="1"/>
    <col min="15624" max="15624" width="16" style="4" customWidth="1"/>
    <col min="15625" max="15625" width="25.625" style="4" customWidth="1"/>
    <col min="15626" max="15626" width="12.625" style="4" customWidth="1"/>
    <col min="15627" max="15629" width="14.875" style="4" customWidth="1"/>
    <col min="15630" max="15630" width="20.625" style="4" bestFit="1" customWidth="1"/>
    <col min="15631" max="15632" width="14.875" style="4" customWidth="1"/>
    <col min="15633" max="15633" width="16.5" style="4" customWidth="1"/>
    <col min="15634" max="15634" width="18.625" style="4" customWidth="1"/>
    <col min="15635" max="15635" width="14.625" style="4" customWidth="1"/>
    <col min="15636" max="15636" width="12.625" style="4" customWidth="1"/>
    <col min="15637" max="15637" width="14.375" style="4" customWidth="1"/>
    <col min="15638" max="15639" width="14.875" style="4" customWidth="1"/>
    <col min="15640" max="15643" width="12.625" style="4" customWidth="1"/>
    <col min="15644" max="15644" width="14.625" style="4" customWidth="1"/>
    <col min="15645" max="15646" width="14.875" style="4" customWidth="1"/>
    <col min="15647" max="15650" width="12.625" style="4" customWidth="1"/>
    <col min="15651" max="15651" width="14.625" style="4" customWidth="1"/>
    <col min="15652" max="15653" width="14.875" style="4" customWidth="1"/>
    <col min="15654" max="15657" width="12.625" style="4" customWidth="1"/>
    <col min="15658" max="15658" width="14.625" style="4" customWidth="1"/>
    <col min="15659" max="15660" width="14.875" style="4" customWidth="1"/>
    <col min="15661" max="15664" width="12.625" style="4" customWidth="1"/>
    <col min="15665" max="15665" width="14.625" style="4" customWidth="1"/>
    <col min="15666" max="15667" width="14.875" style="4" customWidth="1"/>
    <col min="15668" max="15671" width="12.625" style="4" customWidth="1"/>
    <col min="15672" max="15672" width="14.625" style="4" customWidth="1"/>
    <col min="15673" max="15674" width="14.875" style="4" customWidth="1"/>
    <col min="15675" max="15678" width="12.625" style="4" customWidth="1"/>
    <col min="15679" max="15679" width="14.625" style="4" customWidth="1"/>
    <col min="15680" max="15681" width="14.875" style="4" customWidth="1"/>
    <col min="15682" max="15685" width="12.625" style="4" customWidth="1"/>
    <col min="15686" max="15686" width="14.625" style="4" customWidth="1"/>
    <col min="15687" max="15688" width="14.875" style="4" customWidth="1"/>
    <col min="15689" max="15692" width="12.625" style="4" customWidth="1"/>
    <col min="15693" max="15693" width="14.625" style="4" customWidth="1"/>
    <col min="15694" max="15695" width="14.875" style="4" customWidth="1"/>
    <col min="15696" max="15699" width="12.625" style="4" customWidth="1"/>
    <col min="15700" max="15700" width="14.625" style="4" customWidth="1"/>
    <col min="15701" max="15702" width="14.875" style="4" customWidth="1"/>
    <col min="15703" max="15706" width="12.625" style="4" customWidth="1"/>
    <col min="15707" max="15707" width="14.625" style="4" customWidth="1"/>
    <col min="15708" max="15866" width="9" style="4"/>
    <col min="15867" max="15867" width="11.875" style="4" customWidth="1"/>
    <col min="15868" max="15868" width="13.875" style="4" bestFit="1" customWidth="1"/>
    <col min="15869" max="15872" width="14.875" style="4" customWidth="1"/>
    <col min="15873" max="15873" width="18.875" style="4" bestFit="1" customWidth="1"/>
    <col min="15874" max="15874" width="14.875" style="4" customWidth="1"/>
    <col min="15875" max="15875" width="25.625" style="4" customWidth="1"/>
    <col min="15876" max="15876" width="17.625" style="4" bestFit="1" customWidth="1"/>
    <col min="15877" max="15878" width="14.875" style="4" customWidth="1"/>
    <col min="15879" max="15879" width="17" style="4" customWidth="1"/>
    <col min="15880" max="15880" width="16" style="4" customWidth="1"/>
    <col min="15881" max="15881" width="25.625" style="4" customWidth="1"/>
    <col min="15882" max="15882" width="12.625" style="4" customWidth="1"/>
    <col min="15883" max="15885" width="14.875" style="4" customWidth="1"/>
    <col min="15886" max="15886" width="20.625" style="4" bestFit="1" customWidth="1"/>
    <col min="15887" max="15888" width="14.875" style="4" customWidth="1"/>
    <col min="15889" max="15889" width="16.5" style="4" customWidth="1"/>
    <col min="15890" max="15890" width="18.625" style="4" customWidth="1"/>
    <col min="15891" max="15891" width="14.625" style="4" customWidth="1"/>
    <col min="15892" max="15892" width="12.625" style="4" customWidth="1"/>
    <col min="15893" max="15893" width="14.375" style="4" customWidth="1"/>
    <col min="15894" max="15895" width="14.875" style="4" customWidth="1"/>
    <col min="15896" max="15899" width="12.625" style="4" customWidth="1"/>
    <col min="15900" max="15900" width="14.625" style="4" customWidth="1"/>
    <col min="15901" max="15902" width="14.875" style="4" customWidth="1"/>
    <col min="15903" max="15906" width="12.625" style="4" customWidth="1"/>
    <col min="15907" max="15907" width="14.625" style="4" customWidth="1"/>
    <col min="15908" max="15909" width="14.875" style="4" customWidth="1"/>
    <col min="15910" max="15913" width="12.625" style="4" customWidth="1"/>
    <col min="15914" max="15914" width="14.625" style="4" customWidth="1"/>
    <col min="15915" max="15916" width="14.875" style="4" customWidth="1"/>
    <col min="15917" max="15920" width="12.625" style="4" customWidth="1"/>
    <col min="15921" max="15921" width="14.625" style="4" customWidth="1"/>
    <col min="15922" max="15923" width="14.875" style="4" customWidth="1"/>
    <col min="15924" max="15927" width="12.625" style="4" customWidth="1"/>
    <col min="15928" max="15928" width="14.625" style="4" customWidth="1"/>
    <col min="15929" max="15930" width="14.875" style="4" customWidth="1"/>
    <col min="15931" max="15934" width="12.625" style="4" customWidth="1"/>
    <col min="15935" max="15935" width="14.625" style="4" customWidth="1"/>
    <col min="15936" max="15937" width="14.875" style="4" customWidth="1"/>
    <col min="15938" max="15941" width="12.625" style="4" customWidth="1"/>
    <col min="15942" max="15942" width="14.625" style="4" customWidth="1"/>
    <col min="15943" max="15944" width="14.875" style="4" customWidth="1"/>
    <col min="15945" max="15948" width="12.625" style="4" customWidth="1"/>
    <col min="15949" max="15949" width="14.625" style="4" customWidth="1"/>
    <col min="15950" max="15951" width="14.875" style="4" customWidth="1"/>
    <col min="15952" max="15955" width="12.625" style="4" customWidth="1"/>
    <col min="15956" max="15956" width="14.625" style="4" customWidth="1"/>
    <col min="15957" max="15958" width="14.875" style="4" customWidth="1"/>
    <col min="15959" max="15962" width="12.625" style="4" customWidth="1"/>
    <col min="15963" max="15963" width="14.625" style="4" customWidth="1"/>
    <col min="15964" max="16122" width="9" style="4"/>
    <col min="16123" max="16123" width="11.875" style="4" customWidth="1"/>
    <col min="16124" max="16124" width="13.875" style="4" bestFit="1" customWidth="1"/>
    <col min="16125" max="16128" width="14.875" style="4" customWidth="1"/>
    <col min="16129" max="16129" width="18.875" style="4" bestFit="1" customWidth="1"/>
    <col min="16130" max="16130" width="14.875" style="4" customWidth="1"/>
    <col min="16131" max="16131" width="25.625" style="4" customWidth="1"/>
    <col min="16132" max="16132" width="17.625" style="4" bestFit="1" customWidth="1"/>
    <col min="16133" max="16134" width="14.875" style="4" customWidth="1"/>
    <col min="16135" max="16135" width="17" style="4" customWidth="1"/>
    <col min="16136" max="16136" width="16" style="4" customWidth="1"/>
    <col min="16137" max="16137" width="25.625" style="4" customWidth="1"/>
    <col min="16138" max="16138" width="12.625" style="4" customWidth="1"/>
    <col min="16139" max="16141" width="14.875" style="4" customWidth="1"/>
    <col min="16142" max="16142" width="20.625" style="4" bestFit="1" customWidth="1"/>
    <col min="16143" max="16144" width="14.875" style="4" customWidth="1"/>
    <col min="16145" max="16145" width="16.5" style="4" customWidth="1"/>
    <col min="16146" max="16146" width="18.625" style="4" customWidth="1"/>
    <col min="16147" max="16147" width="14.625" style="4" customWidth="1"/>
    <col min="16148" max="16148" width="12.625" style="4" customWidth="1"/>
    <col min="16149" max="16149" width="14.375" style="4" customWidth="1"/>
    <col min="16150" max="16151" width="14.875" style="4" customWidth="1"/>
    <col min="16152" max="16155" width="12.625" style="4" customWidth="1"/>
    <col min="16156" max="16156" width="14.625" style="4" customWidth="1"/>
    <col min="16157" max="16158" width="14.875" style="4" customWidth="1"/>
    <col min="16159" max="16162" width="12.625" style="4" customWidth="1"/>
    <col min="16163" max="16163" width="14.625" style="4" customWidth="1"/>
    <col min="16164" max="16165" width="14.875" style="4" customWidth="1"/>
    <col min="16166" max="16169" width="12.625" style="4" customWidth="1"/>
    <col min="16170" max="16170" width="14.625" style="4" customWidth="1"/>
    <col min="16171" max="16172" width="14.875" style="4" customWidth="1"/>
    <col min="16173" max="16176" width="12.625" style="4" customWidth="1"/>
    <col min="16177" max="16177" width="14.625" style="4" customWidth="1"/>
    <col min="16178" max="16179" width="14.875" style="4" customWidth="1"/>
    <col min="16180" max="16183" width="12.625" style="4" customWidth="1"/>
    <col min="16184" max="16184" width="14.625" style="4" customWidth="1"/>
    <col min="16185" max="16186" width="14.875" style="4" customWidth="1"/>
    <col min="16187" max="16190" width="12.625" style="4" customWidth="1"/>
    <col min="16191" max="16191" width="14.625" style="4" customWidth="1"/>
    <col min="16192" max="16193" width="14.875" style="4" customWidth="1"/>
    <col min="16194" max="16197" width="12.625" style="4" customWidth="1"/>
    <col min="16198" max="16198" width="14.625" style="4" customWidth="1"/>
    <col min="16199" max="16200" width="14.875" style="4" customWidth="1"/>
    <col min="16201" max="16204" width="12.625" style="4" customWidth="1"/>
    <col min="16205" max="16205" width="14.625" style="4" customWidth="1"/>
    <col min="16206" max="16207" width="14.875" style="4" customWidth="1"/>
    <col min="16208" max="16211" width="12.625" style="4" customWidth="1"/>
    <col min="16212" max="16212" width="14.625" style="4" customWidth="1"/>
    <col min="16213" max="16214" width="14.875" style="4" customWidth="1"/>
    <col min="16215" max="16218" width="12.625" style="4" customWidth="1"/>
    <col min="16219" max="16219" width="14.625" style="4" customWidth="1"/>
    <col min="16220" max="16384" width="9" style="4"/>
  </cols>
  <sheetData>
    <row r="2" spans="2:23" ht="54" customHeight="1" x14ac:dyDescent="0.2">
      <c r="B2" s="1" t="s">
        <v>0</v>
      </c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4" spans="2:23" x14ac:dyDescent="0.2">
      <c r="V4" s="5"/>
      <c r="W4" s="5"/>
    </row>
    <row r="25" spans="1:22" x14ac:dyDescent="0.2">
      <c r="I25" s="63"/>
    </row>
    <row r="26" spans="1:22" x14ac:dyDescent="0.2">
      <c r="I26" s="143"/>
      <c r="L26" s="63"/>
    </row>
    <row r="30" spans="1:22" ht="29.1" customHeight="1" x14ac:dyDescent="0.2">
      <c r="A30" s="6" t="s">
        <v>1</v>
      </c>
      <c r="B30" s="6" t="s">
        <v>2</v>
      </c>
      <c r="D30" s="174" t="s">
        <v>354</v>
      </c>
      <c r="E30" s="174"/>
      <c r="F30" s="174"/>
      <c r="P30" s="174" t="s">
        <v>355</v>
      </c>
      <c r="Q30" s="174"/>
      <c r="R30" s="174"/>
    </row>
    <row r="31" spans="1:22" ht="13.5" thickBot="1" x14ac:dyDescent="0.25">
      <c r="D31" s="8" t="s">
        <v>284</v>
      </c>
      <c r="E31" s="8" t="s">
        <v>285</v>
      </c>
      <c r="F31" s="8" t="s">
        <v>286</v>
      </c>
      <c r="G31" s="46"/>
      <c r="H31" s="46"/>
      <c r="P31" s="8" t="s">
        <v>284</v>
      </c>
      <c r="Q31" s="8" t="s">
        <v>285</v>
      </c>
      <c r="R31" s="8" t="s">
        <v>286</v>
      </c>
      <c r="S31" s="46"/>
    </row>
    <row r="32" spans="1:22" ht="58.5" customHeight="1" thickBot="1" x14ac:dyDescent="0.25">
      <c r="A32" s="9" t="s">
        <v>283</v>
      </c>
      <c r="B32" s="10" t="s">
        <v>7</v>
      </c>
      <c r="C32" s="111" t="s">
        <v>282</v>
      </c>
      <c r="D32" s="12">
        <v>35.229999999999997</v>
      </c>
      <c r="E32" s="12">
        <v>9.3699999999999992</v>
      </c>
      <c r="F32" s="12">
        <v>15.73</v>
      </c>
      <c r="G32" s="98"/>
      <c r="H32" s="98"/>
      <c r="M32" s="9" t="s">
        <v>9</v>
      </c>
      <c r="N32" s="10"/>
      <c r="O32" s="111" t="s">
        <v>282</v>
      </c>
      <c r="P32" s="95">
        <v>35.356000000000002</v>
      </c>
      <c r="Q32" s="95">
        <v>9.4060000000000006</v>
      </c>
      <c r="R32" s="95">
        <v>15.786</v>
      </c>
      <c r="S32" s="100"/>
      <c r="U32" s="14"/>
      <c r="V32" s="15" t="s">
        <v>10</v>
      </c>
    </row>
    <row r="33" spans="1:23" x14ac:dyDescent="0.2">
      <c r="A33" s="16"/>
      <c r="C33" s="112"/>
      <c r="D33" s="17"/>
      <c r="Q33" s="18"/>
      <c r="T33" s="17"/>
    </row>
    <row r="34" spans="1:23" s="23" customFormat="1" ht="24.95" customHeight="1" x14ac:dyDescent="0.2">
      <c r="A34" s="19" t="s">
        <v>291</v>
      </c>
      <c r="B34" s="20"/>
      <c r="C34" s="20"/>
      <c r="D34" s="20"/>
      <c r="E34" s="21"/>
      <c r="F34" s="21"/>
      <c r="G34" s="21"/>
      <c r="H34" s="21"/>
      <c r="I34" s="20"/>
      <c r="J34" s="20"/>
      <c r="K34" s="20"/>
      <c r="L34" s="20"/>
      <c r="M34" s="43" t="s">
        <v>290</v>
      </c>
      <c r="N34" s="20"/>
      <c r="O34" s="20"/>
      <c r="P34" s="20"/>
      <c r="Q34" s="22"/>
      <c r="T34" s="20"/>
      <c r="U34" s="20"/>
      <c r="V34" s="20"/>
      <c r="W34" s="20"/>
    </row>
    <row r="36" spans="1:23" ht="27.95" customHeight="1" x14ac:dyDescent="0.2">
      <c r="A36" s="24" t="s">
        <v>12</v>
      </c>
      <c r="B36" s="25"/>
      <c r="C36" s="26" t="s">
        <v>289</v>
      </c>
      <c r="D36" s="27"/>
      <c r="E36" s="27"/>
      <c r="F36" s="27"/>
      <c r="G36" s="27"/>
      <c r="H36" s="27"/>
      <c r="I36" s="28"/>
      <c r="J36" s="29"/>
      <c r="K36" s="44"/>
      <c r="M36" s="24" t="s">
        <v>13</v>
      </c>
      <c r="N36" s="25"/>
      <c r="O36" s="30"/>
      <c r="P36" s="31" t="s">
        <v>26</v>
      </c>
      <c r="Q36" s="31"/>
      <c r="R36" s="31"/>
      <c r="S36" s="27"/>
      <c r="T36" s="28"/>
      <c r="U36" s="28"/>
      <c r="V36" s="29"/>
    </row>
    <row r="37" spans="1:23" ht="123.75" customHeight="1" x14ac:dyDescent="0.2">
      <c r="A37" s="32" t="s">
        <v>33</v>
      </c>
      <c r="B37" s="32" t="s">
        <v>34</v>
      </c>
      <c r="C37" s="32" t="s">
        <v>35</v>
      </c>
      <c r="D37" s="173" t="s">
        <v>288</v>
      </c>
      <c r="E37" s="173"/>
      <c r="F37" s="173"/>
      <c r="G37" s="33" t="s">
        <v>300</v>
      </c>
      <c r="H37" s="8" t="s">
        <v>287</v>
      </c>
      <c r="I37" s="33" t="s">
        <v>292</v>
      </c>
      <c r="J37" s="33" t="s">
        <v>293</v>
      </c>
      <c r="K37" s="45" t="s">
        <v>29</v>
      </c>
      <c r="M37" s="32" t="s">
        <v>33</v>
      </c>
      <c r="N37" s="32" t="s">
        <v>34</v>
      </c>
      <c r="O37" s="32" t="s">
        <v>35</v>
      </c>
      <c r="P37" s="173" t="s">
        <v>288</v>
      </c>
      <c r="Q37" s="173"/>
      <c r="R37" s="173"/>
      <c r="S37" s="171" t="s">
        <v>300</v>
      </c>
      <c r="T37" s="33" t="s">
        <v>287</v>
      </c>
      <c r="U37" s="8" t="s">
        <v>20</v>
      </c>
      <c r="V37" s="33" t="s">
        <v>293</v>
      </c>
      <c r="W37" s="33" t="s">
        <v>29</v>
      </c>
    </row>
    <row r="38" spans="1:23" ht="36" customHeight="1" x14ac:dyDescent="0.2">
      <c r="A38" s="32"/>
      <c r="B38" s="32"/>
      <c r="C38" s="32"/>
      <c r="D38" s="8" t="s">
        <v>284</v>
      </c>
      <c r="E38" s="8" t="s">
        <v>285</v>
      </c>
      <c r="F38" s="8" t="s">
        <v>286</v>
      </c>
      <c r="G38" s="8"/>
      <c r="H38" s="8"/>
      <c r="I38" s="8"/>
      <c r="J38" s="8"/>
      <c r="K38" s="46"/>
      <c r="M38" s="32"/>
      <c r="N38" s="32"/>
      <c r="O38" s="32"/>
      <c r="P38" s="8" t="s">
        <v>284</v>
      </c>
      <c r="Q38" s="8" t="s">
        <v>285</v>
      </c>
      <c r="R38" s="8" t="s">
        <v>286</v>
      </c>
      <c r="S38" s="172"/>
      <c r="T38" s="8"/>
      <c r="U38" s="8"/>
      <c r="V38" s="8"/>
    </row>
    <row r="39" spans="1:23" ht="12.75" hidden="1" customHeight="1" x14ac:dyDescent="0.2">
      <c r="A39" s="34">
        <v>41029</v>
      </c>
      <c r="B39" s="35" t="s">
        <v>21</v>
      </c>
      <c r="C39" s="36">
        <v>1</v>
      </c>
      <c r="D39" s="37" t="s">
        <v>22</v>
      </c>
      <c r="E39" s="38" t="s">
        <v>22</v>
      </c>
      <c r="F39" s="38" t="s">
        <v>22</v>
      </c>
      <c r="G39" s="38"/>
      <c r="H39" s="38"/>
      <c r="I39" s="39"/>
      <c r="J39" s="40"/>
      <c r="K39" s="47"/>
      <c r="M39" s="34">
        <v>41029</v>
      </c>
      <c r="N39" s="35" t="s">
        <v>21</v>
      </c>
      <c r="O39" s="36">
        <v>1</v>
      </c>
      <c r="P39" s="41"/>
      <c r="Q39" s="41"/>
      <c r="R39" s="41"/>
      <c r="S39" s="41"/>
      <c r="T39" s="42" t="s">
        <v>23</v>
      </c>
      <c r="U39" s="39"/>
      <c r="V39" s="40"/>
    </row>
    <row r="40" spans="1:23" x14ac:dyDescent="0.2">
      <c r="A40" s="34">
        <v>41183</v>
      </c>
      <c r="B40" s="35" t="s">
        <v>99</v>
      </c>
      <c r="C40" s="36">
        <v>1</v>
      </c>
      <c r="D40" s="37">
        <v>562.54999999999995</v>
      </c>
      <c r="E40" s="53">
        <v>170.59</v>
      </c>
      <c r="F40" s="53">
        <v>248.35</v>
      </c>
      <c r="G40" s="99">
        <v>11.054</v>
      </c>
      <c r="H40" s="99" t="s">
        <v>106</v>
      </c>
      <c r="I40" s="39" t="s">
        <v>126</v>
      </c>
      <c r="J40" s="40"/>
      <c r="K40" s="105">
        <f>+SUM(D40:F40)-SUM(D32:F32)-G40</f>
        <v>910.10599999999999</v>
      </c>
      <c r="M40" s="34">
        <v>41183</v>
      </c>
      <c r="N40" s="35">
        <f>+EOMONTH(M40,0)</f>
        <v>41213</v>
      </c>
      <c r="O40" s="36">
        <v>1</v>
      </c>
      <c r="P40" s="41">
        <v>563.64</v>
      </c>
      <c r="Q40" s="41">
        <v>171.09</v>
      </c>
      <c r="R40" s="53">
        <v>249.1</v>
      </c>
      <c r="S40" s="53">
        <v>11.08</v>
      </c>
      <c r="T40" s="99" t="s">
        <v>106</v>
      </c>
      <c r="U40" s="39" t="s">
        <v>126</v>
      </c>
      <c r="V40" s="40"/>
      <c r="W40" s="104">
        <f>+SUM(P40:R40)-SUM(P32:R32)-S40</f>
        <v>912.202</v>
      </c>
    </row>
    <row r="41" spans="1:23" x14ac:dyDescent="0.2">
      <c r="A41" s="34">
        <v>41214</v>
      </c>
      <c r="B41" s="35" t="s">
        <v>100</v>
      </c>
      <c r="C41" s="36">
        <v>1</v>
      </c>
      <c r="D41" s="37">
        <v>770.75</v>
      </c>
      <c r="E41" s="53">
        <v>438.02</v>
      </c>
      <c r="F41" s="53">
        <v>424.07</v>
      </c>
      <c r="G41" s="99">
        <v>7.8159999999999998</v>
      </c>
      <c r="H41" s="99" t="s">
        <v>106</v>
      </c>
      <c r="I41" s="39" t="s">
        <v>127</v>
      </c>
      <c r="J41" s="40"/>
      <c r="K41" s="105">
        <f>+SUM(D41:F41)-SUM(D40:F40)-G41</f>
        <v>643.53399999999988</v>
      </c>
      <c r="M41" s="34">
        <v>41214</v>
      </c>
      <c r="N41" s="35">
        <f t="shared" ref="N41:N104" si="0">+EOMONTH(M41,0)</f>
        <v>41243</v>
      </c>
      <c r="O41" s="36">
        <v>1</v>
      </c>
      <c r="P41" s="41">
        <v>772.23</v>
      </c>
      <c r="Q41" s="41">
        <v>438.93</v>
      </c>
      <c r="R41" s="41">
        <v>425.19</v>
      </c>
      <c r="S41" s="41">
        <v>7.83</v>
      </c>
      <c r="T41" s="99" t="s">
        <v>106</v>
      </c>
      <c r="U41" s="39" t="s">
        <v>127</v>
      </c>
      <c r="V41" s="40"/>
      <c r="W41" s="104">
        <f>+SUM(P41:R41)-SUM(P40:R40)-S41</f>
        <v>644.69000000000005</v>
      </c>
    </row>
    <row r="42" spans="1:23" x14ac:dyDescent="0.2">
      <c r="A42" s="34">
        <v>41244</v>
      </c>
      <c r="B42" s="35" t="s">
        <v>101</v>
      </c>
      <c r="C42" s="36">
        <v>1</v>
      </c>
      <c r="D42" s="37">
        <v>906.39</v>
      </c>
      <c r="E42" s="53">
        <v>673.54</v>
      </c>
      <c r="F42" s="53">
        <v>502.14</v>
      </c>
      <c r="G42" s="99">
        <v>5.391</v>
      </c>
      <c r="H42" s="99" t="s">
        <v>106</v>
      </c>
      <c r="I42" s="39" t="s">
        <v>128</v>
      </c>
      <c r="J42" s="40"/>
      <c r="K42" s="105">
        <f>+SUM(D42:F42)-SUM(D41:F41)-G42</f>
        <v>443.83899999999977</v>
      </c>
      <c r="M42" s="34">
        <v>41244</v>
      </c>
      <c r="N42" s="35">
        <f t="shared" si="0"/>
        <v>41274</v>
      </c>
      <c r="O42" s="36">
        <v>1</v>
      </c>
      <c r="P42" s="41">
        <v>908</v>
      </c>
      <c r="Q42" s="41">
        <v>674.75</v>
      </c>
      <c r="R42" s="41">
        <v>503.43</v>
      </c>
      <c r="S42" s="41">
        <v>5.3979999999999997</v>
      </c>
      <c r="T42" s="99" t="s">
        <v>106</v>
      </c>
      <c r="U42" s="39" t="s">
        <v>128</v>
      </c>
      <c r="V42" s="40"/>
      <c r="W42" s="104">
        <f t="shared" ref="W42:W105" si="1">+SUM(P42:R42)-SUM(P41:R41)-S42</f>
        <v>444.43199999999968</v>
      </c>
    </row>
    <row r="43" spans="1:23" x14ac:dyDescent="0.2">
      <c r="A43" s="34">
        <v>41275</v>
      </c>
      <c r="B43" s="35" t="s">
        <v>102</v>
      </c>
      <c r="C43" s="36">
        <v>1</v>
      </c>
      <c r="D43" s="37">
        <v>1001.76</v>
      </c>
      <c r="E43" s="53">
        <v>886.92</v>
      </c>
      <c r="F43" s="53">
        <v>528.09</v>
      </c>
      <c r="G43" s="99">
        <v>4.016</v>
      </c>
      <c r="H43" s="99" t="s">
        <v>107</v>
      </c>
      <c r="I43" s="39" t="s">
        <v>129</v>
      </c>
      <c r="J43" s="40"/>
      <c r="K43" s="105">
        <f t="shared" ref="K43:K52" si="2">+SUM(D43:F43)-SUM(D42:F42)-G43</f>
        <v>330.68400000000025</v>
      </c>
      <c r="M43" s="34">
        <v>41275</v>
      </c>
      <c r="N43" s="35">
        <f t="shared" si="0"/>
        <v>41305</v>
      </c>
      <c r="O43" s="36">
        <v>1</v>
      </c>
      <c r="P43" s="41">
        <v>1003.44</v>
      </c>
      <c r="Q43" s="41">
        <v>888.45</v>
      </c>
      <c r="R43" s="41">
        <v>529.47</v>
      </c>
      <c r="S43" s="41">
        <v>4.0220000000000002</v>
      </c>
      <c r="T43" s="99" t="s">
        <v>107</v>
      </c>
      <c r="U43" s="39" t="s">
        <v>129</v>
      </c>
      <c r="V43" s="40"/>
      <c r="W43" s="104">
        <f t="shared" si="1"/>
        <v>331.1580000000003</v>
      </c>
    </row>
    <row r="44" spans="1:23" x14ac:dyDescent="0.2">
      <c r="A44" s="34">
        <v>41306</v>
      </c>
      <c r="B44" s="35" t="s">
        <v>103</v>
      </c>
      <c r="C44" s="36">
        <v>1</v>
      </c>
      <c r="D44" s="37">
        <v>1049.95</v>
      </c>
      <c r="E44" s="53">
        <v>1067.75</v>
      </c>
      <c r="F44" s="53">
        <v>529.61</v>
      </c>
      <c r="G44" s="99">
        <v>2.7669999999999999</v>
      </c>
      <c r="H44" s="99" t="s">
        <v>107</v>
      </c>
      <c r="I44" s="39" t="s">
        <v>130</v>
      </c>
      <c r="J44" s="40"/>
      <c r="K44" s="105">
        <f t="shared" si="2"/>
        <v>227.77299999999997</v>
      </c>
      <c r="M44" s="34">
        <v>41306</v>
      </c>
      <c r="N44" s="35">
        <f t="shared" si="0"/>
        <v>41333</v>
      </c>
      <c r="O44" s="36">
        <v>1</v>
      </c>
      <c r="P44" s="41">
        <v>1051.68</v>
      </c>
      <c r="Q44" s="41">
        <v>1069.55</v>
      </c>
      <c r="R44" s="41">
        <v>531</v>
      </c>
      <c r="S44" s="41">
        <v>2.77</v>
      </c>
      <c r="T44" s="99" t="s">
        <v>107</v>
      </c>
      <c r="U44" s="39" t="s">
        <v>130</v>
      </c>
      <c r="V44" s="40"/>
      <c r="W44" s="104">
        <f t="shared" si="1"/>
        <v>228.09999999999988</v>
      </c>
    </row>
    <row r="45" spans="1:23" x14ac:dyDescent="0.2">
      <c r="A45" s="34">
        <v>41334</v>
      </c>
      <c r="B45" s="35">
        <f>+EOMONTH(A45,0)</f>
        <v>41364</v>
      </c>
      <c r="C45" s="36">
        <v>1</v>
      </c>
      <c r="D45" s="37">
        <v>1074.26</v>
      </c>
      <c r="E45" s="53">
        <v>1229.23</v>
      </c>
      <c r="F45" s="53">
        <v>529.61</v>
      </c>
      <c r="G45" s="99">
        <v>2.2290000000000001</v>
      </c>
      <c r="H45" s="99" t="s">
        <v>107</v>
      </c>
      <c r="I45" s="39" t="s">
        <v>131</v>
      </c>
      <c r="J45" s="40"/>
      <c r="K45" s="105">
        <f t="shared" si="2"/>
        <v>183.56099999999995</v>
      </c>
      <c r="M45" s="34">
        <v>41334</v>
      </c>
      <c r="N45" s="35">
        <f t="shared" si="0"/>
        <v>41364</v>
      </c>
      <c r="O45" s="36">
        <v>1</v>
      </c>
      <c r="P45" s="41">
        <v>1075.99</v>
      </c>
      <c r="Q45" s="41">
        <v>1231.29</v>
      </c>
      <c r="R45" s="41">
        <v>531</v>
      </c>
      <c r="S45" s="41">
        <v>2.2320000000000002</v>
      </c>
      <c r="T45" s="99" t="s">
        <v>107</v>
      </c>
      <c r="U45" s="39" t="s">
        <v>131</v>
      </c>
      <c r="V45" s="40"/>
      <c r="W45" s="104">
        <f t="shared" si="1"/>
        <v>183.81799999999973</v>
      </c>
    </row>
    <row r="46" spans="1:23" x14ac:dyDescent="0.2">
      <c r="A46" s="34">
        <v>41365</v>
      </c>
      <c r="B46" s="35">
        <f t="shared" ref="B46:B109" si="3">+EOMONTH(A46,0)</f>
        <v>41394</v>
      </c>
      <c r="C46" s="36">
        <v>1</v>
      </c>
      <c r="D46" s="37">
        <v>1099.5</v>
      </c>
      <c r="E46" s="53">
        <v>1397.61</v>
      </c>
      <c r="F46" s="53">
        <v>529.76</v>
      </c>
      <c r="G46" s="99">
        <v>2.3250000000000002</v>
      </c>
      <c r="H46" s="99" t="s">
        <v>107</v>
      </c>
      <c r="I46" s="39" t="s">
        <v>132</v>
      </c>
      <c r="J46" s="40"/>
      <c r="K46" s="105">
        <f t="shared" si="2"/>
        <v>191.44499999999999</v>
      </c>
      <c r="M46" s="34">
        <v>41365</v>
      </c>
      <c r="N46" s="35">
        <f t="shared" si="0"/>
        <v>41394</v>
      </c>
      <c r="O46" s="36">
        <v>1</v>
      </c>
      <c r="P46" s="41">
        <v>1101.21</v>
      </c>
      <c r="Q46" s="41">
        <v>1399.98</v>
      </c>
      <c r="R46" s="41">
        <v>531.16</v>
      </c>
      <c r="S46" s="41">
        <v>2.3290000000000002</v>
      </c>
      <c r="T46" s="99" t="s">
        <v>107</v>
      </c>
      <c r="U46" s="39" t="s">
        <v>132</v>
      </c>
      <c r="V46" s="40"/>
      <c r="W46" s="104">
        <f t="shared" si="1"/>
        <v>191.74100000000016</v>
      </c>
    </row>
    <row r="47" spans="1:23" x14ac:dyDescent="0.2">
      <c r="A47" s="34">
        <v>41395</v>
      </c>
      <c r="B47" s="35">
        <f t="shared" si="3"/>
        <v>41425</v>
      </c>
      <c r="C47" s="36">
        <v>1</v>
      </c>
      <c r="D47" s="37">
        <v>1162.42</v>
      </c>
      <c r="E47" s="53">
        <v>1557.83</v>
      </c>
      <c r="F47" s="53">
        <v>563.02</v>
      </c>
      <c r="G47" s="99">
        <v>3.077</v>
      </c>
      <c r="H47" s="99" t="s">
        <v>107</v>
      </c>
      <c r="I47" s="39" t="s">
        <v>133</v>
      </c>
      <c r="J47" s="40"/>
      <c r="K47" s="105">
        <f t="shared" si="2"/>
        <v>253.32300000000009</v>
      </c>
      <c r="M47" s="34">
        <v>41395</v>
      </c>
      <c r="N47" s="35">
        <f t="shared" si="0"/>
        <v>41425</v>
      </c>
      <c r="O47" s="36">
        <v>1</v>
      </c>
      <c r="P47" s="41">
        <v>1164.25</v>
      </c>
      <c r="Q47" s="41">
        <v>1560.45</v>
      </c>
      <c r="R47" s="41">
        <v>564.5</v>
      </c>
      <c r="S47" s="41">
        <v>3.0819999999999999</v>
      </c>
      <c r="T47" s="99" t="s">
        <v>107</v>
      </c>
      <c r="U47" s="39" t="s">
        <v>133</v>
      </c>
      <c r="V47" s="40"/>
      <c r="W47" s="104">
        <f t="shared" si="1"/>
        <v>253.76799999999992</v>
      </c>
    </row>
    <row r="48" spans="1:23" x14ac:dyDescent="0.2">
      <c r="A48" s="34">
        <v>41426</v>
      </c>
      <c r="B48" s="35">
        <f t="shared" si="3"/>
        <v>41455</v>
      </c>
      <c r="C48" s="36">
        <v>1</v>
      </c>
      <c r="D48" s="37">
        <v>1250.72</v>
      </c>
      <c r="E48" s="53">
        <v>1646.64</v>
      </c>
      <c r="F48" s="53">
        <v>585.63</v>
      </c>
      <c r="G48" s="99">
        <v>2.3969999999999998</v>
      </c>
      <c r="H48" s="99" t="s">
        <v>107</v>
      </c>
      <c r="I48" s="39" t="s">
        <v>134</v>
      </c>
      <c r="J48" s="40"/>
      <c r="K48" s="105">
        <f t="shared" si="2"/>
        <v>197.32300000000026</v>
      </c>
      <c r="M48" s="34">
        <v>41426</v>
      </c>
      <c r="N48" s="35">
        <f t="shared" si="0"/>
        <v>41455</v>
      </c>
      <c r="O48" s="36">
        <v>1</v>
      </c>
      <c r="P48" s="41">
        <v>1252.72</v>
      </c>
      <c r="Q48" s="41">
        <v>1649.43</v>
      </c>
      <c r="R48" s="41">
        <v>587.16999999999996</v>
      </c>
      <c r="S48" s="41">
        <v>2.4009999999999998</v>
      </c>
      <c r="T48" s="99" t="s">
        <v>107</v>
      </c>
      <c r="U48" s="39" t="s">
        <v>134</v>
      </c>
      <c r="V48" s="40"/>
      <c r="W48" s="104">
        <f t="shared" si="1"/>
        <v>197.71900000000034</v>
      </c>
    </row>
    <row r="49" spans="1:23" x14ac:dyDescent="0.2">
      <c r="A49" s="34">
        <v>41456</v>
      </c>
      <c r="B49" s="35">
        <f t="shared" si="3"/>
        <v>41486</v>
      </c>
      <c r="C49" s="36">
        <v>1</v>
      </c>
      <c r="D49" s="37">
        <v>1559.55</v>
      </c>
      <c r="E49" s="53">
        <v>1743.21</v>
      </c>
      <c r="F49" s="53">
        <v>659.23</v>
      </c>
      <c r="G49" s="99">
        <v>5.7480000000000002</v>
      </c>
      <c r="H49" s="99" t="s">
        <v>107</v>
      </c>
      <c r="I49" s="39" t="s">
        <v>135</v>
      </c>
      <c r="J49" s="40"/>
      <c r="K49" s="105">
        <f t="shared" si="2"/>
        <v>473.25200000000001</v>
      </c>
      <c r="M49" s="34">
        <v>41456</v>
      </c>
      <c r="N49" s="35">
        <f t="shared" si="0"/>
        <v>41486</v>
      </c>
      <c r="O49" s="36">
        <v>1</v>
      </c>
      <c r="P49" s="41">
        <v>1562.19</v>
      </c>
      <c r="Q49" s="41">
        <v>1746.23</v>
      </c>
      <c r="R49" s="41">
        <v>660.93</v>
      </c>
      <c r="S49" s="41">
        <v>5.76</v>
      </c>
      <c r="T49" s="99" t="s">
        <v>107</v>
      </c>
      <c r="U49" s="39" t="s">
        <v>135</v>
      </c>
      <c r="V49" s="40"/>
      <c r="W49" s="104">
        <f t="shared" si="1"/>
        <v>474.26999999999975</v>
      </c>
    </row>
    <row r="50" spans="1:23" x14ac:dyDescent="0.2">
      <c r="A50" s="34">
        <v>41487</v>
      </c>
      <c r="B50" s="35">
        <f t="shared" si="3"/>
        <v>41517</v>
      </c>
      <c r="C50" s="36">
        <v>1</v>
      </c>
      <c r="D50" s="37">
        <v>1887.75</v>
      </c>
      <c r="E50" s="53">
        <v>1857.44</v>
      </c>
      <c r="F50" s="53">
        <v>766.06</v>
      </c>
      <c r="G50" s="99">
        <v>6.5910000000000002</v>
      </c>
      <c r="H50" s="99" t="s">
        <v>107</v>
      </c>
      <c r="I50" s="39" t="s">
        <v>136</v>
      </c>
      <c r="J50" s="40"/>
      <c r="K50" s="105">
        <f t="shared" si="2"/>
        <v>542.66899999999976</v>
      </c>
      <c r="M50" s="34">
        <v>41487</v>
      </c>
      <c r="N50" s="35">
        <f t="shared" si="0"/>
        <v>41517</v>
      </c>
      <c r="O50" s="36">
        <v>1</v>
      </c>
      <c r="P50" s="41">
        <v>1891.05</v>
      </c>
      <c r="Q50" s="41">
        <v>1860.76</v>
      </c>
      <c r="R50" s="41">
        <v>768.05</v>
      </c>
      <c r="S50" s="41">
        <v>6.6059999999999999</v>
      </c>
      <c r="T50" s="99" t="s">
        <v>107</v>
      </c>
      <c r="U50" s="39" t="s">
        <v>136</v>
      </c>
      <c r="V50" s="40"/>
      <c r="W50" s="104">
        <f t="shared" si="1"/>
        <v>543.90399999999977</v>
      </c>
    </row>
    <row r="51" spans="1:23" x14ac:dyDescent="0.2">
      <c r="A51" s="34">
        <v>41518</v>
      </c>
      <c r="B51" s="35">
        <f t="shared" si="3"/>
        <v>41547</v>
      </c>
      <c r="C51" s="36">
        <v>1</v>
      </c>
      <c r="D51" s="37">
        <v>2404.1999999999998</v>
      </c>
      <c r="E51" s="53">
        <v>2012.09</v>
      </c>
      <c r="F51" s="53">
        <v>998.98</v>
      </c>
      <c r="G51" s="99">
        <v>10.848000000000001</v>
      </c>
      <c r="H51" s="99" t="s">
        <v>107</v>
      </c>
      <c r="I51" s="39" t="s">
        <v>137</v>
      </c>
      <c r="J51" s="40"/>
      <c r="K51" s="105">
        <f t="shared" si="2"/>
        <v>893.17200000000048</v>
      </c>
      <c r="M51" s="34">
        <v>41518</v>
      </c>
      <c r="N51" s="35">
        <f t="shared" si="0"/>
        <v>41547</v>
      </c>
      <c r="O51" s="36">
        <v>1</v>
      </c>
      <c r="P51" s="41">
        <v>2408.65</v>
      </c>
      <c r="Q51" s="41">
        <v>2015.74</v>
      </c>
      <c r="R51" s="41">
        <v>1001.46</v>
      </c>
      <c r="S51" s="41">
        <v>10.872</v>
      </c>
      <c r="T51" s="99" t="s">
        <v>107</v>
      </c>
      <c r="U51" s="39" t="s">
        <v>137</v>
      </c>
      <c r="V51" s="40"/>
      <c r="W51" s="104">
        <f t="shared" si="1"/>
        <v>895.11800000000073</v>
      </c>
    </row>
    <row r="52" spans="1:23" x14ac:dyDescent="0.2">
      <c r="A52" s="34">
        <v>41548</v>
      </c>
      <c r="B52" s="35">
        <f t="shared" si="3"/>
        <v>41578</v>
      </c>
      <c r="C52" s="36">
        <v>1</v>
      </c>
      <c r="D52" s="37">
        <v>3315.84</v>
      </c>
      <c r="E52" s="53">
        <v>2300.41</v>
      </c>
      <c r="F52" s="53">
        <v>1408.06</v>
      </c>
      <c r="G52" s="99">
        <v>19.308</v>
      </c>
      <c r="H52" s="99" t="s">
        <v>107</v>
      </c>
      <c r="I52" s="39" t="s">
        <v>138</v>
      </c>
      <c r="J52" s="40"/>
      <c r="K52" s="105">
        <f t="shared" si="2"/>
        <v>1589.7319999999991</v>
      </c>
      <c r="M52" s="34">
        <v>41548</v>
      </c>
      <c r="N52" s="35">
        <f t="shared" si="0"/>
        <v>41578</v>
      </c>
      <c r="O52" s="36">
        <v>1</v>
      </c>
      <c r="P52" s="41">
        <v>3322.35</v>
      </c>
      <c r="Q52" s="41">
        <v>2304.65</v>
      </c>
      <c r="R52" s="41">
        <v>1411.46</v>
      </c>
      <c r="S52" s="41">
        <v>19.350999999999999</v>
      </c>
      <c r="T52" s="99" t="s">
        <v>107</v>
      </c>
      <c r="U52" s="39" t="s">
        <v>138</v>
      </c>
      <c r="V52" s="40"/>
      <c r="W52" s="104">
        <f t="shared" si="1"/>
        <v>1593.2589999999996</v>
      </c>
    </row>
    <row r="53" spans="1:23" ht="47.25" customHeight="1" x14ac:dyDescent="0.2">
      <c r="A53" s="34">
        <v>41579</v>
      </c>
      <c r="B53" s="35">
        <f t="shared" si="3"/>
        <v>41608</v>
      </c>
      <c r="C53" s="36">
        <v>1</v>
      </c>
      <c r="D53" s="37">
        <v>4278.16</v>
      </c>
      <c r="E53" s="53">
        <v>2616.0700000000002</v>
      </c>
      <c r="F53" s="53">
        <v>1840.43</v>
      </c>
      <c r="G53" s="99">
        <v>20.57</v>
      </c>
      <c r="H53" s="99" t="s">
        <v>107</v>
      </c>
      <c r="I53" s="39" t="s">
        <v>139</v>
      </c>
      <c r="J53" s="40" t="s">
        <v>294</v>
      </c>
      <c r="K53" s="105">
        <f>+SUM(D53:F53)-SUM(D52:F52)-G53+3.795</f>
        <v>1693.5750000000005</v>
      </c>
      <c r="M53" s="34">
        <v>41579</v>
      </c>
      <c r="N53" s="35">
        <f t="shared" si="0"/>
        <v>41608</v>
      </c>
      <c r="O53" s="36">
        <v>1</v>
      </c>
      <c r="P53" s="41">
        <v>4286.8599999999997</v>
      </c>
      <c r="Q53" s="41">
        <v>2620.96</v>
      </c>
      <c r="R53" s="41">
        <v>1844.78</v>
      </c>
      <c r="S53" s="41">
        <v>20.614999999999998</v>
      </c>
      <c r="T53" s="99" t="s">
        <v>107</v>
      </c>
      <c r="U53" s="39" t="s">
        <v>139</v>
      </c>
      <c r="V53" s="40" t="s">
        <v>301</v>
      </c>
      <c r="W53" s="104">
        <f>+SUM(P53:R53)-SUM(P52:R52)-S53+3.795</f>
        <v>1697.3200000000004</v>
      </c>
    </row>
    <row r="54" spans="1:23" x14ac:dyDescent="0.2">
      <c r="A54" s="34">
        <v>41609</v>
      </c>
      <c r="B54" s="35">
        <f t="shared" si="3"/>
        <v>41639</v>
      </c>
      <c r="C54" s="36">
        <v>1</v>
      </c>
      <c r="D54" s="37">
        <v>4957.33</v>
      </c>
      <c r="E54" s="53">
        <v>2874.55</v>
      </c>
      <c r="F54" s="53">
        <v>2153.52</v>
      </c>
      <c r="G54" s="99">
        <v>15.009</v>
      </c>
      <c r="H54" s="99" t="s">
        <v>107</v>
      </c>
      <c r="I54" s="39" t="s">
        <v>140</v>
      </c>
      <c r="J54" s="40"/>
      <c r="K54" s="105">
        <f t="shared" ref="K54" si="4">+SUM(D54:F54)-SUM(D53:F53)-G54+3.795</f>
        <v>1239.5259999999998</v>
      </c>
      <c r="M54" s="34">
        <v>41609</v>
      </c>
      <c r="N54" s="35">
        <f t="shared" si="0"/>
        <v>41639</v>
      </c>
      <c r="O54" s="36">
        <v>1</v>
      </c>
      <c r="P54" s="41">
        <v>4967.13</v>
      </c>
      <c r="Q54" s="41">
        <v>2879.85</v>
      </c>
      <c r="R54" s="41">
        <v>2158.38</v>
      </c>
      <c r="S54" s="41">
        <v>15.032999999999999</v>
      </c>
      <c r="T54" s="99" t="s">
        <v>107</v>
      </c>
      <c r="U54" s="39" t="s">
        <v>140</v>
      </c>
      <c r="V54" s="40"/>
      <c r="W54" s="104">
        <f t="shared" si="1"/>
        <v>1237.7270000000003</v>
      </c>
    </row>
    <row r="55" spans="1:23" x14ac:dyDescent="0.2">
      <c r="A55" s="34">
        <v>41640</v>
      </c>
      <c r="B55" s="35">
        <f t="shared" si="3"/>
        <v>41670</v>
      </c>
      <c r="C55" s="36">
        <v>1</v>
      </c>
      <c r="D55" s="37">
        <v>5227.75</v>
      </c>
      <c r="E55" s="53">
        <v>3131.93</v>
      </c>
      <c r="F55" s="53">
        <v>2297.17</v>
      </c>
      <c r="G55" s="99">
        <v>8.0579999999999998</v>
      </c>
      <c r="H55" s="99" t="s">
        <v>108</v>
      </c>
      <c r="I55" s="39" t="s">
        <v>141</v>
      </c>
      <c r="J55" s="40"/>
      <c r="K55" s="105">
        <f>+SUM(D55:F55)-SUM(D54:F54)-G55</f>
        <v>663.39200000000073</v>
      </c>
      <c r="M55" s="34">
        <v>41640</v>
      </c>
      <c r="N55" s="35">
        <f t="shared" si="0"/>
        <v>41670</v>
      </c>
      <c r="O55" s="36">
        <v>1</v>
      </c>
      <c r="P55" s="41">
        <v>5237.92</v>
      </c>
      <c r="Q55" s="41">
        <v>3137.57</v>
      </c>
      <c r="R55" s="41">
        <v>2302.29</v>
      </c>
      <c r="S55" s="41">
        <v>8.0690000000000008</v>
      </c>
      <c r="T55" s="99" t="s">
        <v>108</v>
      </c>
      <c r="U55" s="39" t="s">
        <v>141</v>
      </c>
      <c r="V55" s="40"/>
      <c r="W55" s="104">
        <f t="shared" si="1"/>
        <v>664.35099999999829</v>
      </c>
    </row>
    <row r="56" spans="1:23" x14ac:dyDescent="0.2">
      <c r="A56" s="34">
        <v>41671</v>
      </c>
      <c r="B56" s="35">
        <f t="shared" si="3"/>
        <v>41698</v>
      </c>
      <c r="C56" s="36">
        <v>1</v>
      </c>
      <c r="D56" s="37">
        <v>5335.89</v>
      </c>
      <c r="E56" s="53">
        <v>3352.88</v>
      </c>
      <c r="F56" s="53">
        <v>2323.35</v>
      </c>
      <c r="G56" s="99">
        <v>4.2629999999999999</v>
      </c>
      <c r="H56" s="99" t="s">
        <v>108</v>
      </c>
      <c r="I56" s="39" t="s">
        <v>142</v>
      </c>
      <c r="J56" s="40"/>
      <c r="K56" s="105">
        <f t="shared" ref="K56:K118" si="5">+SUM(D56:F56)-SUM(D55:F55)-G56</f>
        <v>351.00700000000046</v>
      </c>
      <c r="M56" s="34">
        <v>41671</v>
      </c>
      <c r="N56" s="35">
        <f t="shared" si="0"/>
        <v>41698</v>
      </c>
      <c r="O56" s="36">
        <v>1</v>
      </c>
      <c r="P56" s="41">
        <v>5346.17</v>
      </c>
      <c r="Q56" s="41">
        <v>3358.86</v>
      </c>
      <c r="R56" s="41">
        <v>2328.58</v>
      </c>
      <c r="S56" s="41">
        <v>4.2699999999999996</v>
      </c>
      <c r="T56" s="99" t="s">
        <v>108</v>
      </c>
      <c r="U56" s="39" t="s">
        <v>142</v>
      </c>
      <c r="V56" s="40"/>
      <c r="W56" s="104">
        <f t="shared" si="1"/>
        <v>351.56000000000176</v>
      </c>
    </row>
    <row r="57" spans="1:23" x14ac:dyDescent="0.2">
      <c r="A57" s="34">
        <v>41699</v>
      </c>
      <c r="B57" s="35">
        <f t="shared" si="3"/>
        <v>41729</v>
      </c>
      <c r="C57" s="36">
        <v>1</v>
      </c>
      <c r="D57" s="37">
        <v>5392.72</v>
      </c>
      <c r="E57" s="53">
        <v>3557.75</v>
      </c>
      <c r="F57" s="53">
        <v>2325.0500000000002</v>
      </c>
      <c r="G57" s="99">
        <v>3.161</v>
      </c>
      <c r="H57" s="99" t="s">
        <v>108</v>
      </c>
      <c r="I57" s="39" t="s">
        <v>143</v>
      </c>
      <c r="J57" s="40"/>
      <c r="K57" s="105">
        <f t="shared" si="5"/>
        <v>260.23899999999963</v>
      </c>
      <c r="M57" s="34">
        <v>41699</v>
      </c>
      <c r="N57" s="35">
        <f t="shared" si="0"/>
        <v>41729</v>
      </c>
      <c r="O57" s="36">
        <v>1</v>
      </c>
      <c r="P57" s="41">
        <v>5403.12</v>
      </c>
      <c r="Q57" s="41">
        <v>3564.1</v>
      </c>
      <c r="R57" s="41">
        <v>2330.2800000000002</v>
      </c>
      <c r="S57" s="41">
        <v>3.1669999999999998</v>
      </c>
      <c r="T57" s="99" t="s">
        <v>108</v>
      </c>
      <c r="U57" s="39" t="s">
        <v>143</v>
      </c>
      <c r="V57" s="40"/>
      <c r="W57" s="104">
        <f t="shared" si="1"/>
        <v>260.72299999999944</v>
      </c>
    </row>
    <row r="58" spans="1:23" x14ac:dyDescent="0.2">
      <c r="A58" s="34">
        <v>41730</v>
      </c>
      <c r="B58" s="35">
        <f t="shared" si="3"/>
        <v>41759</v>
      </c>
      <c r="C58" s="36">
        <v>1</v>
      </c>
      <c r="D58" s="37">
        <v>5439.1</v>
      </c>
      <c r="E58" s="53">
        <v>3713.08</v>
      </c>
      <c r="F58" s="53">
        <v>2338.15</v>
      </c>
      <c r="G58" s="99">
        <v>2.5779999999999998</v>
      </c>
      <c r="H58" s="99" t="s">
        <v>108</v>
      </c>
      <c r="I58" s="39" t="s">
        <v>144</v>
      </c>
      <c r="J58" s="40"/>
      <c r="K58" s="105">
        <f t="shared" si="5"/>
        <v>212.23199999999949</v>
      </c>
      <c r="M58" s="34">
        <v>41730</v>
      </c>
      <c r="N58" s="35">
        <f t="shared" si="0"/>
        <v>41759</v>
      </c>
      <c r="O58" s="36">
        <v>1</v>
      </c>
      <c r="P58" s="41">
        <v>5449.58</v>
      </c>
      <c r="Q58" s="41">
        <v>3719.82</v>
      </c>
      <c r="R58" s="41">
        <v>2343.42</v>
      </c>
      <c r="S58" s="41">
        <v>2.5840000000000001</v>
      </c>
      <c r="T58" s="99" t="s">
        <v>108</v>
      </c>
      <c r="U58" s="39" t="s">
        <v>144</v>
      </c>
      <c r="V58" s="40"/>
      <c r="W58" s="104">
        <f t="shared" si="1"/>
        <v>212.73599999999971</v>
      </c>
    </row>
    <row r="59" spans="1:23" x14ac:dyDescent="0.2">
      <c r="A59" s="34">
        <v>41760</v>
      </c>
      <c r="B59" s="35">
        <f t="shared" si="3"/>
        <v>41790</v>
      </c>
      <c r="C59" s="36">
        <v>1</v>
      </c>
      <c r="D59" s="37">
        <v>5467.12</v>
      </c>
      <c r="E59" s="53">
        <v>3845.05</v>
      </c>
      <c r="F59" s="53">
        <v>2340.2399999999998</v>
      </c>
      <c r="G59" s="99">
        <v>1.9450000000000001</v>
      </c>
      <c r="H59" s="99" t="s">
        <v>108</v>
      </c>
      <c r="I59" s="39" t="s">
        <v>145</v>
      </c>
      <c r="J59" s="40"/>
      <c r="K59" s="105">
        <f t="shared" si="5"/>
        <v>160.13499999999993</v>
      </c>
      <c r="M59" s="34">
        <v>41760</v>
      </c>
      <c r="N59" s="35">
        <f t="shared" si="0"/>
        <v>41790</v>
      </c>
      <c r="O59" s="36">
        <v>1</v>
      </c>
      <c r="P59" s="41">
        <v>5477.66</v>
      </c>
      <c r="Q59" s="41">
        <v>3852.08</v>
      </c>
      <c r="R59" s="41">
        <v>2345.5300000000002</v>
      </c>
      <c r="S59" s="41">
        <v>1.9490000000000001</v>
      </c>
      <c r="T59" s="99" t="s">
        <v>108</v>
      </c>
      <c r="U59" s="39" t="s">
        <v>145</v>
      </c>
      <c r="V59" s="40"/>
      <c r="W59" s="104">
        <f t="shared" si="1"/>
        <v>160.50100000000072</v>
      </c>
    </row>
    <row r="60" spans="1:23" x14ac:dyDescent="0.2">
      <c r="A60" s="34">
        <v>41791</v>
      </c>
      <c r="B60" s="35">
        <f t="shared" si="3"/>
        <v>41820</v>
      </c>
      <c r="C60" s="36">
        <v>1</v>
      </c>
      <c r="D60" s="37">
        <v>5591.41</v>
      </c>
      <c r="E60" s="53">
        <v>3961.98</v>
      </c>
      <c r="F60" s="53">
        <v>2380.34</v>
      </c>
      <c r="G60" s="99">
        <v>3.3759999999999999</v>
      </c>
      <c r="H60" s="99" t="s">
        <v>108</v>
      </c>
      <c r="I60" s="39" t="s">
        <v>146</v>
      </c>
      <c r="J60" s="40"/>
      <c r="K60" s="105">
        <f t="shared" si="5"/>
        <v>277.94399999999973</v>
      </c>
      <c r="M60" s="34">
        <v>41791</v>
      </c>
      <c r="N60" s="35">
        <f t="shared" si="0"/>
        <v>41820</v>
      </c>
      <c r="O60" s="36">
        <v>1</v>
      </c>
      <c r="P60" s="41">
        <v>5602.23</v>
      </c>
      <c r="Q60" s="41">
        <v>3969.28</v>
      </c>
      <c r="R60" s="41">
        <v>2385.75</v>
      </c>
      <c r="S60" s="41">
        <v>3.3839999999999999</v>
      </c>
      <c r="T60" s="99" t="s">
        <v>108</v>
      </c>
      <c r="U60" s="39" t="s">
        <v>146</v>
      </c>
      <c r="V60" s="40"/>
      <c r="W60" s="104">
        <f t="shared" si="1"/>
        <v>278.60599999999977</v>
      </c>
    </row>
    <row r="61" spans="1:23" x14ac:dyDescent="0.2">
      <c r="A61" s="34">
        <v>41821</v>
      </c>
      <c r="B61" s="35">
        <f t="shared" si="3"/>
        <v>41851</v>
      </c>
      <c r="C61" s="36">
        <v>1</v>
      </c>
      <c r="D61" s="37">
        <v>5847.18</v>
      </c>
      <c r="E61" s="53">
        <v>4050.55</v>
      </c>
      <c r="F61" s="53">
        <v>2441.16</v>
      </c>
      <c r="G61" s="99">
        <v>4.8620000000000001</v>
      </c>
      <c r="H61" s="99" t="s">
        <v>108</v>
      </c>
      <c r="I61" s="39" t="s">
        <v>147</v>
      </c>
      <c r="J61" s="40"/>
      <c r="K61" s="105">
        <f t="shared" si="5"/>
        <v>400.29799999999983</v>
      </c>
      <c r="M61" s="34">
        <v>41821</v>
      </c>
      <c r="N61" s="35">
        <f t="shared" si="0"/>
        <v>41851</v>
      </c>
      <c r="O61" s="36">
        <v>1</v>
      </c>
      <c r="P61" s="41">
        <v>5858.65</v>
      </c>
      <c r="Q61" s="41">
        <v>4058.11</v>
      </c>
      <c r="R61" s="41">
        <v>2446.7399999999998</v>
      </c>
      <c r="S61" s="41">
        <v>4.875</v>
      </c>
      <c r="T61" s="99" t="s">
        <v>108</v>
      </c>
      <c r="U61" s="39" t="s">
        <v>147</v>
      </c>
      <c r="V61" s="40"/>
      <c r="W61" s="104">
        <f t="shared" si="1"/>
        <v>401.36499999999978</v>
      </c>
    </row>
    <row r="62" spans="1:23" x14ac:dyDescent="0.2">
      <c r="A62" s="34">
        <v>41852</v>
      </c>
      <c r="B62" s="35">
        <f t="shared" si="3"/>
        <v>41882</v>
      </c>
      <c r="C62" s="36">
        <v>1</v>
      </c>
      <c r="D62" s="37">
        <v>6187.65</v>
      </c>
      <c r="E62" s="53">
        <v>4169.74</v>
      </c>
      <c r="F62" s="53">
        <v>2517.81</v>
      </c>
      <c r="G62" s="99">
        <v>6.4359999999999999</v>
      </c>
      <c r="H62" s="99" t="s">
        <v>108</v>
      </c>
      <c r="I62" s="39" t="s">
        <v>148</v>
      </c>
      <c r="J62" s="40"/>
      <c r="K62" s="105">
        <f t="shared" si="5"/>
        <v>529.87399999999946</v>
      </c>
      <c r="M62" s="34">
        <v>41852</v>
      </c>
      <c r="N62" s="35">
        <f t="shared" si="0"/>
        <v>41882</v>
      </c>
      <c r="O62" s="36">
        <v>1</v>
      </c>
      <c r="P62" s="41">
        <v>6199.95</v>
      </c>
      <c r="Q62" s="41">
        <v>4177.67</v>
      </c>
      <c r="R62" s="41">
        <v>2523.66</v>
      </c>
      <c r="S62" s="41">
        <v>6.4530000000000003</v>
      </c>
      <c r="T62" s="99" t="s">
        <v>108</v>
      </c>
      <c r="U62" s="39" t="s">
        <v>148</v>
      </c>
      <c r="V62" s="40"/>
      <c r="W62" s="104">
        <f t="shared" si="1"/>
        <v>531.32699999999886</v>
      </c>
    </row>
    <row r="63" spans="1:23" x14ac:dyDescent="0.2">
      <c r="A63" s="34">
        <v>41883</v>
      </c>
      <c r="B63" s="35">
        <f t="shared" si="3"/>
        <v>41912</v>
      </c>
      <c r="C63" s="36">
        <v>1</v>
      </c>
      <c r="D63" s="37">
        <v>6454.96</v>
      </c>
      <c r="E63" s="53">
        <v>4273.1400000000003</v>
      </c>
      <c r="F63" s="53">
        <v>2567.11</v>
      </c>
      <c r="G63" s="99">
        <v>5.04</v>
      </c>
      <c r="H63" s="99" t="s">
        <v>108</v>
      </c>
      <c r="I63" s="39" t="s">
        <v>149</v>
      </c>
      <c r="J63" s="40"/>
      <c r="K63" s="105">
        <f t="shared" si="5"/>
        <v>414.97000000000202</v>
      </c>
      <c r="M63" s="34">
        <v>41883</v>
      </c>
      <c r="N63" s="35">
        <f t="shared" si="0"/>
        <v>41912</v>
      </c>
      <c r="O63" s="36">
        <v>1</v>
      </c>
      <c r="P63" s="41">
        <v>6467.85</v>
      </c>
      <c r="Q63" s="41">
        <v>4281.3599999999997</v>
      </c>
      <c r="R63" s="41">
        <v>2573.12</v>
      </c>
      <c r="S63" s="41">
        <v>5.0519999999999996</v>
      </c>
      <c r="T63" s="99" t="s">
        <v>108</v>
      </c>
      <c r="U63" s="39" t="s">
        <v>149</v>
      </c>
      <c r="V63" s="40"/>
      <c r="W63" s="104">
        <f t="shared" si="1"/>
        <v>415.99799999999925</v>
      </c>
    </row>
    <row r="64" spans="1:23" x14ac:dyDescent="0.2">
      <c r="A64" s="34">
        <v>41913</v>
      </c>
      <c r="B64" s="35">
        <f t="shared" si="3"/>
        <v>41943</v>
      </c>
      <c r="C64" s="36">
        <v>1</v>
      </c>
      <c r="D64" s="37">
        <v>6693.87</v>
      </c>
      <c r="E64" s="53">
        <v>4384.12</v>
      </c>
      <c r="F64" s="53">
        <v>2584.6799999999998</v>
      </c>
      <c r="G64" s="99">
        <v>4.4089999999999998</v>
      </c>
      <c r="H64" s="99" t="s">
        <v>108</v>
      </c>
      <c r="I64" s="39" t="s">
        <v>150</v>
      </c>
      <c r="J64" s="40"/>
      <c r="K64" s="105">
        <f t="shared" si="5"/>
        <v>363.05099999999914</v>
      </c>
      <c r="M64" s="34">
        <v>41913</v>
      </c>
      <c r="N64" s="35">
        <f t="shared" si="0"/>
        <v>41943</v>
      </c>
      <c r="O64" s="36">
        <v>1</v>
      </c>
      <c r="P64" s="41">
        <v>6707.22</v>
      </c>
      <c r="Q64" s="41">
        <v>4392.66</v>
      </c>
      <c r="R64" s="41">
        <v>2590.7600000000002</v>
      </c>
      <c r="S64" s="41">
        <v>4.42</v>
      </c>
      <c r="T64" s="99" t="s">
        <v>108</v>
      </c>
      <c r="U64" s="39" t="s">
        <v>150</v>
      </c>
      <c r="V64" s="40"/>
      <c r="W64" s="104">
        <f t="shared" si="1"/>
        <v>363.89000000000311</v>
      </c>
    </row>
    <row r="65" spans="1:23" ht="38.25" x14ac:dyDescent="0.2">
      <c r="A65" s="34">
        <v>41944</v>
      </c>
      <c r="B65" s="35">
        <f t="shared" si="3"/>
        <v>41973</v>
      </c>
      <c r="C65" s="36">
        <v>1</v>
      </c>
      <c r="D65" s="37">
        <v>6795.54</v>
      </c>
      <c r="E65" s="53">
        <v>4598.5200000000004</v>
      </c>
      <c r="F65" s="53">
        <v>2603.7600000000002</v>
      </c>
      <c r="G65" s="99">
        <v>4.016</v>
      </c>
      <c r="H65" s="99" t="s">
        <v>108</v>
      </c>
      <c r="I65" s="39" t="s">
        <v>151</v>
      </c>
      <c r="J65" s="40" t="s">
        <v>295</v>
      </c>
      <c r="K65" s="105">
        <f>+SUM(D65:F65)-SUM(D64:F64)-G65-0.49</f>
        <v>330.64400000000143</v>
      </c>
      <c r="M65" s="34">
        <v>41944</v>
      </c>
      <c r="N65" s="35">
        <f t="shared" si="0"/>
        <v>41973</v>
      </c>
      <c r="O65" s="36">
        <v>1</v>
      </c>
      <c r="P65" s="41">
        <v>6808.9</v>
      </c>
      <c r="Q65" s="41">
        <v>4607.66</v>
      </c>
      <c r="R65" s="41">
        <v>2609.91</v>
      </c>
      <c r="S65" s="41">
        <v>4.024</v>
      </c>
      <c r="T65" s="99" t="s">
        <v>108</v>
      </c>
      <c r="U65" s="39" t="s">
        <v>151</v>
      </c>
      <c r="V65" s="40" t="s">
        <v>295</v>
      </c>
      <c r="W65" s="104">
        <f>+SUM(P65:R65)-SUM(P64:R64)-S65-0.49</f>
        <v>331.3159999999981</v>
      </c>
    </row>
    <row r="66" spans="1:23" x14ac:dyDescent="0.2">
      <c r="A66" s="34">
        <v>41974</v>
      </c>
      <c r="B66" s="35">
        <f t="shared" si="3"/>
        <v>42004</v>
      </c>
      <c r="C66" s="36">
        <v>1</v>
      </c>
      <c r="D66" s="37">
        <v>6976.78</v>
      </c>
      <c r="E66" s="53">
        <v>4864.58</v>
      </c>
      <c r="F66" s="53">
        <v>2664.61</v>
      </c>
      <c r="G66" s="99">
        <v>6.0979999999999999</v>
      </c>
      <c r="H66" s="99" t="s">
        <v>108</v>
      </c>
      <c r="I66" s="39" t="s">
        <v>152</v>
      </c>
      <c r="J66" s="40"/>
      <c r="K66" s="105">
        <f t="shared" si="5"/>
        <v>502.05199999999962</v>
      </c>
      <c r="M66" s="34">
        <v>41974</v>
      </c>
      <c r="N66" s="35">
        <f t="shared" si="0"/>
        <v>42004</v>
      </c>
      <c r="O66" s="36">
        <v>1</v>
      </c>
      <c r="P66" s="41">
        <v>6990.29</v>
      </c>
      <c r="Q66" s="41">
        <v>4874.21</v>
      </c>
      <c r="R66" s="41">
        <v>2671.01</v>
      </c>
      <c r="S66" s="41">
        <v>6.1079999999999997</v>
      </c>
      <c r="T66" s="99" t="s">
        <v>108</v>
      </c>
      <c r="U66" s="39" t="s">
        <v>152</v>
      </c>
      <c r="V66" s="40"/>
      <c r="W66" s="104">
        <f t="shared" si="1"/>
        <v>502.93200000000087</v>
      </c>
    </row>
    <row r="67" spans="1:23" x14ac:dyDescent="0.2">
      <c r="A67" s="34">
        <v>42005</v>
      </c>
      <c r="B67" s="35">
        <f t="shared" si="3"/>
        <v>42035</v>
      </c>
      <c r="C67" s="36">
        <v>1</v>
      </c>
      <c r="D67" s="37">
        <v>7026.98</v>
      </c>
      <c r="E67" s="53">
        <v>5115.1899999999996</v>
      </c>
      <c r="F67" s="53">
        <v>2667.62</v>
      </c>
      <c r="G67" s="99">
        <v>3.6459999999999999</v>
      </c>
      <c r="H67" s="99" t="s">
        <v>108</v>
      </c>
      <c r="I67" s="39" t="s">
        <v>153</v>
      </c>
      <c r="J67" s="40"/>
      <c r="K67" s="105">
        <f t="shared" si="5"/>
        <v>300.17399999999606</v>
      </c>
      <c r="M67" s="34">
        <v>42005</v>
      </c>
      <c r="N67" s="35">
        <f t="shared" si="0"/>
        <v>42035</v>
      </c>
      <c r="O67" s="36">
        <v>1</v>
      </c>
      <c r="P67" s="41">
        <v>7040.4</v>
      </c>
      <c r="Q67" s="41">
        <v>5125.3</v>
      </c>
      <c r="R67" s="41">
        <v>2674.04</v>
      </c>
      <c r="S67" s="41">
        <v>3.6509999999999998</v>
      </c>
      <c r="T67" s="99" t="s">
        <v>108</v>
      </c>
      <c r="U67" s="39" t="s">
        <v>153</v>
      </c>
      <c r="V67" s="40"/>
      <c r="W67" s="104">
        <f t="shared" si="1"/>
        <v>300.57900000000137</v>
      </c>
    </row>
    <row r="68" spans="1:23" x14ac:dyDescent="0.2">
      <c r="A68" s="34">
        <v>42036</v>
      </c>
      <c r="B68" s="35">
        <f t="shared" si="3"/>
        <v>42063</v>
      </c>
      <c r="C68" s="36">
        <v>1</v>
      </c>
      <c r="D68" s="37">
        <v>7072.98</v>
      </c>
      <c r="E68" s="53">
        <v>5314.02</v>
      </c>
      <c r="F68" s="53">
        <v>2667.62</v>
      </c>
      <c r="G68" s="99">
        <v>2.9380000000000002</v>
      </c>
      <c r="H68" s="99" t="s">
        <v>108</v>
      </c>
      <c r="I68" s="39" t="s">
        <v>154</v>
      </c>
      <c r="J68" s="40"/>
      <c r="K68" s="105">
        <f t="shared" si="5"/>
        <v>241.89200000000176</v>
      </c>
      <c r="M68" s="34">
        <v>42036</v>
      </c>
      <c r="N68" s="35">
        <f t="shared" si="0"/>
        <v>42063</v>
      </c>
      <c r="O68" s="36">
        <v>1</v>
      </c>
      <c r="P68" s="41">
        <v>7086.37</v>
      </c>
      <c r="Q68" s="41">
        <v>5324.55</v>
      </c>
      <c r="R68" s="41">
        <v>2674.04</v>
      </c>
      <c r="S68" s="41">
        <v>2.9430000000000001</v>
      </c>
      <c r="T68" s="99" t="s">
        <v>108</v>
      </c>
      <c r="U68" s="39" t="s">
        <v>154</v>
      </c>
      <c r="V68" s="40"/>
      <c r="W68" s="104">
        <f t="shared" si="1"/>
        <v>242.27699999999751</v>
      </c>
    </row>
    <row r="69" spans="1:23" x14ac:dyDescent="0.2">
      <c r="A69" s="34">
        <v>42064</v>
      </c>
      <c r="B69" s="35">
        <f t="shared" si="3"/>
        <v>42094</v>
      </c>
      <c r="C69" s="36">
        <v>1</v>
      </c>
      <c r="D69" s="37">
        <v>7085.92</v>
      </c>
      <c r="E69" s="53">
        <v>5480.89</v>
      </c>
      <c r="F69" s="53">
        <v>2667.62</v>
      </c>
      <c r="G69" s="99">
        <v>1.165</v>
      </c>
      <c r="H69" s="99" t="s">
        <v>108</v>
      </c>
      <c r="I69" s="39" t="s">
        <v>155</v>
      </c>
      <c r="J69" s="40"/>
      <c r="K69" s="105">
        <f t="shared" si="5"/>
        <v>178.64500000000132</v>
      </c>
      <c r="M69" s="34">
        <v>42064</v>
      </c>
      <c r="N69" s="35">
        <f t="shared" si="0"/>
        <v>42094</v>
      </c>
      <c r="O69" s="36">
        <v>1</v>
      </c>
      <c r="P69" s="41">
        <v>7099.22</v>
      </c>
      <c r="Q69" s="41">
        <v>5491.84</v>
      </c>
      <c r="R69" s="41">
        <v>2674.04</v>
      </c>
      <c r="S69" s="41">
        <v>1.167</v>
      </c>
      <c r="T69" s="99" t="s">
        <v>108</v>
      </c>
      <c r="U69" s="39" t="s">
        <v>155</v>
      </c>
      <c r="V69" s="40"/>
      <c r="W69" s="104">
        <f t="shared" si="1"/>
        <v>178.97300000000305</v>
      </c>
    </row>
    <row r="70" spans="1:23" x14ac:dyDescent="0.2">
      <c r="A70" s="34">
        <v>42095</v>
      </c>
      <c r="B70" s="35">
        <f t="shared" si="3"/>
        <v>42124</v>
      </c>
      <c r="C70" s="36">
        <v>1</v>
      </c>
      <c r="D70" s="37">
        <v>7094.14</v>
      </c>
      <c r="E70" s="53">
        <v>5603.11</v>
      </c>
      <c r="F70" s="53">
        <v>2667.62</v>
      </c>
      <c r="G70" s="99">
        <v>1.5649999999999999</v>
      </c>
      <c r="H70" s="99" t="s">
        <v>108</v>
      </c>
      <c r="I70" s="39" t="s">
        <v>156</v>
      </c>
      <c r="J70" s="40"/>
      <c r="K70" s="105">
        <f t="shared" si="5"/>
        <v>128.87499999999869</v>
      </c>
      <c r="M70" s="34">
        <v>42095</v>
      </c>
      <c r="N70" s="35">
        <f t="shared" si="0"/>
        <v>42124</v>
      </c>
      <c r="O70" s="36">
        <v>1</v>
      </c>
      <c r="P70" s="41">
        <v>7107.32</v>
      </c>
      <c r="Q70" s="41">
        <v>5614.41</v>
      </c>
      <c r="R70" s="41">
        <v>2674.04</v>
      </c>
      <c r="S70" s="41">
        <v>1.5680000000000001</v>
      </c>
      <c r="T70" s="99" t="s">
        <v>108</v>
      </c>
      <c r="U70" s="39" t="s">
        <v>156</v>
      </c>
      <c r="V70" s="40"/>
      <c r="W70" s="104">
        <f t="shared" si="1"/>
        <v>129.10199999999824</v>
      </c>
    </row>
    <row r="71" spans="1:23" x14ac:dyDescent="0.2">
      <c r="A71" s="34">
        <v>42125</v>
      </c>
      <c r="B71" s="35">
        <f t="shared" si="3"/>
        <v>42155</v>
      </c>
      <c r="C71" s="36">
        <v>1</v>
      </c>
      <c r="D71" s="37">
        <v>7100.18</v>
      </c>
      <c r="E71" s="53">
        <v>5698.67</v>
      </c>
      <c r="F71" s="53">
        <v>2667.62</v>
      </c>
      <c r="G71" s="99">
        <v>1.2190000000000001</v>
      </c>
      <c r="H71" s="99" t="s">
        <v>108</v>
      </c>
      <c r="I71" s="39" t="s">
        <v>157</v>
      </c>
      <c r="J71" s="40"/>
      <c r="K71" s="105">
        <f t="shared" si="5"/>
        <v>100.38100000000219</v>
      </c>
      <c r="M71" s="34">
        <v>42125</v>
      </c>
      <c r="N71" s="35">
        <f t="shared" si="0"/>
        <v>42155</v>
      </c>
      <c r="O71" s="36">
        <v>1</v>
      </c>
      <c r="P71" s="41">
        <v>7113.24</v>
      </c>
      <c r="Q71" s="41">
        <v>5710.27</v>
      </c>
      <c r="R71" s="41">
        <v>2674.04</v>
      </c>
      <c r="S71" s="41">
        <v>1.2210000000000001</v>
      </c>
      <c r="T71" s="99" t="s">
        <v>108</v>
      </c>
      <c r="U71" s="39" t="s">
        <v>157</v>
      </c>
      <c r="V71" s="40"/>
      <c r="W71" s="104">
        <f t="shared" si="1"/>
        <v>100.55899999999883</v>
      </c>
    </row>
    <row r="72" spans="1:23" x14ac:dyDescent="0.2">
      <c r="A72" s="34">
        <v>42156</v>
      </c>
      <c r="B72" s="35">
        <f t="shared" si="3"/>
        <v>42185</v>
      </c>
      <c r="C72" s="36">
        <v>1</v>
      </c>
      <c r="D72" s="37">
        <v>7115.49</v>
      </c>
      <c r="E72" s="53">
        <v>5805.53</v>
      </c>
      <c r="F72" s="53">
        <v>2673.24</v>
      </c>
      <c r="G72" s="99">
        <v>1.5329999999999999</v>
      </c>
      <c r="H72" s="99" t="s">
        <v>108</v>
      </c>
      <c r="I72" s="39" t="s">
        <v>158</v>
      </c>
      <c r="J72" s="40"/>
      <c r="K72" s="105">
        <f t="shared" si="5"/>
        <v>126.25699999999905</v>
      </c>
      <c r="M72" s="34">
        <v>42156</v>
      </c>
      <c r="N72" s="35">
        <f t="shared" si="0"/>
        <v>42185</v>
      </c>
      <c r="O72" s="36">
        <v>1</v>
      </c>
      <c r="P72" s="41">
        <v>7128.46</v>
      </c>
      <c r="Q72" s="41">
        <v>5817.36</v>
      </c>
      <c r="R72" s="41">
        <v>2679.71</v>
      </c>
      <c r="S72" s="41">
        <v>1.536</v>
      </c>
      <c r="T72" s="99" t="s">
        <v>108</v>
      </c>
      <c r="U72" s="39" t="s">
        <v>158</v>
      </c>
      <c r="V72" s="40"/>
      <c r="W72" s="104">
        <f t="shared" si="1"/>
        <v>126.44399999999956</v>
      </c>
    </row>
    <row r="73" spans="1:23" x14ac:dyDescent="0.2">
      <c r="A73" s="34">
        <v>42186</v>
      </c>
      <c r="B73" s="35">
        <f t="shared" si="3"/>
        <v>42216</v>
      </c>
      <c r="C73" s="36">
        <v>1</v>
      </c>
      <c r="D73" s="37">
        <v>7362.04</v>
      </c>
      <c r="E73" s="53">
        <v>5893.74</v>
      </c>
      <c r="F73" s="53">
        <v>2726.39</v>
      </c>
      <c r="G73" s="99">
        <v>4.6550000000000002</v>
      </c>
      <c r="H73" s="99" t="s">
        <v>108</v>
      </c>
      <c r="I73" s="39" t="s">
        <v>159</v>
      </c>
      <c r="J73" s="40"/>
      <c r="K73" s="105">
        <f t="shared" si="5"/>
        <v>383.25499999999806</v>
      </c>
      <c r="M73" s="34">
        <v>42186</v>
      </c>
      <c r="N73" s="35">
        <f t="shared" si="0"/>
        <v>42216</v>
      </c>
      <c r="O73" s="36">
        <v>1</v>
      </c>
      <c r="P73" s="41">
        <v>7375.36</v>
      </c>
      <c r="Q73" s="41">
        <v>5905.77</v>
      </c>
      <c r="R73" s="41">
        <v>2733.09</v>
      </c>
      <c r="S73" s="41">
        <v>4.6639999999999997</v>
      </c>
      <c r="T73" s="99" t="s">
        <v>108</v>
      </c>
      <c r="U73" s="39" t="s">
        <v>159</v>
      </c>
      <c r="V73" s="40"/>
      <c r="W73" s="104">
        <f t="shared" si="1"/>
        <v>384.02600000000234</v>
      </c>
    </row>
    <row r="74" spans="1:23" x14ac:dyDescent="0.2">
      <c r="A74" s="34">
        <v>42217</v>
      </c>
      <c r="B74" s="35">
        <f t="shared" si="3"/>
        <v>42247</v>
      </c>
      <c r="C74" s="36">
        <v>1</v>
      </c>
      <c r="D74" s="37">
        <v>7606.23</v>
      </c>
      <c r="E74" s="53">
        <v>5971.73</v>
      </c>
      <c r="F74" s="53">
        <v>2737.19</v>
      </c>
      <c r="G74" s="99">
        <v>3.996</v>
      </c>
      <c r="H74" s="99" t="s">
        <v>108</v>
      </c>
      <c r="I74" s="39" t="s">
        <v>160</v>
      </c>
      <c r="J74" s="40"/>
      <c r="K74" s="105">
        <f t="shared" si="5"/>
        <v>328.9840000000014</v>
      </c>
      <c r="M74" s="34">
        <v>42217</v>
      </c>
      <c r="N74" s="35">
        <f t="shared" si="0"/>
        <v>42247</v>
      </c>
      <c r="O74" s="36">
        <v>1</v>
      </c>
      <c r="P74" s="41">
        <v>7619.99</v>
      </c>
      <c r="Q74" s="41">
        <v>5984.08</v>
      </c>
      <c r="R74" s="41">
        <v>2743.96</v>
      </c>
      <c r="S74" s="41">
        <v>4.0060000000000002</v>
      </c>
      <c r="T74" s="99" t="s">
        <v>108</v>
      </c>
      <c r="U74" s="39" t="s">
        <v>160</v>
      </c>
      <c r="V74" s="40"/>
      <c r="W74" s="104">
        <f t="shared" si="1"/>
        <v>329.8039999999977</v>
      </c>
    </row>
    <row r="75" spans="1:23" x14ac:dyDescent="0.2">
      <c r="A75" s="34">
        <v>42248</v>
      </c>
      <c r="B75" s="35">
        <f t="shared" si="3"/>
        <v>42277</v>
      </c>
      <c r="C75" s="36">
        <v>1</v>
      </c>
      <c r="D75" s="37">
        <v>8105.78</v>
      </c>
      <c r="E75" s="53">
        <v>6147.38</v>
      </c>
      <c r="F75" s="53">
        <v>2921.03</v>
      </c>
      <c r="G75" s="99">
        <v>10.308</v>
      </c>
      <c r="H75" s="99" t="s">
        <v>109</v>
      </c>
      <c r="I75" s="39" t="s">
        <v>161</v>
      </c>
      <c r="J75" s="40"/>
      <c r="K75" s="105">
        <f t="shared" si="5"/>
        <v>848.73199999999906</v>
      </c>
      <c r="M75" s="34">
        <v>42248</v>
      </c>
      <c r="N75" s="35">
        <f t="shared" si="0"/>
        <v>42277</v>
      </c>
      <c r="O75" s="36">
        <v>1</v>
      </c>
      <c r="P75" s="41">
        <v>8120.61</v>
      </c>
      <c r="Q75" s="41">
        <v>6160.15</v>
      </c>
      <c r="R75" s="41">
        <v>2928.24</v>
      </c>
      <c r="S75" s="41">
        <v>10.332000000000001</v>
      </c>
      <c r="T75" s="99" t="s">
        <v>109</v>
      </c>
      <c r="U75" s="39" t="s">
        <v>161</v>
      </c>
      <c r="V75" s="40"/>
      <c r="W75" s="104">
        <f t="shared" si="1"/>
        <v>850.63800000000117</v>
      </c>
    </row>
    <row r="76" spans="1:23" x14ac:dyDescent="0.2">
      <c r="A76" s="34">
        <v>42278</v>
      </c>
      <c r="B76" s="35">
        <f t="shared" si="3"/>
        <v>42308</v>
      </c>
      <c r="C76" s="36">
        <v>1</v>
      </c>
      <c r="D76" s="37">
        <v>8580.3700000000008</v>
      </c>
      <c r="E76" s="53">
        <v>6320.63</v>
      </c>
      <c r="F76" s="53">
        <v>3067.23</v>
      </c>
      <c r="G76" s="99">
        <v>9.5280000000000005</v>
      </c>
      <c r="H76" s="99" t="s">
        <v>109</v>
      </c>
      <c r="I76" s="39" t="s">
        <v>162</v>
      </c>
      <c r="J76" s="40"/>
      <c r="K76" s="105">
        <f t="shared" si="5"/>
        <v>784.51200000000085</v>
      </c>
      <c r="M76" s="34">
        <v>42278</v>
      </c>
      <c r="N76" s="35">
        <f t="shared" si="0"/>
        <v>42308</v>
      </c>
      <c r="O76" s="36">
        <v>1</v>
      </c>
      <c r="P76" s="41">
        <v>8596.02</v>
      </c>
      <c r="Q76" s="41">
        <v>6333.91</v>
      </c>
      <c r="R76" s="41">
        <v>3074.9</v>
      </c>
      <c r="S76" s="41">
        <v>9.5500000000000007</v>
      </c>
      <c r="T76" s="99" t="s">
        <v>109</v>
      </c>
      <c r="U76" s="39" t="s">
        <v>162</v>
      </c>
      <c r="V76" s="40"/>
      <c r="W76" s="104">
        <f t="shared" si="1"/>
        <v>786.28000000000179</v>
      </c>
    </row>
    <row r="77" spans="1:23" ht="38.25" x14ac:dyDescent="0.2">
      <c r="A77" s="34">
        <v>42309</v>
      </c>
      <c r="B77" s="35">
        <f t="shared" si="3"/>
        <v>42338</v>
      </c>
      <c r="C77" s="36">
        <v>1</v>
      </c>
      <c r="D77" s="37">
        <v>9107.07</v>
      </c>
      <c r="E77" s="53">
        <v>6622.36</v>
      </c>
      <c r="F77" s="53">
        <v>3341.37</v>
      </c>
      <c r="G77" s="99">
        <v>13.257</v>
      </c>
      <c r="H77" s="99" t="s">
        <v>109</v>
      </c>
      <c r="I77" s="39" t="s">
        <v>163</v>
      </c>
      <c r="J77" s="40" t="s">
        <v>296</v>
      </c>
      <c r="K77" s="105">
        <f>+SUM(D77:F77)-SUM(D76:F76)-G77+2.198</f>
        <v>1091.5109999999997</v>
      </c>
      <c r="M77" s="34">
        <v>42309</v>
      </c>
      <c r="N77" s="35">
        <f t="shared" si="0"/>
        <v>42338</v>
      </c>
      <c r="O77" s="36">
        <v>1</v>
      </c>
      <c r="P77" s="41">
        <v>9123.74</v>
      </c>
      <c r="Q77" s="41">
        <v>6636.34</v>
      </c>
      <c r="R77" s="41">
        <v>3349.84</v>
      </c>
      <c r="S77" s="41">
        <v>13.288</v>
      </c>
      <c r="T77" s="99" t="s">
        <v>109</v>
      </c>
      <c r="U77" s="39" t="s">
        <v>163</v>
      </c>
      <c r="V77" s="40" t="s">
        <v>303</v>
      </c>
      <c r="W77" s="104">
        <f>+SUM(P77:R77)-SUM(P76:R76)-S77+2.208</f>
        <v>1094.0099999999966</v>
      </c>
    </row>
    <row r="78" spans="1:23" x14ac:dyDescent="0.2">
      <c r="A78" s="34">
        <v>42339</v>
      </c>
      <c r="B78" s="35">
        <f t="shared" si="3"/>
        <v>42369</v>
      </c>
      <c r="C78" s="36">
        <v>1</v>
      </c>
      <c r="D78" s="37">
        <v>9302.35</v>
      </c>
      <c r="E78" s="53">
        <v>6949.64</v>
      </c>
      <c r="F78" s="53">
        <v>3383.85</v>
      </c>
      <c r="G78" s="99">
        <v>6.7809999999999997</v>
      </c>
      <c r="H78" s="99" t="s">
        <v>109</v>
      </c>
      <c r="I78" s="39" t="s">
        <v>164</v>
      </c>
      <c r="J78" s="40"/>
      <c r="K78" s="105">
        <f t="shared" si="5"/>
        <v>558.25900000000092</v>
      </c>
      <c r="M78" s="34">
        <v>42339</v>
      </c>
      <c r="N78" s="35">
        <f t="shared" si="0"/>
        <v>42369</v>
      </c>
      <c r="O78" s="36">
        <v>1</v>
      </c>
      <c r="P78" s="41">
        <v>9318.7900000000009</v>
      </c>
      <c r="Q78" s="41">
        <v>6964.45</v>
      </c>
      <c r="R78" s="41">
        <v>3392.93</v>
      </c>
      <c r="S78" s="41">
        <v>6.7949999999999999</v>
      </c>
      <c r="T78" s="99" t="s">
        <v>109</v>
      </c>
      <c r="U78" s="39" t="s">
        <v>164</v>
      </c>
      <c r="V78" s="40"/>
      <c r="W78" s="104">
        <f t="shared" si="1"/>
        <v>559.45500000000368</v>
      </c>
    </row>
    <row r="79" spans="1:23" x14ac:dyDescent="0.2">
      <c r="A79" s="34">
        <v>42370</v>
      </c>
      <c r="B79" s="35">
        <f t="shared" si="3"/>
        <v>42400</v>
      </c>
      <c r="C79" s="36">
        <v>1</v>
      </c>
      <c r="D79" s="37">
        <v>9424.64</v>
      </c>
      <c r="E79" s="53">
        <v>7257.84</v>
      </c>
      <c r="F79" s="53">
        <v>3395.69</v>
      </c>
      <c r="G79" s="99">
        <v>5.3079999999999998</v>
      </c>
      <c r="H79" s="99" t="s">
        <v>109</v>
      </c>
      <c r="I79" s="39" t="s">
        <v>165</v>
      </c>
      <c r="J79" s="40"/>
      <c r="K79" s="105">
        <f t="shared" si="5"/>
        <v>437.02199999999812</v>
      </c>
      <c r="M79" s="34">
        <v>42370</v>
      </c>
      <c r="N79" s="35">
        <f t="shared" si="0"/>
        <v>42400</v>
      </c>
      <c r="O79" s="36">
        <v>1</v>
      </c>
      <c r="P79" s="41">
        <v>9441.1299999999992</v>
      </c>
      <c r="Q79" s="41">
        <v>7273.31</v>
      </c>
      <c r="R79" s="41">
        <v>3404.91</v>
      </c>
      <c r="S79" s="41">
        <v>5.3179999999999996</v>
      </c>
      <c r="T79" s="99" t="s">
        <v>109</v>
      </c>
      <c r="U79" s="39" t="s">
        <v>165</v>
      </c>
      <c r="V79" s="40"/>
      <c r="W79" s="104">
        <f t="shared" si="1"/>
        <v>437.86199999999667</v>
      </c>
    </row>
    <row r="80" spans="1:23" x14ac:dyDescent="0.2">
      <c r="A80" s="34">
        <v>42401</v>
      </c>
      <c r="B80" s="35">
        <f t="shared" si="3"/>
        <v>42429</v>
      </c>
      <c r="C80" s="36">
        <v>1</v>
      </c>
      <c r="D80" s="37">
        <v>9458.42</v>
      </c>
      <c r="E80" s="53">
        <v>7493.51</v>
      </c>
      <c r="F80" s="53">
        <v>3395.69</v>
      </c>
      <c r="G80" s="99">
        <v>3.2330000000000001</v>
      </c>
      <c r="H80" s="99" t="s">
        <v>109</v>
      </c>
      <c r="I80" s="39" t="s">
        <v>166</v>
      </c>
      <c r="J80" s="40"/>
      <c r="K80" s="105">
        <f t="shared" si="5"/>
        <v>266.21700000000072</v>
      </c>
      <c r="M80" s="34">
        <v>42401</v>
      </c>
      <c r="N80" s="35">
        <f t="shared" si="0"/>
        <v>42429</v>
      </c>
      <c r="O80" s="36">
        <v>1</v>
      </c>
      <c r="P80" s="41">
        <v>9474.98</v>
      </c>
      <c r="Q80" s="41">
        <v>7509.26</v>
      </c>
      <c r="R80" s="41">
        <v>3404.91</v>
      </c>
      <c r="S80" s="41">
        <v>3.238</v>
      </c>
      <c r="T80" s="99" t="s">
        <v>109</v>
      </c>
      <c r="U80" s="39" t="s">
        <v>166</v>
      </c>
      <c r="V80" s="40"/>
      <c r="W80" s="104">
        <f t="shared" si="1"/>
        <v>266.56199999999927</v>
      </c>
    </row>
    <row r="81" spans="1:23" x14ac:dyDescent="0.2">
      <c r="A81" s="34">
        <v>42430</v>
      </c>
      <c r="B81" s="35">
        <f t="shared" si="3"/>
        <v>42460</v>
      </c>
      <c r="C81" s="36">
        <v>1</v>
      </c>
      <c r="D81" s="37">
        <v>9470.52</v>
      </c>
      <c r="E81" s="53">
        <v>7685.55</v>
      </c>
      <c r="F81" s="53">
        <v>3395.69</v>
      </c>
      <c r="G81" s="99">
        <v>2.4500000000000002</v>
      </c>
      <c r="H81" s="99" t="s">
        <v>109</v>
      </c>
      <c r="I81" s="39" t="s">
        <v>167</v>
      </c>
      <c r="J81" s="40"/>
      <c r="K81" s="105">
        <f t="shared" si="5"/>
        <v>201.68999999999943</v>
      </c>
      <c r="M81" s="34">
        <v>42430</v>
      </c>
      <c r="N81" s="35">
        <f t="shared" si="0"/>
        <v>42460</v>
      </c>
      <c r="O81" s="36">
        <v>1</v>
      </c>
      <c r="P81" s="41">
        <v>9487.41</v>
      </c>
      <c r="Q81" s="41">
        <v>7701.32</v>
      </c>
      <c r="R81" s="41">
        <v>3404.91</v>
      </c>
      <c r="S81" s="41">
        <v>2.4540000000000002</v>
      </c>
      <c r="T81" s="99" t="s">
        <v>109</v>
      </c>
      <c r="U81" s="39" t="s">
        <v>167</v>
      </c>
      <c r="V81" s="40"/>
      <c r="W81" s="104">
        <f t="shared" si="1"/>
        <v>202.03600000000159</v>
      </c>
    </row>
    <row r="82" spans="1:23" x14ac:dyDescent="0.2">
      <c r="A82" s="34">
        <v>42461</v>
      </c>
      <c r="B82" s="35">
        <f t="shared" si="3"/>
        <v>42490</v>
      </c>
      <c r="C82" s="36">
        <v>1</v>
      </c>
      <c r="D82" s="37">
        <v>9490.2800000000007</v>
      </c>
      <c r="E82" s="53">
        <v>7829.06</v>
      </c>
      <c r="F82" s="53">
        <v>3395.69</v>
      </c>
      <c r="G82" s="99">
        <v>1.9590000000000001</v>
      </c>
      <c r="H82" s="99" t="s">
        <v>110</v>
      </c>
      <c r="I82" s="39" t="s">
        <v>168</v>
      </c>
      <c r="J82" s="40"/>
      <c r="K82" s="105">
        <f t="shared" si="5"/>
        <v>161.31100000000043</v>
      </c>
      <c r="M82" s="34">
        <v>42461</v>
      </c>
      <c r="N82" s="35">
        <f t="shared" si="0"/>
        <v>42490</v>
      </c>
      <c r="O82" s="36">
        <v>1</v>
      </c>
      <c r="P82" s="41">
        <v>9507.5</v>
      </c>
      <c r="Q82" s="41">
        <v>7844.87</v>
      </c>
      <c r="R82" s="41">
        <v>3404.91</v>
      </c>
      <c r="S82" s="41">
        <v>1.964</v>
      </c>
      <c r="T82" s="99" t="s">
        <v>110</v>
      </c>
      <c r="U82" s="39" t="s">
        <v>168</v>
      </c>
      <c r="V82" s="40"/>
      <c r="W82" s="104">
        <f t="shared" si="1"/>
        <v>161.67599999999942</v>
      </c>
    </row>
    <row r="83" spans="1:23" x14ac:dyDescent="0.2">
      <c r="A83" s="34">
        <v>42491</v>
      </c>
      <c r="B83" s="35">
        <f t="shared" si="3"/>
        <v>42521</v>
      </c>
      <c r="C83" s="36">
        <v>1</v>
      </c>
      <c r="D83" s="37">
        <v>9503.83</v>
      </c>
      <c r="E83" s="53">
        <v>7985.51</v>
      </c>
      <c r="F83" s="53">
        <v>3396.18</v>
      </c>
      <c r="G83" s="99">
        <v>2.0459999999999998</v>
      </c>
      <c r="H83" s="99" t="s">
        <v>110</v>
      </c>
      <c r="I83" s="39" t="s">
        <v>169</v>
      </c>
      <c r="J83" s="40"/>
      <c r="K83" s="105">
        <f t="shared" si="5"/>
        <v>168.44400000000161</v>
      </c>
      <c r="M83" s="34">
        <v>42491</v>
      </c>
      <c r="N83" s="35">
        <f t="shared" si="0"/>
        <v>42521</v>
      </c>
      <c r="O83" s="36">
        <v>1</v>
      </c>
      <c r="P83" s="41">
        <v>9521.31</v>
      </c>
      <c r="Q83" s="41">
        <v>8001.34</v>
      </c>
      <c r="R83" s="41">
        <v>3405.42</v>
      </c>
      <c r="S83" s="41">
        <v>2.0489999999999999</v>
      </c>
      <c r="T83" s="99" t="s">
        <v>110</v>
      </c>
      <c r="U83" s="39" t="s">
        <v>169</v>
      </c>
      <c r="V83" s="40"/>
      <c r="W83" s="104">
        <f t="shared" si="1"/>
        <v>168.74100000000087</v>
      </c>
    </row>
    <row r="84" spans="1:23" x14ac:dyDescent="0.2">
      <c r="A84" s="34">
        <v>42522</v>
      </c>
      <c r="B84" s="35">
        <f t="shared" si="3"/>
        <v>42551</v>
      </c>
      <c r="C84" s="36">
        <v>1</v>
      </c>
      <c r="D84" s="37">
        <v>9518.99</v>
      </c>
      <c r="E84" s="53">
        <v>8136.54</v>
      </c>
      <c r="F84" s="53">
        <v>3397.44</v>
      </c>
      <c r="G84" s="99">
        <v>2.0089999999999999</v>
      </c>
      <c r="H84" s="99" t="s">
        <v>110</v>
      </c>
      <c r="I84" s="39" t="s">
        <v>170</v>
      </c>
      <c r="J84" s="40"/>
      <c r="K84" s="105">
        <f t="shared" si="5"/>
        <v>165.4409999999971</v>
      </c>
      <c r="M84" s="34">
        <v>42522</v>
      </c>
      <c r="N84" s="35">
        <f t="shared" si="0"/>
        <v>42551</v>
      </c>
      <c r="O84" s="36">
        <v>1</v>
      </c>
      <c r="P84" s="41">
        <v>9536.66</v>
      </c>
      <c r="Q84" s="41">
        <v>8152.48</v>
      </c>
      <c r="R84" s="41">
        <v>3406.71</v>
      </c>
      <c r="S84" s="41">
        <v>2.0129999999999999</v>
      </c>
      <c r="T84" s="99" t="s">
        <v>110</v>
      </c>
      <c r="U84" s="39" t="s">
        <v>170</v>
      </c>
      <c r="V84" s="40"/>
      <c r="W84" s="104">
        <f t="shared" si="1"/>
        <v>165.76699999999883</v>
      </c>
    </row>
    <row r="85" spans="1:23" x14ac:dyDescent="0.2">
      <c r="A85" s="34">
        <v>42552</v>
      </c>
      <c r="B85" s="35">
        <f t="shared" si="3"/>
        <v>42582</v>
      </c>
      <c r="C85" s="36">
        <v>1</v>
      </c>
      <c r="D85" s="37">
        <v>9723.9</v>
      </c>
      <c r="E85" s="53">
        <v>8197.1</v>
      </c>
      <c r="F85" s="53">
        <v>3426.25</v>
      </c>
      <c r="G85" s="99">
        <v>3.5310000000000001</v>
      </c>
      <c r="H85" s="99" t="s">
        <v>110</v>
      </c>
      <c r="I85" s="39" t="s">
        <v>171</v>
      </c>
      <c r="J85" s="40"/>
      <c r="K85" s="105">
        <f t="shared" si="5"/>
        <v>290.74900000000247</v>
      </c>
      <c r="M85" s="34">
        <v>42552</v>
      </c>
      <c r="N85" s="35">
        <f t="shared" si="0"/>
        <v>42582</v>
      </c>
      <c r="O85" s="36">
        <v>1</v>
      </c>
      <c r="P85" s="41">
        <v>9742.01</v>
      </c>
      <c r="Q85" s="41">
        <v>8213.2099999999991</v>
      </c>
      <c r="R85" s="41">
        <v>3435.61</v>
      </c>
      <c r="S85" s="41">
        <v>3.54</v>
      </c>
      <c r="T85" s="99" t="s">
        <v>110</v>
      </c>
      <c r="U85" s="39" t="s">
        <v>171</v>
      </c>
      <c r="V85" s="40"/>
      <c r="W85" s="104">
        <f t="shared" si="1"/>
        <v>291.44000000000318</v>
      </c>
    </row>
    <row r="86" spans="1:23" x14ac:dyDescent="0.2">
      <c r="A86" s="34">
        <v>42583</v>
      </c>
      <c r="B86" s="35">
        <f t="shared" si="3"/>
        <v>42613</v>
      </c>
      <c r="C86" s="36">
        <v>1</v>
      </c>
      <c r="D86" s="37">
        <v>10093.5</v>
      </c>
      <c r="E86" s="53">
        <v>8333.26</v>
      </c>
      <c r="F86" s="53">
        <v>3529.28</v>
      </c>
      <c r="G86" s="99">
        <v>7.3049999999999997</v>
      </c>
      <c r="H86" s="99" t="s">
        <v>110</v>
      </c>
      <c r="I86" s="39" t="s">
        <v>172</v>
      </c>
      <c r="J86" s="40"/>
      <c r="K86" s="105">
        <f t="shared" si="5"/>
        <v>601.48500000000092</v>
      </c>
      <c r="M86" s="34">
        <v>42583</v>
      </c>
      <c r="N86" s="35">
        <f t="shared" si="0"/>
        <v>42613</v>
      </c>
      <c r="O86" s="36">
        <v>1</v>
      </c>
      <c r="P86" s="41">
        <v>10112.43</v>
      </c>
      <c r="Q86" s="41">
        <v>8349.66</v>
      </c>
      <c r="R86" s="41">
        <v>3539.01</v>
      </c>
      <c r="S86" s="41">
        <v>7.3230000000000004</v>
      </c>
      <c r="T86" s="99" t="s">
        <v>110</v>
      </c>
      <c r="U86" s="39" t="s">
        <v>172</v>
      </c>
      <c r="V86" s="40"/>
      <c r="W86" s="104">
        <f t="shared" si="1"/>
        <v>602.94699999999682</v>
      </c>
    </row>
    <row r="87" spans="1:23" x14ac:dyDescent="0.2">
      <c r="A87" s="34">
        <v>42614</v>
      </c>
      <c r="B87" s="35">
        <f t="shared" si="3"/>
        <v>42643</v>
      </c>
      <c r="C87" s="36">
        <v>1</v>
      </c>
      <c r="D87" s="37">
        <v>10563.383</v>
      </c>
      <c r="E87" s="53">
        <v>8508.9240000000009</v>
      </c>
      <c r="F87" s="53">
        <v>3672.9360000000001</v>
      </c>
      <c r="G87" s="99">
        <v>9.4700000000000006</v>
      </c>
      <c r="H87" s="99" t="s">
        <v>110</v>
      </c>
      <c r="I87" s="39" t="s">
        <v>173</v>
      </c>
      <c r="J87" s="40"/>
      <c r="K87" s="105">
        <f t="shared" si="5"/>
        <v>779.73300000000131</v>
      </c>
      <c r="M87" s="34">
        <v>42614</v>
      </c>
      <c r="N87" s="35">
        <f t="shared" si="0"/>
        <v>42643</v>
      </c>
      <c r="O87" s="36">
        <v>1</v>
      </c>
      <c r="P87" s="41">
        <v>10583.125</v>
      </c>
      <c r="Q87" s="41">
        <v>8525.7900000000009</v>
      </c>
      <c r="R87" s="41">
        <v>3683.1979999999999</v>
      </c>
      <c r="S87" s="41">
        <v>9.4920000000000009</v>
      </c>
      <c r="T87" s="99" t="s">
        <v>110</v>
      </c>
      <c r="U87" s="39" t="s">
        <v>173</v>
      </c>
      <c r="V87" s="40"/>
      <c r="W87" s="104">
        <f t="shared" si="1"/>
        <v>781.52100000000269</v>
      </c>
    </row>
    <row r="88" spans="1:23" x14ac:dyDescent="0.2">
      <c r="A88" s="34">
        <v>42644</v>
      </c>
      <c r="B88" s="35">
        <f t="shared" si="3"/>
        <v>42674</v>
      </c>
      <c r="C88" s="36">
        <v>1</v>
      </c>
      <c r="D88" s="37">
        <v>11193.076999999999</v>
      </c>
      <c r="E88" s="53">
        <v>8711.5720000000001</v>
      </c>
      <c r="F88" s="53">
        <v>3921.9119999999998</v>
      </c>
      <c r="G88" s="99">
        <v>12.976000000000001</v>
      </c>
      <c r="H88" s="99" t="s">
        <v>110</v>
      </c>
      <c r="I88" s="39" t="s">
        <v>174</v>
      </c>
      <c r="J88" s="40"/>
      <c r="K88" s="105">
        <f t="shared" si="5"/>
        <v>1068.3419999999956</v>
      </c>
      <c r="M88" s="34">
        <v>42644</v>
      </c>
      <c r="N88" s="35">
        <f t="shared" si="0"/>
        <v>42674</v>
      </c>
      <c r="O88" s="36">
        <v>1</v>
      </c>
      <c r="P88" s="41">
        <v>11214.262000000001</v>
      </c>
      <c r="Q88" s="41">
        <v>8728.76</v>
      </c>
      <c r="R88" s="41">
        <v>3932.9450000000002</v>
      </c>
      <c r="S88" s="41">
        <v>13.006</v>
      </c>
      <c r="T88" s="99" t="s">
        <v>110</v>
      </c>
      <c r="U88" s="39" t="s">
        <v>174</v>
      </c>
      <c r="V88" s="40"/>
      <c r="W88" s="104">
        <f t="shared" si="1"/>
        <v>1070.8479999999993</v>
      </c>
    </row>
    <row r="89" spans="1:23" ht="38.25" x14ac:dyDescent="0.2">
      <c r="A89" s="34">
        <v>42675</v>
      </c>
      <c r="B89" s="35">
        <f t="shared" si="3"/>
        <v>42704</v>
      </c>
      <c r="C89" s="36">
        <v>1</v>
      </c>
      <c r="D89" s="37">
        <v>12042.915999999999</v>
      </c>
      <c r="E89" s="53">
        <v>9010.134</v>
      </c>
      <c r="F89" s="53">
        <v>4309.5050000000001</v>
      </c>
      <c r="G89" s="99">
        <v>18.431999999999999</v>
      </c>
      <c r="H89" s="99" t="s">
        <v>110</v>
      </c>
      <c r="I89" s="39" t="s">
        <v>175</v>
      </c>
      <c r="J89" s="40" t="s">
        <v>297</v>
      </c>
      <c r="K89" s="105">
        <f>+SUM(D89:F89)-SUM(D88:F88)-G89-0.47</f>
        <v>1517.0920000000024</v>
      </c>
      <c r="M89" s="34">
        <v>42675</v>
      </c>
      <c r="N89" s="35">
        <f t="shared" si="0"/>
        <v>42704</v>
      </c>
      <c r="O89" s="36">
        <v>1</v>
      </c>
      <c r="P89" s="41">
        <v>12066.064</v>
      </c>
      <c r="Q89" s="41">
        <v>9027.9760000000006</v>
      </c>
      <c r="R89" s="41">
        <v>4321.402</v>
      </c>
      <c r="S89" s="41">
        <v>18.474</v>
      </c>
      <c r="T89" s="99" t="s">
        <v>110</v>
      </c>
      <c r="U89" s="39" t="s">
        <v>175</v>
      </c>
      <c r="V89" s="40" t="s">
        <v>304</v>
      </c>
      <c r="W89" s="104">
        <f>+SUM(P89:R89)-SUM(P88:R88)-S89-0.47</f>
        <v>1520.5310000000022</v>
      </c>
    </row>
    <row r="90" spans="1:23" x14ac:dyDescent="0.2">
      <c r="A90" s="34">
        <v>42705</v>
      </c>
      <c r="B90" s="35">
        <f t="shared" si="3"/>
        <v>42735</v>
      </c>
      <c r="C90" s="36">
        <v>1</v>
      </c>
      <c r="D90" s="37">
        <v>12634.293</v>
      </c>
      <c r="E90" s="53">
        <v>9318.6990000000005</v>
      </c>
      <c r="F90" s="53">
        <v>4582.3739999999998</v>
      </c>
      <c r="G90" s="99">
        <v>14.074</v>
      </c>
      <c r="H90" s="99" t="s">
        <v>110</v>
      </c>
      <c r="I90" s="39" t="s">
        <v>176</v>
      </c>
      <c r="J90" s="40"/>
      <c r="K90" s="105">
        <f t="shared" si="5"/>
        <v>1158.7369999999978</v>
      </c>
      <c r="M90" s="34">
        <v>42705</v>
      </c>
      <c r="N90" s="35">
        <f t="shared" si="0"/>
        <v>42735</v>
      </c>
      <c r="O90" s="36">
        <v>1</v>
      </c>
      <c r="P90" s="41">
        <v>12658.578</v>
      </c>
      <c r="Q90" s="41">
        <v>9337.0990000000002</v>
      </c>
      <c r="R90" s="41">
        <v>4594.7920000000004</v>
      </c>
      <c r="S90" s="41">
        <v>14.1</v>
      </c>
      <c r="T90" s="99" t="s">
        <v>110</v>
      </c>
      <c r="U90" s="39" t="s">
        <v>176</v>
      </c>
      <c r="V90" s="40"/>
      <c r="W90" s="104">
        <f t="shared" si="1"/>
        <v>1160.9269999999983</v>
      </c>
    </row>
    <row r="91" spans="1:23" x14ac:dyDescent="0.2">
      <c r="A91" s="34">
        <v>42736</v>
      </c>
      <c r="B91" s="35">
        <f t="shared" si="3"/>
        <v>42766</v>
      </c>
      <c r="C91" s="36">
        <v>1</v>
      </c>
      <c r="D91" s="37">
        <v>13002.887000000001</v>
      </c>
      <c r="E91" s="53">
        <v>9638.9509999999991</v>
      </c>
      <c r="F91" s="53">
        <v>4714.8320000000003</v>
      </c>
      <c r="G91" s="99">
        <v>9.8559999999999999</v>
      </c>
      <c r="H91" s="99" t="s">
        <v>110</v>
      </c>
      <c r="I91" s="39" t="s">
        <v>177</v>
      </c>
      <c r="J91" s="40"/>
      <c r="K91" s="105">
        <f t="shared" si="5"/>
        <v>811.44800000000009</v>
      </c>
      <c r="M91" s="34">
        <v>42736</v>
      </c>
      <c r="N91" s="35">
        <f t="shared" si="0"/>
        <v>42766</v>
      </c>
      <c r="O91" s="36">
        <v>1</v>
      </c>
      <c r="P91" s="41">
        <v>13027.834000000001</v>
      </c>
      <c r="Q91" s="41">
        <v>9657.9439999999995</v>
      </c>
      <c r="R91" s="41">
        <v>4727.6049999999996</v>
      </c>
      <c r="S91" s="41">
        <v>9.875</v>
      </c>
      <c r="T91" s="99" t="s">
        <v>110</v>
      </c>
      <c r="U91" s="39" t="s">
        <v>177</v>
      </c>
      <c r="V91" s="40"/>
      <c r="W91" s="104">
        <f t="shared" si="1"/>
        <v>813.03899999999703</v>
      </c>
    </row>
    <row r="92" spans="1:23" x14ac:dyDescent="0.2">
      <c r="A92" s="34">
        <v>42767</v>
      </c>
      <c r="B92" s="35">
        <f t="shared" si="3"/>
        <v>42794</v>
      </c>
      <c r="C92" s="36">
        <v>1</v>
      </c>
      <c r="D92" s="37">
        <v>13181.471</v>
      </c>
      <c r="E92" s="53">
        <v>9950.7250000000004</v>
      </c>
      <c r="F92" s="53">
        <v>4738.5910000000003</v>
      </c>
      <c r="G92" s="99">
        <v>6.1689999999999996</v>
      </c>
      <c r="H92" s="99" t="s">
        <v>110</v>
      </c>
      <c r="I92" s="39" t="s">
        <v>178</v>
      </c>
      <c r="J92" s="40"/>
      <c r="K92" s="105">
        <f t="shared" si="5"/>
        <v>507.94800000000203</v>
      </c>
      <c r="M92" s="34">
        <v>42767</v>
      </c>
      <c r="N92" s="35">
        <f t="shared" si="0"/>
        <v>42794</v>
      </c>
      <c r="O92" s="36">
        <v>1</v>
      </c>
      <c r="P92" s="41">
        <v>13206.688</v>
      </c>
      <c r="Q92" s="41">
        <v>9970.1869999999999</v>
      </c>
      <c r="R92" s="41">
        <v>4751.4549999999999</v>
      </c>
      <c r="S92" s="41">
        <v>6.1790000000000003</v>
      </c>
      <c r="T92" s="99" t="s">
        <v>110</v>
      </c>
      <c r="U92" s="39" t="s">
        <v>178</v>
      </c>
      <c r="V92" s="40"/>
      <c r="W92" s="104">
        <f t="shared" si="1"/>
        <v>508.76800000000378</v>
      </c>
    </row>
    <row r="93" spans="1:23" x14ac:dyDescent="0.2">
      <c r="A93" s="34">
        <v>42795</v>
      </c>
      <c r="B93" s="35">
        <f t="shared" si="3"/>
        <v>42825</v>
      </c>
      <c r="C93" s="36">
        <v>1</v>
      </c>
      <c r="D93" s="37">
        <v>13261.987999999999</v>
      </c>
      <c r="E93" s="53">
        <v>10276.89</v>
      </c>
      <c r="F93" s="53">
        <v>4738.5910000000003</v>
      </c>
      <c r="G93" s="99">
        <v>4.88</v>
      </c>
      <c r="H93" s="99" t="s">
        <v>110</v>
      </c>
      <c r="I93" s="39" t="s">
        <v>179</v>
      </c>
      <c r="J93" s="40"/>
      <c r="K93" s="105">
        <f t="shared" si="5"/>
        <v>401.80199999999707</v>
      </c>
      <c r="M93" s="34">
        <v>42795</v>
      </c>
      <c r="N93" s="35">
        <f t="shared" si="0"/>
        <v>42825</v>
      </c>
      <c r="O93" s="36">
        <v>1</v>
      </c>
      <c r="P93" s="41">
        <v>13287.294</v>
      </c>
      <c r="Q93" s="41">
        <v>10297.084000000001</v>
      </c>
      <c r="R93" s="41">
        <v>4751.4549999999999</v>
      </c>
      <c r="S93" s="41">
        <v>4.8899999999999997</v>
      </c>
      <c r="T93" s="99" t="s">
        <v>110</v>
      </c>
      <c r="U93" s="39" t="s">
        <v>179</v>
      </c>
      <c r="V93" s="40"/>
      <c r="W93" s="104">
        <f t="shared" si="1"/>
        <v>402.61299999999699</v>
      </c>
    </row>
    <row r="94" spans="1:23" x14ac:dyDescent="0.2">
      <c r="A94" s="34">
        <v>42826</v>
      </c>
      <c r="B94" s="35">
        <f t="shared" si="3"/>
        <v>42855</v>
      </c>
      <c r="C94" s="36">
        <v>1</v>
      </c>
      <c r="D94" s="37">
        <v>13305.127</v>
      </c>
      <c r="E94" s="53">
        <v>10516.64</v>
      </c>
      <c r="F94" s="53">
        <v>4738.5910000000003</v>
      </c>
      <c r="G94" s="99">
        <v>3.395</v>
      </c>
      <c r="H94" s="99" t="s">
        <v>110</v>
      </c>
      <c r="I94" s="39" t="s">
        <v>180</v>
      </c>
      <c r="J94" s="40"/>
      <c r="K94" s="105">
        <f t="shared" si="5"/>
        <v>279.49400000000287</v>
      </c>
      <c r="M94" s="34">
        <v>42826</v>
      </c>
      <c r="N94" s="35">
        <f t="shared" si="0"/>
        <v>42855</v>
      </c>
      <c r="O94" s="36">
        <v>1</v>
      </c>
      <c r="P94" s="41">
        <v>13330.431</v>
      </c>
      <c r="Q94" s="41">
        <v>10537.473</v>
      </c>
      <c r="R94" s="41">
        <v>4751.4549999999999</v>
      </c>
      <c r="S94" s="41">
        <v>3.4020000000000001</v>
      </c>
      <c r="T94" s="99" t="s">
        <v>110</v>
      </c>
      <c r="U94" s="39" t="s">
        <v>180</v>
      </c>
      <c r="V94" s="40"/>
      <c r="W94" s="104">
        <f t="shared" si="1"/>
        <v>280.12400000000531</v>
      </c>
    </row>
    <row r="95" spans="1:23" x14ac:dyDescent="0.2">
      <c r="A95" s="34">
        <v>42856</v>
      </c>
      <c r="B95" s="35">
        <f t="shared" si="3"/>
        <v>42886</v>
      </c>
      <c r="C95" s="36">
        <v>1</v>
      </c>
      <c r="D95" s="37">
        <v>13394.355</v>
      </c>
      <c r="E95" s="53">
        <v>10783.614</v>
      </c>
      <c r="F95" s="53">
        <v>4750.1049999999996</v>
      </c>
      <c r="G95" s="99">
        <v>4.4130000000000003</v>
      </c>
      <c r="H95" s="99" t="s">
        <v>110</v>
      </c>
      <c r="I95" s="39" t="s">
        <v>181</v>
      </c>
      <c r="J95" s="40"/>
      <c r="K95" s="105">
        <f t="shared" si="5"/>
        <v>363.3029999999967</v>
      </c>
      <c r="M95" s="34">
        <v>42856</v>
      </c>
      <c r="N95" s="35">
        <f t="shared" si="0"/>
        <v>42886</v>
      </c>
      <c r="O95" s="36">
        <v>1</v>
      </c>
      <c r="P95" s="41">
        <v>13419.714</v>
      </c>
      <c r="Q95" s="41">
        <v>10804.962</v>
      </c>
      <c r="R95" s="41">
        <v>4763.0360000000001</v>
      </c>
      <c r="S95" s="41">
        <v>4.42</v>
      </c>
      <c r="T95" s="99" t="s">
        <v>110</v>
      </c>
      <c r="U95" s="39" t="s">
        <v>181</v>
      </c>
      <c r="V95" s="40"/>
      <c r="W95" s="104">
        <f t="shared" si="1"/>
        <v>363.9329999999955</v>
      </c>
    </row>
    <row r="96" spans="1:23" x14ac:dyDescent="0.2">
      <c r="A96" s="34">
        <v>42887</v>
      </c>
      <c r="B96" s="35">
        <f t="shared" si="3"/>
        <v>42916</v>
      </c>
      <c r="C96" s="36">
        <v>1</v>
      </c>
      <c r="D96" s="37">
        <v>13594.425999999999</v>
      </c>
      <c r="E96" s="53">
        <v>11101.781999999999</v>
      </c>
      <c r="F96" s="53">
        <v>4806.6970000000001</v>
      </c>
      <c r="G96" s="99">
        <v>6.8979999999999997</v>
      </c>
      <c r="H96" s="99" t="s">
        <v>110</v>
      </c>
      <c r="I96" s="39" t="s">
        <v>182</v>
      </c>
      <c r="J96" s="40"/>
      <c r="K96" s="105">
        <f t="shared" si="5"/>
        <v>567.93300000000193</v>
      </c>
      <c r="M96" s="34">
        <v>42887</v>
      </c>
      <c r="N96" s="35">
        <f t="shared" si="0"/>
        <v>42916</v>
      </c>
      <c r="O96" s="36">
        <v>1</v>
      </c>
      <c r="P96" s="41">
        <v>13620.206</v>
      </c>
      <c r="Q96" s="41">
        <v>11123.824000000001</v>
      </c>
      <c r="R96" s="41">
        <v>4819.7960000000003</v>
      </c>
      <c r="S96" s="41">
        <v>6.9130000000000003</v>
      </c>
      <c r="T96" s="99" t="s">
        <v>110</v>
      </c>
      <c r="U96" s="39" t="s">
        <v>182</v>
      </c>
      <c r="V96" s="40"/>
      <c r="W96" s="104">
        <f t="shared" si="1"/>
        <v>569.20100000000139</v>
      </c>
    </row>
    <row r="97" spans="1:23" x14ac:dyDescent="0.2">
      <c r="A97" s="34">
        <v>42917</v>
      </c>
      <c r="B97" s="35">
        <f t="shared" si="3"/>
        <v>42947</v>
      </c>
      <c r="C97" s="36">
        <v>1</v>
      </c>
      <c r="D97" s="37">
        <v>14247.218999999999</v>
      </c>
      <c r="E97" s="53">
        <v>11296.271000000001</v>
      </c>
      <c r="F97" s="53">
        <v>4974.402</v>
      </c>
      <c r="G97" s="99">
        <v>12.18</v>
      </c>
      <c r="H97" s="99" t="s">
        <v>110</v>
      </c>
      <c r="I97" s="39" t="s">
        <v>183</v>
      </c>
      <c r="J97" s="40"/>
      <c r="K97" s="105">
        <f t="shared" si="5"/>
        <v>1002.807000000001</v>
      </c>
      <c r="M97" s="34">
        <v>42917</v>
      </c>
      <c r="N97" s="35">
        <f t="shared" si="0"/>
        <v>42947</v>
      </c>
      <c r="O97" s="36">
        <v>1</v>
      </c>
      <c r="P97" s="41">
        <v>14274.111999999999</v>
      </c>
      <c r="Q97" s="41">
        <v>11318.77</v>
      </c>
      <c r="R97" s="41">
        <v>4987.7669999999998</v>
      </c>
      <c r="S97" s="41">
        <v>12.202</v>
      </c>
      <c r="T97" s="99" t="s">
        <v>110</v>
      </c>
      <c r="U97" s="39" t="s">
        <v>183</v>
      </c>
      <c r="V97" s="40"/>
      <c r="W97" s="104">
        <f t="shared" si="1"/>
        <v>1004.6209999999967</v>
      </c>
    </row>
    <row r="98" spans="1:23" x14ac:dyDescent="0.2">
      <c r="A98" s="34">
        <v>42948</v>
      </c>
      <c r="B98" s="35">
        <f t="shared" si="3"/>
        <v>42978</v>
      </c>
      <c r="C98" s="36">
        <v>1</v>
      </c>
      <c r="D98" s="37">
        <v>14885.953</v>
      </c>
      <c r="E98" s="53">
        <v>11484.828</v>
      </c>
      <c r="F98" s="53">
        <v>5277.924</v>
      </c>
      <c r="G98" s="99">
        <v>13.57</v>
      </c>
      <c r="H98" s="99" t="s">
        <v>110</v>
      </c>
      <c r="I98" s="39" t="s">
        <v>184</v>
      </c>
      <c r="J98" s="40"/>
      <c r="K98" s="105">
        <f t="shared" si="5"/>
        <v>1117.2429999999983</v>
      </c>
      <c r="M98" s="34">
        <v>42948</v>
      </c>
      <c r="N98" s="35">
        <f t="shared" si="0"/>
        <v>42978</v>
      </c>
      <c r="O98" s="36">
        <v>1</v>
      </c>
      <c r="P98" s="41">
        <v>14914.332</v>
      </c>
      <c r="Q98" s="41">
        <v>11507.74</v>
      </c>
      <c r="R98" s="41">
        <v>5291.9359999999997</v>
      </c>
      <c r="S98" s="41">
        <v>13.6</v>
      </c>
      <c r="T98" s="99" t="s">
        <v>110</v>
      </c>
      <c r="U98" s="39" t="s">
        <v>184</v>
      </c>
      <c r="V98" s="40"/>
      <c r="W98" s="104">
        <f t="shared" si="1"/>
        <v>1119.7590000000041</v>
      </c>
    </row>
    <row r="99" spans="1:23" x14ac:dyDescent="0.2">
      <c r="A99" s="34">
        <v>42979</v>
      </c>
      <c r="B99" s="35">
        <f t="shared" si="3"/>
        <v>43008</v>
      </c>
      <c r="C99" s="36">
        <v>1</v>
      </c>
      <c r="D99" s="37">
        <v>15503.539000000001</v>
      </c>
      <c r="E99" s="53">
        <v>11677.395</v>
      </c>
      <c r="F99" s="53">
        <v>5554.8440000000001</v>
      </c>
      <c r="G99" s="99">
        <v>13.045</v>
      </c>
      <c r="H99" s="99" t="s">
        <v>110</v>
      </c>
      <c r="I99" s="39" t="s">
        <v>185</v>
      </c>
      <c r="J99" s="40"/>
      <c r="K99" s="105">
        <f t="shared" si="5"/>
        <v>1074.0280000000039</v>
      </c>
      <c r="M99" s="34">
        <v>42979</v>
      </c>
      <c r="N99" s="35">
        <f t="shared" si="0"/>
        <v>43008</v>
      </c>
      <c r="O99" s="36">
        <v>1</v>
      </c>
      <c r="P99" s="41">
        <v>15533.252</v>
      </c>
      <c r="Q99" s="41">
        <v>11700.691000000001</v>
      </c>
      <c r="R99" s="41">
        <v>5569.4309999999996</v>
      </c>
      <c r="S99" s="41">
        <v>13.071999999999999</v>
      </c>
      <c r="T99" s="99" t="s">
        <v>110</v>
      </c>
      <c r="U99" s="39" t="s">
        <v>185</v>
      </c>
      <c r="V99" s="40"/>
      <c r="W99" s="104">
        <f t="shared" si="1"/>
        <v>1076.2939999999946</v>
      </c>
    </row>
    <row r="100" spans="1:23" x14ac:dyDescent="0.2">
      <c r="A100" s="34">
        <v>43009</v>
      </c>
      <c r="B100" s="35">
        <f t="shared" si="3"/>
        <v>43039</v>
      </c>
      <c r="C100" s="36">
        <v>1</v>
      </c>
      <c r="D100" s="37">
        <v>16019.735000000001</v>
      </c>
      <c r="E100" s="53">
        <v>11822.419</v>
      </c>
      <c r="F100" s="53">
        <v>5780.6859999999997</v>
      </c>
      <c r="G100" s="99">
        <v>10.645</v>
      </c>
      <c r="H100" s="99" t="s">
        <v>110</v>
      </c>
      <c r="I100" s="39" t="s">
        <v>186</v>
      </c>
      <c r="J100" s="40"/>
      <c r="K100" s="105">
        <f t="shared" si="5"/>
        <v>876.41700000000174</v>
      </c>
      <c r="M100" s="34">
        <v>43009</v>
      </c>
      <c r="N100" s="35">
        <f t="shared" si="0"/>
        <v>43039</v>
      </c>
      <c r="O100" s="36">
        <v>1</v>
      </c>
      <c r="P100" s="41">
        <v>16050.558999999999</v>
      </c>
      <c r="Q100" s="41">
        <v>11845.939</v>
      </c>
      <c r="R100" s="41">
        <v>5795.7190000000001</v>
      </c>
      <c r="S100" s="41">
        <v>10.666</v>
      </c>
      <c r="T100" s="99" t="s">
        <v>110</v>
      </c>
      <c r="U100" s="39" t="s">
        <v>186</v>
      </c>
      <c r="V100" s="40"/>
      <c r="W100" s="104">
        <f t="shared" si="1"/>
        <v>878.1770000000007</v>
      </c>
    </row>
    <row r="101" spans="1:23" ht="38.25" x14ac:dyDescent="0.2">
      <c r="A101" s="34">
        <v>43040</v>
      </c>
      <c r="B101" s="35">
        <f t="shared" si="3"/>
        <v>43069</v>
      </c>
      <c r="C101" s="36">
        <v>1</v>
      </c>
      <c r="D101" s="37">
        <v>16491.865000000002</v>
      </c>
      <c r="E101" s="53">
        <v>12129.403</v>
      </c>
      <c r="F101" s="53">
        <v>6038.5190000000002</v>
      </c>
      <c r="G101" s="99">
        <v>12.435</v>
      </c>
      <c r="H101" s="99" t="s">
        <v>110</v>
      </c>
      <c r="I101" s="39" t="s">
        <v>187</v>
      </c>
      <c r="J101" s="40" t="s">
        <v>298</v>
      </c>
      <c r="K101" s="105">
        <f>+SUM(D101:F101)-SUM(D100:F100)-G101+0.719</f>
        <v>1025.2310000000002</v>
      </c>
      <c r="M101" s="34">
        <v>43040</v>
      </c>
      <c r="N101" s="35">
        <f t="shared" si="0"/>
        <v>43069</v>
      </c>
      <c r="O101" s="36">
        <v>1</v>
      </c>
      <c r="P101" s="41">
        <v>16523.607</v>
      </c>
      <c r="Q101" s="41">
        <v>12153.483</v>
      </c>
      <c r="R101" s="41">
        <v>6054.17</v>
      </c>
      <c r="S101" s="41">
        <v>12.46</v>
      </c>
      <c r="T101" s="99" t="s">
        <v>110</v>
      </c>
      <c r="U101" s="39" t="s">
        <v>187</v>
      </c>
      <c r="V101" s="40" t="s">
        <v>305</v>
      </c>
      <c r="W101" s="104">
        <f>+SUM(P101:R101)-SUM(P100:R100)-S101+0.721</f>
        <v>1027.3040000000051</v>
      </c>
    </row>
    <row r="102" spans="1:23" x14ac:dyDescent="0.2">
      <c r="A102" s="34">
        <v>43070</v>
      </c>
      <c r="B102" s="35">
        <f t="shared" si="3"/>
        <v>43100</v>
      </c>
      <c r="C102" s="36">
        <v>1</v>
      </c>
      <c r="D102" s="37">
        <v>16815.491000000002</v>
      </c>
      <c r="E102" s="53">
        <v>12455.441999999999</v>
      </c>
      <c r="F102" s="53">
        <v>6256.7510000000002</v>
      </c>
      <c r="G102" s="99">
        <v>10.414999999999999</v>
      </c>
      <c r="H102" s="99" t="s">
        <v>110</v>
      </c>
      <c r="I102" s="39" t="s">
        <v>188</v>
      </c>
      <c r="J102" s="40"/>
      <c r="K102" s="105">
        <f t="shared" si="5"/>
        <v>857.48199999999724</v>
      </c>
      <c r="M102" s="34">
        <v>43070</v>
      </c>
      <c r="N102" s="35">
        <f t="shared" si="0"/>
        <v>43100</v>
      </c>
      <c r="O102" s="36">
        <v>1</v>
      </c>
      <c r="P102" s="41">
        <v>16847.656999999999</v>
      </c>
      <c r="Q102" s="41">
        <v>12480.198</v>
      </c>
      <c r="R102" s="41">
        <v>6272.8289999999997</v>
      </c>
      <c r="S102" s="41">
        <v>10.433</v>
      </c>
      <c r="T102" s="99" t="s">
        <v>110</v>
      </c>
      <c r="U102" s="39" t="s">
        <v>188</v>
      </c>
      <c r="V102" s="40"/>
      <c r="W102" s="104">
        <f t="shared" si="1"/>
        <v>858.99099999999908</v>
      </c>
    </row>
    <row r="103" spans="1:23" x14ac:dyDescent="0.2">
      <c r="A103" s="34">
        <v>43101</v>
      </c>
      <c r="B103" s="35">
        <f t="shared" si="3"/>
        <v>43131</v>
      </c>
      <c r="C103" s="36">
        <v>1</v>
      </c>
      <c r="D103" s="37">
        <v>17060.190999999999</v>
      </c>
      <c r="E103" s="53">
        <v>12833.164000000001</v>
      </c>
      <c r="F103" s="53">
        <v>6346.3879999999999</v>
      </c>
      <c r="G103" s="99">
        <v>8.5449999999999999</v>
      </c>
      <c r="H103" s="99" t="s">
        <v>110</v>
      </c>
      <c r="I103" s="39" t="s">
        <v>189</v>
      </c>
      <c r="J103" s="40"/>
      <c r="K103" s="105">
        <f t="shared" si="5"/>
        <v>703.51400000000115</v>
      </c>
      <c r="M103" s="34">
        <v>43101</v>
      </c>
      <c r="N103" s="35">
        <f t="shared" si="0"/>
        <v>43131</v>
      </c>
      <c r="O103" s="36">
        <v>1</v>
      </c>
      <c r="P103" s="41">
        <v>17092.502</v>
      </c>
      <c r="Q103" s="41">
        <v>12858.696</v>
      </c>
      <c r="R103" s="41">
        <v>6362.9380000000001</v>
      </c>
      <c r="S103" s="41">
        <v>8.5609999999999999</v>
      </c>
      <c r="T103" s="99" t="s">
        <v>110</v>
      </c>
      <c r="U103" s="39" t="s">
        <v>189</v>
      </c>
      <c r="V103" s="40"/>
      <c r="W103" s="104">
        <f t="shared" si="1"/>
        <v>704.89099999999746</v>
      </c>
    </row>
    <row r="104" spans="1:23" x14ac:dyDescent="0.2">
      <c r="A104" s="34">
        <v>43132</v>
      </c>
      <c r="B104" s="35">
        <f t="shared" si="3"/>
        <v>43159</v>
      </c>
      <c r="C104" s="36">
        <v>1</v>
      </c>
      <c r="D104" s="37">
        <v>17183.381000000001</v>
      </c>
      <c r="E104" s="53">
        <v>13125.047</v>
      </c>
      <c r="F104" s="53">
        <v>6353.5479999999998</v>
      </c>
      <c r="G104" s="99">
        <v>5.0670000000000002</v>
      </c>
      <c r="H104" s="99" t="s">
        <v>110</v>
      </c>
      <c r="I104" s="39" t="s">
        <v>190</v>
      </c>
      <c r="J104" s="40"/>
      <c r="K104" s="105">
        <f t="shared" si="5"/>
        <v>417.16600000000017</v>
      </c>
      <c r="M104" s="34">
        <v>43132</v>
      </c>
      <c r="N104" s="35">
        <f t="shared" si="0"/>
        <v>43159</v>
      </c>
      <c r="O104" s="36">
        <v>1</v>
      </c>
      <c r="P104" s="41">
        <v>17215.989000000001</v>
      </c>
      <c r="Q104" s="41">
        <v>13150.931</v>
      </c>
      <c r="R104" s="41">
        <v>6370.1189999999997</v>
      </c>
      <c r="S104" s="41">
        <v>5.0750000000000002</v>
      </c>
      <c r="T104" s="99" t="s">
        <v>110</v>
      </c>
      <c r="U104" s="39" t="s">
        <v>190</v>
      </c>
      <c r="V104" s="40"/>
      <c r="W104" s="104">
        <f t="shared" si="1"/>
        <v>417.82800000000572</v>
      </c>
    </row>
    <row r="105" spans="1:23" x14ac:dyDescent="0.2">
      <c r="A105" s="34">
        <v>43160</v>
      </c>
      <c r="B105" s="35">
        <f t="shared" si="3"/>
        <v>43190</v>
      </c>
      <c r="C105" s="36">
        <v>1</v>
      </c>
      <c r="D105" s="37">
        <v>17224.812000000002</v>
      </c>
      <c r="E105" s="53">
        <v>13442.375</v>
      </c>
      <c r="F105" s="53">
        <v>6353.5479999999998</v>
      </c>
      <c r="G105" s="99">
        <v>4.3049999999999997</v>
      </c>
      <c r="H105" s="99" t="s">
        <v>110</v>
      </c>
      <c r="I105" s="39" t="s">
        <v>191</v>
      </c>
      <c r="J105" s="40"/>
      <c r="K105" s="105">
        <f t="shared" si="5"/>
        <v>354.45399999999819</v>
      </c>
      <c r="M105" s="34">
        <v>43160</v>
      </c>
      <c r="N105" s="35">
        <f t="shared" ref="N105:N118" si="6">+EOMONTH(M105,0)</f>
        <v>43190</v>
      </c>
      <c r="O105" s="36">
        <v>1</v>
      </c>
      <c r="P105" s="41">
        <v>17257.613000000001</v>
      </c>
      <c r="Q105" s="41">
        <v>13468.779</v>
      </c>
      <c r="R105" s="41">
        <v>6370.1189999999997</v>
      </c>
      <c r="S105" s="41">
        <v>4.3140000000000001</v>
      </c>
      <c r="T105" s="99" t="s">
        <v>110</v>
      </c>
      <c r="U105" s="39" t="s">
        <v>191</v>
      </c>
      <c r="V105" s="40"/>
      <c r="W105" s="104">
        <f t="shared" si="1"/>
        <v>355.15799999999427</v>
      </c>
    </row>
    <row r="106" spans="1:23" x14ac:dyDescent="0.2">
      <c r="A106" s="34">
        <v>43191</v>
      </c>
      <c r="B106" s="35">
        <f t="shared" si="3"/>
        <v>43220</v>
      </c>
      <c r="C106" s="36">
        <v>1</v>
      </c>
      <c r="D106" s="37">
        <v>17261.726999999999</v>
      </c>
      <c r="E106" s="53">
        <v>13667.243</v>
      </c>
      <c r="F106" s="53">
        <v>6370.5020000000004</v>
      </c>
      <c r="G106" s="99">
        <v>3.3450000000000002</v>
      </c>
      <c r="H106" s="99" t="s">
        <v>110</v>
      </c>
      <c r="I106" s="39" t="s">
        <v>192</v>
      </c>
      <c r="J106" s="40"/>
      <c r="K106" s="105">
        <f t="shared" si="5"/>
        <v>275.39200000000096</v>
      </c>
      <c r="M106" s="34">
        <v>43191</v>
      </c>
      <c r="N106" s="35">
        <f t="shared" si="6"/>
        <v>43220</v>
      </c>
      <c r="O106" s="36">
        <v>1</v>
      </c>
      <c r="P106" s="41">
        <v>17294.998</v>
      </c>
      <c r="Q106" s="41">
        <v>13693.691000000001</v>
      </c>
      <c r="R106" s="41">
        <v>6387.1040000000003</v>
      </c>
      <c r="S106" s="41">
        <v>3.351</v>
      </c>
      <c r="T106" s="99" t="s">
        <v>110</v>
      </c>
      <c r="U106" s="39" t="s">
        <v>192</v>
      </c>
      <c r="V106" s="40"/>
      <c r="W106" s="104">
        <f t="shared" ref="W106:W118" si="7">+SUM(P106:R106)-SUM(P105:R105)-S106</f>
        <v>275.93099999999924</v>
      </c>
    </row>
    <row r="107" spans="1:23" x14ac:dyDescent="0.2">
      <c r="A107" s="34">
        <v>43221</v>
      </c>
      <c r="B107" s="35">
        <f t="shared" si="3"/>
        <v>43251</v>
      </c>
      <c r="C107" s="36">
        <v>1</v>
      </c>
      <c r="D107" s="37">
        <v>17297.582999999999</v>
      </c>
      <c r="E107" s="53">
        <v>13916.771000000001</v>
      </c>
      <c r="F107" s="53">
        <v>6370.54</v>
      </c>
      <c r="G107" s="99">
        <v>3.4249999999999998</v>
      </c>
      <c r="H107" s="99" t="s">
        <v>110</v>
      </c>
      <c r="I107" s="39" t="s">
        <v>193</v>
      </c>
      <c r="J107" s="40"/>
      <c r="K107" s="105">
        <f t="shared" si="5"/>
        <v>281.99699999999865</v>
      </c>
      <c r="M107" s="34">
        <v>43221</v>
      </c>
      <c r="N107" s="35">
        <f t="shared" si="6"/>
        <v>43251</v>
      </c>
      <c r="O107" s="36">
        <v>1</v>
      </c>
      <c r="P107" s="41">
        <v>17331.371999999999</v>
      </c>
      <c r="Q107" s="41">
        <v>13943.342000000001</v>
      </c>
      <c r="R107" s="41">
        <v>6387.1229999999996</v>
      </c>
      <c r="S107" s="41">
        <v>3.4329999999999998</v>
      </c>
      <c r="T107" s="99" t="s">
        <v>110</v>
      </c>
      <c r="U107" s="39" t="s">
        <v>193</v>
      </c>
      <c r="V107" s="40"/>
      <c r="W107" s="104">
        <f t="shared" si="7"/>
        <v>282.6110000000017</v>
      </c>
    </row>
    <row r="108" spans="1:23" x14ac:dyDescent="0.2">
      <c r="A108" s="34">
        <v>43252</v>
      </c>
      <c r="B108" s="35">
        <f t="shared" si="3"/>
        <v>43281</v>
      </c>
      <c r="C108" s="36">
        <v>1</v>
      </c>
      <c r="D108" s="37">
        <v>17437.164000000001</v>
      </c>
      <c r="E108" s="53">
        <v>14219.047</v>
      </c>
      <c r="F108" s="53">
        <v>6392.259</v>
      </c>
      <c r="G108" s="99">
        <v>5.5629999999999997</v>
      </c>
      <c r="H108" s="99" t="s">
        <v>110</v>
      </c>
      <c r="I108" s="39" t="s">
        <v>194</v>
      </c>
      <c r="J108" s="40"/>
      <c r="K108" s="105">
        <f t="shared" si="5"/>
        <v>458.01300000000094</v>
      </c>
      <c r="M108" s="34">
        <v>43252</v>
      </c>
      <c r="N108" s="35">
        <f t="shared" si="6"/>
        <v>43281</v>
      </c>
      <c r="O108" s="36">
        <v>1</v>
      </c>
      <c r="P108" s="41">
        <v>17471.171999999999</v>
      </c>
      <c r="Q108" s="41">
        <v>14246.235000000001</v>
      </c>
      <c r="R108" s="41">
        <v>6409.0190000000002</v>
      </c>
      <c r="S108" s="41">
        <v>5.5750000000000002</v>
      </c>
      <c r="T108" s="99" t="s">
        <v>110</v>
      </c>
      <c r="U108" s="39" t="s">
        <v>194</v>
      </c>
      <c r="V108" s="40"/>
      <c r="W108" s="104">
        <f t="shared" si="7"/>
        <v>459.01399999999995</v>
      </c>
    </row>
    <row r="109" spans="1:23" x14ac:dyDescent="0.2">
      <c r="A109" s="34">
        <v>43282</v>
      </c>
      <c r="B109" s="35">
        <f t="shared" si="3"/>
        <v>43312</v>
      </c>
      <c r="C109" s="36">
        <v>1</v>
      </c>
      <c r="D109" s="37">
        <v>18247.503000000001</v>
      </c>
      <c r="E109" s="53">
        <v>14464.01</v>
      </c>
      <c r="F109" s="53">
        <v>6693.1419999999998</v>
      </c>
      <c r="G109" s="99">
        <v>16.274000000000001</v>
      </c>
      <c r="H109" s="99" t="s">
        <v>111</v>
      </c>
      <c r="I109" s="39" t="s">
        <v>195</v>
      </c>
      <c r="J109" s="40"/>
      <c r="K109" s="105">
        <f t="shared" si="5"/>
        <v>1339.9109999999978</v>
      </c>
      <c r="M109" s="34">
        <v>43282</v>
      </c>
      <c r="N109" s="35">
        <f t="shared" si="6"/>
        <v>43312</v>
      </c>
      <c r="O109" s="36">
        <v>1</v>
      </c>
      <c r="P109" s="41">
        <v>18283.388999999999</v>
      </c>
      <c r="Q109" s="41">
        <v>14491.817999999999</v>
      </c>
      <c r="R109" s="41">
        <v>6710.6859999999997</v>
      </c>
      <c r="S109" s="41">
        <v>16.314</v>
      </c>
      <c r="T109" s="99" t="s">
        <v>111</v>
      </c>
      <c r="U109" s="39" t="s">
        <v>195</v>
      </c>
      <c r="V109" s="40"/>
      <c r="W109" s="104">
        <f t="shared" si="7"/>
        <v>1343.1529999999968</v>
      </c>
    </row>
    <row r="110" spans="1:23" x14ac:dyDescent="0.2">
      <c r="A110" s="34">
        <v>43313</v>
      </c>
      <c r="B110" s="35">
        <f t="shared" ref="B110:B118" si="8">+EOMONTH(A110,0)</f>
        <v>43343</v>
      </c>
      <c r="C110" s="36">
        <v>1</v>
      </c>
      <c r="D110" s="37">
        <v>19490.584999999999</v>
      </c>
      <c r="E110" s="53">
        <v>14859.361000000001</v>
      </c>
      <c r="F110" s="53">
        <v>7244.5429999999997</v>
      </c>
      <c r="G110" s="99">
        <f>+(SUM(D110:F110)-SUM(D109:F109))*1.2%</f>
        <v>26.278007999999943</v>
      </c>
      <c r="H110" s="99" t="s">
        <v>111</v>
      </c>
      <c r="I110" s="39" t="s">
        <v>196</v>
      </c>
      <c r="J110" s="40"/>
      <c r="K110" s="105">
        <f t="shared" si="5"/>
        <v>2163.5559919999955</v>
      </c>
      <c r="M110" s="34">
        <v>43313</v>
      </c>
      <c r="N110" s="35">
        <f t="shared" si="6"/>
        <v>43343</v>
      </c>
      <c r="O110" s="36">
        <v>1</v>
      </c>
      <c r="P110" s="41">
        <v>19530.002</v>
      </c>
      <c r="Q110" s="41">
        <v>14888.233</v>
      </c>
      <c r="R110" s="41">
        <v>7263.5069999999996</v>
      </c>
      <c r="S110" s="106">
        <f>+(SUM(P110:R110)-SUM(P109:R109))*1.2%</f>
        <v>26.350188000000024</v>
      </c>
      <c r="T110" s="99" t="s">
        <v>111</v>
      </c>
      <c r="U110" s="39" t="s">
        <v>196</v>
      </c>
      <c r="V110" s="40"/>
      <c r="W110" s="104">
        <f t="shared" si="7"/>
        <v>2169.4988120000021</v>
      </c>
    </row>
    <row r="111" spans="1:23" x14ac:dyDescent="0.2">
      <c r="A111" s="34">
        <v>43344</v>
      </c>
      <c r="B111" s="35">
        <f t="shared" si="8"/>
        <v>43373</v>
      </c>
      <c r="C111" s="36">
        <v>1</v>
      </c>
      <c r="D111" s="37">
        <v>20505.311000000002</v>
      </c>
      <c r="E111" s="53">
        <v>15166.352999999999</v>
      </c>
      <c r="F111" s="53">
        <v>7688.6540000000005</v>
      </c>
      <c r="G111" s="99">
        <f t="shared" ref="G111:G118" si="9">+(SUM(D111:F111)-SUM(D110:F110))*1.2%</f>
        <v>21.18994800000015</v>
      </c>
      <c r="H111" s="99" t="s">
        <v>111</v>
      </c>
      <c r="I111" s="39" t="s">
        <v>197</v>
      </c>
      <c r="J111" s="40"/>
      <c r="K111" s="105">
        <f t="shared" si="5"/>
        <v>1744.6390520000123</v>
      </c>
      <c r="M111" s="34">
        <v>43344</v>
      </c>
      <c r="N111" s="35">
        <f t="shared" si="6"/>
        <v>43373</v>
      </c>
      <c r="O111" s="36">
        <v>1</v>
      </c>
      <c r="P111" s="41">
        <v>20547.352999999999</v>
      </c>
      <c r="Q111" s="41">
        <v>15195.938</v>
      </c>
      <c r="R111" s="41">
        <v>7708.5619999999999</v>
      </c>
      <c r="S111" s="106">
        <f t="shared" ref="S111:S118" si="10">+(SUM(P111:R111)-SUM(P110:R110))*1.2%</f>
        <v>21.241331999999968</v>
      </c>
      <c r="T111" s="99" t="s">
        <v>111</v>
      </c>
      <c r="U111" s="39" t="s">
        <v>197</v>
      </c>
      <c r="V111" s="40"/>
      <c r="W111" s="104">
        <f t="shared" si="7"/>
        <v>1748.8696679999971</v>
      </c>
    </row>
    <row r="112" spans="1:23" x14ac:dyDescent="0.2">
      <c r="A112" s="34">
        <v>43374</v>
      </c>
      <c r="B112" s="35">
        <f t="shared" si="8"/>
        <v>43404</v>
      </c>
      <c r="C112" s="36">
        <v>1</v>
      </c>
      <c r="D112" s="37">
        <v>21102.702000000001</v>
      </c>
      <c r="E112" s="53">
        <v>15355.636</v>
      </c>
      <c r="F112" s="53">
        <v>7962.2709999999997</v>
      </c>
      <c r="G112" s="99">
        <f t="shared" si="9"/>
        <v>12.72349199999997</v>
      </c>
      <c r="H112" s="99" t="s">
        <v>111</v>
      </c>
      <c r="I112" s="39" t="s">
        <v>198</v>
      </c>
      <c r="J112" s="40"/>
      <c r="K112" s="105">
        <f t="shared" si="5"/>
        <v>1047.5675079999974</v>
      </c>
      <c r="M112" s="34">
        <v>43374</v>
      </c>
      <c r="N112" s="35">
        <f t="shared" si="6"/>
        <v>43404</v>
      </c>
      <c r="O112" s="36">
        <v>1</v>
      </c>
      <c r="P112" s="41">
        <v>21146.096000000001</v>
      </c>
      <c r="Q112" s="41">
        <v>15385.602000000001</v>
      </c>
      <c r="R112" s="41">
        <v>7982.9</v>
      </c>
      <c r="S112" s="106">
        <f t="shared" si="10"/>
        <v>12.75294000000012</v>
      </c>
      <c r="T112" s="99" t="s">
        <v>111</v>
      </c>
      <c r="U112" s="39" t="s">
        <v>198</v>
      </c>
      <c r="V112" s="40"/>
      <c r="W112" s="104">
        <f t="shared" si="7"/>
        <v>1049.9920600000098</v>
      </c>
    </row>
    <row r="113" spans="1:23" ht="38.25" x14ac:dyDescent="0.2">
      <c r="A113" s="34">
        <v>43405</v>
      </c>
      <c r="B113" s="35">
        <f t="shared" si="8"/>
        <v>43434</v>
      </c>
      <c r="C113" s="36">
        <v>1</v>
      </c>
      <c r="D113" s="37">
        <v>21320.141</v>
      </c>
      <c r="E113" s="53">
        <v>15751.838</v>
      </c>
      <c r="F113" s="53">
        <v>7998.4440000000004</v>
      </c>
      <c r="G113" s="99">
        <f t="shared" si="9"/>
        <v>7.7977679999999818</v>
      </c>
      <c r="H113" s="99" t="s">
        <v>111</v>
      </c>
      <c r="I113" s="39" t="s">
        <v>199</v>
      </c>
      <c r="J113" s="40" t="s">
        <v>299</v>
      </c>
      <c r="K113" s="105">
        <f>+SUM(D113:F113)-SUM(D112:F112)-G113+3.588</f>
        <v>645.60423199999843</v>
      </c>
      <c r="M113" s="34">
        <v>43405</v>
      </c>
      <c r="N113" s="35">
        <f t="shared" si="6"/>
        <v>43434</v>
      </c>
      <c r="O113" s="36">
        <v>1</v>
      </c>
      <c r="P113" s="41">
        <v>21363.937000000002</v>
      </c>
      <c r="Q113" s="41">
        <v>15782.55</v>
      </c>
      <c r="R113" s="41">
        <v>8019.2659999999996</v>
      </c>
      <c r="S113" s="106">
        <f t="shared" si="10"/>
        <v>7.8138599999998988</v>
      </c>
      <c r="T113" s="99" t="s">
        <v>111</v>
      </c>
      <c r="U113" s="39" t="s">
        <v>199</v>
      </c>
      <c r="V113" s="40" t="s">
        <v>306</v>
      </c>
      <c r="W113" s="104">
        <f>+SUM(P113:R113)-SUM(P112:R112)-S113+3.588</f>
        <v>646.92913999999166</v>
      </c>
    </row>
    <row r="114" spans="1:23" x14ac:dyDescent="0.2">
      <c r="A114" s="34">
        <v>43435</v>
      </c>
      <c r="B114" s="35">
        <f t="shared" si="8"/>
        <v>43465</v>
      </c>
      <c r="C114" s="36">
        <v>1</v>
      </c>
      <c r="D114" s="37">
        <v>21470.784</v>
      </c>
      <c r="E114" s="53">
        <v>16128.141</v>
      </c>
      <c r="F114" s="53">
        <v>8001.8959999999997</v>
      </c>
      <c r="G114" s="99">
        <f t="shared" si="9"/>
        <v>6.3647760000000124</v>
      </c>
      <c r="H114" s="99" t="s">
        <v>111</v>
      </c>
      <c r="I114" s="39" t="s">
        <v>200</v>
      </c>
      <c r="J114" s="40"/>
      <c r="K114" s="105">
        <f t="shared" si="5"/>
        <v>524.03322400000104</v>
      </c>
      <c r="M114" s="34">
        <v>43435</v>
      </c>
      <c r="N114" s="35">
        <f t="shared" si="6"/>
        <v>43465</v>
      </c>
      <c r="O114" s="36">
        <v>1</v>
      </c>
      <c r="P114" s="41">
        <v>21514.846000000001</v>
      </c>
      <c r="Q114" s="41">
        <v>16159.512000000001</v>
      </c>
      <c r="R114" s="41">
        <v>8022.7290000000003</v>
      </c>
      <c r="S114" s="106">
        <f t="shared" si="10"/>
        <v>6.3760080000000308</v>
      </c>
      <c r="T114" s="99" t="s">
        <v>111</v>
      </c>
      <c r="U114" s="39" t="s">
        <v>200</v>
      </c>
      <c r="V114" s="40"/>
      <c r="W114" s="104">
        <f t="shared" si="7"/>
        <v>524.95799200000249</v>
      </c>
    </row>
    <row r="115" spans="1:23" x14ac:dyDescent="0.2">
      <c r="A115" s="34">
        <v>43466</v>
      </c>
      <c r="B115" s="35">
        <f t="shared" si="8"/>
        <v>43496</v>
      </c>
      <c r="C115" s="36">
        <v>1</v>
      </c>
      <c r="D115" s="37">
        <v>21517.712</v>
      </c>
      <c r="E115" s="53">
        <v>16485.234</v>
      </c>
      <c r="F115" s="53">
        <v>8001.8959999999997</v>
      </c>
      <c r="G115" s="99">
        <f t="shared" si="9"/>
        <v>4.8482519999999205</v>
      </c>
      <c r="H115" s="99" t="s">
        <v>111</v>
      </c>
      <c r="I115" s="39" t="s">
        <v>201</v>
      </c>
      <c r="J115" s="40"/>
      <c r="K115" s="105">
        <f t="shared" si="5"/>
        <v>399.17274799999342</v>
      </c>
      <c r="M115" s="34">
        <v>43466</v>
      </c>
      <c r="N115" s="35">
        <f t="shared" si="6"/>
        <v>43496</v>
      </c>
      <c r="O115" s="36">
        <v>1</v>
      </c>
      <c r="P115" s="41">
        <v>21561.877</v>
      </c>
      <c r="Q115" s="41">
        <v>16517.187000000002</v>
      </c>
      <c r="R115" s="41">
        <v>8022.7290000000003</v>
      </c>
      <c r="S115" s="106">
        <f t="shared" si="10"/>
        <v>4.8564719999999797</v>
      </c>
      <c r="T115" s="99" t="s">
        <v>111</v>
      </c>
      <c r="U115" s="39" t="s">
        <v>201</v>
      </c>
      <c r="V115" s="40"/>
      <c r="W115" s="104">
        <f t="shared" si="7"/>
        <v>399.84952799999832</v>
      </c>
    </row>
    <row r="116" spans="1:23" x14ac:dyDescent="0.2">
      <c r="A116" s="34">
        <v>43497</v>
      </c>
      <c r="B116" s="35">
        <f t="shared" si="8"/>
        <v>43524</v>
      </c>
      <c r="C116" s="36">
        <v>1</v>
      </c>
      <c r="D116" s="37">
        <v>21529.546999999999</v>
      </c>
      <c r="E116" s="53">
        <v>16709.831999999999</v>
      </c>
      <c r="F116" s="53">
        <v>8001.8959999999997</v>
      </c>
      <c r="G116" s="99">
        <f t="shared" si="9"/>
        <v>2.8371960000000547</v>
      </c>
      <c r="H116" s="99" t="s">
        <v>111</v>
      </c>
      <c r="I116" s="39" t="s">
        <v>202</v>
      </c>
      <c r="J116" s="40"/>
      <c r="K116" s="105">
        <f t="shared" si="5"/>
        <v>233.59580400000448</v>
      </c>
      <c r="M116" s="34">
        <v>43497</v>
      </c>
      <c r="N116" s="35">
        <f t="shared" si="6"/>
        <v>43524</v>
      </c>
      <c r="O116" s="36">
        <v>1</v>
      </c>
      <c r="P116" s="41">
        <v>21573.800999999999</v>
      </c>
      <c r="Q116" s="41">
        <v>16742.217000000001</v>
      </c>
      <c r="R116" s="41">
        <v>8022.7290000000003</v>
      </c>
      <c r="S116" s="106">
        <f t="shared" si="10"/>
        <v>2.8434479999999751</v>
      </c>
      <c r="T116" s="99" t="s">
        <v>111</v>
      </c>
      <c r="U116" s="39" t="s">
        <v>202</v>
      </c>
      <c r="V116" s="40"/>
      <c r="W116" s="104">
        <f t="shared" si="7"/>
        <v>234.11055199999794</v>
      </c>
    </row>
    <row r="117" spans="1:23" x14ac:dyDescent="0.2">
      <c r="A117" s="34">
        <v>43525</v>
      </c>
      <c r="B117" s="35">
        <f t="shared" si="8"/>
        <v>43555</v>
      </c>
      <c r="C117" s="36">
        <v>1</v>
      </c>
      <c r="D117" s="37">
        <v>21538.807000000001</v>
      </c>
      <c r="E117" s="53">
        <v>16886.278999999999</v>
      </c>
      <c r="F117" s="53">
        <v>8001.8959999999997</v>
      </c>
      <c r="G117" s="99">
        <f t="shared" si="9"/>
        <v>2.2284839999999386</v>
      </c>
      <c r="H117" s="99" t="s">
        <v>111</v>
      </c>
      <c r="I117" s="39" t="s">
        <v>203</v>
      </c>
      <c r="J117" s="40"/>
      <c r="K117" s="105">
        <f t="shared" si="5"/>
        <v>183.47851599999493</v>
      </c>
      <c r="M117" s="34">
        <v>43525</v>
      </c>
      <c r="N117" s="35">
        <f t="shared" si="6"/>
        <v>43555</v>
      </c>
      <c r="O117" s="36">
        <v>1</v>
      </c>
      <c r="P117" s="41">
        <v>21583.133000000002</v>
      </c>
      <c r="Q117" s="41">
        <v>16919.025000000001</v>
      </c>
      <c r="R117" s="41">
        <v>8022.7290000000003</v>
      </c>
      <c r="S117" s="106">
        <f t="shared" si="10"/>
        <v>2.2336800000000805</v>
      </c>
      <c r="T117" s="99" t="s">
        <v>111</v>
      </c>
      <c r="U117" s="39" t="s">
        <v>203</v>
      </c>
      <c r="V117" s="40"/>
      <c r="W117" s="104">
        <f t="shared" si="7"/>
        <v>183.90632000000662</v>
      </c>
    </row>
    <row r="118" spans="1:23" x14ac:dyDescent="0.2">
      <c r="A118" s="34">
        <v>43556</v>
      </c>
      <c r="B118" s="35">
        <f t="shared" si="8"/>
        <v>43585</v>
      </c>
      <c r="C118" s="36">
        <v>1</v>
      </c>
      <c r="D118" s="37">
        <v>21547.781999999999</v>
      </c>
      <c r="E118" s="53">
        <v>17053.867999999999</v>
      </c>
      <c r="F118" s="53">
        <v>8001.8959999999997</v>
      </c>
      <c r="G118" s="99">
        <f t="shared" si="9"/>
        <v>2.118767999999982</v>
      </c>
      <c r="H118" s="99" t="s">
        <v>111</v>
      </c>
      <c r="I118" s="39" t="s">
        <v>204</v>
      </c>
      <c r="J118" s="40"/>
      <c r="K118" s="105">
        <f t="shared" si="5"/>
        <v>174.4452319999985</v>
      </c>
      <c r="M118" s="34">
        <v>43556</v>
      </c>
      <c r="N118" s="35">
        <f t="shared" si="6"/>
        <v>43585</v>
      </c>
      <c r="O118" s="36">
        <v>1</v>
      </c>
      <c r="P118" s="41">
        <v>21592.239000000001</v>
      </c>
      <c r="Q118" s="41">
        <v>17086.917000000001</v>
      </c>
      <c r="R118" s="41">
        <v>8022.7290000000003</v>
      </c>
      <c r="S118" s="106">
        <f t="shared" si="10"/>
        <v>2.123975999999995</v>
      </c>
      <c r="T118" s="99" t="s">
        <v>111</v>
      </c>
      <c r="U118" s="39" t="s">
        <v>204</v>
      </c>
      <c r="V118" s="40"/>
      <c r="W118" s="104">
        <f t="shared" si="7"/>
        <v>174.87402399999959</v>
      </c>
    </row>
  </sheetData>
  <mergeCells count="5">
    <mergeCell ref="S37:S38"/>
    <mergeCell ref="D37:F37"/>
    <mergeCell ref="P37:R37"/>
    <mergeCell ref="D30:F30"/>
    <mergeCell ref="P30:R30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U90"/>
  <sheetViews>
    <sheetView topLeftCell="B14" workbookViewId="0">
      <selection activeCell="U25" sqref="U25"/>
    </sheetView>
  </sheetViews>
  <sheetFormatPr defaultColWidth="8.875" defaultRowHeight="12.75" x14ac:dyDescent="0.2"/>
  <cols>
    <col min="2" max="2" width="12.375" bestFit="1" customWidth="1"/>
    <col min="7" max="7" width="8.625" customWidth="1"/>
    <col min="8" max="8" width="8.5" customWidth="1"/>
    <col min="9" max="9" width="9.375" customWidth="1"/>
    <col min="10" max="10" width="10.625" customWidth="1"/>
    <col min="11" max="14" width="9" hidden="1" customWidth="1"/>
    <col min="18" max="18" width="8.625" customWidth="1"/>
    <col min="19" max="19" width="9" customWidth="1"/>
    <col min="20" max="20" width="21.625" customWidth="1"/>
  </cols>
  <sheetData>
    <row r="3" spans="1:21" x14ac:dyDescent="0.2">
      <c r="A3" s="6" t="s">
        <v>1</v>
      </c>
      <c r="B3" s="6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7"/>
      <c r="P3" s="4"/>
      <c r="Q3" s="4"/>
      <c r="R3" s="4"/>
      <c r="S3" s="4"/>
      <c r="T3" s="4"/>
    </row>
    <row r="4" spans="1:21" ht="13.5" thickBot="1" x14ac:dyDescent="0.25">
      <c r="A4" s="4"/>
      <c r="B4" s="4"/>
      <c r="C4" s="4"/>
      <c r="D4" s="8" t="s">
        <v>3</v>
      </c>
      <c r="E4" s="8" t="s">
        <v>4</v>
      </c>
      <c r="F4" s="8" t="s">
        <v>5</v>
      </c>
      <c r="G4" s="4"/>
      <c r="H4" s="4"/>
      <c r="I4" s="4"/>
      <c r="J4" s="4"/>
      <c r="K4" s="4"/>
      <c r="L4" s="4"/>
      <c r="M4" s="4"/>
      <c r="N4" s="4"/>
      <c r="O4" s="8" t="s">
        <v>3</v>
      </c>
      <c r="P4" s="8" t="s">
        <v>4</v>
      </c>
      <c r="Q4" s="8" t="s">
        <v>5</v>
      </c>
      <c r="S4" s="4"/>
      <c r="T4" s="4"/>
    </row>
    <row r="5" spans="1:21" ht="90" thickBot="1" x14ac:dyDescent="0.25">
      <c r="A5" s="9" t="s">
        <v>6</v>
      </c>
      <c r="B5" s="10" t="s">
        <v>7</v>
      </c>
      <c r="C5" s="11" t="s">
        <v>8</v>
      </c>
      <c r="D5" s="12">
        <v>0.46</v>
      </c>
      <c r="E5" s="12">
        <v>0.01</v>
      </c>
      <c r="F5" s="12">
        <v>0</v>
      </c>
      <c r="G5" s="4"/>
      <c r="H5" s="4"/>
      <c r="I5" s="4"/>
      <c r="J5" s="4"/>
      <c r="K5" s="4"/>
      <c r="L5" s="9" t="s">
        <v>9</v>
      </c>
      <c r="M5" s="10"/>
      <c r="N5" s="11" t="s">
        <v>8</v>
      </c>
      <c r="O5" s="12">
        <v>0.46</v>
      </c>
      <c r="P5" s="12">
        <v>0.01</v>
      </c>
      <c r="Q5" s="12">
        <v>0</v>
      </c>
      <c r="R5" s="14">
        <f>SUM(O5:Q5)</f>
        <v>0.47000000000000003</v>
      </c>
      <c r="S5" s="15" t="s">
        <v>10</v>
      </c>
    </row>
    <row r="6" spans="1:21" x14ac:dyDescent="0.2">
      <c r="A6" s="16"/>
      <c r="B6" s="4"/>
      <c r="C6" s="4"/>
      <c r="D6" s="1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8"/>
      <c r="Q6" s="4"/>
      <c r="R6" s="17"/>
      <c r="S6" s="4"/>
      <c r="T6" s="4"/>
    </row>
    <row r="7" spans="1:21" ht="15" x14ac:dyDescent="0.2">
      <c r="A7" s="19" t="s">
        <v>11</v>
      </c>
      <c r="B7" s="20"/>
      <c r="C7" s="20"/>
      <c r="D7" s="20"/>
      <c r="E7" s="21"/>
      <c r="F7" s="21"/>
      <c r="G7" s="21"/>
      <c r="H7" s="20"/>
      <c r="I7" s="20"/>
      <c r="J7" s="20"/>
      <c r="K7" s="20"/>
      <c r="L7" s="43" t="s">
        <v>24</v>
      </c>
      <c r="M7" s="20"/>
      <c r="N7" s="20"/>
      <c r="O7" s="20"/>
      <c r="P7" s="22"/>
      <c r="Q7" s="23"/>
      <c r="R7" s="20"/>
      <c r="S7" s="20"/>
      <c r="T7" s="20"/>
    </row>
    <row r="8" spans="1:2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1" ht="14.25" x14ac:dyDescent="0.2">
      <c r="A9" s="175" t="s">
        <v>12</v>
      </c>
      <c r="B9" s="176"/>
      <c r="C9" s="177" t="s">
        <v>25</v>
      </c>
      <c r="D9" s="178"/>
      <c r="E9" s="178"/>
      <c r="F9" s="178"/>
      <c r="G9" s="27"/>
      <c r="H9" s="28"/>
      <c r="I9" s="29"/>
      <c r="J9" s="44"/>
      <c r="K9" s="4"/>
      <c r="L9" s="175" t="s">
        <v>13</v>
      </c>
      <c r="M9" s="176"/>
      <c r="N9" s="30"/>
      <c r="O9" s="179" t="s">
        <v>26</v>
      </c>
      <c r="P9" s="179"/>
      <c r="Q9" s="179"/>
      <c r="R9" s="28"/>
      <c r="S9" s="28"/>
      <c r="T9" s="29"/>
    </row>
    <row r="10" spans="1:21" ht="229.5" x14ac:dyDescent="0.2">
      <c r="A10" s="32" t="s">
        <v>14</v>
      </c>
      <c r="B10" s="32" t="s">
        <v>15</v>
      </c>
      <c r="C10" s="32" t="s">
        <v>27</v>
      </c>
      <c r="D10" s="173" t="s">
        <v>16</v>
      </c>
      <c r="E10" s="173"/>
      <c r="F10" s="173"/>
      <c r="G10" s="8" t="s">
        <v>17</v>
      </c>
      <c r="H10" s="33" t="s">
        <v>18</v>
      </c>
      <c r="I10" s="33" t="s">
        <v>19</v>
      </c>
      <c r="J10" s="45" t="s">
        <v>28</v>
      </c>
      <c r="K10" s="4"/>
      <c r="L10" s="32" t="s">
        <v>14</v>
      </c>
      <c r="M10" s="32" t="s">
        <v>15</v>
      </c>
      <c r="N10" s="32" t="s">
        <v>6</v>
      </c>
      <c r="O10" s="173" t="s">
        <v>16</v>
      </c>
      <c r="P10" s="173"/>
      <c r="Q10" s="173"/>
      <c r="R10" s="8" t="s">
        <v>17</v>
      </c>
      <c r="S10" s="8" t="s">
        <v>20</v>
      </c>
      <c r="T10" s="33" t="s">
        <v>19</v>
      </c>
      <c r="U10" s="45" t="s">
        <v>28</v>
      </c>
    </row>
    <row r="11" spans="1:21" x14ac:dyDescent="0.2">
      <c r="A11" s="32"/>
      <c r="B11" s="32"/>
      <c r="C11" s="32"/>
      <c r="D11" s="8" t="s">
        <v>3</v>
      </c>
      <c r="E11" s="8" t="s">
        <v>4</v>
      </c>
      <c r="F11" s="8" t="s">
        <v>5</v>
      </c>
      <c r="G11" s="8"/>
      <c r="H11" s="8"/>
      <c r="I11" s="8"/>
      <c r="J11" s="46"/>
      <c r="K11" s="4"/>
      <c r="L11" s="32"/>
      <c r="M11" s="32"/>
      <c r="N11" s="32"/>
      <c r="O11" s="8" t="s">
        <v>3</v>
      </c>
      <c r="P11" s="8" t="s">
        <v>4</v>
      </c>
      <c r="Q11" s="8" t="s">
        <v>5</v>
      </c>
      <c r="R11" s="8"/>
      <c r="S11" s="8"/>
      <c r="T11" s="8"/>
    </row>
    <row r="12" spans="1:21" x14ac:dyDescent="0.2">
      <c r="A12" s="34">
        <v>41183</v>
      </c>
      <c r="B12" s="35"/>
      <c r="C12" s="36">
        <v>1</v>
      </c>
      <c r="D12" s="96">
        <v>0.5</v>
      </c>
      <c r="E12" s="53">
        <v>0.02</v>
      </c>
      <c r="F12" s="53">
        <v>0</v>
      </c>
      <c r="G12" s="99" t="s">
        <v>106</v>
      </c>
      <c r="H12" s="39"/>
      <c r="I12" s="40"/>
      <c r="J12" s="47"/>
      <c r="K12" s="4"/>
      <c r="L12" s="34">
        <v>41183</v>
      </c>
      <c r="M12" s="35"/>
      <c r="N12" s="36">
        <v>1</v>
      </c>
      <c r="O12" s="53">
        <v>0.5</v>
      </c>
      <c r="P12" s="41">
        <v>0.02</v>
      </c>
      <c r="Q12" s="41">
        <v>0</v>
      </c>
      <c r="R12" s="99" t="s">
        <v>106</v>
      </c>
      <c r="S12" s="39"/>
      <c r="T12" s="40"/>
    </row>
    <row r="13" spans="1:21" x14ac:dyDescent="0.2">
      <c r="A13" s="34">
        <v>41214</v>
      </c>
      <c r="B13" s="35"/>
      <c r="C13" s="36">
        <v>1</v>
      </c>
      <c r="D13" s="96">
        <v>0.97</v>
      </c>
      <c r="E13" s="53">
        <v>0.03</v>
      </c>
      <c r="F13" s="53">
        <v>0.01</v>
      </c>
      <c r="G13" s="99" t="s">
        <v>106</v>
      </c>
      <c r="H13" s="39"/>
      <c r="I13" s="40"/>
      <c r="J13" s="47"/>
      <c r="K13" s="4"/>
      <c r="L13" s="34">
        <v>41214</v>
      </c>
      <c r="M13" s="35"/>
      <c r="N13" s="36">
        <v>1</v>
      </c>
      <c r="O13" s="53">
        <v>0.99</v>
      </c>
      <c r="P13" s="41">
        <v>0.03</v>
      </c>
      <c r="Q13" s="41">
        <v>0.01</v>
      </c>
      <c r="R13" s="99" t="s">
        <v>106</v>
      </c>
      <c r="S13" s="39"/>
      <c r="T13" s="40"/>
    </row>
    <row r="14" spans="1:21" ht="25.5" x14ac:dyDescent="0.2">
      <c r="A14" s="34">
        <v>41244</v>
      </c>
      <c r="B14" s="35"/>
      <c r="C14" s="36">
        <v>1</v>
      </c>
      <c r="D14" s="96">
        <v>1.2</v>
      </c>
      <c r="E14" s="53">
        <v>0.03</v>
      </c>
      <c r="F14" s="53">
        <v>7.0000000000000007E-2</v>
      </c>
      <c r="G14" s="99" t="s">
        <v>106</v>
      </c>
      <c r="H14" s="39"/>
      <c r="I14" s="40"/>
      <c r="J14" s="47"/>
      <c r="K14" s="4"/>
      <c r="L14" s="34">
        <v>41244</v>
      </c>
      <c r="M14" s="35"/>
      <c r="N14" s="36">
        <v>1</v>
      </c>
      <c r="O14" s="53">
        <v>1.23</v>
      </c>
      <c r="P14" s="41">
        <v>0.03</v>
      </c>
      <c r="Q14" s="41">
        <v>7.0000000000000007E-2</v>
      </c>
      <c r="R14" s="99" t="s">
        <v>106</v>
      </c>
      <c r="S14" s="39"/>
      <c r="T14" s="40" t="s">
        <v>104</v>
      </c>
    </row>
    <row r="15" spans="1:21" x14ac:dyDescent="0.2">
      <c r="A15" s="34">
        <v>41275</v>
      </c>
      <c r="B15" s="35"/>
      <c r="C15" s="36">
        <v>1</v>
      </c>
      <c r="D15" s="96">
        <v>1.29</v>
      </c>
      <c r="E15" s="53">
        <v>0.03</v>
      </c>
      <c r="F15" s="53">
        <v>0.14000000000000001</v>
      </c>
      <c r="G15" s="99" t="s">
        <v>107</v>
      </c>
      <c r="H15" s="39"/>
      <c r="I15" s="40"/>
      <c r="J15" s="47"/>
      <c r="K15" s="4"/>
      <c r="L15" s="34">
        <v>41275</v>
      </c>
      <c r="M15" s="35"/>
      <c r="N15" s="36">
        <v>1</v>
      </c>
      <c r="O15" s="53">
        <v>1.33</v>
      </c>
      <c r="P15" s="41">
        <v>0.03</v>
      </c>
      <c r="Q15" s="41">
        <v>0.16</v>
      </c>
      <c r="R15" s="99" t="s">
        <v>107</v>
      </c>
      <c r="S15" s="39"/>
      <c r="T15" s="40"/>
    </row>
    <row r="16" spans="1:21" x14ac:dyDescent="0.2">
      <c r="A16" s="34">
        <v>41306</v>
      </c>
      <c r="B16" s="35"/>
      <c r="C16" s="36">
        <v>1</v>
      </c>
      <c r="D16" s="96">
        <v>1.53</v>
      </c>
      <c r="E16" s="53">
        <v>0.03</v>
      </c>
      <c r="F16" s="53">
        <v>0.17</v>
      </c>
      <c r="G16" s="99" t="s">
        <v>107</v>
      </c>
      <c r="H16" s="39"/>
      <c r="I16" s="40"/>
      <c r="J16" s="48">
        <f>+SUM(D16:F16)-SUM(D15:F15)</f>
        <v>0.27</v>
      </c>
      <c r="K16" s="4"/>
      <c r="L16" s="34">
        <v>41306</v>
      </c>
      <c r="M16" s="35"/>
      <c r="N16" s="36">
        <v>1</v>
      </c>
      <c r="O16" s="53">
        <v>1.58</v>
      </c>
      <c r="P16" s="41">
        <v>0.03</v>
      </c>
      <c r="Q16" s="41">
        <v>0.19</v>
      </c>
      <c r="R16" s="99" t="s">
        <v>107</v>
      </c>
      <c r="S16" s="39"/>
      <c r="T16" s="40"/>
      <c r="U16" s="48">
        <f>+SUM(O16:Q16)-SUM(O15:Q15)</f>
        <v>0.28000000000000003</v>
      </c>
    </row>
    <row r="17" spans="1:21" x14ac:dyDescent="0.2">
      <c r="A17" s="34">
        <v>41334</v>
      </c>
      <c r="B17" s="35"/>
      <c r="C17" s="36">
        <v>1</v>
      </c>
      <c r="D17" s="96">
        <v>1.9</v>
      </c>
      <c r="E17" s="53">
        <v>0.04</v>
      </c>
      <c r="F17" s="53">
        <v>0.26</v>
      </c>
      <c r="G17" s="99" t="s">
        <v>107</v>
      </c>
      <c r="H17" s="39"/>
      <c r="I17" s="40"/>
      <c r="J17" s="48">
        <f t="shared" ref="J17:J22" si="0">+SUM(D17:F17)-SUM(D16:F16)</f>
        <v>0.4700000000000002</v>
      </c>
      <c r="K17" s="4"/>
      <c r="L17" s="34">
        <v>41334</v>
      </c>
      <c r="M17" s="35"/>
      <c r="N17" s="36">
        <v>1</v>
      </c>
      <c r="O17" s="53">
        <v>1.96</v>
      </c>
      <c r="P17" s="41">
        <v>0.04</v>
      </c>
      <c r="Q17" s="41">
        <v>0.28999999999999998</v>
      </c>
      <c r="R17" s="99" t="s">
        <v>107</v>
      </c>
      <c r="S17" s="39"/>
      <c r="T17" s="40"/>
      <c r="U17" s="48">
        <f t="shared" ref="U17:U80" si="1">+SUM(O17:Q17)-SUM(O16:Q16)</f>
        <v>0.49</v>
      </c>
    </row>
    <row r="18" spans="1:21" x14ac:dyDescent="0.2">
      <c r="A18" s="34">
        <v>41365</v>
      </c>
      <c r="B18" s="35"/>
      <c r="C18" s="36">
        <v>1</v>
      </c>
      <c r="D18" s="96">
        <v>2.2999999999999998</v>
      </c>
      <c r="E18" s="53">
        <v>0.05</v>
      </c>
      <c r="F18" s="53">
        <v>0.35</v>
      </c>
      <c r="G18" s="99" t="s">
        <v>107</v>
      </c>
      <c r="H18" s="39"/>
      <c r="I18" s="40"/>
      <c r="J18" s="48">
        <f t="shared" si="0"/>
        <v>0.49999999999999956</v>
      </c>
      <c r="K18" s="4"/>
      <c r="L18" s="34">
        <v>41365</v>
      </c>
      <c r="M18" s="35"/>
      <c r="N18" s="36">
        <v>1</v>
      </c>
      <c r="O18" s="53">
        <v>2.38</v>
      </c>
      <c r="P18" s="41">
        <v>0.05</v>
      </c>
      <c r="Q18" s="41">
        <v>0.38</v>
      </c>
      <c r="R18" s="99" t="s">
        <v>107</v>
      </c>
      <c r="S18" s="39"/>
      <c r="T18" s="40"/>
      <c r="U18" s="48">
        <f t="shared" si="1"/>
        <v>0.51999999999999957</v>
      </c>
    </row>
    <row r="19" spans="1:21" x14ac:dyDescent="0.2">
      <c r="A19" s="34">
        <v>41395</v>
      </c>
      <c r="B19" s="35"/>
      <c r="C19" s="36">
        <v>1</v>
      </c>
      <c r="D19" s="96">
        <v>2.82</v>
      </c>
      <c r="E19" s="53">
        <v>7.0000000000000007E-2</v>
      </c>
      <c r="F19" s="53">
        <v>0.61</v>
      </c>
      <c r="G19" s="99" t="s">
        <v>107</v>
      </c>
      <c r="H19" s="39"/>
      <c r="I19" s="40"/>
      <c r="J19" s="48">
        <f t="shared" si="0"/>
        <v>0.79999999999999982</v>
      </c>
      <c r="K19" s="4"/>
      <c r="L19" s="34">
        <v>41395</v>
      </c>
      <c r="M19" s="35"/>
      <c r="N19" s="36">
        <v>1</v>
      </c>
      <c r="O19" s="53">
        <v>2.93</v>
      </c>
      <c r="P19" s="41">
        <v>0.08</v>
      </c>
      <c r="Q19" s="41">
        <v>0.66</v>
      </c>
      <c r="R19" s="99" t="s">
        <v>107</v>
      </c>
      <c r="S19" s="39"/>
      <c r="T19" s="40"/>
      <c r="U19" s="48">
        <f t="shared" si="1"/>
        <v>0.86000000000000076</v>
      </c>
    </row>
    <row r="20" spans="1:21" x14ac:dyDescent="0.2">
      <c r="A20" s="34">
        <v>41426</v>
      </c>
      <c r="B20" s="35"/>
      <c r="C20" s="36">
        <v>1</v>
      </c>
      <c r="D20" s="96">
        <v>3.32</v>
      </c>
      <c r="E20" s="53">
        <v>0.18</v>
      </c>
      <c r="F20" s="53">
        <v>0.85</v>
      </c>
      <c r="G20" s="99" t="s">
        <v>107</v>
      </c>
      <c r="H20" s="39"/>
      <c r="I20" s="40"/>
      <c r="J20" s="48">
        <f t="shared" si="0"/>
        <v>0.85000000000000009</v>
      </c>
      <c r="K20" s="4"/>
      <c r="L20" s="34">
        <v>41426</v>
      </c>
      <c r="M20" s="35"/>
      <c r="N20" s="36">
        <v>1</v>
      </c>
      <c r="O20" s="53">
        <v>3.46</v>
      </c>
      <c r="P20" s="41">
        <v>0.18</v>
      </c>
      <c r="Q20" s="41">
        <v>0.92</v>
      </c>
      <c r="R20" s="99" t="s">
        <v>107</v>
      </c>
      <c r="S20" s="39"/>
      <c r="T20" s="40"/>
      <c r="U20" s="48">
        <f t="shared" si="1"/>
        <v>0.89000000000000012</v>
      </c>
    </row>
    <row r="21" spans="1:21" x14ac:dyDescent="0.2">
      <c r="A21" s="34">
        <v>41456</v>
      </c>
      <c r="B21" s="35"/>
      <c r="C21" s="36">
        <v>1</v>
      </c>
      <c r="D21" s="96">
        <v>3.61</v>
      </c>
      <c r="E21" s="53">
        <v>0.33</v>
      </c>
      <c r="F21" s="53">
        <v>1.1299999999999999</v>
      </c>
      <c r="G21" s="99" t="s">
        <v>107</v>
      </c>
      <c r="H21" s="39"/>
      <c r="I21" s="40"/>
      <c r="J21" s="48">
        <f t="shared" si="0"/>
        <v>0.72000000000000064</v>
      </c>
      <c r="L21" s="34">
        <v>41456</v>
      </c>
      <c r="M21" s="35"/>
      <c r="N21" s="36">
        <v>1</v>
      </c>
      <c r="O21" s="53">
        <v>3.75</v>
      </c>
      <c r="P21" s="41">
        <v>0.34</v>
      </c>
      <c r="Q21" s="41">
        <v>1.21</v>
      </c>
      <c r="R21" s="99" t="s">
        <v>107</v>
      </c>
      <c r="S21" s="39"/>
      <c r="T21" s="40"/>
      <c r="U21" s="48">
        <f t="shared" si="1"/>
        <v>0.73999999999999932</v>
      </c>
    </row>
    <row r="22" spans="1:21" x14ac:dyDescent="0.2">
      <c r="A22" s="34">
        <v>41487</v>
      </c>
      <c r="B22" s="35"/>
      <c r="C22" s="36">
        <v>1</v>
      </c>
      <c r="D22" s="96">
        <v>3.76</v>
      </c>
      <c r="E22" s="53">
        <v>0.39</v>
      </c>
      <c r="F22" s="53">
        <v>1.31</v>
      </c>
      <c r="G22" s="99" t="s">
        <v>107</v>
      </c>
      <c r="H22" s="39"/>
      <c r="I22" s="40"/>
      <c r="J22" s="48">
        <f t="shared" si="0"/>
        <v>0.38999999999999879</v>
      </c>
      <c r="L22" s="34">
        <v>41487</v>
      </c>
      <c r="M22" s="35"/>
      <c r="N22" s="36">
        <v>1</v>
      </c>
      <c r="O22" s="53">
        <v>3.8</v>
      </c>
      <c r="P22" s="41">
        <v>0.4</v>
      </c>
      <c r="Q22" s="41">
        <v>1.39</v>
      </c>
      <c r="R22" s="99" t="s">
        <v>107</v>
      </c>
      <c r="S22" s="39"/>
      <c r="T22" s="40"/>
      <c r="U22" s="48">
        <f t="shared" si="1"/>
        <v>0.29000000000000004</v>
      </c>
    </row>
    <row r="23" spans="1:21" x14ac:dyDescent="0.2">
      <c r="A23" s="34">
        <v>41518</v>
      </c>
      <c r="B23" s="35"/>
      <c r="C23" s="36">
        <v>1</v>
      </c>
      <c r="D23" s="96">
        <v>3.85</v>
      </c>
      <c r="E23" s="53">
        <v>0.46</v>
      </c>
      <c r="F23" s="53">
        <v>1.38</v>
      </c>
      <c r="G23" s="99" t="s">
        <v>107</v>
      </c>
      <c r="H23" s="39"/>
      <c r="I23" s="40"/>
      <c r="J23" s="48">
        <f t="shared" ref="J23" si="2">+SUM(D27:F27)-SUM(D26:F26)</f>
        <v>8.0000000000000071E-2</v>
      </c>
      <c r="L23" s="34">
        <v>41518</v>
      </c>
      <c r="M23" s="35"/>
      <c r="N23" s="36">
        <v>1</v>
      </c>
      <c r="O23" s="53">
        <v>4</v>
      </c>
      <c r="P23" s="41">
        <v>0.47</v>
      </c>
      <c r="Q23" s="41">
        <v>1.46</v>
      </c>
      <c r="R23" s="99" t="s">
        <v>107</v>
      </c>
      <c r="S23" s="39"/>
      <c r="T23" s="40"/>
      <c r="U23" s="48">
        <f t="shared" si="1"/>
        <v>0.33999999999999986</v>
      </c>
    </row>
    <row r="24" spans="1:21" x14ac:dyDescent="0.2">
      <c r="A24" s="34">
        <v>41548</v>
      </c>
      <c r="B24" s="35"/>
      <c r="C24" s="36">
        <v>1</v>
      </c>
      <c r="D24" s="96">
        <v>3.87</v>
      </c>
      <c r="E24" s="53">
        <v>0.46</v>
      </c>
      <c r="F24" s="53">
        <v>1.38</v>
      </c>
      <c r="G24" s="99" t="s">
        <v>107</v>
      </c>
      <c r="H24" s="39"/>
      <c r="J24" s="48">
        <f>+SUM(D24:F24)-SUM(D23:F23)</f>
        <v>1.9999999999999574E-2</v>
      </c>
      <c r="L24" s="34">
        <v>41548</v>
      </c>
      <c r="M24" s="35"/>
      <c r="N24" s="36">
        <v>1</v>
      </c>
      <c r="O24" s="53">
        <v>4.0199999999999996</v>
      </c>
      <c r="P24" s="41">
        <v>0.48</v>
      </c>
      <c r="Q24" s="41">
        <v>1.46</v>
      </c>
      <c r="R24" s="99" t="s">
        <v>107</v>
      </c>
      <c r="S24" s="39"/>
      <c r="T24" s="40"/>
      <c r="U24" s="48">
        <f t="shared" si="1"/>
        <v>3.0000000000000249E-2</v>
      </c>
    </row>
    <row r="25" spans="1:21" ht="51" x14ac:dyDescent="0.2">
      <c r="A25" s="34">
        <v>41579</v>
      </c>
      <c r="B25" s="35"/>
      <c r="C25" s="36">
        <v>1</v>
      </c>
      <c r="D25" s="96">
        <v>4.8600000000000003</v>
      </c>
      <c r="E25" s="53">
        <v>0.49</v>
      </c>
      <c r="F25" s="53">
        <v>1.38</v>
      </c>
      <c r="G25" s="99" t="s">
        <v>107</v>
      </c>
      <c r="H25" s="39"/>
      <c r="I25" s="40" t="s">
        <v>118</v>
      </c>
      <c r="J25" s="48">
        <f>+SUM(D25:F25)-SUM(D24:F24)-1</f>
        <v>2.0000000000000462E-2</v>
      </c>
      <c r="L25" s="34">
        <v>41579</v>
      </c>
      <c r="M25" s="35"/>
      <c r="N25" s="36">
        <v>1</v>
      </c>
      <c r="O25" s="53">
        <v>5.01</v>
      </c>
      <c r="P25" s="41">
        <v>0.51</v>
      </c>
      <c r="Q25" s="41">
        <v>1.46</v>
      </c>
      <c r="R25" s="99" t="s">
        <v>107</v>
      </c>
      <c r="S25" s="39"/>
      <c r="T25" s="40" t="s">
        <v>118</v>
      </c>
      <c r="U25" s="48">
        <f>+SUM(O25:Q25)-SUM(O24:Q24)-1</f>
        <v>1.9999999999999574E-2</v>
      </c>
    </row>
    <row r="26" spans="1:21" x14ac:dyDescent="0.2">
      <c r="A26" s="34">
        <v>41609</v>
      </c>
      <c r="B26" s="35"/>
      <c r="C26" s="36">
        <v>1</v>
      </c>
      <c r="D26" s="96">
        <v>4.88</v>
      </c>
      <c r="E26" s="53">
        <v>0.49</v>
      </c>
      <c r="F26" s="53">
        <v>1.38</v>
      </c>
      <c r="G26" s="99" t="s">
        <v>107</v>
      </c>
      <c r="H26" s="39"/>
      <c r="I26" s="40"/>
      <c r="J26" s="48">
        <f t="shared" ref="J26:J80" si="3">+SUM(D26:F26)-SUM(D25:F25)</f>
        <v>1.9999999999999574E-2</v>
      </c>
      <c r="L26" s="34">
        <v>41609</v>
      </c>
      <c r="M26" s="35"/>
      <c r="N26" s="36">
        <v>1</v>
      </c>
      <c r="O26" s="53">
        <v>5.03</v>
      </c>
      <c r="P26" s="41">
        <v>0.51</v>
      </c>
      <c r="Q26" s="41">
        <v>1.46</v>
      </c>
      <c r="R26" s="99" t="s">
        <v>107</v>
      </c>
      <c r="S26" s="39"/>
      <c r="T26" s="40"/>
      <c r="U26" s="48">
        <f t="shared" si="1"/>
        <v>2.0000000000000462E-2</v>
      </c>
    </row>
    <row r="27" spans="1:21" x14ac:dyDescent="0.2">
      <c r="A27" s="34">
        <v>41640</v>
      </c>
      <c r="B27" s="35"/>
      <c r="C27" s="36">
        <v>1</v>
      </c>
      <c r="D27" s="96">
        <v>4.9400000000000004</v>
      </c>
      <c r="E27" s="53">
        <v>0.5</v>
      </c>
      <c r="F27" s="53">
        <v>1.39</v>
      </c>
      <c r="G27" s="99" t="s">
        <v>108</v>
      </c>
      <c r="H27" s="39"/>
      <c r="I27" s="40"/>
      <c r="J27" s="48">
        <f t="shared" si="3"/>
        <v>8.0000000000000071E-2</v>
      </c>
      <c r="L27" s="34">
        <v>41640</v>
      </c>
      <c r="M27" s="35"/>
      <c r="N27" s="36">
        <v>1</v>
      </c>
      <c r="O27" s="53">
        <v>5.09</v>
      </c>
      <c r="P27" s="41">
        <v>0.51</v>
      </c>
      <c r="Q27" s="41">
        <v>1.47</v>
      </c>
      <c r="R27" s="99" t="s">
        <v>108</v>
      </c>
      <c r="S27" s="39"/>
      <c r="T27" s="40"/>
      <c r="U27" s="48">
        <f t="shared" si="1"/>
        <v>6.9999999999999396E-2</v>
      </c>
    </row>
    <row r="28" spans="1:21" x14ac:dyDescent="0.2">
      <c r="A28" s="34">
        <v>41671</v>
      </c>
      <c r="B28" s="35"/>
      <c r="C28" s="36">
        <v>1</v>
      </c>
      <c r="D28" s="96">
        <v>5.04</v>
      </c>
      <c r="E28" s="53">
        <v>0.5</v>
      </c>
      <c r="F28" s="53">
        <v>1.42</v>
      </c>
      <c r="G28" s="99" t="s">
        <v>108</v>
      </c>
      <c r="H28" s="39"/>
      <c r="I28" s="40"/>
      <c r="J28" s="48">
        <f t="shared" si="3"/>
        <v>0.12999999999999989</v>
      </c>
      <c r="L28" s="34">
        <v>41671</v>
      </c>
      <c r="M28" s="35"/>
      <c r="N28" s="36">
        <v>1</v>
      </c>
      <c r="O28" s="53">
        <v>5.2</v>
      </c>
      <c r="P28" s="41">
        <v>0.51</v>
      </c>
      <c r="Q28" s="41">
        <v>1.51</v>
      </c>
      <c r="R28" s="99" t="s">
        <v>108</v>
      </c>
      <c r="S28" s="39"/>
      <c r="T28" s="40"/>
      <c r="U28" s="48">
        <f t="shared" si="1"/>
        <v>0.15000000000000036</v>
      </c>
    </row>
    <row r="29" spans="1:21" x14ac:dyDescent="0.2">
      <c r="A29" s="34">
        <v>41699</v>
      </c>
      <c r="B29" s="35"/>
      <c r="C29" s="36">
        <v>1</v>
      </c>
      <c r="D29" s="96">
        <v>5.35</v>
      </c>
      <c r="E29" s="53">
        <v>0.5</v>
      </c>
      <c r="F29" s="53">
        <v>1.54</v>
      </c>
      <c r="G29" s="99" t="s">
        <v>108</v>
      </c>
      <c r="H29" s="39"/>
      <c r="I29" s="40"/>
      <c r="J29" s="48">
        <f t="shared" si="3"/>
        <v>0.42999999999999972</v>
      </c>
      <c r="L29" s="34">
        <v>41699</v>
      </c>
      <c r="M29" s="35"/>
      <c r="N29" s="36">
        <v>1</v>
      </c>
      <c r="O29" s="53">
        <v>5.52</v>
      </c>
      <c r="P29" s="41">
        <v>0.51</v>
      </c>
      <c r="Q29" s="41">
        <v>1.63</v>
      </c>
      <c r="R29" s="99" t="s">
        <v>108</v>
      </c>
      <c r="S29" s="39"/>
      <c r="T29" s="40"/>
      <c r="U29" s="48">
        <f t="shared" si="1"/>
        <v>0.4399999999999995</v>
      </c>
    </row>
    <row r="30" spans="1:21" x14ac:dyDescent="0.2">
      <c r="A30" s="34">
        <v>41730</v>
      </c>
      <c r="B30" s="35"/>
      <c r="C30" s="36">
        <v>1</v>
      </c>
      <c r="D30" s="96">
        <v>5.92</v>
      </c>
      <c r="E30" s="53">
        <v>0.5</v>
      </c>
      <c r="F30" s="53">
        <v>1.84</v>
      </c>
      <c r="G30" s="99" t="s">
        <v>108</v>
      </c>
      <c r="H30" s="39"/>
      <c r="I30" s="40"/>
      <c r="J30" s="48">
        <f t="shared" si="3"/>
        <v>0.87000000000000011</v>
      </c>
      <c r="L30" s="34">
        <v>41730</v>
      </c>
      <c r="M30" s="35"/>
      <c r="N30" s="36">
        <v>1</v>
      </c>
      <c r="O30" s="53">
        <v>6.12</v>
      </c>
      <c r="P30" s="41">
        <v>0.51</v>
      </c>
      <c r="Q30" s="41">
        <v>1.95</v>
      </c>
      <c r="R30" s="99" t="s">
        <v>108</v>
      </c>
      <c r="S30" s="39"/>
      <c r="T30" s="40"/>
      <c r="U30" s="48">
        <f t="shared" si="1"/>
        <v>0.92000000000000082</v>
      </c>
    </row>
    <row r="31" spans="1:21" x14ac:dyDescent="0.2">
      <c r="A31" s="34">
        <v>41760</v>
      </c>
      <c r="B31" s="35"/>
      <c r="C31" s="36">
        <v>1</v>
      </c>
      <c r="D31" s="96">
        <v>6.56</v>
      </c>
      <c r="E31" s="53">
        <v>0.53</v>
      </c>
      <c r="F31" s="53">
        <v>2.1</v>
      </c>
      <c r="G31" s="99" t="s">
        <v>108</v>
      </c>
      <c r="H31" s="39"/>
      <c r="I31" s="40"/>
      <c r="J31" s="48">
        <f t="shared" si="3"/>
        <v>0.92999999999999972</v>
      </c>
      <c r="L31" s="34">
        <v>41760</v>
      </c>
      <c r="M31" s="35"/>
      <c r="N31" s="36">
        <v>1</v>
      </c>
      <c r="O31" s="53">
        <v>6.78</v>
      </c>
      <c r="P31" s="41">
        <v>0.55000000000000004</v>
      </c>
      <c r="Q31" s="41">
        <v>2.23</v>
      </c>
      <c r="R31" s="99" t="s">
        <v>108</v>
      </c>
      <c r="S31" s="39"/>
      <c r="T31" s="40"/>
      <c r="U31" s="48">
        <f t="shared" si="1"/>
        <v>0.98000000000000043</v>
      </c>
    </row>
    <row r="32" spans="1:21" x14ac:dyDescent="0.2">
      <c r="A32" s="34">
        <v>41791</v>
      </c>
      <c r="B32" s="35"/>
      <c r="C32" s="36">
        <v>1</v>
      </c>
      <c r="D32" s="96">
        <v>6.88</v>
      </c>
      <c r="E32" s="53">
        <v>0.54</v>
      </c>
      <c r="F32" s="53">
        <v>2.27</v>
      </c>
      <c r="G32" s="99" t="s">
        <v>108</v>
      </c>
      <c r="H32" s="39"/>
      <c r="I32" s="40"/>
      <c r="J32" s="48">
        <f t="shared" si="3"/>
        <v>0.5</v>
      </c>
      <c r="L32" s="34">
        <v>41791</v>
      </c>
      <c r="M32" s="35"/>
      <c r="N32" s="36">
        <v>1</v>
      </c>
      <c r="O32" s="53">
        <v>7.12</v>
      </c>
      <c r="P32" s="41">
        <v>0.56000000000000005</v>
      </c>
      <c r="Q32" s="41">
        <v>2.41</v>
      </c>
      <c r="R32" s="99" t="s">
        <v>108</v>
      </c>
      <c r="S32" s="39"/>
      <c r="T32" s="40"/>
      <c r="U32" s="48">
        <f t="shared" si="1"/>
        <v>0.52999999999999936</v>
      </c>
    </row>
    <row r="33" spans="1:21" x14ac:dyDescent="0.2">
      <c r="A33" s="34">
        <v>41821</v>
      </c>
      <c r="B33" s="35"/>
      <c r="C33" s="36">
        <v>1</v>
      </c>
      <c r="D33" s="96">
        <v>6.97</v>
      </c>
      <c r="E33" s="53">
        <v>0.6</v>
      </c>
      <c r="F33" s="53">
        <v>2.35</v>
      </c>
      <c r="G33" s="99" t="s">
        <v>108</v>
      </c>
      <c r="H33" s="39"/>
      <c r="I33" s="40"/>
      <c r="J33" s="48">
        <f t="shared" si="3"/>
        <v>0.23000000000000043</v>
      </c>
      <c r="L33" s="34">
        <v>41821</v>
      </c>
      <c r="M33" s="35"/>
      <c r="N33" s="36">
        <v>1</v>
      </c>
      <c r="O33" s="53">
        <v>7.22</v>
      </c>
      <c r="P33" s="41">
        <v>0.62</v>
      </c>
      <c r="Q33" s="41">
        <v>2.4900000000000002</v>
      </c>
      <c r="R33" s="99" t="s">
        <v>108</v>
      </c>
      <c r="S33" s="39"/>
      <c r="T33" s="40"/>
      <c r="U33" s="48">
        <f t="shared" si="1"/>
        <v>0.24000000000000021</v>
      </c>
    </row>
    <row r="34" spans="1:21" x14ac:dyDescent="0.2">
      <c r="A34" s="34">
        <v>41852</v>
      </c>
      <c r="B34" s="35"/>
      <c r="C34" s="36">
        <v>1</v>
      </c>
      <c r="D34" s="96">
        <v>7.02</v>
      </c>
      <c r="E34" s="53">
        <v>0.61</v>
      </c>
      <c r="F34" s="53">
        <v>2.44</v>
      </c>
      <c r="G34" s="99" t="s">
        <v>108</v>
      </c>
      <c r="H34" s="39"/>
      <c r="I34" s="40"/>
      <c r="J34" s="48">
        <f t="shared" si="3"/>
        <v>0.15000000000000036</v>
      </c>
      <c r="L34" s="34">
        <v>41852</v>
      </c>
      <c r="M34" s="35"/>
      <c r="N34" s="36">
        <v>1</v>
      </c>
      <c r="O34" s="53">
        <v>7.27</v>
      </c>
      <c r="P34" s="41">
        <v>0.63</v>
      </c>
      <c r="Q34" s="41">
        <v>2.58</v>
      </c>
      <c r="R34" s="99" t="s">
        <v>108</v>
      </c>
      <c r="S34" s="39"/>
      <c r="T34" s="40"/>
      <c r="U34" s="48">
        <f t="shared" si="1"/>
        <v>0.15000000000000036</v>
      </c>
    </row>
    <row r="35" spans="1:21" x14ac:dyDescent="0.2">
      <c r="A35" s="34">
        <v>41883</v>
      </c>
      <c r="B35" s="35"/>
      <c r="C35" s="36">
        <v>1</v>
      </c>
      <c r="D35" s="96">
        <v>7.19</v>
      </c>
      <c r="E35" s="53">
        <v>0.67</v>
      </c>
      <c r="F35" s="53">
        <v>2.64</v>
      </c>
      <c r="G35" s="99" t="s">
        <v>108</v>
      </c>
      <c r="H35" s="39"/>
      <c r="I35" s="40"/>
      <c r="J35" s="48">
        <f t="shared" si="3"/>
        <v>0.42999999999999972</v>
      </c>
      <c r="L35" s="34">
        <v>41883</v>
      </c>
      <c r="M35" s="35"/>
      <c r="N35" s="36">
        <v>1</v>
      </c>
      <c r="O35" s="53">
        <v>7.45</v>
      </c>
      <c r="P35" s="41">
        <v>0.7</v>
      </c>
      <c r="Q35" s="41">
        <v>2.79</v>
      </c>
      <c r="R35" s="99" t="s">
        <v>108</v>
      </c>
      <c r="S35" s="39"/>
      <c r="T35" s="40"/>
      <c r="U35" s="48">
        <f t="shared" si="1"/>
        <v>0.46000000000000085</v>
      </c>
    </row>
    <row r="36" spans="1:21" x14ac:dyDescent="0.2">
      <c r="A36" s="34">
        <v>41913</v>
      </c>
      <c r="B36" s="35"/>
      <c r="C36" s="36">
        <v>1</v>
      </c>
      <c r="D36" s="96">
        <v>7.29</v>
      </c>
      <c r="E36" s="53">
        <v>0.73</v>
      </c>
      <c r="F36" s="53">
        <v>2.71</v>
      </c>
      <c r="G36" s="99" t="s">
        <v>108</v>
      </c>
      <c r="H36" s="39"/>
      <c r="I36" s="40"/>
      <c r="J36" s="48">
        <f t="shared" si="3"/>
        <v>0.23000000000000043</v>
      </c>
      <c r="L36" s="34">
        <v>41913</v>
      </c>
      <c r="M36" s="35"/>
      <c r="N36" s="36">
        <v>1</v>
      </c>
      <c r="O36" s="53">
        <v>7.55</v>
      </c>
      <c r="P36" s="41">
        <v>0.75</v>
      </c>
      <c r="Q36" s="41">
        <v>2.86</v>
      </c>
      <c r="R36" s="99" t="s">
        <v>108</v>
      </c>
      <c r="S36" s="39"/>
      <c r="T36" s="40"/>
      <c r="U36" s="48">
        <f t="shared" si="1"/>
        <v>0.21999999999999886</v>
      </c>
    </row>
    <row r="37" spans="1:21" ht="51" x14ac:dyDescent="0.2">
      <c r="A37" s="34">
        <v>41944</v>
      </c>
      <c r="B37" s="35"/>
      <c r="C37" s="36">
        <v>1</v>
      </c>
      <c r="D37" s="96">
        <v>7.92</v>
      </c>
      <c r="E37" s="53">
        <v>0.8</v>
      </c>
      <c r="F37" s="53">
        <v>2.74</v>
      </c>
      <c r="G37" s="99" t="s">
        <v>108</v>
      </c>
      <c r="H37" s="39"/>
      <c r="I37" s="40" t="s">
        <v>105</v>
      </c>
      <c r="J37" s="48">
        <f>+SUM(D37:F37)-SUM(D36:F36)-0.41</f>
        <v>0.32000000000000045</v>
      </c>
      <c r="L37" s="34">
        <v>41944</v>
      </c>
      <c r="M37" s="35"/>
      <c r="N37" s="36">
        <v>1</v>
      </c>
      <c r="O37" s="53">
        <v>8.19</v>
      </c>
      <c r="P37" s="41">
        <v>0.83</v>
      </c>
      <c r="Q37" s="41">
        <v>2.9</v>
      </c>
      <c r="R37" s="99" t="s">
        <v>108</v>
      </c>
      <c r="S37" s="39"/>
      <c r="T37" s="40" t="s">
        <v>105</v>
      </c>
      <c r="U37" s="48">
        <f>+SUM(O37:Q37)-SUM(O36:Q36)-0.41</f>
        <v>0.34999999999999981</v>
      </c>
    </row>
    <row r="38" spans="1:21" x14ac:dyDescent="0.2">
      <c r="A38" s="34">
        <v>41974</v>
      </c>
      <c r="B38" s="35"/>
      <c r="C38" s="36">
        <v>1</v>
      </c>
      <c r="D38" s="96">
        <v>7.96</v>
      </c>
      <c r="E38" s="53">
        <v>0.8</v>
      </c>
      <c r="F38" s="53">
        <v>2.76</v>
      </c>
      <c r="G38" s="99" t="s">
        <v>108</v>
      </c>
      <c r="H38" s="39"/>
      <c r="I38" s="40"/>
      <c r="J38" s="48">
        <f t="shared" si="3"/>
        <v>5.9999999999998721E-2</v>
      </c>
      <c r="L38" s="34">
        <v>41974</v>
      </c>
      <c r="M38" s="35"/>
      <c r="N38" s="36">
        <v>1</v>
      </c>
      <c r="O38" s="53">
        <v>8.24</v>
      </c>
      <c r="P38" s="41">
        <v>0.83</v>
      </c>
      <c r="Q38" s="41">
        <v>2.92</v>
      </c>
      <c r="R38" s="99" t="s">
        <v>108</v>
      </c>
      <c r="S38" s="39"/>
      <c r="T38" s="40"/>
      <c r="U38" s="48">
        <f t="shared" si="1"/>
        <v>7.0000000000000284E-2</v>
      </c>
    </row>
    <row r="39" spans="1:21" x14ac:dyDescent="0.2">
      <c r="A39" s="34">
        <v>42005</v>
      </c>
      <c r="B39" s="35"/>
      <c r="C39" s="36">
        <v>1</v>
      </c>
      <c r="D39" s="96">
        <v>8.34</v>
      </c>
      <c r="E39" s="53">
        <v>0.8</v>
      </c>
      <c r="F39" s="53">
        <v>2.8</v>
      </c>
      <c r="G39" s="99" t="s">
        <v>108</v>
      </c>
      <c r="H39" s="39"/>
      <c r="I39" s="40"/>
      <c r="J39" s="48">
        <f t="shared" si="3"/>
        <v>0.42000000000000171</v>
      </c>
      <c r="L39" s="34">
        <v>42005</v>
      </c>
      <c r="M39" s="35"/>
      <c r="N39" s="36">
        <v>1</v>
      </c>
      <c r="O39" s="53">
        <v>8.6300000000000008</v>
      </c>
      <c r="P39" s="41">
        <v>0.83</v>
      </c>
      <c r="Q39" s="41">
        <v>2.96</v>
      </c>
      <c r="R39" s="99" t="s">
        <v>108</v>
      </c>
      <c r="S39" s="39"/>
      <c r="T39" s="40"/>
      <c r="U39" s="48">
        <f t="shared" si="1"/>
        <v>0.43000000000000149</v>
      </c>
    </row>
    <row r="40" spans="1:21" x14ac:dyDescent="0.2">
      <c r="A40" s="34">
        <v>42036</v>
      </c>
      <c r="B40" s="35"/>
      <c r="C40" s="36">
        <v>1</v>
      </c>
      <c r="D40" s="96">
        <v>8.6</v>
      </c>
      <c r="E40" s="53">
        <v>0.8</v>
      </c>
      <c r="F40" s="53">
        <v>2.89</v>
      </c>
      <c r="G40" s="99" t="s">
        <v>108</v>
      </c>
      <c r="H40" s="39"/>
      <c r="I40" s="40"/>
      <c r="J40" s="48">
        <f t="shared" si="3"/>
        <v>0.34999999999999964</v>
      </c>
      <c r="L40" s="34">
        <v>42036</v>
      </c>
      <c r="M40" s="35"/>
      <c r="N40" s="36">
        <v>1</v>
      </c>
      <c r="O40" s="53">
        <v>8.91</v>
      </c>
      <c r="P40" s="41">
        <v>0.83</v>
      </c>
      <c r="Q40" s="41">
        <v>3.07</v>
      </c>
      <c r="R40" s="99" t="s">
        <v>108</v>
      </c>
      <c r="S40" s="39"/>
      <c r="T40" s="40"/>
      <c r="U40" s="48">
        <f t="shared" si="1"/>
        <v>0.38999999999999879</v>
      </c>
    </row>
    <row r="41" spans="1:21" x14ac:dyDescent="0.2">
      <c r="A41" s="34">
        <v>42064</v>
      </c>
      <c r="B41" s="35"/>
      <c r="C41" s="36">
        <v>1</v>
      </c>
      <c r="D41" s="96"/>
      <c r="E41" s="53"/>
      <c r="F41" s="53"/>
      <c r="G41" s="99" t="s">
        <v>108</v>
      </c>
      <c r="H41" s="39"/>
      <c r="I41" s="40"/>
      <c r="J41" s="48">
        <f t="shared" si="3"/>
        <v>-12.290000000000001</v>
      </c>
      <c r="L41" s="34">
        <v>42064</v>
      </c>
      <c r="M41" s="35"/>
      <c r="N41" s="36">
        <v>1</v>
      </c>
      <c r="O41" s="53"/>
      <c r="P41" s="41"/>
      <c r="Q41" s="41"/>
      <c r="R41" s="99" t="s">
        <v>108</v>
      </c>
      <c r="S41" s="39"/>
      <c r="T41" s="40"/>
      <c r="U41" s="48">
        <f t="shared" si="1"/>
        <v>-12.81</v>
      </c>
    </row>
    <row r="42" spans="1:21" x14ac:dyDescent="0.2">
      <c r="A42" s="34">
        <v>42095</v>
      </c>
      <c r="B42" s="35"/>
      <c r="C42" s="36">
        <v>1</v>
      </c>
      <c r="D42" s="96">
        <v>10.199999999999999</v>
      </c>
      <c r="E42" s="53">
        <v>0.91</v>
      </c>
      <c r="F42" s="53">
        <v>3.41</v>
      </c>
      <c r="G42" s="99" t="s">
        <v>108</v>
      </c>
      <c r="H42" s="39"/>
      <c r="I42" s="40"/>
      <c r="J42" s="48">
        <f t="shared" si="3"/>
        <v>14.52</v>
      </c>
      <c r="L42" s="34">
        <v>42095</v>
      </c>
      <c r="M42" s="35"/>
      <c r="N42" s="36">
        <v>1</v>
      </c>
      <c r="O42" s="53">
        <v>10.56</v>
      </c>
      <c r="P42" s="41">
        <v>0.93</v>
      </c>
      <c r="Q42" s="41">
        <v>3.62</v>
      </c>
      <c r="R42" s="99" t="s">
        <v>108</v>
      </c>
      <c r="S42" s="39"/>
      <c r="T42" s="40"/>
      <c r="U42" s="48">
        <f t="shared" si="1"/>
        <v>15.11</v>
      </c>
    </row>
    <row r="43" spans="1:21" x14ac:dyDescent="0.2">
      <c r="A43" s="34">
        <v>42125</v>
      </c>
      <c r="B43" s="35"/>
      <c r="C43" s="36">
        <v>1</v>
      </c>
      <c r="D43" s="96">
        <v>11.32</v>
      </c>
      <c r="E43" s="53">
        <v>1.1100000000000001</v>
      </c>
      <c r="F43" s="53">
        <v>4.01</v>
      </c>
      <c r="G43" s="99" t="s">
        <v>108</v>
      </c>
      <c r="H43" s="39"/>
      <c r="I43" s="40"/>
      <c r="J43" s="48">
        <f t="shared" si="3"/>
        <v>1.9199999999999982</v>
      </c>
      <c r="L43" s="34">
        <v>42125</v>
      </c>
      <c r="M43" s="35"/>
      <c r="N43" s="36">
        <v>1</v>
      </c>
      <c r="O43" s="53">
        <v>11.7</v>
      </c>
      <c r="P43" s="41">
        <v>1.1399999999999999</v>
      </c>
      <c r="Q43" s="41">
        <v>4.2300000000000004</v>
      </c>
      <c r="R43" s="99" t="s">
        <v>108</v>
      </c>
      <c r="S43" s="39"/>
      <c r="T43" s="40"/>
      <c r="U43" s="48">
        <f t="shared" si="1"/>
        <v>1.9600000000000009</v>
      </c>
    </row>
    <row r="44" spans="1:21" x14ac:dyDescent="0.2">
      <c r="A44" s="34">
        <v>42156</v>
      </c>
      <c r="B44" s="35"/>
      <c r="C44" s="36">
        <v>1</v>
      </c>
      <c r="D44" s="96"/>
      <c r="E44" s="53"/>
      <c r="F44" s="53"/>
      <c r="G44" s="99" t="s">
        <v>108</v>
      </c>
      <c r="H44" s="39"/>
      <c r="I44" s="40"/>
      <c r="J44" s="48">
        <f t="shared" si="3"/>
        <v>-16.439999999999998</v>
      </c>
      <c r="L44" s="34">
        <v>42156</v>
      </c>
      <c r="M44" s="35"/>
      <c r="N44" s="36">
        <v>1</v>
      </c>
      <c r="O44" s="53"/>
      <c r="P44" s="41"/>
      <c r="Q44" s="41"/>
      <c r="R44" s="99" t="s">
        <v>108</v>
      </c>
      <c r="S44" s="39"/>
      <c r="T44" s="40"/>
      <c r="U44" s="48">
        <f t="shared" si="1"/>
        <v>-17.07</v>
      </c>
    </row>
    <row r="45" spans="1:21" x14ac:dyDescent="0.2">
      <c r="A45" s="34">
        <v>42186</v>
      </c>
      <c r="B45" s="35"/>
      <c r="C45" s="36">
        <v>1</v>
      </c>
      <c r="D45" s="96"/>
      <c r="E45" s="53"/>
      <c r="F45" s="53"/>
      <c r="G45" s="99" t="s">
        <v>108</v>
      </c>
      <c r="H45" s="39"/>
      <c r="I45" s="40"/>
      <c r="J45" s="48">
        <f t="shared" si="3"/>
        <v>0</v>
      </c>
      <c r="L45" s="34">
        <v>42186</v>
      </c>
      <c r="M45" s="35"/>
      <c r="N45" s="36">
        <v>1</v>
      </c>
      <c r="O45" s="53"/>
      <c r="P45" s="41"/>
      <c r="Q45" s="41"/>
      <c r="R45" s="99" t="s">
        <v>108</v>
      </c>
      <c r="S45" s="39"/>
      <c r="T45" s="40"/>
      <c r="U45" s="48">
        <f t="shared" si="1"/>
        <v>0</v>
      </c>
    </row>
    <row r="46" spans="1:21" x14ac:dyDescent="0.2">
      <c r="A46" s="34">
        <v>42217</v>
      </c>
      <c r="B46" s="35"/>
      <c r="C46" s="36">
        <v>1</v>
      </c>
      <c r="D46" s="96">
        <v>12.91</v>
      </c>
      <c r="E46" s="53">
        <v>1.5</v>
      </c>
      <c r="F46" s="53">
        <v>5.23</v>
      </c>
      <c r="G46" s="99" t="s">
        <v>108</v>
      </c>
      <c r="H46" s="39"/>
      <c r="I46" s="40"/>
      <c r="J46" s="48">
        <f t="shared" si="3"/>
        <v>19.64</v>
      </c>
      <c r="L46" s="34">
        <v>42217</v>
      </c>
      <c r="M46" s="35"/>
      <c r="N46" s="36">
        <v>1</v>
      </c>
      <c r="O46" s="53">
        <v>13.35</v>
      </c>
      <c r="P46" s="41">
        <v>1.54</v>
      </c>
      <c r="Q46" s="41">
        <v>5.5</v>
      </c>
      <c r="R46" s="99" t="s">
        <v>108</v>
      </c>
      <c r="S46" s="39"/>
      <c r="T46" s="40"/>
      <c r="U46" s="48">
        <f t="shared" si="1"/>
        <v>20.39</v>
      </c>
    </row>
    <row r="47" spans="1:21" x14ac:dyDescent="0.2">
      <c r="A47" s="34">
        <v>42248</v>
      </c>
      <c r="B47" s="35"/>
      <c r="C47" s="36">
        <v>1</v>
      </c>
      <c r="D47" s="96">
        <v>13.11</v>
      </c>
      <c r="E47" s="53">
        <v>1.57</v>
      </c>
      <c r="F47" s="53">
        <v>5.41</v>
      </c>
      <c r="G47" s="99" t="s">
        <v>109</v>
      </c>
      <c r="H47" s="39"/>
      <c r="I47" s="40"/>
      <c r="J47" s="48">
        <f t="shared" si="3"/>
        <v>0.44999999999999929</v>
      </c>
      <c r="L47" s="34">
        <v>42248</v>
      </c>
      <c r="M47" s="35"/>
      <c r="N47" s="36">
        <v>1</v>
      </c>
      <c r="O47" s="53">
        <v>13.55</v>
      </c>
      <c r="P47" s="41">
        <v>1.61</v>
      </c>
      <c r="Q47" s="41">
        <v>5.69</v>
      </c>
      <c r="R47" s="99" t="s">
        <v>109</v>
      </c>
      <c r="S47" s="39"/>
      <c r="T47" s="40"/>
      <c r="U47" s="48">
        <f t="shared" si="1"/>
        <v>0.46000000000000085</v>
      </c>
    </row>
    <row r="48" spans="1:21" x14ac:dyDescent="0.2">
      <c r="A48" s="34">
        <v>42278</v>
      </c>
      <c r="B48" s="35"/>
      <c r="C48" s="36">
        <v>1</v>
      </c>
      <c r="D48" s="96">
        <v>13.19</v>
      </c>
      <c r="E48" s="53">
        <v>1.6</v>
      </c>
      <c r="F48" s="53">
        <v>5.56</v>
      </c>
      <c r="G48" s="99" t="s">
        <v>109</v>
      </c>
      <c r="H48" s="39"/>
      <c r="I48" s="40"/>
      <c r="J48" s="48">
        <f t="shared" si="3"/>
        <v>0.25999999999999801</v>
      </c>
      <c r="L48" s="34">
        <v>42278</v>
      </c>
      <c r="M48" s="35"/>
      <c r="N48" s="36">
        <v>1</v>
      </c>
      <c r="O48" s="53">
        <v>13.63</v>
      </c>
      <c r="P48" s="41">
        <v>1.64</v>
      </c>
      <c r="Q48" s="41">
        <v>5.85</v>
      </c>
      <c r="R48" s="99" t="s">
        <v>109</v>
      </c>
      <c r="S48" s="39"/>
      <c r="T48" s="40"/>
      <c r="U48" s="48">
        <f t="shared" si="1"/>
        <v>0.26999999999999957</v>
      </c>
    </row>
    <row r="49" spans="1:21" ht="51" x14ac:dyDescent="0.2">
      <c r="A49" s="34">
        <v>42309</v>
      </c>
      <c r="B49" s="35"/>
      <c r="C49" s="36">
        <v>1</v>
      </c>
      <c r="D49" s="96">
        <v>13.59</v>
      </c>
      <c r="E49" s="53">
        <v>1.6</v>
      </c>
      <c r="F49" s="53">
        <v>5.6</v>
      </c>
      <c r="G49" s="99" t="s">
        <v>109</v>
      </c>
      <c r="H49" s="39"/>
      <c r="I49" s="40" t="s">
        <v>112</v>
      </c>
      <c r="J49" s="48">
        <f>+SUM(D49:F49)-SUM(D48:F48)-0.25</f>
        <v>0.19000000000000128</v>
      </c>
      <c r="L49" s="34">
        <v>42309</v>
      </c>
      <c r="M49" s="35"/>
      <c r="N49" s="36">
        <v>1</v>
      </c>
      <c r="O49" s="53">
        <v>14.04</v>
      </c>
      <c r="P49" s="41">
        <v>1.64</v>
      </c>
      <c r="Q49" s="41">
        <v>5.88</v>
      </c>
      <c r="R49" s="99" t="s">
        <v>109</v>
      </c>
      <c r="S49" s="39"/>
      <c r="T49" s="40" t="s">
        <v>112</v>
      </c>
      <c r="U49" s="48">
        <f>+SUM(O49:Q49)-SUM(O48:Q48)-0.25</f>
        <v>0.18999999999999773</v>
      </c>
    </row>
    <row r="50" spans="1:21" x14ac:dyDescent="0.2">
      <c r="A50" s="34">
        <v>42339</v>
      </c>
      <c r="B50" s="35"/>
      <c r="C50" s="36">
        <v>1</v>
      </c>
      <c r="D50" s="96">
        <v>13.84</v>
      </c>
      <c r="E50" s="53">
        <v>1.6</v>
      </c>
      <c r="F50" s="53">
        <v>5.64</v>
      </c>
      <c r="G50" s="99" t="s">
        <v>109</v>
      </c>
      <c r="H50" s="39"/>
      <c r="I50" s="40"/>
      <c r="J50" s="48">
        <f t="shared" si="3"/>
        <v>0.28999999999999915</v>
      </c>
      <c r="L50" s="34">
        <v>42339</v>
      </c>
      <c r="M50" s="35"/>
      <c r="N50" s="36">
        <v>1</v>
      </c>
      <c r="O50" s="53">
        <v>14.3</v>
      </c>
      <c r="P50" s="41">
        <v>1.64</v>
      </c>
      <c r="Q50" s="41">
        <v>5.93</v>
      </c>
      <c r="R50" s="99" t="s">
        <v>109</v>
      </c>
      <c r="S50" s="39"/>
      <c r="T50" s="40"/>
      <c r="U50" s="48">
        <f t="shared" si="1"/>
        <v>0.31000000000000227</v>
      </c>
    </row>
    <row r="51" spans="1:21" x14ac:dyDescent="0.2">
      <c r="A51" s="34">
        <v>42370</v>
      </c>
      <c r="B51" s="35"/>
      <c r="C51" s="36">
        <v>1</v>
      </c>
      <c r="D51" s="96">
        <v>13.97</v>
      </c>
      <c r="E51" s="53">
        <v>1.6</v>
      </c>
      <c r="F51" s="53">
        <v>5.67</v>
      </c>
      <c r="G51" s="99" t="s">
        <v>109</v>
      </c>
      <c r="H51" s="39"/>
      <c r="I51" s="40"/>
      <c r="J51" s="48">
        <f t="shared" si="3"/>
        <v>0.16000000000000369</v>
      </c>
      <c r="L51" s="34">
        <v>42370</v>
      </c>
      <c r="M51" s="35"/>
      <c r="N51" s="36">
        <v>1</v>
      </c>
      <c r="O51" s="53">
        <v>14.43</v>
      </c>
      <c r="P51" s="41">
        <v>1.64</v>
      </c>
      <c r="Q51" s="41">
        <v>5.96</v>
      </c>
      <c r="R51" s="99" t="s">
        <v>109</v>
      </c>
      <c r="S51" s="39"/>
      <c r="T51" s="40"/>
      <c r="U51" s="48">
        <f t="shared" si="1"/>
        <v>0.16000000000000014</v>
      </c>
    </row>
    <row r="52" spans="1:21" x14ac:dyDescent="0.2">
      <c r="A52" s="34">
        <v>42401</v>
      </c>
      <c r="B52" s="35"/>
      <c r="C52" s="36">
        <v>1</v>
      </c>
      <c r="D52" s="96">
        <v>14.1</v>
      </c>
      <c r="E52" s="53">
        <v>1.6</v>
      </c>
      <c r="F52" s="53">
        <v>5.69</v>
      </c>
      <c r="G52" s="99" t="s">
        <v>109</v>
      </c>
      <c r="H52" s="39"/>
      <c r="I52" s="40"/>
      <c r="J52" s="48">
        <f t="shared" si="3"/>
        <v>0.14999999999999858</v>
      </c>
      <c r="L52" s="34">
        <v>42401</v>
      </c>
      <c r="M52" s="35"/>
      <c r="N52" s="36">
        <v>1</v>
      </c>
      <c r="O52" s="53">
        <v>14.57</v>
      </c>
      <c r="P52" s="41">
        <v>1.64</v>
      </c>
      <c r="Q52" s="41">
        <v>5.99</v>
      </c>
      <c r="R52" s="99" t="s">
        <v>109</v>
      </c>
      <c r="S52" s="39"/>
      <c r="T52" s="40"/>
      <c r="U52" s="48">
        <f t="shared" si="1"/>
        <v>0.17000000000000171</v>
      </c>
    </row>
    <row r="53" spans="1:21" x14ac:dyDescent="0.2">
      <c r="A53" s="34">
        <v>42430</v>
      </c>
      <c r="B53" s="35"/>
      <c r="C53" s="36">
        <v>1</v>
      </c>
      <c r="D53" s="96">
        <v>14.19</v>
      </c>
      <c r="E53" s="53">
        <v>1.62</v>
      </c>
      <c r="F53" s="53">
        <v>5.9</v>
      </c>
      <c r="G53" s="99" t="s">
        <v>109</v>
      </c>
      <c r="H53" s="39"/>
      <c r="I53" s="40"/>
      <c r="J53" s="48">
        <f t="shared" si="3"/>
        <v>0.32000000000000028</v>
      </c>
      <c r="L53" s="34">
        <v>42430</v>
      </c>
      <c r="M53" s="35"/>
      <c r="N53" s="36">
        <v>1</v>
      </c>
      <c r="O53" s="53">
        <v>14.98</v>
      </c>
      <c r="P53" s="41">
        <v>1.66</v>
      </c>
      <c r="Q53" s="41">
        <v>6.2</v>
      </c>
      <c r="R53" s="99" t="s">
        <v>109</v>
      </c>
      <c r="S53" s="39"/>
      <c r="T53" s="40"/>
      <c r="U53" s="48">
        <f t="shared" si="1"/>
        <v>0.63999999999999702</v>
      </c>
    </row>
    <row r="54" spans="1:21" x14ac:dyDescent="0.2">
      <c r="A54" s="34">
        <v>42461</v>
      </c>
      <c r="B54" s="35"/>
      <c r="C54" s="36">
        <v>1</v>
      </c>
      <c r="D54" s="96">
        <v>15.3</v>
      </c>
      <c r="E54" s="53">
        <v>1.66</v>
      </c>
      <c r="F54" s="53">
        <v>6.52</v>
      </c>
      <c r="G54" s="99" t="s">
        <v>110</v>
      </c>
      <c r="H54" s="39"/>
      <c r="I54" s="40"/>
      <c r="J54" s="48">
        <f t="shared" si="3"/>
        <v>1.7699999999999996</v>
      </c>
      <c r="L54" s="34">
        <v>42461</v>
      </c>
      <c r="M54" s="35"/>
      <c r="N54" s="36">
        <v>1</v>
      </c>
      <c r="O54" s="53">
        <v>15.81</v>
      </c>
      <c r="P54" s="41">
        <v>1.7</v>
      </c>
      <c r="Q54" s="41">
        <v>6.84</v>
      </c>
      <c r="R54" s="99" t="s">
        <v>110</v>
      </c>
      <c r="S54" s="39"/>
      <c r="T54" s="40"/>
      <c r="U54" s="48">
        <f t="shared" si="1"/>
        <v>1.5100000000000016</v>
      </c>
    </row>
    <row r="55" spans="1:21" x14ac:dyDescent="0.2">
      <c r="A55" s="34">
        <v>42491</v>
      </c>
      <c r="B55" s="35"/>
      <c r="C55" s="36">
        <v>1</v>
      </c>
      <c r="D55" s="96">
        <v>16.11</v>
      </c>
      <c r="E55" s="53">
        <v>1.73</v>
      </c>
      <c r="F55" s="53">
        <v>7.02</v>
      </c>
      <c r="G55" s="99" t="s">
        <v>110</v>
      </c>
      <c r="H55" s="39"/>
      <c r="I55" s="40"/>
      <c r="J55" s="48">
        <f t="shared" si="3"/>
        <v>1.379999999999999</v>
      </c>
      <c r="L55" s="34">
        <v>42491</v>
      </c>
      <c r="M55" s="35"/>
      <c r="N55" s="36">
        <v>1</v>
      </c>
      <c r="O55" s="53">
        <v>16.649999999999999</v>
      </c>
      <c r="P55" s="41">
        <v>1.77</v>
      </c>
      <c r="Q55" s="41">
        <v>7.35</v>
      </c>
      <c r="R55" s="99" t="s">
        <v>110</v>
      </c>
      <c r="S55" s="39"/>
      <c r="T55" s="40"/>
      <c r="U55" s="48">
        <f t="shared" si="1"/>
        <v>1.4199999999999946</v>
      </c>
    </row>
    <row r="56" spans="1:21" x14ac:dyDescent="0.2">
      <c r="A56" s="34">
        <v>42522</v>
      </c>
      <c r="B56" s="35"/>
      <c r="C56" s="36">
        <v>1</v>
      </c>
      <c r="D56" s="96">
        <v>16.87</v>
      </c>
      <c r="E56" s="53">
        <v>1.81</v>
      </c>
      <c r="F56" s="53">
        <v>7.47</v>
      </c>
      <c r="G56" s="99" t="s">
        <v>110</v>
      </c>
      <c r="H56" s="39"/>
      <c r="I56" s="40"/>
      <c r="J56" s="48">
        <f t="shared" si="3"/>
        <v>1.2899999999999991</v>
      </c>
      <c r="L56" s="34">
        <v>42522</v>
      </c>
      <c r="M56" s="35"/>
      <c r="N56" s="36">
        <v>1</v>
      </c>
      <c r="O56" s="53">
        <v>17.43</v>
      </c>
      <c r="P56" s="41">
        <v>1.86</v>
      </c>
      <c r="Q56" s="41">
        <v>7.82</v>
      </c>
      <c r="R56" s="99" t="s">
        <v>110</v>
      </c>
      <c r="S56" s="39"/>
      <c r="T56" s="40"/>
      <c r="U56" s="48">
        <f t="shared" si="1"/>
        <v>1.3400000000000034</v>
      </c>
    </row>
    <row r="57" spans="1:21" x14ac:dyDescent="0.2">
      <c r="A57" s="34">
        <v>42552</v>
      </c>
      <c r="B57" s="35"/>
      <c r="C57" s="36">
        <v>1</v>
      </c>
      <c r="D57" s="96">
        <v>17.22</v>
      </c>
      <c r="E57" s="53">
        <v>1.95</v>
      </c>
      <c r="F57" s="53">
        <v>7.83</v>
      </c>
      <c r="G57" s="99" t="s">
        <v>110</v>
      </c>
      <c r="H57" s="39"/>
      <c r="I57" s="40"/>
      <c r="J57" s="48">
        <f t="shared" si="3"/>
        <v>0.85000000000000142</v>
      </c>
      <c r="L57" s="34">
        <v>42552</v>
      </c>
      <c r="M57" s="35"/>
      <c r="N57" s="36">
        <v>1</v>
      </c>
      <c r="O57" s="53">
        <v>17.8</v>
      </c>
      <c r="P57" s="41">
        <v>2</v>
      </c>
      <c r="Q57" s="41">
        <v>8.1999999999999993</v>
      </c>
      <c r="R57" s="99" t="s">
        <v>110</v>
      </c>
      <c r="S57" s="39"/>
      <c r="T57" s="40"/>
      <c r="U57" s="48">
        <f t="shared" si="1"/>
        <v>0.89000000000000057</v>
      </c>
    </row>
    <row r="58" spans="1:21" x14ac:dyDescent="0.2">
      <c r="A58" s="34">
        <v>42583</v>
      </c>
      <c r="B58" s="35"/>
      <c r="C58" s="36">
        <v>1</v>
      </c>
      <c r="D58" s="96">
        <v>17.440000000000001</v>
      </c>
      <c r="E58" s="53">
        <v>2.02</v>
      </c>
      <c r="F58" s="53">
        <v>8.1</v>
      </c>
      <c r="G58" s="99" t="s">
        <v>110</v>
      </c>
      <c r="H58" s="39"/>
      <c r="I58" s="40"/>
      <c r="J58" s="48">
        <f t="shared" si="3"/>
        <v>0.56000000000000227</v>
      </c>
      <c r="L58" s="34">
        <v>42583</v>
      </c>
      <c r="M58" s="35"/>
      <c r="N58" s="36">
        <v>1</v>
      </c>
      <c r="O58" s="53">
        <v>18.02</v>
      </c>
      <c r="P58" s="41">
        <v>2.08</v>
      </c>
      <c r="Q58" s="41">
        <v>8.48</v>
      </c>
      <c r="R58" s="99" t="s">
        <v>110</v>
      </c>
      <c r="S58" s="39"/>
      <c r="T58" s="40"/>
      <c r="U58" s="48">
        <f t="shared" si="1"/>
        <v>0.58000000000000185</v>
      </c>
    </row>
    <row r="59" spans="1:21" x14ac:dyDescent="0.2">
      <c r="A59" s="34">
        <v>42614</v>
      </c>
      <c r="B59" s="35"/>
      <c r="C59" s="36">
        <v>1</v>
      </c>
      <c r="D59" s="96">
        <v>17.565000000000001</v>
      </c>
      <c r="E59" s="53">
        <v>2.0619999999999998</v>
      </c>
      <c r="F59" s="53">
        <v>8.2309999999999999</v>
      </c>
      <c r="G59" s="99" t="s">
        <v>110</v>
      </c>
      <c r="H59" s="39"/>
      <c r="I59" s="40"/>
      <c r="J59" s="48">
        <f t="shared" si="3"/>
        <v>0.29800000000000182</v>
      </c>
      <c r="L59" s="34">
        <v>42614</v>
      </c>
      <c r="M59" s="35"/>
      <c r="N59" s="36">
        <v>1</v>
      </c>
      <c r="O59" s="53">
        <v>18.161000000000001</v>
      </c>
      <c r="P59" s="41">
        <v>2.1230000000000002</v>
      </c>
      <c r="Q59" s="41">
        <v>8.6199999999999992</v>
      </c>
      <c r="R59" s="99" t="s">
        <v>110</v>
      </c>
      <c r="S59" s="39"/>
      <c r="T59" s="40"/>
      <c r="U59" s="48">
        <f t="shared" si="1"/>
        <v>0.32400000000000162</v>
      </c>
    </row>
    <row r="60" spans="1:21" x14ac:dyDescent="0.2">
      <c r="A60" s="34">
        <v>42644</v>
      </c>
      <c r="B60" s="35"/>
      <c r="C60" s="36">
        <v>1</v>
      </c>
      <c r="D60" s="96">
        <v>17.623000000000001</v>
      </c>
      <c r="E60" s="53">
        <v>2.0640000000000001</v>
      </c>
      <c r="F60" s="53">
        <v>8.3290000000000006</v>
      </c>
      <c r="G60" s="99" t="s">
        <v>110</v>
      </c>
      <c r="H60" s="39"/>
      <c r="J60" s="48">
        <f t="shared" si="3"/>
        <v>0.1579999999999977</v>
      </c>
      <c r="L60" s="34">
        <v>42644</v>
      </c>
      <c r="M60" s="35"/>
      <c r="N60" s="36">
        <v>1</v>
      </c>
      <c r="O60" s="53">
        <v>18.222000000000001</v>
      </c>
      <c r="P60" s="41">
        <v>2.1259999999999999</v>
      </c>
      <c r="Q60" s="41">
        <v>8.7210000000000001</v>
      </c>
      <c r="R60" s="99" t="s">
        <v>110</v>
      </c>
      <c r="S60" s="39"/>
      <c r="T60" s="40"/>
      <c r="U60" s="48">
        <f t="shared" si="1"/>
        <v>0.16499999999999915</v>
      </c>
    </row>
    <row r="61" spans="1:21" ht="51" x14ac:dyDescent="0.2">
      <c r="A61" s="34">
        <v>42675</v>
      </c>
      <c r="B61" s="35"/>
      <c r="C61" s="36">
        <v>1</v>
      </c>
      <c r="D61" s="96">
        <v>18.593</v>
      </c>
      <c r="E61" s="53">
        <v>2.1739999999999999</v>
      </c>
      <c r="F61" s="53">
        <v>8.35</v>
      </c>
      <c r="G61" s="99" t="s">
        <v>110</v>
      </c>
      <c r="H61" s="39"/>
      <c r="I61" s="40" t="s">
        <v>113</v>
      </c>
      <c r="J61" s="48">
        <f>+SUM(D61:F61)-SUM(D60:F60)-1.02</f>
        <v>8.099999999999552E-2</v>
      </c>
      <c r="L61" s="34">
        <v>42675</v>
      </c>
      <c r="M61" s="35"/>
      <c r="N61" s="36">
        <v>1</v>
      </c>
      <c r="O61" s="53">
        <v>19.187000000000001</v>
      </c>
      <c r="P61" s="41">
        <v>2.242</v>
      </c>
      <c r="Q61" s="41">
        <v>8.7420000000000009</v>
      </c>
      <c r="R61" s="99" t="s">
        <v>110</v>
      </c>
      <c r="S61" s="39"/>
      <c r="T61" s="40" t="s">
        <v>114</v>
      </c>
      <c r="U61" s="48">
        <f>+SUM(O61:Q61)-SUM(O60:Q60)-1.013</f>
        <v>8.9000000000000412E-2</v>
      </c>
    </row>
    <row r="62" spans="1:21" x14ac:dyDescent="0.2">
      <c r="A62" s="34">
        <v>42705</v>
      </c>
      <c r="B62" s="35"/>
      <c r="C62" s="36">
        <v>1</v>
      </c>
      <c r="D62" s="96">
        <v>18.632999999999999</v>
      </c>
      <c r="E62" s="53">
        <v>2.1749999999999998</v>
      </c>
      <c r="F62" s="53">
        <v>8.3610000000000007</v>
      </c>
      <c r="G62" s="99" t="s">
        <v>110</v>
      </c>
      <c r="H62" s="39"/>
      <c r="I62" s="40"/>
      <c r="J62" s="48">
        <f t="shared" si="3"/>
        <v>5.2000000000003155E-2</v>
      </c>
      <c r="L62" s="34">
        <v>42705</v>
      </c>
      <c r="M62" s="35"/>
      <c r="N62" s="36">
        <v>1</v>
      </c>
      <c r="O62" s="53">
        <v>19.228000000000002</v>
      </c>
      <c r="P62" s="41">
        <v>2.2440000000000002</v>
      </c>
      <c r="Q62" s="41">
        <v>8.7530000000000001</v>
      </c>
      <c r="R62" s="99" t="s">
        <v>110</v>
      </c>
      <c r="S62" s="39"/>
      <c r="T62" s="40"/>
      <c r="U62" s="48">
        <f t="shared" si="1"/>
        <v>5.3999999999998494E-2</v>
      </c>
    </row>
    <row r="63" spans="1:21" x14ac:dyDescent="0.2">
      <c r="A63" s="34">
        <v>42736</v>
      </c>
      <c r="B63" s="35"/>
      <c r="C63" s="36">
        <v>1</v>
      </c>
      <c r="D63" s="96">
        <v>18.698</v>
      </c>
      <c r="E63" s="53">
        <v>2.1760000000000002</v>
      </c>
      <c r="F63" s="53">
        <v>8.3849999999999998</v>
      </c>
      <c r="G63" s="99" t="s">
        <v>110</v>
      </c>
      <c r="H63" s="39"/>
      <c r="I63" s="40"/>
      <c r="J63" s="48">
        <f t="shared" si="3"/>
        <v>8.9999999999999858E-2</v>
      </c>
      <c r="L63" s="34">
        <v>42736</v>
      </c>
      <c r="M63" s="35"/>
      <c r="N63" s="36">
        <v>1</v>
      </c>
      <c r="O63" s="53">
        <v>19.294</v>
      </c>
      <c r="P63" s="41">
        <v>2.2440000000000002</v>
      </c>
      <c r="Q63" s="41">
        <v>8.7769999999999992</v>
      </c>
      <c r="R63" s="99" t="s">
        <v>110</v>
      </c>
      <c r="S63" s="39"/>
      <c r="T63" s="40"/>
      <c r="U63" s="48">
        <f t="shared" si="1"/>
        <v>8.9999999999996305E-2</v>
      </c>
    </row>
    <row r="64" spans="1:21" x14ac:dyDescent="0.2">
      <c r="A64" s="34">
        <v>42767</v>
      </c>
      <c r="B64" s="35"/>
      <c r="C64" s="36">
        <v>1</v>
      </c>
      <c r="D64" s="96">
        <v>18.835999999999999</v>
      </c>
      <c r="E64" s="53">
        <v>2.1760000000000002</v>
      </c>
      <c r="F64" s="53">
        <v>8.4510000000000005</v>
      </c>
      <c r="G64" s="99" t="s">
        <v>110</v>
      </c>
      <c r="H64" s="39"/>
      <c r="I64" s="40"/>
      <c r="J64" s="48">
        <f t="shared" si="3"/>
        <v>0.20400000000000063</v>
      </c>
      <c r="L64" s="34">
        <v>42767</v>
      </c>
      <c r="M64" s="35"/>
      <c r="N64" s="36">
        <v>1</v>
      </c>
      <c r="O64" s="53">
        <v>19.437000000000001</v>
      </c>
      <c r="P64" s="41">
        <v>2.2450000000000001</v>
      </c>
      <c r="Q64" s="41">
        <v>8.8469999999999995</v>
      </c>
      <c r="R64" s="99" t="s">
        <v>110</v>
      </c>
      <c r="S64" s="39"/>
      <c r="T64" s="40"/>
      <c r="U64" s="48">
        <f t="shared" si="1"/>
        <v>0.21400000000000574</v>
      </c>
    </row>
    <row r="65" spans="1:21" x14ac:dyDescent="0.2">
      <c r="A65" s="34">
        <v>42795</v>
      </c>
      <c r="B65" s="35"/>
      <c r="C65" s="36">
        <v>1</v>
      </c>
      <c r="D65" s="96">
        <v>19.087</v>
      </c>
      <c r="E65" s="53">
        <v>2.177</v>
      </c>
      <c r="F65" s="53">
        <v>8.5830000000000002</v>
      </c>
      <c r="G65" s="99" t="s">
        <v>110</v>
      </c>
      <c r="H65" s="39"/>
      <c r="I65" s="40"/>
      <c r="J65" s="48">
        <f t="shared" si="3"/>
        <v>0.38400000000000034</v>
      </c>
      <c r="L65" s="34">
        <v>42795</v>
      </c>
      <c r="M65" s="35"/>
      <c r="N65" s="36">
        <v>1</v>
      </c>
      <c r="O65" s="53">
        <v>19.702999999999999</v>
      </c>
      <c r="P65" s="41">
        <v>2.246</v>
      </c>
      <c r="Q65" s="41">
        <v>8.984</v>
      </c>
      <c r="R65" s="99" t="s">
        <v>110</v>
      </c>
      <c r="S65" s="39"/>
      <c r="T65" s="40"/>
      <c r="U65" s="48">
        <f t="shared" si="1"/>
        <v>0.40399999999999636</v>
      </c>
    </row>
    <row r="66" spans="1:21" x14ac:dyDescent="0.2">
      <c r="A66" s="34">
        <v>42826</v>
      </c>
      <c r="B66" s="35"/>
      <c r="C66" s="36">
        <v>1</v>
      </c>
      <c r="D66" s="96">
        <v>19.428999999999998</v>
      </c>
      <c r="E66" s="53">
        <v>2.1970000000000001</v>
      </c>
      <c r="F66" s="53">
        <v>8.7100000000000009</v>
      </c>
      <c r="G66" s="99" t="s">
        <v>110</v>
      </c>
      <c r="H66" s="39"/>
      <c r="I66" s="40"/>
      <c r="J66" s="48">
        <f t="shared" si="3"/>
        <v>0.48899999999999721</v>
      </c>
      <c r="L66" s="34">
        <v>42826</v>
      </c>
      <c r="M66" s="35"/>
      <c r="N66" s="36">
        <v>1</v>
      </c>
      <c r="O66" s="53">
        <v>20.059000000000001</v>
      </c>
      <c r="P66" s="41">
        <v>2.266</v>
      </c>
      <c r="Q66" s="41">
        <v>9.1219999999999999</v>
      </c>
      <c r="R66" s="99" t="s">
        <v>110</v>
      </c>
      <c r="S66" s="39"/>
      <c r="T66" s="40"/>
      <c r="U66" s="48">
        <f t="shared" si="1"/>
        <v>0.5140000000000029</v>
      </c>
    </row>
    <row r="67" spans="1:21" x14ac:dyDescent="0.2">
      <c r="A67" s="34">
        <v>42856</v>
      </c>
      <c r="B67" s="35"/>
      <c r="C67" s="36">
        <v>1</v>
      </c>
      <c r="D67" s="96">
        <v>20.190000000000001</v>
      </c>
      <c r="E67" s="53">
        <v>2.2069999999999999</v>
      </c>
      <c r="F67" s="53">
        <v>9.1590000000000007</v>
      </c>
      <c r="G67" s="99" t="s">
        <v>110</v>
      </c>
      <c r="H67" s="39"/>
      <c r="I67" s="40"/>
      <c r="J67" s="48">
        <f t="shared" si="3"/>
        <v>1.220000000000006</v>
      </c>
      <c r="L67" s="34">
        <v>42856</v>
      </c>
      <c r="M67" s="35"/>
      <c r="N67" s="36">
        <v>1</v>
      </c>
      <c r="O67" s="53">
        <v>20.846</v>
      </c>
      <c r="P67" s="41">
        <v>2.2759999999999998</v>
      </c>
      <c r="Q67" s="41">
        <v>9.5850000000000009</v>
      </c>
      <c r="R67" s="99" t="s">
        <v>110</v>
      </c>
      <c r="S67" s="39"/>
      <c r="T67" s="40"/>
      <c r="U67" s="48">
        <f t="shared" si="1"/>
        <v>1.259999999999998</v>
      </c>
    </row>
    <row r="68" spans="1:21" x14ac:dyDescent="0.2">
      <c r="A68" s="34">
        <v>42887</v>
      </c>
      <c r="B68" s="35"/>
      <c r="C68" s="36">
        <v>1</v>
      </c>
      <c r="D68" s="96">
        <v>20.788</v>
      </c>
      <c r="E68" s="53">
        <v>2.2090000000000001</v>
      </c>
      <c r="F68" s="53">
        <v>9.4949999999999992</v>
      </c>
      <c r="G68" s="99" t="s">
        <v>110</v>
      </c>
      <c r="H68" s="39"/>
      <c r="I68" s="40"/>
      <c r="J68" s="48">
        <f t="shared" si="3"/>
        <v>0.93599999999999284</v>
      </c>
      <c r="L68" s="34">
        <v>42887</v>
      </c>
      <c r="M68" s="35"/>
      <c r="N68" s="36">
        <v>1</v>
      </c>
      <c r="O68" s="53">
        <v>21.466999999999999</v>
      </c>
      <c r="P68" s="41">
        <v>2.278</v>
      </c>
      <c r="Q68" s="41">
        <v>9.9359999999999999</v>
      </c>
      <c r="R68" s="99" t="s">
        <v>110</v>
      </c>
      <c r="S68" s="39"/>
      <c r="T68" s="40"/>
      <c r="U68" s="48">
        <f t="shared" si="1"/>
        <v>0.97399999999999665</v>
      </c>
    </row>
    <row r="69" spans="1:21" x14ac:dyDescent="0.2">
      <c r="A69" s="34">
        <v>42917</v>
      </c>
      <c r="B69" s="35"/>
      <c r="C69" s="36">
        <v>1</v>
      </c>
      <c r="D69" s="96">
        <v>20.957999999999998</v>
      </c>
      <c r="E69" s="53">
        <v>2.2909999999999999</v>
      </c>
      <c r="F69" s="53">
        <v>9.7370000000000001</v>
      </c>
      <c r="G69" s="99" t="s">
        <v>110</v>
      </c>
      <c r="H69" s="39"/>
      <c r="I69" s="40"/>
      <c r="J69" s="48">
        <f t="shared" si="3"/>
        <v>0.49399999999999977</v>
      </c>
      <c r="L69" s="34">
        <v>42917</v>
      </c>
      <c r="M69" s="35"/>
      <c r="N69" s="36">
        <v>1</v>
      </c>
      <c r="O69" s="53">
        <v>21.641999999999999</v>
      </c>
      <c r="P69" s="41">
        <v>2.3610000000000002</v>
      </c>
      <c r="Q69" s="41">
        <v>10.193</v>
      </c>
      <c r="R69" s="99" t="s">
        <v>110</v>
      </c>
      <c r="S69" s="39"/>
      <c r="T69" s="40"/>
      <c r="U69" s="48">
        <f t="shared" si="1"/>
        <v>0.51500000000000057</v>
      </c>
    </row>
    <row r="70" spans="1:21" x14ac:dyDescent="0.2">
      <c r="A70" s="34">
        <v>42948</v>
      </c>
      <c r="B70" s="35"/>
      <c r="C70" s="36">
        <v>1</v>
      </c>
      <c r="D70" s="96">
        <v>21.123999999999999</v>
      </c>
      <c r="E70" s="53">
        <v>2.379</v>
      </c>
      <c r="F70" s="53">
        <v>9.7550000000000008</v>
      </c>
      <c r="G70" s="99" t="s">
        <v>110</v>
      </c>
      <c r="H70" s="39"/>
      <c r="I70" s="40"/>
      <c r="J70" s="48">
        <f t="shared" si="3"/>
        <v>0.27200000000000557</v>
      </c>
      <c r="L70" s="34">
        <v>42948</v>
      </c>
      <c r="M70" s="35"/>
      <c r="N70" s="36">
        <v>1</v>
      </c>
      <c r="O70" s="53">
        <v>21.812999999999999</v>
      </c>
      <c r="P70" s="41">
        <v>2.4510000000000001</v>
      </c>
      <c r="Q70" s="41">
        <v>10.212</v>
      </c>
      <c r="R70" s="99" t="s">
        <v>110</v>
      </c>
      <c r="S70" s="39"/>
      <c r="T70" s="40"/>
      <c r="U70" s="48">
        <f t="shared" si="1"/>
        <v>0.28000000000000114</v>
      </c>
    </row>
    <row r="71" spans="1:21" x14ac:dyDescent="0.2">
      <c r="A71" s="34">
        <v>42979</v>
      </c>
      <c r="B71" s="35"/>
      <c r="C71" s="36">
        <v>1</v>
      </c>
      <c r="D71" s="96">
        <v>21.146999999999998</v>
      </c>
      <c r="E71" s="53">
        <v>2.4089999999999998</v>
      </c>
      <c r="F71" s="53">
        <v>9.7639999999999993</v>
      </c>
      <c r="G71" s="99" t="s">
        <v>110</v>
      </c>
      <c r="H71" s="39"/>
      <c r="I71" s="40"/>
      <c r="J71" s="48">
        <f t="shared" si="3"/>
        <v>6.1999999999990507E-2</v>
      </c>
      <c r="L71" s="34">
        <v>42979</v>
      </c>
      <c r="M71" s="35"/>
      <c r="N71" s="36">
        <v>1</v>
      </c>
      <c r="O71" s="53">
        <v>21.837</v>
      </c>
      <c r="P71" s="41">
        <v>2.4809999999999999</v>
      </c>
      <c r="Q71" s="41">
        <v>10.223000000000001</v>
      </c>
      <c r="R71" s="99" t="s">
        <v>110</v>
      </c>
      <c r="S71" s="39"/>
      <c r="T71" s="40"/>
      <c r="U71" s="48">
        <f t="shared" si="1"/>
        <v>6.4999999999997726E-2</v>
      </c>
    </row>
    <row r="72" spans="1:21" x14ac:dyDescent="0.2">
      <c r="A72" s="34">
        <v>43009</v>
      </c>
      <c r="B72" s="35"/>
      <c r="C72" s="36">
        <v>1</v>
      </c>
      <c r="D72" s="96">
        <v>21.236000000000001</v>
      </c>
      <c r="E72" s="53">
        <v>2.4729999999999999</v>
      </c>
      <c r="F72" s="53">
        <v>9.7919999999999998</v>
      </c>
      <c r="G72" s="99" t="s">
        <v>110</v>
      </c>
      <c r="H72" s="39"/>
      <c r="J72" s="48">
        <f t="shared" si="3"/>
        <v>0.18100000000000449</v>
      </c>
      <c r="L72" s="34">
        <v>43009</v>
      </c>
      <c r="M72" s="35"/>
      <c r="N72" s="36">
        <v>1</v>
      </c>
      <c r="O72" s="53">
        <v>21.928000000000001</v>
      </c>
      <c r="P72" s="41">
        <v>2.5470000000000002</v>
      </c>
      <c r="Q72" s="41">
        <v>10.253</v>
      </c>
      <c r="R72" s="99" t="s">
        <v>110</v>
      </c>
      <c r="S72" s="39"/>
      <c r="T72" s="40"/>
      <c r="U72" s="48">
        <f t="shared" si="1"/>
        <v>0.18700000000000472</v>
      </c>
    </row>
    <row r="73" spans="1:21" ht="51" x14ac:dyDescent="0.2">
      <c r="A73" s="34">
        <v>43040</v>
      </c>
      <c r="B73" s="35"/>
      <c r="C73" s="36">
        <v>1</v>
      </c>
      <c r="D73" s="96">
        <v>21.454000000000001</v>
      </c>
      <c r="E73" s="53">
        <v>2.722</v>
      </c>
      <c r="F73" s="53">
        <v>9.8119999999999994</v>
      </c>
      <c r="G73" s="99" t="s">
        <v>110</v>
      </c>
      <c r="H73" s="39"/>
      <c r="I73" s="40" t="s">
        <v>115</v>
      </c>
      <c r="J73" s="48">
        <f>+SUM(D73:F73)-SUM(D72:F72)-0.361</f>
        <v>0.12600000000000189</v>
      </c>
      <c r="L73" s="34">
        <v>43040</v>
      </c>
      <c r="M73" s="35"/>
      <c r="N73" s="36">
        <v>1</v>
      </c>
      <c r="O73" s="53">
        <v>22.161999999999999</v>
      </c>
      <c r="P73" s="41">
        <v>2.786</v>
      </c>
      <c r="Q73" s="41">
        <v>10.273</v>
      </c>
      <c r="R73" s="99" t="s">
        <v>110</v>
      </c>
      <c r="S73" s="39"/>
      <c r="T73" s="40" t="s">
        <v>116</v>
      </c>
      <c r="U73" s="48">
        <f>+SUM(O73:Q73)-SUM(O72:Q72)-0.362</f>
        <v>0.13100000000000211</v>
      </c>
    </row>
    <row r="74" spans="1:21" x14ac:dyDescent="0.2">
      <c r="A74" s="34">
        <v>43070</v>
      </c>
      <c r="B74" s="35"/>
      <c r="C74" s="36">
        <v>1</v>
      </c>
      <c r="D74" s="96">
        <v>21.608000000000001</v>
      </c>
      <c r="E74" s="53">
        <v>2.74</v>
      </c>
      <c r="F74" s="53">
        <v>9.8279999999999994</v>
      </c>
      <c r="G74" s="99" t="s">
        <v>110</v>
      </c>
      <c r="H74" s="39"/>
      <c r="I74" s="40"/>
      <c r="J74" s="48">
        <f t="shared" si="3"/>
        <v>0.18800000000000239</v>
      </c>
      <c r="L74" s="34">
        <v>43070</v>
      </c>
      <c r="M74" s="35"/>
      <c r="N74" s="36">
        <v>1</v>
      </c>
      <c r="O74" s="53">
        <v>22.318000000000001</v>
      </c>
      <c r="P74" s="41">
        <v>2.8050000000000002</v>
      </c>
      <c r="Q74" s="41">
        <v>10.289</v>
      </c>
      <c r="R74" s="99" t="s">
        <v>110</v>
      </c>
      <c r="S74" s="39"/>
      <c r="T74" s="40"/>
      <c r="U74" s="48">
        <f t="shared" si="1"/>
        <v>0.1909999999999954</v>
      </c>
    </row>
    <row r="75" spans="1:21" x14ac:dyDescent="0.2">
      <c r="A75" s="34">
        <v>43101</v>
      </c>
      <c r="B75" s="35"/>
      <c r="C75" s="36">
        <v>1</v>
      </c>
      <c r="D75" s="96">
        <v>21.724</v>
      </c>
      <c r="E75" s="53">
        <v>2.74</v>
      </c>
      <c r="F75" s="53">
        <v>9.8719999999999999</v>
      </c>
      <c r="G75" s="99" t="s">
        <v>110</v>
      </c>
      <c r="H75" s="39"/>
      <c r="I75" s="40"/>
      <c r="J75" s="48">
        <f t="shared" si="3"/>
        <v>0.15999999999999659</v>
      </c>
      <c r="L75" s="34">
        <v>43101</v>
      </c>
      <c r="M75" s="35"/>
      <c r="N75" s="36">
        <v>1</v>
      </c>
      <c r="O75" s="53">
        <v>22.440999999999999</v>
      </c>
      <c r="P75" s="41">
        <v>2.8050000000000002</v>
      </c>
      <c r="Q75" s="41">
        <v>10.342000000000001</v>
      </c>
      <c r="R75" s="99" t="s">
        <v>110</v>
      </c>
      <c r="S75" s="39"/>
      <c r="T75" s="40"/>
      <c r="U75" s="48">
        <f t="shared" si="1"/>
        <v>0.17600000000000193</v>
      </c>
    </row>
    <row r="76" spans="1:21" x14ac:dyDescent="0.2">
      <c r="A76" s="34">
        <v>43132</v>
      </c>
      <c r="B76" s="35"/>
      <c r="C76" s="36">
        <v>1</v>
      </c>
      <c r="D76" s="96">
        <v>21.87</v>
      </c>
      <c r="E76" s="53">
        <v>2.74</v>
      </c>
      <c r="F76" s="53">
        <v>9.9450000000000003</v>
      </c>
      <c r="G76" s="99" t="s">
        <v>110</v>
      </c>
      <c r="H76" s="39"/>
      <c r="I76" s="40"/>
      <c r="J76" s="48">
        <f t="shared" si="3"/>
        <v>0.21900000000000119</v>
      </c>
      <c r="L76" s="34">
        <v>43132</v>
      </c>
      <c r="M76" s="35"/>
      <c r="N76" s="36">
        <v>1</v>
      </c>
      <c r="O76" s="53">
        <v>22.597999999999999</v>
      </c>
      <c r="P76" s="41">
        <v>2.8050000000000002</v>
      </c>
      <c r="Q76" s="41">
        <v>10.420999999999999</v>
      </c>
      <c r="R76" s="99" t="s">
        <v>110</v>
      </c>
      <c r="S76" s="39"/>
      <c r="T76" s="40"/>
      <c r="U76" s="48">
        <f t="shared" si="1"/>
        <v>0.2359999999999971</v>
      </c>
    </row>
    <row r="77" spans="1:21" x14ac:dyDescent="0.2">
      <c r="A77" s="34">
        <v>43160</v>
      </c>
      <c r="B77" s="35"/>
      <c r="C77" s="36">
        <v>1</v>
      </c>
      <c r="D77" s="96">
        <v>22.213999999999999</v>
      </c>
      <c r="E77" s="53">
        <v>2.7440000000000002</v>
      </c>
      <c r="F77" s="53">
        <v>10.63</v>
      </c>
      <c r="G77" s="99" t="s">
        <v>110</v>
      </c>
      <c r="H77" s="39"/>
      <c r="I77" s="40"/>
      <c r="J77" s="48">
        <f t="shared" si="3"/>
        <v>1.0330000000000013</v>
      </c>
      <c r="L77" s="34">
        <v>43160</v>
      </c>
      <c r="M77" s="35"/>
      <c r="N77" s="36">
        <v>1</v>
      </c>
      <c r="O77" s="53">
        <v>22.966000000000001</v>
      </c>
      <c r="P77" s="41">
        <v>2.8119999999999998</v>
      </c>
      <c r="Q77" s="41">
        <v>10.555</v>
      </c>
      <c r="R77" s="99" t="s">
        <v>110</v>
      </c>
      <c r="S77" s="39"/>
      <c r="T77" s="40"/>
      <c r="U77" s="48">
        <f t="shared" si="1"/>
        <v>0.50900000000000034</v>
      </c>
    </row>
    <row r="78" spans="1:21" x14ac:dyDescent="0.2">
      <c r="A78" s="34">
        <v>43191</v>
      </c>
      <c r="B78" s="35"/>
      <c r="C78" s="36">
        <v>1</v>
      </c>
      <c r="D78" s="96">
        <v>22.661999999999999</v>
      </c>
      <c r="E78" s="53">
        <v>2.754</v>
      </c>
      <c r="F78" s="53">
        <v>10.257999999999999</v>
      </c>
      <c r="G78" s="99" t="s">
        <v>110</v>
      </c>
      <c r="H78" s="39"/>
      <c r="I78" s="40"/>
      <c r="J78" s="48">
        <f t="shared" si="3"/>
        <v>8.5999999999998522E-2</v>
      </c>
      <c r="L78" s="34">
        <v>43191</v>
      </c>
      <c r="M78" s="35"/>
      <c r="N78" s="36">
        <v>1</v>
      </c>
      <c r="O78" s="53">
        <v>23.434999999999999</v>
      </c>
      <c r="P78" s="41">
        <v>2.8239999999999998</v>
      </c>
      <c r="Q78" s="41">
        <v>10.763999999999999</v>
      </c>
      <c r="R78" s="99" t="s">
        <v>110</v>
      </c>
      <c r="S78" s="39"/>
      <c r="T78" s="40"/>
      <c r="U78" s="48">
        <f t="shared" si="1"/>
        <v>0.68999999999999773</v>
      </c>
    </row>
    <row r="79" spans="1:21" x14ac:dyDescent="0.2">
      <c r="A79" s="34">
        <v>43221</v>
      </c>
      <c r="B79" s="35"/>
      <c r="C79" s="36">
        <v>1</v>
      </c>
      <c r="D79" s="96">
        <v>22.876000000000001</v>
      </c>
      <c r="E79" s="53">
        <v>2.7669999999999999</v>
      </c>
      <c r="F79" s="53">
        <v>10.352</v>
      </c>
      <c r="G79" s="99" t="s">
        <v>110</v>
      </c>
      <c r="H79" s="39"/>
      <c r="I79" s="40"/>
      <c r="J79" s="48">
        <f t="shared" si="3"/>
        <v>0.32100000000000506</v>
      </c>
      <c r="L79" s="34">
        <v>43221</v>
      </c>
      <c r="M79" s="35"/>
      <c r="N79" s="36">
        <v>1</v>
      </c>
      <c r="O79" s="53">
        <v>23.661999999999999</v>
      </c>
      <c r="P79" s="41">
        <v>2.8380000000000001</v>
      </c>
      <c r="Q79" s="41">
        <v>10.863</v>
      </c>
      <c r="R79" s="99" t="s">
        <v>110</v>
      </c>
      <c r="S79" s="39"/>
      <c r="T79" s="40"/>
      <c r="U79" s="48">
        <f t="shared" si="1"/>
        <v>0.34000000000000341</v>
      </c>
    </row>
    <row r="80" spans="1:21" x14ac:dyDescent="0.2">
      <c r="A80" s="34">
        <v>43252</v>
      </c>
      <c r="B80" s="35"/>
      <c r="C80" s="36">
        <v>1</v>
      </c>
      <c r="D80" s="96">
        <v>22.959</v>
      </c>
      <c r="E80" s="53">
        <v>2.7669999999999999</v>
      </c>
      <c r="F80" s="53">
        <v>10.378</v>
      </c>
      <c r="G80" s="99" t="s">
        <v>110</v>
      </c>
      <c r="H80" s="39"/>
      <c r="I80" s="40"/>
      <c r="J80" s="48">
        <f t="shared" si="3"/>
        <v>0.10899999999999466</v>
      </c>
      <c r="L80" s="34">
        <v>43252</v>
      </c>
      <c r="M80" s="35"/>
      <c r="N80" s="36">
        <v>1</v>
      </c>
      <c r="O80" s="53">
        <v>23.748999999999999</v>
      </c>
      <c r="P80" s="41">
        <v>2.839</v>
      </c>
      <c r="Q80" s="41">
        <v>10.893000000000001</v>
      </c>
      <c r="R80" s="99" t="s">
        <v>110</v>
      </c>
      <c r="S80" s="39"/>
      <c r="T80" s="40"/>
      <c r="U80" s="48">
        <f t="shared" si="1"/>
        <v>0.117999999999995</v>
      </c>
    </row>
    <row r="81" spans="1:21" x14ac:dyDescent="0.2">
      <c r="A81" s="34">
        <v>43282</v>
      </c>
      <c r="B81" s="35"/>
      <c r="C81" s="36">
        <v>1</v>
      </c>
      <c r="D81" s="96">
        <v>22.986000000000001</v>
      </c>
      <c r="E81" s="53">
        <v>2.78</v>
      </c>
      <c r="F81" s="53">
        <v>10.412000000000001</v>
      </c>
      <c r="G81" s="99" t="s">
        <v>111</v>
      </c>
      <c r="H81" s="39"/>
      <c r="I81" s="40"/>
      <c r="J81" s="48">
        <f t="shared" ref="J81:J90" si="4">+SUM(D81:F81)-SUM(D80:F80)</f>
        <v>7.4000000000005173E-2</v>
      </c>
      <c r="L81" s="34">
        <v>43282</v>
      </c>
      <c r="M81" s="35"/>
      <c r="N81" s="36">
        <v>1</v>
      </c>
      <c r="O81" s="53">
        <v>23.779</v>
      </c>
      <c r="P81" s="41">
        <v>2.8530000000000002</v>
      </c>
      <c r="Q81" s="41">
        <v>10.928000000000001</v>
      </c>
      <c r="R81" s="99" t="s">
        <v>111</v>
      </c>
      <c r="S81" s="39"/>
      <c r="T81" s="40"/>
      <c r="U81" s="48">
        <f t="shared" ref="U81:U90" si="5">+SUM(O81:Q81)-SUM(O80:Q80)</f>
        <v>7.9000000000007731E-2</v>
      </c>
    </row>
    <row r="82" spans="1:21" x14ac:dyDescent="0.2">
      <c r="A82" s="34">
        <v>43313</v>
      </c>
      <c r="B82" s="35"/>
      <c r="C82" s="36">
        <v>1</v>
      </c>
      <c r="D82" s="96">
        <v>22.99</v>
      </c>
      <c r="E82" s="53">
        <v>2.782</v>
      </c>
      <c r="F82" s="53">
        <v>10.412000000000001</v>
      </c>
      <c r="G82" s="99" t="s">
        <v>111</v>
      </c>
      <c r="H82" s="39"/>
      <c r="I82" s="40"/>
      <c r="J82" s="48">
        <f t="shared" si="4"/>
        <v>5.9999999999931219E-3</v>
      </c>
      <c r="L82" s="34">
        <v>43313</v>
      </c>
      <c r="M82" s="35"/>
      <c r="N82" s="36">
        <v>1</v>
      </c>
      <c r="O82" s="53">
        <v>23.782</v>
      </c>
      <c r="P82" s="41">
        <v>2.855</v>
      </c>
      <c r="Q82" s="41">
        <v>10.928000000000001</v>
      </c>
      <c r="R82" s="99" t="s">
        <v>111</v>
      </c>
      <c r="S82" s="39"/>
      <c r="T82" s="40"/>
      <c r="U82" s="48">
        <f t="shared" si="5"/>
        <v>4.9999999999954525E-3</v>
      </c>
    </row>
    <row r="83" spans="1:21" x14ac:dyDescent="0.2">
      <c r="A83" s="34">
        <v>43344</v>
      </c>
      <c r="B83" s="35"/>
      <c r="C83" s="36">
        <v>1</v>
      </c>
      <c r="D83" s="96">
        <v>22.995999999999999</v>
      </c>
      <c r="E83" s="53">
        <v>2.7829999999999999</v>
      </c>
      <c r="F83" s="53">
        <v>10.412000000000001</v>
      </c>
      <c r="G83" s="99" t="s">
        <v>111</v>
      </c>
      <c r="H83" s="39"/>
      <c r="I83" s="40"/>
      <c r="J83" s="48">
        <f t="shared" si="4"/>
        <v>7.0000000000050022E-3</v>
      </c>
      <c r="L83" s="34">
        <v>43344</v>
      </c>
      <c r="M83" s="35"/>
      <c r="N83" s="36">
        <v>1</v>
      </c>
      <c r="O83" s="53">
        <v>23.788</v>
      </c>
      <c r="P83" s="41">
        <v>2.8559999999999999</v>
      </c>
      <c r="Q83" s="41">
        <v>10.928000000000001</v>
      </c>
      <c r="R83" s="99" t="s">
        <v>111</v>
      </c>
      <c r="S83" s="39"/>
      <c r="T83" s="40"/>
      <c r="U83" s="48">
        <f t="shared" si="5"/>
        <v>7.0000000000050022E-3</v>
      </c>
    </row>
    <row r="84" spans="1:21" x14ac:dyDescent="0.2">
      <c r="A84" s="34">
        <v>43374</v>
      </c>
      <c r="B84" s="35"/>
      <c r="C84" s="36">
        <v>1</v>
      </c>
      <c r="D84" s="96">
        <v>23.010999999999999</v>
      </c>
      <c r="E84" s="53">
        <v>2.7909999999999999</v>
      </c>
      <c r="F84" s="53">
        <v>10.414</v>
      </c>
      <c r="G84" s="99" t="s">
        <v>111</v>
      </c>
      <c r="H84" s="39"/>
      <c r="I84" s="40"/>
      <c r="J84" s="48">
        <f t="shared" si="4"/>
        <v>2.4999999999998579E-2</v>
      </c>
      <c r="L84" s="34">
        <v>43374</v>
      </c>
      <c r="M84" s="35"/>
      <c r="N84" s="36">
        <v>1</v>
      </c>
      <c r="O84" s="53">
        <v>23.803000000000001</v>
      </c>
      <c r="P84" s="41">
        <v>2.8639999999999999</v>
      </c>
      <c r="Q84" s="41">
        <v>10.930999999999999</v>
      </c>
      <c r="R84" s="99" t="s">
        <v>111</v>
      </c>
      <c r="S84" s="39"/>
      <c r="T84" s="40"/>
      <c r="U84" s="48">
        <f t="shared" si="5"/>
        <v>2.5999999999996248E-2</v>
      </c>
    </row>
    <row r="85" spans="1:21" ht="51" x14ac:dyDescent="0.2">
      <c r="A85" s="34">
        <v>43405</v>
      </c>
      <c r="B85" s="35"/>
      <c r="C85" s="36">
        <v>1</v>
      </c>
      <c r="D85" s="96">
        <v>23.289000000000001</v>
      </c>
      <c r="E85" s="53">
        <v>3.181</v>
      </c>
      <c r="F85" s="53">
        <v>10.523999999999999</v>
      </c>
      <c r="G85" s="99" t="s">
        <v>111</v>
      </c>
      <c r="H85" s="39"/>
      <c r="I85" s="40" t="s">
        <v>117</v>
      </c>
      <c r="J85" s="48">
        <f>+SUM(D85:F85)-SUM(D84:F84)-0.39</f>
        <v>0.38799999999999868</v>
      </c>
      <c r="L85" s="34">
        <v>43405</v>
      </c>
      <c r="M85" s="35"/>
      <c r="N85" s="36">
        <v>1</v>
      </c>
      <c r="O85" s="53">
        <v>24.091999999999999</v>
      </c>
      <c r="P85" s="41">
        <v>3.254</v>
      </c>
      <c r="Q85" s="41">
        <v>11.044</v>
      </c>
      <c r="R85" s="99" t="s">
        <v>111</v>
      </c>
      <c r="S85" s="39"/>
      <c r="T85" s="40" t="s">
        <v>117</v>
      </c>
      <c r="U85" s="48">
        <f>+SUM(O85:Q85)-SUM(O84:Q84)-0.39</f>
        <v>0.40200000000000158</v>
      </c>
    </row>
    <row r="86" spans="1:21" x14ac:dyDescent="0.2">
      <c r="A86" s="34">
        <v>43435</v>
      </c>
      <c r="B86" s="35"/>
      <c r="C86" s="36">
        <v>1</v>
      </c>
      <c r="D86" s="96">
        <v>23.41</v>
      </c>
      <c r="E86" s="53">
        <v>3.1819999999999999</v>
      </c>
      <c r="F86" s="53">
        <v>10.555</v>
      </c>
      <c r="G86" s="99" t="s">
        <v>111</v>
      </c>
      <c r="H86" s="39"/>
      <c r="I86" s="40"/>
      <c r="J86" s="48">
        <f t="shared" si="4"/>
        <v>0.15299999999999869</v>
      </c>
      <c r="L86" s="34">
        <v>43435</v>
      </c>
      <c r="M86" s="35"/>
      <c r="N86" s="36">
        <v>1</v>
      </c>
      <c r="O86" s="53">
        <v>24.216999999999999</v>
      </c>
      <c r="P86" s="41">
        <v>3.2559999999999998</v>
      </c>
      <c r="Q86" s="41">
        <v>11.079000000000001</v>
      </c>
      <c r="R86" s="99" t="s">
        <v>111</v>
      </c>
      <c r="S86" s="39"/>
      <c r="T86" s="40"/>
      <c r="U86" s="48">
        <f t="shared" si="5"/>
        <v>0.16199999999999903</v>
      </c>
    </row>
    <row r="87" spans="1:21" x14ac:dyDescent="0.2">
      <c r="A87" s="34">
        <v>43466</v>
      </c>
      <c r="B87" s="35"/>
      <c r="C87" s="36">
        <v>1</v>
      </c>
      <c r="D87" s="96">
        <v>23.484000000000002</v>
      </c>
      <c r="E87" s="53">
        <v>3.1829999999999998</v>
      </c>
      <c r="F87" s="53">
        <v>10.583</v>
      </c>
      <c r="G87" s="99" t="s">
        <v>111</v>
      </c>
      <c r="H87" s="39"/>
      <c r="I87" s="40"/>
      <c r="J87" s="48">
        <f t="shared" si="4"/>
        <v>0.10300000000000153</v>
      </c>
      <c r="L87" s="34">
        <v>43466</v>
      </c>
      <c r="M87" s="35"/>
      <c r="N87" s="36">
        <v>1</v>
      </c>
      <c r="O87" s="53">
        <v>24.292000000000002</v>
      </c>
      <c r="P87" s="41">
        <v>3.2559999999999998</v>
      </c>
      <c r="Q87" s="41">
        <v>11.106999999999999</v>
      </c>
      <c r="R87" s="99" t="s">
        <v>111</v>
      </c>
      <c r="S87" s="39"/>
      <c r="T87" s="40"/>
      <c r="U87" s="48">
        <f t="shared" si="5"/>
        <v>0.10300000000000153</v>
      </c>
    </row>
    <row r="88" spans="1:21" x14ac:dyDescent="0.2">
      <c r="A88" s="34">
        <v>43497</v>
      </c>
      <c r="B88" s="35"/>
      <c r="C88" s="36">
        <v>1</v>
      </c>
      <c r="D88" s="96">
        <v>23.623999999999999</v>
      </c>
      <c r="E88" s="53">
        <v>3.1829999999999998</v>
      </c>
      <c r="F88" s="53">
        <v>10.635999999999999</v>
      </c>
      <c r="G88" s="99" t="s">
        <v>111</v>
      </c>
      <c r="H88" s="39"/>
      <c r="I88" s="40"/>
      <c r="J88" s="48">
        <f t="shared" si="4"/>
        <v>0.19299999999999784</v>
      </c>
      <c r="L88" s="34">
        <v>43497</v>
      </c>
      <c r="M88" s="35"/>
      <c r="N88" s="36">
        <v>1</v>
      </c>
      <c r="O88" s="53">
        <v>24.440999999999999</v>
      </c>
      <c r="P88" s="41">
        <v>3.2559999999999998</v>
      </c>
      <c r="Q88" s="41">
        <v>11.16</v>
      </c>
      <c r="R88" s="99" t="s">
        <v>111</v>
      </c>
      <c r="S88" s="39"/>
      <c r="T88" s="40"/>
      <c r="U88" s="48">
        <f t="shared" si="5"/>
        <v>0.20199999999999818</v>
      </c>
    </row>
    <row r="89" spans="1:21" x14ac:dyDescent="0.2">
      <c r="A89" s="34">
        <v>43525</v>
      </c>
      <c r="B89" s="35"/>
      <c r="C89" s="36">
        <v>1</v>
      </c>
      <c r="D89" s="96">
        <v>23.754999999999999</v>
      </c>
      <c r="E89" s="53">
        <v>3.1840000000000002</v>
      </c>
      <c r="F89" s="53">
        <v>10.747</v>
      </c>
      <c r="G89" s="99" t="s">
        <v>111</v>
      </c>
      <c r="H89" s="39"/>
      <c r="I89" s="40"/>
      <c r="J89" s="48">
        <f t="shared" si="4"/>
        <v>0.2430000000000021</v>
      </c>
      <c r="L89" s="34">
        <v>43525</v>
      </c>
      <c r="M89" s="35"/>
      <c r="N89" s="36">
        <v>1</v>
      </c>
      <c r="O89" s="53">
        <v>24.577999999999999</v>
      </c>
      <c r="P89" s="41">
        <v>3.2570000000000001</v>
      </c>
      <c r="Q89" s="41">
        <v>11.275</v>
      </c>
      <c r="R89" s="99" t="s">
        <v>111</v>
      </c>
      <c r="S89" s="39"/>
      <c r="T89" s="40"/>
      <c r="U89" s="48">
        <f t="shared" si="5"/>
        <v>0.25300000000000011</v>
      </c>
    </row>
    <row r="90" spans="1:21" x14ac:dyDescent="0.2">
      <c r="A90" s="34">
        <v>43556</v>
      </c>
      <c r="B90" s="35"/>
      <c r="C90" s="36">
        <v>1</v>
      </c>
      <c r="D90" s="96">
        <v>24.030999999999999</v>
      </c>
      <c r="E90" s="53">
        <v>3.1960000000000002</v>
      </c>
      <c r="F90" s="53">
        <v>10.923999999999999</v>
      </c>
      <c r="G90" s="99" t="s">
        <v>111</v>
      </c>
      <c r="H90" s="39"/>
      <c r="I90" s="40"/>
      <c r="J90" s="48">
        <f t="shared" si="4"/>
        <v>0.46499999999999631</v>
      </c>
      <c r="L90" s="34">
        <v>43556</v>
      </c>
      <c r="M90" s="35"/>
      <c r="N90" s="36">
        <v>1</v>
      </c>
      <c r="O90" s="53">
        <v>24.872</v>
      </c>
      <c r="P90" s="41">
        <v>3.2709999999999999</v>
      </c>
      <c r="Q90" s="41">
        <v>11.462999999999999</v>
      </c>
      <c r="R90" s="99" t="s">
        <v>111</v>
      </c>
      <c r="S90" s="39"/>
      <c r="T90" s="40"/>
      <c r="U90" s="48">
        <f t="shared" si="5"/>
        <v>0.49600000000000222</v>
      </c>
    </row>
  </sheetData>
  <mergeCells count="6">
    <mergeCell ref="A9:B9"/>
    <mergeCell ref="C9:F9"/>
    <mergeCell ref="L9:M9"/>
    <mergeCell ref="O9:Q9"/>
    <mergeCell ref="D10:F10"/>
    <mergeCell ref="O10:Q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24"/>
  <sheetViews>
    <sheetView topLeftCell="A100" zoomScale="85" zoomScaleNormal="85" workbookViewId="0">
      <selection activeCell="E119" sqref="E119"/>
    </sheetView>
  </sheetViews>
  <sheetFormatPr defaultColWidth="8.875" defaultRowHeight="12.75" x14ac:dyDescent="0.2"/>
  <cols>
    <col min="1" max="1" width="11.875" style="4" customWidth="1"/>
    <col min="2" max="2" width="14.625" style="4" customWidth="1"/>
    <col min="3" max="4" width="14.875" style="4" customWidth="1"/>
    <col min="5" max="5" width="20.375" style="4" customWidth="1"/>
    <col min="6" max="6" width="24.875" style="4" customWidth="1"/>
    <col min="7" max="8" width="12.625" style="4" customWidth="1"/>
    <col min="9" max="9" width="14.375" style="4" customWidth="1"/>
    <col min="10" max="11" width="14.875" style="4" customWidth="1"/>
    <col min="12" max="12" width="21.625" style="4" customWidth="1"/>
    <col min="13" max="13" width="12.625" style="4" customWidth="1"/>
    <col min="14" max="14" width="25.625" style="4" customWidth="1"/>
    <col min="15" max="15" width="12.625" style="4" customWidth="1"/>
    <col min="16" max="16" width="14.625" style="4" customWidth="1"/>
    <col min="17" max="18" width="14.875" style="4" customWidth="1"/>
    <col min="19" max="22" width="12.625" style="4" customWidth="1"/>
    <col min="23" max="23" width="14.625" style="4" customWidth="1"/>
    <col min="24" max="25" width="14.875" style="4" customWidth="1"/>
    <col min="26" max="29" width="12.625" style="4" customWidth="1"/>
    <col min="30" max="30" width="14.625" style="4" customWidth="1"/>
    <col min="31" max="32" width="14.875" style="4" customWidth="1"/>
    <col min="33" max="36" width="12.625" style="4" customWidth="1"/>
    <col min="37" max="37" width="14.625" style="4" customWidth="1"/>
    <col min="38" max="39" width="14.875" style="4" customWidth="1"/>
    <col min="40" max="43" width="12.625" style="4" customWidth="1"/>
    <col min="44" max="44" width="14.625" style="4" customWidth="1"/>
    <col min="45" max="46" width="14.875" style="4" customWidth="1"/>
    <col min="47" max="50" width="12.625" style="4" customWidth="1"/>
    <col min="51" max="51" width="14.625" style="4" customWidth="1"/>
    <col min="52" max="53" width="14.875" style="4" customWidth="1"/>
    <col min="54" max="57" width="12.625" style="4" customWidth="1"/>
    <col min="58" max="58" width="14.625" style="4" customWidth="1"/>
    <col min="59" max="60" width="14.875" style="4" customWidth="1"/>
    <col min="61" max="64" width="12.625" style="4" customWidth="1"/>
    <col min="65" max="65" width="14.625" style="4" customWidth="1"/>
    <col min="66" max="67" width="14.875" style="4" customWidth="1"/>
    <col min="68" max="71" width="12.625" style="4" customWidth="1"/>
    <col min="72" max="72" width="14.625" style="4" customWidth="1"/>
    <col min="73" max="74" width="14.875" style="4" customWidth="1"/>
    <col min="75" max="78" width="12.625" style="4" customWidth="1"/>
    <col min="79" max="79" width="14.625" style="4" customWidth="1"/>
    <col min="80" max="255" width="9" style="4"/>
    <col min="256" max="256" width="11.875" style="4" customWidth="1"/>
    <col min="257" max="257" width="14.625" style="4" customWidth="1"/>
    <col min="258" max="259" width="14.875" style="4" customWidth="1"/>
    <col min="260" max="260" width="20.375" style="4" customWidth="1"/>
    <col min="261" max="261" width="12.625" style="4" customWidth="1"/>
    <col min="262" max="262" width="24.875" style="4" customWidth="1"/>
    <col min="263" max="264" width="12.625" style="4" customWidth="1"/>
    <col min="265" max="265" width="14.375" style="4" customWidth="1"/>
    <col min="266" max="267" width="14.875" style="4" customWidth="1"/>
    <col min="268" max="268" width="21.625" style="4" customWidth="1"/>
    <col min="269" max="269" width="12.625" style="4" customWidth="1"/>
    <col min="270" max="270" width="25.625" style="4" customWidth="1"/>
    <col min="271" max="271" width="12.625" style="4" customWidth="1"/>
    <col min="272" max="272" width="14.625" style="4" customWidth="1"/>
    <col min="273" max="274" width="14.875" style="4" customWidth="1"/>
    <col min="275" max="278" width="12.625" style="4" customWidth="1"/>
    <col min="279" max="279" width="14.625" style="4" customWidth="1"/>
    <col min="280" max="281" width="14.875" style="4" customWidth="1"/>
    <col min="282" max="285" width="12.625" style="4" customWidth="1"/>
    <col min="286" max="286" width="14.625" style="4" customWidth="1"/>
    <col min="287" max="288" width="14.875" style="4" customWidth="1"/>
    <col min="289" max="292" width="12.625" style="4" customWidth="1"/>
    <col min="293" max="293" width="14.625" style="4" customWidth="1"/>
    <col min="294" max="295" width="14.875" style="4" customWidth="1"/>
    <col min="296" max="299" width="12.625" style="4" customWidth="1"/>
    <col min="300" max="300" width="14.625" style="4" customWidth="1"/>
    <col min="301" max="302" width="14.875" style="4" customWidth="1"/>
    <col min="303" max="306" width="12.625" style="4" customWidth="1"/>
    <col min="307" max="307" width="14.625" style="4" customWidth="1"/>
    <col min="308" max="309" width="14.875" style="4" customWidth="1"/>
    <col min="310" max="313" width="12.625" style="4" customWidth="1"/>
    <col min="314" max="314" width="14.625" style="4" customWidth="1"/>
    <col min="315" max="316" width="14.875" style="4" customWidth="1"/>
    <col min="317" max="320" width="12.625" style="4" customWidth="1"/>
    <col min="321" max="321" width="14.625" style="4" customWidth="1"/>
    <col min="322" max="323" width="14.875" style="4" customWidth="1"/>
    <col min="324" max="327" width="12.625" style="4" customWidth="1"/>
    <col min="328" max="328" width="14.625" style="4" customWidth="1"/>
    <col min="329" max="330" width="14.875" style="4" customWidth="1"/>
    <col min="331" max="334" width="12.625" style="4" customWidth="1"/>
    <col min="335" max="335" width="14.625" style="4" customWidth="1"/>
    <col min="336" max="511" width="9" style="4"/>
    <col min="512" max="512" width="11.875" style="4" customWidth="1"/>
    <col min="513" max="513" width="14.625" style="4" customWidth="1"/>
    <col min="514" max="515" width="14.875" style="4" customWidth="1"/>
    <col min="516" max="516" width="20.375" style="4" customWidth="1"/>
    <col min="517" max="517" width="12.625" style="4" customWidth="1"/>
    <col min="518" max="518" width="24.875" style="4" customWidth="1"/>
    <col min="519" max="520" width="12.625" style="4" customWidth="1"/>
    <col min="521" max="521" width="14.375" style="4" customWidth="1"/>
    <col min="522" max="523" width="14.875" style="4" customWidth="1"/>
    <col min="524" max="524" width="21.625" style="4" customWidth="1"/>
    <col min="525" max="525" width="12.625" style="4" customWidth="1"/>
    <col min="526" max="526" width="25.625" style="4" customWidth="1"/>
    <col min="527" max="527" width="12.625" style="4" customWidth="1"/>
    <col min="528" max="528" width="14.625" style="4" customWidth="1"/>
    <col min="529" max="530" width="14.875" style="4" customWidth="1"/>
    <col min="531" max="534" width="12.625" style="4" customWidth="1"/>
    <col min="535" max="535" width="14.625" style="4" customWidth="1"/>
    <col min="536" max="537" width="14.875" style="4" customWidth="1"/>
    <col min="538" max="541" width="12.625" style="4" customWidth="1"/>
    <col min="542" max="542" width="14.625" style="4" customWidth="1"/>
    <col min="543" max="544" width="14.875" style="4" customWidth="1"/>
    <col min="545" max="548" width="12.625" style="4" customWidth="1"/>
    <col min="549" max="549" width="14.625" style="4" customWidth="1"/>
    <col min="550" max="551" width="14.875" style="4" customWidth="1"/>
    <col min="552" max="555" width="12.625" style="4" customWidth="1"/>
    <col min="556" max="556" width="14.625" style="4" customWidth="1"/>
    <col min="557" max="558" width="14.875" style="4" customWidth="1"/>
    <col min="559" max="562" width="12.625" style="4" customWidth="1"/>
    <col min="563" max="563" width="14.625" style="4" customWidth="1"/>
    <col min="564" max="565" width="14.875" style="4" customWidth="1"/>
    <col min="566" max="569" width="12.625" style="4" customWidth="1"/>
    <col min="570" max="570" width="14.625" style="4" customWidth="1"/>
    <col min="571" max="572" width="14.875" style="4" customWidth="1"/>
    <col min="573" max="576" width="12.625" style="4" customWidth="1"/>
    <col min="577" max="577" width="14.625" style="4" customWidth="1"/>
    <col min="578" max="579" width="14.875" style="4" customWidth="1"/>
    <col min="580" max="583" width="12.625" style="4" customWidth="1"/>
    <col min="584" max="584" width="14.625" style="4" customWidth="1"/>
    <col min="585" max="586" width="14.875" style="4" customWidth="1"/>
    <col min="587" max="590" width="12.625" style="4" customWidth="1"/>
    <col min="591" max="591" width="14.625" style="4" customWidth="1"/>
    <col min="592" max="767" width="9" style="4"/>
    <col min="768" max="768" width="11.875" style="4" customWidth="1"/>
    <col min="769" max="769" width="14.625" style="4" customWidth="1"/>
    <col min="770" max="771" width="14.875" style="4" customWidth="1"/>
    <col min="772" max="772" width="20.375" style="4" customWidth="1"/>
    <col min="773" max="773" width="12.625" style="4" customWidth="1"/>
    <col min="774" max="774" width="24.875" style="4" customWidth="1"/>
    <col min="775" max="776" width="12.625" style="4" customWidth="1"/>
    <col min="777" max="777" width="14.375" style="4" customWidth="1"/>
    <col min="778" max="779" width="14.875" style="4" customWidth="1"/>
    <col min="780" max="780" width="21.625" style="4" customWidth="1"/>
    <col min="781" max="781" width="12.625" style="4" customWidth="1"/>
    <col min="782" max="782" width="25.625" style="4" customWidth="1"/>
    <col min="783" max="783" width="12.625" style="4" customWidth="1"/>
    <col min="784" max="784" width="14.625" style="4" customWidth="1"/>
    <col min="785" max="786" width="14.875" style="4" customWidth="1"/>
    <col min="787" max="790" width="12.625" style="4" customWidth="1"/>
    <col min="791" max="791" width="14.625" style="4" customWidth="1"/>
    <col min="792" max="793" width="14.875" style="4" customWidth="1"/>
    <col min="794" max="797" width="12.625" style="4" customWidth="1"/>
    <col min="798" max="798" width="14.625" style="4" customWidth="1"/>
    <col min="799" max="800" width="14.875" style="4" customWidth="1"/>
    <col min="801" max="804" width="12.625" style="4" customWidth="1"/>
    <col min="805" max="805" width="14.625" style="4" customWidth="1"/>
    <col min="806" max="807" width="14.875" style="4" customWidth="1"/>
    <col min="808" max="811" width="12.625" style="4" customWidth="1"/>
    <col min="812" max="812" width="14.625" style="4" customWidth="1"/>
    <col min="813" max="814" width="14.875" style="4" customWidth="1"/>
    <col min="815" max="818" width="12.625" style="4" customWidth="1"/>
    <col min="819" max="819" width="14.625" style="4" customWidth="1"/>
    <col min="820" max="821" width="14.875" style="4" customWidth="1"/>
    <col min="822" max="825" width="12.625" style="4" customWidth="1"/>
    <col min="826" max="826" width="14.625" style="4" customWidth="1"/>
    <col min="827" max="828" width="14.875" style="4" customWidth="1"/>
    <col min="829" max="832" width="12.625" style="4" customWidth="1"/>
    <col min="833" max="833" width="14.625" style="4" customWidth="1"/>
    <col min="834" max="835" width="14.875" style="4" customWidth="1"/>
    <col min="836" max="839" width="12.625" style="4" customWidth="1"/>
    <col min="840" max="840" width="14.625" style="4" customWidth="1"/>
    <col min="841" max="842" width="14.875" style="4" customWidth="1"/>
    <col min="843" max="846" width="12.625" style="4" customWidth="1"/>
    <col min="847" max="847" width="14.625" style="4" customWidth="1"/>
    <col min="848" max="1023" width="9" style="4"/>
    <col min="1024" max="1024" width="11.875" style="4" customWidth="1"/>
    <col min="1025" max="1025" width="14.625" style="4" customWidth="1"/>
    <col min="1026" max="1027" width="14.875" style="4" customWidth="1"/>
    <col min="1028" max="1028" width="20.375" style="4" customWidth="1"/>
    <col min="1029" max="1029" width="12.625" style="4" customWidth="1"/>
    <col min="1030" max="1030" width="24.875" style="4" customWidth="1"/>
    <col min="1031" max="1032" width="12.625" style="4" customWidth="1"/>
    <col min="1033" max="1033" width="14.375" style="4" customWidth="1"/>
    <col min="1034" max="1035" width="14.875" style="4" customWidth="1"/>
    <col min="1036" max="1036" width="21.625" style="4" customWidth="1"/>
    <col min="1037" max="1037" width="12.625" style="4" customWidth="1"/>
    <col min="1038" max="1038" width="25.625" style="4" customWidth="1"/>
    <col min="1039" max="1039" width="12.625" style="4" customWidth="1"/>
    <col min="1040" max="1040" width="14.625" style="4" customWidth="1"/>
    <col min="1041" max="1042" width="14.875" style="4" customWidth="1"/>
    <col min="1043" max="1046" width="12.625" style="4" customWidth="1"/>
    <col min="1047" max="1047" width="14.625" style="4" customWidth="1"/>
    <col min="1048" max="1049" width="14.875" style="4" customWidth="1"/>
    <col min="1050" max="1053" width="12.625" style="4" customWidth="1"/>
    <col min="1054" max="1054" width="14.625" style="4" customWidth="1"/>
    <col min="1055" max="1056" width="14.875" style="4" customWidth="1"/>
    <col min="1057" max="1060" width="12.625" style="4" customWidth="1"/>
    <col min="1061" max="1061" width="14.625" style="4" customWidth="1"/>
    <col min="1062" max="1063" width="14.875" style="4" customWidth="1"/>
    <col min="1064" max="1067" width="12.625" style="4" customWidth="1"/>
    <col min="1068" max="1068" width="14.625" style="4" customWidth="1"/>
    <col min="1069" max="1070" width="14.875" style="4" customWidth="1"/>
    <col min="1071" max="1074" width="12.625" style="4" customWidth="1"/>
    <col min="1075" max="1075" width="14.625" style="4" customWidth="1"/>
    <col min="1076" max="1077" width="14.875" style="4" customWidth="1"/>
    <col min="1078" max="1081" width="12.625" style="4" customWidth="1"/>
    <col min="1082" max="1082" width="14.625" style="4" customWidth="1"/>
    <col min="1083" max="1084" width="14.875" style="4" customWidth="1"/>
    <col min="1085" max="1088" width="12.625" style="4" customWidth="1"/>
    <col min="1089" max="1089" width="14.625" style="4" customWidth="1"/>
    <col min="1090" max="1091" width="14.875" style="4" customWidth="1"/>
    <col min="1092" max="1095" width="12.625" style="4" customWidth="1"/>
    <col min="1096" max="1096" width="14.625" style="4" customWidth="1"/>
    <col min="1097" max="1098" width="14.875" style="4" customWidth="1"/>
    <col min="1099" max="1102" width="12.625" style="4" customWidth="1"/>
    <col min="1103" max="1103" width="14.625" style="4" customWidth="1"/>
    <col min="1104" max="1279" width="9" style="4"/>
    <col min="1280" max="1280" width="11.875" style="4" customWidth="1"/>
    <col min="1281" max="1281" width="14.625" style="4" customWidth="1"/>
    <col min="1282" max="1283" width="14.875" style="4" customWidth="1"/>
    <col min="1284" max="1284" width="20.375" style="4" customWidth="1"/>
    <col min="1285" max="1285" width="12.625" style="4" customWidth="1"/>
    <col min="1286" max="1286" width="24.875" style="4" customWidth="1"/>
    <col min="1287" max="1288" width="12.625" style="4" customWidth="1"/>
    <col min="1289" max="1289" width="14.375" style="4" customWidth="1"/>
    <col min="1290" max="1291" width="14.875" style="4" customWidth="1"/>
    <col min="1292" max="1292" width="21.625" style="4" customWidth="1"/>
    <col min="1293" max="1293" width="12.625" style="4" customWidth="1"/>
    <col min="1294" max="1294" width="25.625" style="4" customWidth="1"/>
    <col min="1295" max="1295" width="12.625" style="4" customWidth="1"/>
    <col min="1296" max="1296" width="14.625" style="4" customWidth="1"/>
    <col min="1297" max="1298" width="14.875" style="4" customWidth="1"/>
    <col min="1299" max="1302" width="12.625" style="4" customWidth="1"/>
    <col min="1303" max="1303" width="14.625" style="4" customWidth="1"/>
    <col min="1304" max="1305" width="14.875" style="4" customWidth="1"/>
    <col min="1306" max="1309" width="12.625" style="4" customWidth="1"/>
    <col min="1310" max="1310" width="14.625" style="4" customWidth="1"/>
    <col min="1311" max="1312" width="14.875" style="4" customWidth="1"/>
    <col min="1313" max="1316" width="12.625" style="4" customWidth="1"/>
    <col min="1317" max="1317" width="14.625" style="4" customWidth="1"/>
    <col min="1318" max="1319" width="14.875" style="4" customWidth="1"/>
    <col min="1320" max="1323" width="12.625" style="4" customWidth="1"/>
    <col min="1324" max="1324" width="14.625" style="4" customWidth="1"/>
    <col min="1325" max="1326" width="14.875" style="4" customWidth="1"/>
    <col min="1327" max="1330" width="12.625" style="4" customWidth="1"/>
    <col min="1331" max="1331" width="14.625" style="4" customWidth="1"/>
    <col min="1332" max="1333" width="14.875" style="4" customWidth="1"/>
    <col min="1334" max="1337" width="12.625" style="4" customWidth="1"/>
    <col min="1338" max="1338" width="14.625" style="4" customWidth="1"/>
    <col min="1339" max="1340" width="14.875" style="4" customWidth="1"/>
    <col min="1341" max="1344" width="12.625" style="4" customWidth="1"/>
    <col min="1345" max="1345" width="14.625" style="4" customWidth="1"/>
    <col min="1346" max="1347" width="14.875" style="4" customWidth="1"/>
    <col min="1348" max="1351" width="12.625" style="4" customWidth="1"/>
    <col min="1352" max="1352" width="14.625" style="4" customWidth="1"/>
    <col min="1353" max="1354" width="14.875" style="4" customWidth="1"/>
    <col min="1355" max="1358" width="12.625" style="4" customWidth="1"/>
    <col min="1359" max="1359" width="14.625" style="4" customWidth="1"/>
    <col min="1360" max="1535" width="9" style="4"/>
    <col min="1536" max="1536" width="11.875" style="4" customWidth="1"/>
    <col min="1537" max="1537" width="14.625" style="4" customWidth="1"/>
    <col min="1538" max="1539" width="14.875" style="4" customWidth="1"/>
    <col min="1540" max="1540" width="20.375" style="4" customWidth="1"/>
    <col min="1541" max="1541" width="12.625" style="4" customWidth="1"/>
    <col min="1542" max="1542" width="24.875" style="4" customWidth="1"/>
    <col min="1543" max="1544" width="12.625" style="4" customWidth="1"/>
    <col min="1545" max="1545" width="14.375" style="4" customWidth="1"/>
    <col min="1546" max="1547" width="14.875" style="4" customWidth="1"/>
    <col min="1548" max="1548" width="21.625" style="4" customWidth="1"/>
    <col min="1549" max="1549" width="12.625" style="4" customWidth="1"/>
    <col min="1550" max="1550" width="25.625" style="4" customWidth="1"/>
    <col min="1551" max="1551" width="12.625" style="4" customWidth="1"/>
    <col min="1552" max="1552" width="14.625" style="4" customWidth="1"/>
    <col min="1553" max="1554" width="14.875" style="4" customWidth="1"/>
    <col min="1555" max="1558" width="12.625" style="4" customWidth="1"/>
    <col min="1559" max="1559" width="14.625" style="4" customWidth="1"/>
    <col min="1560" max="1561" width="14.875" style="4" customWidth="1"/>
    <col min="1562" max="1565" width="12.625" style="4" customWidth="1"/>
    <col min="1566" max="1566" width="14.625" style="4" customWidth="1"/>
    <col min="1567" max="1568" width="14.875" style="4" customWidth="1"/>
    <col min="1569" max="1572" width="12.625" style="4" customWidth="1"/>
    <col min="1573" max="1573" width="14.625" style="4" customWidth="1"/>
    <col min="1574" max="1575" width="14.875" style="4" customWidth="1"/>
    <col min="1576" max="1579" width="12.625" style="4" customWidth="1"/>
    <col min="1580" max="1580" width="14.625" style="4" customWidth="1"/>
    <col min="1581" max="1582" width="14.875" style="4" customWidth="1"/>
    <col min="1583" max="1586" width="12.625" style="4" customWidth="1"/>
    <col min="1587" max="1587" width="14.625" style="4" customWidth="1"/>
    <col min="1588" max="1589" width="14.875" style="4" customWidth="1"/>
    <col min="1590" max="1593" width="12.625" style="4" customWidth="1"/>
    <col min="1594" max="1594" width="14.625" style="4" customWidth="1"/>
    <col min="1595" max="1596" width="14.875" style="4" customWidth="1"/>
    <col min="1597" max="1600" width="12.625" style="4" customWidth="1"/>
    <col min="1601" max="1601" width="14.625" style="4" customWidth="1"/>
    <col min="1602" max="1603" width="14.875" style="4" customWidth="1"/>
    <col min="1604" max="1607" width="12.625" style="4" customWidth="1"/>
    <col min="1608" max="1608" width="14.625" style="4" customWidth="1"/>
    <col min="1609" max="1610" width="14.875" style="4" customWidth="1"/>
    <col min="1611" max="1614" width="12.625" style="4" customWidth="1"/>
    <col min="1615" max="1615" width="14.625" style="4" customWidth="1"/>
    <col min="1616" max="1791" width="9" style="4"/>
    <col min="1792" max="1792" width="11.875" style="4" customWidth="1"/>
    <col min="1793" max="1793" width="14.625" style="4" customWidth="1"/>
    <col min="1794" max="1795" width="14.875" style="4" customWidth="1"/>
    <col min="1796" max="1796" width="20.375" style="4" customWidth="1"/>
    <col min="1797" max="1797" width="12.625" style="4" customWidth="1"/>
    <col min="1798" max="1798" width="24.875" style="4" customWidth="1"/>
    <col min="1799" max="1800" width="12.625" style="4" customWidth="1"/>
    <col min="1801" max="1801" width="14.375" style="4" customWidth="1"/>
    <col min="1802" max="1803" width="14.875" style="4" customWidth="1"/>
    <col min="1804" max="1804" width="21.625" style="4" customWidth="1"/>
    <col min="1805" max="1805" width="12.625" style="4" customWidth="1"/>
    <col min="1806" max="1806" width="25.625" style="4" customWidth="1"/>
    <col min="1807" max="1807" width="12.625" style="4" customWidth="1"/>
    <col min="1808" max="1808" width="14.625" style="4" customWidth="1"/>
    <col min="1809" max="1810" width="14.875" style="4" customWidth="1"/>
    <col min="1811" max="1814" width="12.625" style="4" customWidth="1"/>
    <col min="1815" max="1815" width="14.625" style="4" customWidth="1"/>
    <col min="1816" max="1817" width="14.875" style="4" customWidth="1"/>
    <col min="1818" max="1821" width="12.625" style="4" customWidth="1"/>
    <col min="1822" max="1822" width="14.625" style="4" customWidth="1"/>
    <col min="1823" max="1824" width="14.875" style="4" customWidth="1"/>
    <col min="1825" max="1828" width="12.625" style="4" customWidth="1"/>
    <col min="1829" max="1829" width="14.625" style="4" customWidth="1"/>
    <col min="1830" max="1831" width="14.875" style="4" customWidth="1"/>
    <col min="1832" max="1835" width="12.625" style="4" customWidth="1"/>
    <col min="1836" max="1836" width="14.625" style="4" customWidth="1"/>
    <col min="1837" max="1838" width="14.875" style="4" customWidth="1"/>
    <col min="1839" max="1842" width="12.625" style="4" customWidth="1"/>
    <col min="1843" max="1843" width="14.625" style="4" customWidth="1"/>
    <col min="1844" max="1845" width="14.875" style="4" customWidth="1"/>
    <col min="1846" max="1849" width="12.625" style="4" customWidth="1"/>
    <col min="1850" max="1850" width="14.625" style="4" customWidth="1"/>
    <col min="1851" max="1852" width="14.875" style="4" customWidth="1"/>
    <col min="1853" max="1856" width="12.625" style="4" customWidth="1"/>
    <col min="1857" max="1857" width="14.625" style="4" customWidth="1"/>
    <col min="1858" max="1859" width="14.875" style="4" customWidth="1"/>
    <col min="1860" max="1863" width="12.625" style="4" customWidth="1"/>
    <col min="1864" max="1864" width="14.625" style="4" customWidth="1"/>
    <col min="1865" max="1866" width="14.875" style="4" customWidth="1"/>
    <col min="1867" max="1870" width="12.625" style="4" customWidth="1"/>
    <col min="1871" max="1871" width="14.625" style="4" customWidth="1"/>
    <col min="1872" max="2047" width="9" style="4"/>
    <col min="2048" max="2048" width="11.875" style="4" customWidth="1"/>
    <col min="2049" max="2049" width="14.625" style="4" customWidth="1"/>
    <col min="2050" max="2051" width="14.875" style="4" customWidth="1"/>
    <col min="2052" max="2052" width="20.375" style="4" customWidth="1"/>
    <col min="2053" max="2053" width="12.625" style="4" customWidth="1"/>
    <col min="2054" max="2054" width="24.875" style="4" customWidth="1"/>
    <col min="2055" max="2056" width="12.625" style="4" customWidth="1"/>
    <col min="2057" max="2057" width="14.375" style="4" customWidth="1"/>
    <col min="2058" max="2059" width="14.875" style="4" customWidth="1"/>
    <col min="2060" max="2060" width="21.625" style="4" customWidth="1"/>
    <col min="2061" max="2061" width="12.625" style="4" customWidth="1"/>
    <col min="2062" max="2062" width="25.625" style="4" customWidth="1"/>
    <col min="2063" max="2063" width="12.625" style="4" customWidth="1"/>
    <col min="2064" max="2064" width="14.625" style="4" customWidth="1"/>
    <col min="2065" max="2066" width="14.875" style="4" customWidth="1"/>
    <col min="2067" max="2070" width="12.625" style="4" customWidth="1"/>
    <col min="2071" max="2071" width="14.625" style="4" customWidth="1"/>
    <col min="2072" max="2073" width="14.875" style="4" customWidth="1"/>
    <col min="2074" max="2077" width="12.625" style="4" customWidth="1"/>
    <col min="2078" max="2078" width="14.625" style="4" customWidth="1"/>
    <col min="2079" max="2080" width="14.875" style="4" customWidth="1"/>
    <col min="2081" max="2084" width="12.625" style="4" customWidth="1"/>
    <col min="2085" max="2085" width="14.625" style="4" customWidth="1"/>
    <col min="2086" max="2087" width="14.875" style="4" customWidth="1"/>
    <col min="2088" max="2091" width="12.625" style="4" customWidth="1"/>
    <col min="2092" max="2092" width="14.625" style="4" customWidth="1"/>
    <col min="2093" max="2094" width="14.875" style="4" customWidth="1"/>
    <col min="2095" max="2098" width="12.625" style="4" customWidth="1"/>
    <col min="2099" max="2099" width="14.625" style="4" customWidth="1"/>
    <col min="2100" max="2101" width="14.875" style="4" customWidth="1"/>
    <col min="2102" max="2105" width="12.625" style="4" customWidth="1"/>
    <col min="2106" max="2106" width="14.625" style="4" customWidth="1"/>
    <col min="2107" max="2108" width="14.875" style="4" customWidth="1"/>
    <col min="2109" max="2112" width="12.625" style="4" customWidth="1"/>
    <col min="2113" max="2113" width="14.625" style="4" customWidth="1"/>
    <col min="2114" max="2115" width="14.875" style="4" customWidth="1"/>
    <col min="2116" max="2119" width="12.625" style="4" customWidth="1"/>
    <col min="2120" max="2120" width="14.625" style="4" customWidth="1"/>
    <col min="2121" max="2122" width="14.875" style="4" customWidth="1"/>
    <col min="2123" max="2126" width="12.625" style="4" customWidth="1"/>
    <col min="2127" max="2127" width="14.625" style="4" customWidth="1"/>
    <col min="2128" max="2303" width="9" style="4"/>
    <col min="2304" max="2304" width="11.875" style="4" customWidth="1"/>
    <col min="2305" max="2305" width="14.625" style="4" customWidth="1"/>
    <col min="2306" max="2307" width="14.875" style="4" customWidth="1"/>
    <col min="2308" max="2308" width="20.375" style="4" customWidth="1"/>
    <col min="2309" max="2309" width="12.625" style="4" customWidth="1"/>
    <col min="2310" max="2310" width="24.875" style="4" customWidth="1"/>
    <col min="2311" max="2312" width="12.625" style="4" customWidth="1"/>
    <col min="2313" max="2313" width="14.375" style="4" customWidth="1"/>
    <col min="2314" max="2315" width="14.875" style="4" customWidth="1"/>
    <col min="2316" max="2316" width="21.625" style="4" customWidth="1"/>
    <col min="2317" max="2317" width="12.625" style="4" customWidth="1"/>
    <col min="2318" max="2318" width="25.625" style="4" customWidth="1"/>
    <col min="2319" max="2319" width="12.625" style="4" customWidth="1"/>
    <col min="2320" max="2320" width="14.625" style="4" customWidth="1"/>
    <col min="2321" max="2322" width="14.875" style="4" customWidth="1"/>
    <col min="2323" max="2326" width="12.625" style="4" customWidth="1"/>
    <col min="2327" max="2327" width="14.625" style="4" customWidth="1"/>
    <col min="2328" max="2329" width="14.875" style="4" customWidth="1"/>
    <col min="2330" max="2333" width="12.625" style="4" customWidth="1"/>
    <col min="2334" max="2334" width="14.625" style="4" customWidth="1"/>
    <col min="2335" max="2336" width="14.875" style="4" customWidth="1"/>
    <col min="2337" max="2340" width="12.625" style="4" customWidth="1"/>
    <col min="2341" max="2341" width="14.625" style="4" customWidth="1"/>
    <col min="2342" max="2343" width="14.875" style="4" customWidth="1"/>
    <col min="2344" max="2347" width="12.625" style="4" customWidth="1"/>
    <col min="2348" max="2348" width="14.625" style="4" customWidth="1"/>
    <col min="2349" max="2350" width="14.875" style="4" customWidth="1"/>
    <col min="2351" max="2354" width="12.625" style="4" customWidth="1"/>
    <col min="2355" max="2355" width="14.625" style="4" customWidth="1"/>
    <col min="2356" max="2357" width="14.875" style="4" customWidth="1"/>
    <col min="2358" max="2361" width="12.625" style="4" customWidth="1"/>
    <col min="2362" max="2362" width="14.625" style="4" customWidth="1"/>
    <col min="2363" max="2364" width="14.875" style="4" customWidth="1"/>
    <col min="2365" max="2368" width="12.625" style="4" customWidth="1"/>
    <col min="2369" max="2369" width="14.625" style="4" customWidth="1"/>
    <col min="2370" max="2371" width="14.875" style="4" customWidth="1"/>
    <col min="2372" max="2375" width="12.625" style="4" customWidth="1"/>
    <col min="2376" max="2376" width="14.625" style="4" customWidth="1"/>
    <col min="2377" max="2378" width="14.875" style="4" customWidth="1"/>
    <col min="2379" max="2382" width="12.625" style="4" customWidth="1"/>
    <col min="2383" max="2383" width="14.625" style="4" customWidth="1"/>
    <col min="2384" max="2559" width="9" style="4"/>
    <col min="2560" max="2560" width="11.875" style="4" customWidth="1"/>
    <col min="2561" max="2561" width="14.625" style="4" customWidth="1"/>
    <col min="2562" max="2563" width="14.875" style="4" customWidth="1"/>
    <col min="2564" max="2564" width="20.375" style="4" customWidth="1"/>
    <col min="2565" max="2565" width="12.625" style="4" customWidth="1"/>
    <col min="2566" max="2566" width="24.875" style="4" customWidth="1"/>
    <col min="2567" max="2568" width="12.625" style="4" customWidth="1"/>
    <col min="2569" max="2569" width="14.375" style="4" customWidth="1"/>
    <col min="2570" max="2571" width="14.875" style="4" customWidth="1"/>
    <col min="2572" max="2572" width="21.625" style="4" customWidth="1"/>
    <col min="2573" max="2573" width="12.625" style="4" customWidth="1"/>
    <col min="2574" max="2574" width="25.625" style="4" customWidth="1"/>
    <col min="2575" max="2575" width="12.625" style="4" customWidth="1"/>
    <col min="2576" max="2576" width="14.625" style="4" customWidth="1"/>
    <col min="2577" max="2578" width="14.875" style="4" customWidth="1"/>
    <col min="2579" max="2582" width="12.625" style="4" customWidth="1"/>
    <col min="2583" max="2583" width="14.625" style="4" customWidth="1"/>
    <col min="2584" max="2585" width="14.875" style="4" customWidth="1"/>
    <col min="2586" max="2589" width="12.625" style="4" customWidth="1"/>
    <col min="2590" max="2590" width="14.625" style="4" customWidth="1"/>
    <col min="2591" max="2592" width="14.875" style="4" customWidth="1"/>
    <col min="2593" max="2596" width="12.625" style="4" customWidth="1"/>
    <col min="2597" max="2597" width="14.625" style="4" customWidth="1"/>
    <col min="2598" max="2599" width="14.875" style="4" customWidth="1"/>
    <col min="2600" max="2603" width="12.625" style="4" customWidth="1"/>
    <col min="2604" max="2604" width="14.625" style="4" customWidth="1"/>
    <col min="2605" max="2606" width="14.875" style="4" customWidth="1"/>
    <col min="2607" max="2610" width="12.625" style="4" customWidth="1"/>
    <col min="2611" max="2611" width="14.625" style="4" customWidth="1"/>
    <col min="2612" max="2613" width="14.875" style="4" customWidth="1"/>
    <col min="2614" max="2617" width="12.625" style="4" customWidth="1"/>
    <col min="2618" max="2618" width="14.625" style="4" customWidth="1"/>
    <col min="2619" max="2620" width="14.875" style="4" customWidth="1"/>
    <col min="2621" max="2624" width="12.625" style="4" customWidth="1"/>
    <col min="2625" max="2625" width="14.625" style="4" customWidth="1"/>
    <col min="2626" max="2627" width="14.875" style="4" customWidth="1"/>
    <col min="2628" max="2631" width="12.625" style="4" customWidth="1"/>
    <col min="2632" max="2632" width="14.625" style="4" customWidth="1"/>
    <col min="2633" max="2634" width="14.875" style="4" customWidth="1"/>
    <col min="2635" max="2638" width="12.625" style="4" customWidth="1"/>
    <col min="2639" max="2639" width="14.625" style="4" customWidth="1"/>
    <col min="2640" max="2815" width="9" style="4"/>
    <col min="2816" max="2816" width="11.875" style="4" customWidth="1"/>
    <col min="2817" max="2817" width="14.625" style="4" customWidth="1"/>
    <col min="2818" max="2819" width="14.875" style="4" customWidth="1"/>
    <col min="2820" max="2820" width="20.375" style="4" customWidth="1"/>
    <col min="2821" max="2821" width="12.625" style="4" customWidth="1"/>
    <col min="2822" max="2822" width="24.875" style="4" customWidth="1"/>
    <col min="2823" max="2824" width="12.625" style="4" customWidth="1"/>
    <col min="2825" max="2825" width="14.375" style="4" customWidth="1"/>
    <col min="2826" max="2827" width="14.875" style="4" customWidth="1"/>
    <col min="2828" max="2828" width="21.625" style="4" customWidth="1"/>
    <col min="2829" max="2829" width="12.625" style="4" customWidth="1"/>
    <col min="2830" max="2830" width="25.625" style="4" customWidth="1"/>
    <col min="2831" max="2831" width="12.625" style="4" customWidth="1"/>
    <col min="2832" max="2832" width="14.625" style="4" customWidth="1"/>
    <col min="2833" max="2834" width="14.875" style="4" customWidth="1"/>
    <col min="2835" max="2838" width="12.625" style="4" customWidth="1"/>
    <col min="2839" max="2839" width="14.625" style="4" customWidth="1"/>
    <col min="2840" max="2841" width="14.875" style="4" customWidth="1"/>
    <col min="2842" max="2845" width="12.625" style="4" customWidth="1"/>
    <col min="2846" max="2846" width="14.625" style="4" customWidth="1"/>
    <col min="2847" max="2848" width="14.875" style="4" customWidth="1"/>
    <col min="2849" max="2852" width="12.625" style="4" customWidth="1"/>
    <col min="2853" max="2853" width="14.625" style="4" customWidth="1"/>
    <col min="2854" max="2855" width="14.875" style="4" customWidth="1"/>
    <col min="2856" max="2859" width="12.625" style="4" customWidth="1"/>
    <col min="2860" max="2860" width="14.625" style="4" customWidth="1"/>
    <col min="2861" max="2862" width="14.875" style="4" customWidth="1"/>
    <col min="2863" max="2866" width="12.625" style="4" customWidth="1"/>
    <col min="2867" max="2867" width="14.625" style="4" customWidth="1"/>
    <col min="2868" max="2869" width="14.875" style="4" customWidth="1"/>
    <col min="2870" max="2873" width="12.625" style="4" customWidth="1"/>
    <col min="2874" max="2874" width="14.625" style="4" customWidth="1"/>
    <col min="2875" max="2876" width="14.875" style="4" customWidth="1"/>
    <col min="2877" max="2880" width="12.625" style="4" customWidth="1"/>
    <col min="2881" max="2881" width="14.625" style="4" customWidth="1"/>
    <col min="2882" max="2883" width="14.875" style="4" customWidth="1"/>
    <col min="2884" max="2887" width="12.625" style="4" customWidth="1"/>
    <col min="2888" max="2888" width="14.625" style="4" customWidth="1"/>
    <col min="2889" max="2890" width="14.875" style="4" customWidth="1"/>
    <col min="2891" max="2894" width="12.625" style="4" customWidth="1"/>
    <col min="2895" max="2895" width="14.625" style="4" customWidth="1"/>
    <col min="2896" max="3071" width="9" style="4"/>
    <col min="3072" max="3072" width="11.875" style="4" customWidth="1"/>
    <col min="3073" max="3073" width="14.625" style="4" customWidth="1"/>
    <col min="3074" max="3075" width="14.875" style="4" customWidth="1"/>
    <col min="3076" max="3076" width="20.375" style="4" customWidth="1"/>
    <col min="3077" max="3077" width="12.625" style="4" customWidth="1"/>
    <col min="3078" max="3078" width="24.875" style="4" customWidth="1"/>
    <col min="3079" max="3080" width="12.625" style="4" customWidth="1"/>
    <col min="3081" max="3081" width="14.375" style="4" customWidth="1"/>
    <col min="3082" max="3083" width="14.875" style="4" customWidth="1"/>
    <col min="3084" max="3084" width="21.625" style="4" customWidth="1"/>
    <col min="3085" max="3085" width="12.625" style="4" customWidth="1"/>
    <col min="3086" max="3086" width="25.625" style="4" customWidth="1"/>
    <col min="3087" max="3087" width="12.625" style="4" customWidth="1"/>
    <col min="3088" max="3088" width="14.625" style="4" customWidth="1"/>
    <col min="3089" max="3090" width="14.875" style="4" customWidth="1"/>
    <col min="3091" max="3094" width="12.625" style="4" customWidth="1"/>
    <col min="3095" max="3095" width="14.625" style="4" customWidth="1"/>
    <col min="3096" max="3097" width="14.875" style="4" customWidth="1"/>
    <col min="3098" max="3101" width="12.625" style="4" customWidth="1"/>
    <col min="3102" max="3102" width="14.625" style="4" customWidth="1"/>
    <col min="3103" max="3104" width="14.875" style="4" customWidth="1"/>
    <col min="3105" max="3108" width="12.625" style="4" customWidth="1"/>
    <col min="3109" max="3109" width="14.625" style="4" customWidth="1"/>
    <col min="3110" max="3111" width="14.875" style="4" customWidth="1"/>
    <col min="3112" max="3115" width="12.625" style="4" customWidth="1"/>
    <col min="3116" max="3116" width="14.625" style="4" customWidth="1"/>
    <col min="3117" max="3118" width="14.875" style="4" customWidth="1"/>
    <col min="3119" max="3122" width="12.625" style="4" customWidth="1"/>
    <col min="3123" max="3123" width="14.625" style="4" customWidth="1"/>
    <col min="3124" max="3125" width="14.875" style="4" customWidth="1"/>
    <col min="3126" max="3129" width="12.625" style="4" customWidth="1"/>
    <col min="3130" max="3130" width="14.625" style="4" customWidth="1"/>
    <col min="3131" max="3132" width="14.875" style="4" customWidth="1"/>
    <col min="3133" max="3136" width="12.625" style="4" customWidth="1"/>
    <col min="3137" max="3137" width="14.625" style="4" customWidth="1"/>
    <col min="3138" max="3139" width="14.875" style="4" customWidth="1"/>
    <col min="3140" max="3143" width="12.625" style="4" customWidth="1"/>
    <col min="3144" max="3144" width="14.625" style="4" customWidth="1"/>
    <col min="3145" max="3146" width="14.875" style="4" customWidth="1"/>
    <col min="3147" max="3150" width="12.625" style="4" customWidth="1"/>
    <col min="3151" max="3151" width="14.625" style="4" customWidth="1"/>
    <col min="3152" max="3327" width="9" style="4"/>
    <col min="3328" max="3328" width="11.875" style="4" customWidth="1"/>
    <col min="3329" max="3329" width="14.625" style="4" customWidth="1"/>
    <col min="3330" max="3331" width="14.875" style="4" customWidth="1"/>
    <col min="3332" max="3332" width="20.375" style="4" customWidth="1"/>
    <col min="3333" max="3333" width="12.625" style="4" customWidth="1"/>
    <col min="3334" max="3334" width="24.875" style="4" customWidth="1"/>
    <col min="3335" max="3336" width="12.625" style="4" customWidth="1"/>
    <col min="3337" max="3337" width="14.375" style="4" customWidth="1"/>
    <col min="3338" max="3339" width="14.875" style="4" customWidth="1"/>
    <col min="3340" max="3340" width="21.625" style="4" customWidth="1"/>
    <col min="3341" max="3341" width="12.625" style="4" customWidth="1"/>
    <col min="3342" max="3342" width="25.625" style="4" customWidth="1"/>
    <col min="3343" max="3343" width="12.625" style="4" customWidth="1"/>
    <col min="3344" max="3344" width="14.625" style="4" customWidth="1"/>
    <col min="3345" max="3346" width="14.875" style="4" customWidth="1"/>
    <col min="3347" max="3350" width="12.625" style="4" customWidth="1"/>
    <col min="3351" max="3351" width="14.625" style="4" customWidth="1"/>
    <col min="3352" max="3353" width="14.875" style="4" customWidth="1"/>
    <col min="3354" max="3357" width="12.625" style="4" customWidth="1"/>
    <col min="3358" max="3358" width="14.625" style="4" customWidth="1"/>
    <col min="3359" max="3360" width="14.875" style="4" customWidth="1"/>
    <col min="3361" max="3364" width="12.625" style="4" customWidth="1"/>
    <col min="3365" max="3365" width="14.625" style="4" customWidth="1"/>
    <col min="3366" max="3367" width="14.875" style="4" customWidth="1"/>
    <col min="3368" max="3371" width="12.625" style="4" customWidth="1"/>
    <col min="3372" max="3372" width="14.625" style="4" customWidth="1"/>
    <col min="3373" max="3374" width="14.875" style="4" customWidth="1"/>
    <col min="3375" max="3378" width="12.625" style="4" customWidth="1"/>
    <col min="3379" max="3379" width="14.625" style="4" customWidth="1"/>
    <col min="3380" max="3381" width="14.875" style="4" customWidth="1"/>
    <col min="3382" max="3385" width="12.625" style="4" customWidth="1"/>
    <col min="3386" max="3386" width="14.625" style="4" customWidth="1"/>
    <col min="3387" max="3388" width="14.875" style="4" customWidth="1"/>
    <col min="3389" max="3392" width="12.625" style="4" customWidth="1"/>
    <col min="3393" max="3393" width="14.625" style="4" customWidth="1"/>
    <col min="3394" max="3395" width="14.875" style="4" customWidth="1"/>
    <col min="3396" max="3399" width="12.625" style="4" customWidth="1"/>
    <col min="3400" max="3400" width="14.625" style="4" customWidth="1"/>
    <col min="3401" max="3402" width="14.875" style="4" customWidth="1"/>
    <col min="3403" max="3406" width="12.625" style="4" customWidth="1"/>
    <col min="3407" max="3407" width="14.625" style="4" customWidth="1"/>
    <col min="3408" max="3583" width="9" style="4"/>
    <col min="3584" max="3584" width="11.875" style="4" customWidth="1"/>
    <col min="3585" max="3585" width="14.625" style="4" customWidth="1"/>
    <col min="3586" max="3587" width="14.875" style="4" customWidth="1"/>
    <col min="3588" max="3588" width="20.375" style="4" customWidth="1"/>
    <col min="3589" max="3589" width="12.625" style="4" customWidth="1"/>
    <col min="3590" max="3590" width="24.875" style="4" customWidth="1"/>
    <col min="3591" max="3592" width="12.625" style="4" customWidth="1"/>
    <col min="3593" max="3593" width="14.375" style="4" customWidth="1"/>
    <col min="3594" max="3595" width="14.875" style="4" customWidth="1"/>
    <col min="3596" max="3596" width="21.625" style="4" customWidth="1"/>
    <col min="3597" max="3597" width="12.625" style="4" customWidth="1"/>
    <col min="3598" max="3598" width="25.625" style="4" customWidth="1"/>
    <col min="3599" max="3599" width="12.625" style="4" customWidth="1"/>
    <col min="3600" max="3600" width="14.625" style="4" customWidth="1"/>
    <col min="3601" max="3602" width="14.875" style="4" customWidth="1"/>
    <col min="3603" max="3606" width="12.625" style="4" customWidth="1"/>
    <col min="3607" max="3607" width="14.625" style="4" customWidth="1"/>
    <col min="3608" max="3609" width="14.875" style="4" customWidth="1"/>
    <col min="3610" max="3613" width="12.625" style="4" customWidth="1"/>
    <col min="3614" max="3614" width="14.625" style="4" customWidth="1"/>
    <col min="3615" max="3616" width="14.875" style="4" customWidth="1"/>
    <col min="3617" max="3620" width="12.625" style="4" customWidth="1"/>
    <col min="3621" max="3621" width="14.625" style="4" customWidth="1"/>
    <col min="3622" max="3623" width="14.875" style="4" customWidth="1"/>
    <col min="3624" max="3627" width="12.625" style="4" customWidth="1"/>
    <col min="3628" max="3628" width="14.625" style="4" customWidth="1"/>
    <col min="3629" max="3630" width="14.875" style="4" customWidth="1"/>
    <col min="3631" max="3634" width="12.625" style="4" customWidth="1"/>
    <col min="3635" max="3635" width="14.625" style="4" customWidth="1"/>
    <col min="3636" max="3637" width="14.875" style="4" customWidth="1"/>
    <col min="3638" max="3641" width="12.625" style="4" customWidth="1"/>
    <col min="3642" max="3642" width="14.625" style="4" customWidth="1"/>
    <col min="3643" max="3644" width="14.875" style="4" customWidth="1"/>
    <col min="3645" max="3648" width="12.625" style="4" customWidth="1"/>
    <col min="3649" max="3649" width="14.625" style="4" customWidth="1"/>
    <col min="3650" max="3651" width="14.875" style="4" customWidth="1"/>
    <col min="3652" max="3655" width="12.625" style="4" customWidth="1"/>
    <col min="3656" max="3656" width="14.625" style="4" customWidth="1"/>
    <col min="3657" max="3658" width="14.875" style="4" customWidth="1"/>
    <col min="3659" max="3662" width="12.625" style="4" customWidth="1"/>
    <col min="3663" max="3663" width="14.625" style="4" customWidth="1"/>
    <col min="3664" max="3839" width="9" style="4"/>
    <col min="3840" max="3840" width="11.875" style="4" customWidth="1"/>
    <col min="3841" max="3841" width="14.625" style="4" customWidth="1"/>
    <col min="3842" max="3843" width="14.875" style="4" customWidth="1"/>
    <col min="3844" max="3844" width="20.375" style="4" customWidth="1"/>
    <col min="3845" max="3845" width="12.625" style="4" customWidth="1"/>
    <col min="3846" max="3846" width="24.875" style="4" customWidth="1"/>
    <col min="3847" max="3848" width="12.625" style="4" customWidth="1"/>
    <col min="3849" max="3849" width="14.375" style="4" customWidth="1"/>
    <col min="3850" max="3851" width="14.875" style="4" customWidth="1"/>
    <col min="3852" max="3852" width="21.625" style="4" customWidth="1"/>
    <col min="3853" max="3853" width="12.625" style="4" customWidth="1"/>
    <col min="3854" max="3854" width="25.625" style="4" customWidth="1"/>
    <col min="3855" max="3855" width="12.625" style="4" customWidth="1"/>
    <col min="3856" max="3856" width="14.625" style="4" customWidth="1"/>
    <col min="3857" max="3858" width="14.875" style="4" customWidth="1"/>
    <col min="3859" max="3862" width="12.625" style="4" customWidth="1"/>
    <col min="3863" max="3863" width="14.625" style="4" customWidth="1"/>
    <col min="3864" max="3865" width="14.875" style="4" customWidth="1"/>
    <col min="3866" max="3869" width="12.625" style="4" customWidth="1"/>
    <col min="3870" max="3870" width="14.625" style="4" customWidth="1"/>
    <col min="3871" max="3872" width="14.875" style="4" customWidth="1"/>
    <col min="3873" max="3876" width="12.625" style="4" customWidth="1"/>
    <col min="3877" max="3877" width="14.625" style="4" customWidth="1"/>
    <col min="3878" max="3879" width="14.875" style="4" customWidth="1"/>
    <col min="3880" max="3883" width="12.625" style="4" customWidth="1"/>
    <col min="3884" max="3884" width="14.625" style="4" customWidth="1"/>
    <col min="3885" max="3886" width="14.875" style="4" customWidth="1"/>
    <col min="3887" max="3890" width="12.625" style="4" customWidth="1"/>
    <col min="3891" max="3891" width="14.625" style="4" customWidth="1"/>
    <col min="3892" max="3893" width="14.875" style="4" customWidth="1"/>
    <col min="3894" max="3897" width="12.625" style="4" customWidth="1"/>
    <col min="3898" max="3898" width="14.625" style="4" customWidth="1"/>
    <col min="3899" max="3900" width="14.875" style="4" customWidth="1"/>
    <col min="3901" max="3904" width="12.625" style="4" customWidth="1"/>
    <col min="3905" max="3905" width="14.625" style="4" customWidth="1"/>
    <col min="3906" max="3907" width="14.875" style="4" customWidth="1"/>
    <col min="3908" max="3911" width="12.625" style="4" customWidth="1"/>
    <col min="3912" max="3912" width="14.625" style="4" customWidth="1"/>
    <col min="3913" max="3914" width="14.875" style="4" customWidth="1"/>
    <col min="3915" max="3918" width="12.625" style="4" customWidth="1"/>
    <col min="3919" max="3919" width="14.625" style="4" customWidth="1"/>
    <col min="3920" max="4095" width="9" style="4"/>
    <col min="4096" max="4096" width="11.875" style="4" customWidth="1"/>
    <col min="4097" max="4097" width="14.625" style="4" customWidth="1"/>
    <col min="4098" max="4099" width="14.875" style="4" customWidth="1"/>
    <col min="4100" max="4100" width="20.375" style="4" customWidth="1"/>
    <col min="4101" max="4101" width="12.625" style="4" customWidth="1"/>
    <col min="4102" max="4102" width="24.875" style="4" customWidth="1"/>
    <col min="4103" max="4104" width="12.625" style="4" customWidth="1"/>
    <col min="4105" max="4105" width="14.375" style="4" customWidth="1"/>
    <col min="4106" max="4107" width="14.875" style="4" customWidth="1"/>
    <col min="4108" max="4108" width="21.625" style="4" customWidth="1"/>
    <col min="4109" max="4109" width="12.625" style="4" customWidth="1"/>
    <col min="4110" max="4110" width="25.625" style="4" customWidth="1"/>
    <col min="4111" max="4111" width="12.625" style="4" customWidth="1"/>
    <col min="4112" max="4112" width="14.625" style="4" customWidth="1"/>
    <col min="4113" max="4114" width="14.875" style="4" customWidth="1"/>
    <col min="4115" max="4118" width="12.625" style="4" customWidth="1"/>
    <col min="4119" max="4119" width="14.625" style="4" customWidth="1"/>
    <col min="4120" max="4121" width="14.875" style="4" customWidth="1"/>
    <col min="4122" max="4125" width="12.625" style="4" customWidth="1"/>
    <col min="4126" max="4126" width="14.625" style="4" customWidth="1"/>
    <col min="4127" max="4128" width="14.875" style="4" customWidth="1"/>
    <col min="4129" max="4132" width="12.625" style="4" customWidth="1"/>
    <col min="4133" max="4133" width="14.625" style="4" customWidth="1"/>
    <col min="4134" max="4135" width="14.875" style="4" customWidth="1"/>
    <col min="4136" max="4139" width="12.625" style="4" customWidth="1"/>
    <col min="4140" max="4140" width="14.625" style="4" customWidth="1"/>
    <col min="4141" max="4142" width="14.875" style="4" customWidth="1"/>
    <col min="4143" max="4146" width="12.625" style="4" customWidth="1"/>
    <col min="4147" max="4147" width="14.625" style="4" customWidth="1"/>
    <col min="4148" max="4149" width="14.875" style="4" customWidth="1"/>
    <col min="4150" max="4153" width="12.625" style="4" customWidth="1"/>
    <col min="4154" max="4154" width="14.625" style="4" customWidth="1"/>
    <col min="4155" max="4156" width="14.875" style="4" customWidth="1"/>
    <col min="4157" max="4160" width="12.625" style="4" customWidth="1"/>
    <col min="4161" max="4161" width="14.625" style="4" customWidth="1"/>
    <col min="4162" max="4163" width="14.875" style="4" customWidth="1"/>
    <col min="4164" max="4167" width="12.625" style="4" customWidth="1"/>
    <col min="4168" max="4168" width="14.625" style="4" customWidth="1"/>
    <col min="4169" max="4170" width="14.875" style="4" customWidth="1"/>
    <col min="4171" max="4174" width="12.625" style="4" customWidth="1"/>
    <col min="4175" max="4175" width="14.625" style="4" customWidth="1"/>
    <col min="4176" max="4351" width="9" style="4"/>
    <col min="4352" max="4352" width="11.875" style="4" customWidth="1"/>
    <col min="4353" max="4353" width="14.625" style="4" customWidth="1"/>
    <col min="4354" max="4355" width="14.875" style="4" customWidth="1"/>
    <col min="4356" max="4356" width="20.375" style="4" customWidth="1"/>
    <col min="4357" max="4357" width="12.625" style="4" customWidth="1"/>
    <col min="4358" max="4358" width="24.875" style="4" customWidth="1"/>
    <col min="4359" max="4360" width="12.625" style="4" customWidth="1"/>
    <col min="4361" max="4361" width="14.375" style="4" customWidth="1"/>
    <col min="4362" max="4363" width="14.875" style="4" customWidth="1"/>
    <col min="4364" max="4364" width="21.625" style="4" customWidth="1"/>
    <col min="4365" max="4365" width="12.625" style="4" customWidth="1"/>
    <col min="4366" max="4366" width="25.625" style="4" customWidth="1"/>
    <col min="4367" max="4367" width="12.625" style="4" customWidth="1"/>
    <col min="4368" max="4368" width="14.625" style="4" customWidth="1"/>
    <col min="4369" max="4370" width="14.875" style="4" customWidth="1"/>
    <col min="4371" max="4374" width="12.625" style="4" customWidth="1"/>
    <col min="4375" max="4375" width="14.625" style="4" customWidth="1"/>
    <col min="4376" max="4377" width="14.875" style="4" customWidth="1"/>
    <col min="4378" max="4381" width="12.625" style="4" customWidth="1"/>
    <col min="4382" max="4382" width="14.625" style="4" customWidth="1"/>
    <col min="4383" max="4384" width="14.875" style="4" customWidth="1"/>
    <col min="4385" max="4388" width="12.625" style="4" customWidth="1"/>
    <col min="4389" max="4389" width="14.625" style="4" customWidth="1"/>
    <col min="4390" max="4391" width="14.875" style="4" customWidth="1"/>
    <col min="4392" max="4395" width="12.625" style="4" customWidth="1"/>
    <col min="4396" max="4396" width="14.625" style="4" customWidth="1"/>
    <col min="4397" max="4398" width="14.875" style="4" customWidth="1"/>
    <col min="4399" max="4402" width="12.625" style="4" customWidth="1"/>
    <col min="4403" max="4403" width="14.625" style="4" customWidth="1"/>
    <col min="4404" max="4405" width="14.875" style="4" customWidth="1"/>
    <col min="4406" max="4409" width="12.625" style="4" customWidth="1"/>
    <col min="4410" max="4410" width="14.625" style="4" customWidth="1"/>
    <col min="4411" max="4412" width="14.875" style="4" customWidth="1"/>
    <col min="4413" max="4416" width="12.625" style="4" customWidth="1"/>
    <col min="4417" max="4417" width="14.625" style="4" customWidth="1"/>
    <col min="4418" max="4419" width="14.875" style="4" customWidth="1"/>
    <col min="4420" max="4423" width="12.625" style="4" customWidth="1"/>
    <col min="4424" max="4424" width="14.625" style="4" customWidth="1"/>
    <col min="4425" max="4426" width="14.875" style="4" customWidth="1"/>
    <col min="4427" max="4430" width="12.625" style="4" customWidth="1"/>
    <col min="4431" max="4431" width="14.625" style="4" customWidth="1"/>
    <col min="4432" max="4607" width="9" style="4"/>
    <col min="4608" max="4608" width="11.875" style="4" customWidth="1"/>
    <col min="4609" max="4609" width="14.625" style="4" customWidth="1"/>
    <col min="4610" max="4611" width="14.875" style="4" customWidth="1"/>
    <col min="4612" max="4612" width="20.375" style="4" customWidth="1"/>
    <col min="4613" max="4613" width="12.625" style="4" customWidth="1"/>
    <col min="4614" max="4614" width="24.875" style="4" customWidth="1"/>
    <col min="4615" max="4616" width="12.625" style="4" customWidth="1"/>
    <col min="4617" max="4617" width="14.375" style="4" customWidth="1"/>
    <col min="4618" max="4619" width="14.875" style="4" customWidth="1"/>
    <col min="4620" max="4620" width="21.625" style="4" customWidth="1"/>
    <col min="4621" max="4621" width="12.625" style="4" customWidth="1"/>
    <col min="4622" max="4622" width="25.625" style="4" customWidth="1"/>
    <col min="4623" max="4623" width="12.625" style="4" customWidth="1"/>
    <col min="4624" max="4624" width="14.625" style="4" customWidth="1"/>
    <col min="4625" max="4626" width="14.875" style="4" customWidth="1"/>
    <col min="4627" max="4630" width="12.625" style="4" customWidth="1"/>
    <col min="4631" max="4631" width="14.625" style="4" customWidth="1"/>
    <col min="4632" max="4633" width="14.875" style="4" customWidth="1"/>
    <col min="4634" max="4637" width="12.625" style="4" customWidth="1"/>
    <col min="4638" max="4638" width="14.625" style="4" customWidth="1"/>
    <col min="4639" max="4640" width="14.875" style="4" customWidth="1"/>
    <col min="4641" max="4644" width="12.625" style="4" customWidth="1"/>
    <col min="4645" max="4645" width="14.625" style="4" customWidth="1"/>
    <col min="4646" max="4647" width="14.875" style="4" customWidth="1"/>
    <col min="4648" max="4651" width="12.625" style="4" customWidth="1"/>
    <col min="4652" max="4652" width="14.625" style="4" customWidth="1"/>
    <col min="4653" max="4654" width="14.875" style="4" customWidth="1"/>
    <col min="4655" max="4658" width="12.625" style="4" customWidth="1"/>
    <col min="4659" max="4659" width="14.625" style="4" customWidth="1"/>
    <col min="4660" max="4661" width="14.875" style="4" customWidth="1"/>
    <col min="4662" max="4665" width="12.625" style="4" customWidth="1"/>
    <col min="4666" max="4666" width="14.625" style="4" customWidth="1"/>
    <col min="4667" max="4668" width="14.875" style="4" customWidth="1"/>
    <col min="4669" max="4672" width="12.625" style="4" customWidth="1"/>
    <col min="4673" max="4673" width="14.625" style="4" customWidth="1"/>
    <col min="4674" max="4675" width="14.875" style="4" customWidth="1"/>
    <col min="4676" max="4679" width="12.625" style="4" customWidth="1"/>
    <col min="4680" max="4680" width="14.625" style="4" customWidth="1"/>
    <col min="4681" max="4682" width="14.875" style="4" customWidth="1"/>
    <col min="4683" max="4686" width="12.625" style="4" customWidth="1"/>
    <col min="4687" max="4687" width="14.625" style="4" customWidth="1"/>
    <col min="4688" max="4863" width="9" style="4"/>
    <col min="4864" max="4864" width="11.875" style="4" customWidth="1"/>
    <col min="4865" max="4865" width="14.625" style="4" customWidth="1"/>
    <col min="4866" max="4867" width="14.875" style="4" customWidth="1"/>
    <col min="4868" max="4868" width="20.375" style="4" customWidth="1"/>
    <col min="4869" max="4869" width="12.625" style="4" customWidth="1"/>
    <col min="4870" max="4870" width="24.875" style="4" customWidth="1"/>
    <col min="4871" max="4872" width="12.625" style="4" customWidth="1"/>
    <col min="4873" max="4873" width="14.375" style="4" customWidth="1"/>
    <col min="4874" max="4875" width="14.875" style="4" customWidth="1"/>
    <col min="4876" max="4876" width="21.625" style="4" customWidth="1"/>
    <col min="4877" max="4877" width="12.625" style="4" customWidth="1"/>
    <col min="4878" max="4878" width="25.625" style="4" customWidth="1"/>
    <col min="4879" max="4879" width="12.625" style="4" customWidth="1"/>
    <col min="4880" max="4880" width="14.625" style="4" customWidth="1"/>
    <col min="4881" max="4882" width="14.875" style="4" customWidth="1"/>
    <col min="4883" max="4886" width="12.625" style="4" customWidth="1"/>
    <col min="4887" max="4887" width="14.625" style="4" customWidth="1"/>
    <col min="4888" max="4889" width="14.875" style="4" customWidth="1"/>
    <col min="4890" max="4893" width="12.625" style="4" customWidth="1"/>
    <col min="4894" max="4894" width="14.625" style="4" customWidth="1"/>
    <col min="4895" max="4896" width="14.875" style="4" customWidth="1"/>
    <col min="4897" max="4900" width="12.625" style="4" customWidth="1"/>
    <col min="4901" max="4901" width="14.625" style="4" customWidth="1"/>
    <col min="4902" max="4903" width="14.875" style="4" customWidth="1"/>
    <col min="4904" max="4907" width="12.625" style="4" customWidth="1"/>
    <col min="4908" max="4908" width="14.625" style="4" customWidth="1"/>
    <col min="4909" max="4910" width="14.875" style="4" customWidth="1"/>
    <col min="4911" max="4914" width="12.625" style="4" customWidth="1"/>
    <col min="4915" max="4915" width="14.625" style="4" customWidth="1"/>
    <col min="4916" max="4917" width="14.875" style="4" customWidth="1"/>
    <col min="4918" max="4921" width="12.625" style="4" customWidth="1"/>
    <col min="4922" max="4922" width="14.625" style="4" customWidth="1"/>
    <col min="4923" max="4924" width="14.875" style="4" customWidth="1"/>
    <col min="4925" max="4928" width="12.625" style="4" customWidth="1"/>
    <col min="4929" max="4929" width="14.625" style="4" customWidth="1"/>
    <col min="4930" max="4931" width="14.875" style="4" customWidth="1"/>
    <col min="4932" max="4935" width="12.625" style="4" customWidth="1"/>
    <col min="4936" max="4936" width="14.625" style="4" customWidth="1"/>
    <col min="4937" max="4938" width="14.875" style="4" customWidth="1"/>
    <col min="4939" max="4942" width="12.625" style="4" customWidth="1"/>
    <col min="4943" max="4943" width="14.625" style="4" customWidth="1"/>
    <col min="4944" max="5119" width="9" style="4"/>
    <col min="5120" max="5120" width="11.875" style="4" customWidth="1"/>
    <col min="5121" max="5121" width="14.625" style="4" customWidth="1"/>
    <col min="5122" max="5123" width="14.875" style="4" customWidth="1"/>
    <col min="5124" max="5124" width="20.375" style="4" customWidth="1"/>
    <col min="5125" max="5125" width="12.625" style="4" customWidth="1"/>
    <col min="5126" max="5126" width="24.875" style="4" customWidth="1"/>
    <col min="5127" max="5128" width="12.625" style="4" customWidth="1"/>
    <col min="5129" max="5129" width="14.375" style="4" customWidth="1"/>
    <col min="5130" max="5131" width="14.875" style="4" customWidth="1"/>
    <col min="5132" max="5132" width="21.625" style="4" customWidth="1"/>
    <col min="5133" max="5133" width="12.625" style="4" customWidth="1"/>
    <col min="5134" max="5134" width="25.625" style="4" customWidth="1"/>
    <col min="5135" max="5135" width="12.625" style="4" customWidth="1"/>
    <col min="5136" max="5136" width="14.625" style="4" customWidth="1"/>
    <col min="5137" max="5138" width="14.875" style="4" customWidth="1"/>
    <col min="5139" max="5142" width="12.625" style="4" customWidth="1"/>
    <col min="5143" max="5143" width="14.625" style="4" customWidth="1"/>
    <col min="5144" max="5145" width="14.875" style="4" customWidth="1"/>
    <col min="5146" max="5149" width="12.625" style="4" customWidth="1"/>
    <col min="5150" max="5150" width="14.625" style="4" customWidth="1"/>
    <col min="5151" max="5152" width="14.875" style="4" customWidth="1"/>
    <col min="5153" max="5156" width="12.625" style="4" customWidth="1"/>
    <col min="5157" max="5157" width="14.625" style="4" customWidth="1"/>
    <col min="5158" max="5159" width="14.875" style="4" customWidth="1"/>
    <col min="5160" max="5163" width="12.625" style="4" customWidth="1"/>
    <col min="5164" max="5164" width="14.625" style="4" customWidth="1"/>
    <col min="5165" max="5166" width="14.875" style="4" customWidth="1"/>
    <col min="5167" max="5170" width="12.625" style="4" customWidth="1"/>
    <col min="5171" max="5171" width="14.625" style="4" customWidth="1"/>
    <col min="5172" max="5173" width="14.875" style="4" customWidth="1"/>
    <col min="5174" max="5177" width="12.625" style="4" customWidth="1"/>
    <col min="5178" max="5178" width="14.625" style="4" customWidth="1"/>
    <col min="5179" max="5180" width="14.875" style="4" customWidth="1"/>
    <col min="5181" max="5184" width="12.625" style="4" customWidth="1"/>
    <col min="5185" max="5185" width="14.625" style="4" customWidth="1"/>
    <col min="5186" max="5187" width="14.875" style="4" customWidth="1"/>
    <col min="5188" max="5191" width="12.625" style="4" customWidth="1"/>
    <col min="5192" max="5192" width="14.625" style="4" customWidth="1"/>
    <col min="5193" max="5194" width="14.875" style="4" customWidth="1"/>
    <col min="5195" max="5198" width="12.625" style="4" customWidth="1"/>
    <col min="5199" max="5199" width="14.625" style="4" customWidth="1"/>
    <col min="5200" max="5375" width="9" style="4"/>
    <col min="5376" max="5376" width="11.875" style="4" customWidth="1"/>
    <col min="5377" max="5377" width="14.625" style="4" customWidth="1"/>
    <col min="5378" max="5379" width="14.875" style="4" customWidth="1"/>
    <col min="5380" max="5380" width="20.375" style="4" customWidth="1"/>
    <col min="5381" max="5381" width="12.625" style="4" customWidth="1"/>
    <col min="5382" max="5382" width="24.875" style="4" customWidth="1"/>
    <col min="5383" max="5384" width="12.625" style="4" customWidth="1"/>
    <col min="5385" max="5385" width="14.375" style="4" customWidth="1"/>
    <col min="5386" max="5387" width="14.875" style="4" customWidth="1"/>
    <col min="5388" max="5388" width="21.625" style="4" customWidth="1"/>
    <col min="5389" max="5389" width="12.625" style="4" customWidth="1"/>
    <col min="5390" max="5390" width="25.625" style="4" customWidth="1"/>
    <col min="5391" max="5391" width="12.625" style="4" customWidth="1"/>
    <col min="5392" max="5392" width="14.625" style="4" customWidth="1"/>
    <col min="5393" max="5394" width="14.875" style="4" customWidth="1"/>
    <col min="5395" max="5398" width="12.625" style="4" customWidth="1"/>
    <col min="5399" max="5399" width="14.625" style="4" customWidth="1"/>
    <col min="5400" max="5401" width="14.875" style="4" customWidth="1"/>
    <col min="5402" max="5405" width="12.625" style="4" customWidth="1"/>
    <col min="5406" max="5406" width="14.625" style="4" customWidth="1"/>
    <col min="5407" max="5408" width="14.875" style="4" customWidth="1"/>
    <col min="5409" max="5412" width="12.625" style="4" customWidth="1"/>
    <col min="5413" max="5413" width="14.625" style="4" customWidth="1"/>
    <col min="5414" max="5415" width="14.875" style="4" customWidth="1"/>
    <col min="5416" max="5419" width="12.625" style="4" customWidth="1"/>
    <col min="5420" max="5420" width="14.625" style="4" customWidth="1"/>
    <col min="5421" max="5422" width="14.875" style="4" customWidth="1"/>
    <col min="5423" max="5426" width="12.625" style="4" customWidth="1"/>
    <col min="5427" max="5427" width="14.625" style="4" customWidth="1"/>
    <col min="5428" max="5429" width="14.875" style="4" customWidth="1"/>
    <col min="5430" max="5433" width="12.625" style="4" customWidth="1"/>
    <col min="5434" max="5434" width="14.625" style="4" customWidth="1"/>
    <col min="5435" max="5436" width="14.875" style="4" customWidth="1"/>
    <col min="5437" max="5440" width="12.625" style="4" customWidth="1"/>
    <col min="5441" max="5441" width="14.625" style="4" customWidth="1"/>
    <col min="5442" max="5443" width="14.875" style="4" customWidth="1"/>
    <col min="5444" max="5447" width="12.625" style="4" customWidth="1"/>
    <col min="5448" max="5448" width="14.625" style="4" customWidth="1"/>
    <col min="5449" max="5450" width="14.875" style="4" customWidth="1"/>
    <col min="5451" max="5454" width="12.625" style="4" customWidth="1"/>
    <col min="5455" max="5455" width="14.625" style="4" customWidth="1"/>
    <col min="5456" max="5631" width="9" style="4"/>
    <col min="5632" max="5632" width="11.875" style="4" customWidth="1"/>
    <col min="5633" max="5633" width="14.625" style="4" customWidth="1"/>
    <col min="5634" max="5635" width="14.875" style="4" customWidth="1"/>
    <col min="5636" max="5636" width="20.375" style="4" customWidth="1"/>
    <col min="5637" max="5637" width="12.625" style="4" customWidth="1"/>
    <col min="5638" max="5638" width="24.875" style="4" customWidth="1"/>
    <col min="5639" max="5640" width="12.625" style="4" customWidth="1"/>
    <col min="5641" max="5641" width="14.375" style="4" customWidth="1"/>
    <col min="5642" max="5643" width="14.875" style="4" customWidth="1"/>
    <col min="5644" max="5644" width="21.625" style="4" customWidth="1"/>
    <col min="5645" max="5645" width="12.625" style="4" customWidth="1"/>
    <col min="5646" max="5646" width="25.625" style="4" customWidth="1"/>
    <col min="5647" max="5647" width="12.625" style="4" customWidth="1"/>
    <col min="5648" max="5648" width="14.625" style="4" customWidth="1"/>
    <col min="5649" max="5650" width="14.875" style="4" customWidth="1"/>
    <col min="5651" max="5654" width="12.625" style="4" customWidth="1"/>
    <col min="5655" max="5655" width="14.625" style="4" customWidth="1"/>
    <col min="5656" max="5657" width="14.875" style="4" customWidth="1"/>
    <col min="5658" max="5661" width="12.625" style="4" customWidth="1"/>
    <col min="5662" max="5662" width="14.625" style="4" customWidth="1"/>
    <col min="5663" max="5664" width="14.875" style="4" customWidth="1"/>
    <col min="5665" max="5668" width="12.625" style="4" customWidth="1"/>
    <col min="5669" max="5669" width="14.625" style="4" customWidth="1"/>
    <col min="5670" max="5671" width="14.875" style="4" customWidth="1"/>
    <col min="5672" max="5675" width="12.625" style="4" customWidth="1"/>
    <col min="5676" max="5676" width="14.625" style="4" customWidth="1"/>
    <col min="5677" max="5678" width="14.875" style="4" customWidth="1"/>
    <col min="5679" max="5682" width="12.625" style="4" customWidth="1"/>
    <col min="5683" max="5683" width="14.625" style="4" customWidth="1"/>
    <col min="5684" max="5685" width="14.875" style="4" customWidth="1"/>
    <col min="5686" max="5689" width="12.625" style="4" customWidth="1"/>
    <col min="5690" max="5690" width="14.625" style="4" customWidth="1"/>
    <col min="5691" max="5692" width="14.875" style="4" customWidth="1"/>
    <col min="5693" max="5696" width="12.625" style="4" customWidth="1"/>
    <col min="5697" max="5697" width="14.625" style="4" customWidth="1"/>
    <col min="5698" max="5699" width="14.875" style="4" customWidth="1"/>
    <col min="5700" max="5703" width="12.625" style="4" customWidth="1"/>
    <col min="5704" max="5704" width="14.625" style="4" customWidth="1"/>
    <col min="5705" max="5706" width="14.875" style="4" customWidth="1"/>
    <col min="5707" max="5710" width="12.625" style="4" customWidth="1"/>
    <col min="5711" max="5711" width="14.625" style="4" customWidth="1"/>
    <col min="5712" max="5887" width="9" style="4"/>
    <col min="5888" max="5888" width="11.875" style="4" customWidth="1"/>
    <col min="5889" max="5889" width="14.625" style="4" customWidth="1"/>
    <col min="5890" max="5891" width="14.875" style="4" customWidth="1"/>
    <col min="5892" max="5892" width="20.375" style="4" customWidth="1"/>
    <col min="5893" max="5893" width="12.625" style="4" customWidth="1"/>
    <col min="5894" max="5894" width="24.875" style="4" customWidth="1"/>
    <col min="5895" max="5896" width="12.625" style="4" customWidth="1"/>
    <col min="5897" max="5897" width="14.375" style="4" customWidth="1"/>
    <col min="5898" max="5899" width="14.875" style="4" customWidth="1"/>
    <col min="5900" max="5900" width="21.625" style="4" customWidth="1"/>
    <col min="5901" max="5901" width="12.625" style="4" customWidth="1"/>
    <col min="5902" max="5902" width="25.625" style="4" customWidth="1"/>
    <col min="5903" max="5903" width="12.625" style="4" customWidth="1"/>
    <col min="5904" max="5904" width="14.625" style="4" customWidth="1"/>
    <col min="5905" max="5906" width="14.875" style="4" customWidth="1"/>
    <col min="5907" max="5910" width="12.625" style="4" customWidth="1"/>
    <col min="5911" max="5911" width="14.625" style="4" customWidth="1"/>
    <col min="5912" max="5913" width="14.875" style="4" customWidth="1"/>
    <col min="5914" max="5917" width="12.625" style="4" customWidth="1"/>
    <col min="5918" max="5918" width="14.625" style="4" customWidth="1"/>
    <col min="5919" max="5920" width="14.875" style="4" customWidth="1"/>
    <col min="5921" max="5924" width="12.625" style="4" customWidth="1"/>
    <col min="5925" max="5925" width="14.625" style="4" customWidth="1"/>
    <col min="5926" max="5927" width="14.875" style="4" customWidth="1"/>
    <col min="5928" max="5931" width="12.625" style="4" customWidth="1"/>
    <col min="5932" max="5932" width="14.625" style="4" customWidth="1"/>
    <col min="5933" max="5934" width="14.875" style="4" customWidth="1"/>
    <col min="5935" max="5938" width="12.625" style="4" customWidth="1"/>
    <col min="5939" max="5939" width="14.625" style="4" customWidth="1"/>
    <col min="5940" max="5941" width="14.875" style="4" customWidth="1"/>
    <col min="5942" max="5945" width="12.625" style="4" customWidth="1"/>
    <col min="5946" max="5946" width="14.625" style="4" customWidth="1"/>
    <col min="5947" max="5948" width="14.875" style="4" customWidth="1"/>
    <col min="5949" max="5952" width="12.625" style="4" customWidth="1"/>
    <col min="5953" max="5953" width="14.625" style="4" customWidth="1"/>
    <col min="5954" max="5955" width="14.875" style="4" customWidth="1"/>
    <col min="5956" max="5959" width="12.625" style="4" customWidth="1"/>
    <col min="5960" max="5960" width="14.625" style="4" customWidth="1"/>
    <col min="5961" max="5962" width="14.875" style="4" customWidth="1"/>
    <col min="5963" max="5966" width="12.625" style="4" customWidth="1"/>
    <col min="5967" max="5967" width="14.625" style="4" customWidth="1"/>
    <col min="5968" max="6143" width="9" style="4"/>
    <col min="6144" max="6144" width="11.875" style="4" customWidth="1"/>
    <col min="6145" max="6145" width="14.625" style="4" customWidth="1"/>
    <col min="6146" max="6147" width="14.875" style="4" customWidth="1"/>
    <col min="6148" max="6148" width="20.375" style="4" customWidth="1"/>
    <col min="6149" max="6149" width="12.625" style="4" customWidth="1"/>
    <col min="6150" max="6150" width="24.875" style="4" customWidth="1"/>
    <col min="6151" max="6152" width="12.625" style="4" customWidth="1"/>
    <col min="6153" max="6153" width="14.375" style="4" customWidth="1"/>
    <col min="6154" max="6155" width="14.875" style="4" customWidth="1"/>
    <col min="6156" max="6156" width="21.625" style="4" customWidth="1"/>
    <col min="6157" max="6157" width="12.625" style="4" customWidth="1"/>
    <col min="6158" max="6158" width="25.625" style="4" customWidth="1"/>
    <col min="6159" max="6159" width="12.625" style="4" customWidth="1"/>
    <col min="6160" max="6160" width="14.625" style="4" customWidth="1"/>
    <col min="6161" max="6162" width="14.875" style="4" customWidth="1"/>
    <col min="6163" max="6166" width="12.625" style="4" customWidth="1"/>
    <col min="6167" max="6167" width="14.625" style="4" customWidth="1"/>
    <col min="6168" max="6169" width="14.875" style="4" customWidth="1"/>
    <col min="6170" max="6173" width="12.625" style="4" customWidth="1"/>
    <col min="6174" max="6174" width="14.625" style="4" customWidth="1"/>
    <col min="6175" max="6176" width="14.875" style="4" customWidth="1"/>
    <col min="6177" max="6180" width="12.625" style="4" customWidth="1"/>
    <col min="6181" max="6181" width="14.625" style="4" customWidth="1"/>
    <col min="6182" max="6183" width="14.875" style="4" customWidth="1"/>
    <col min="6184" max="6187" width="12.625" style="4" customWidth="1"/>
    <col min="6188" max="6188" width="14.625" style="4" customWidth="1"/>
    <col min="6189" max="6190" width="14.875" style="4" customWidth="1"/>
    <col min="6191" max="6194" width="12.625" style="4" customWidth="1"/>
    <col min="6195" max="6195" width="14.625" style="4" customWidth="1"/>
    <col min="6196" max="6197" width="14.875" style="4" customWidth="1"/>
    <col min="6198" max="6201" width="12.625" style="4" customWidth="1"/>
    <col min="6202" max="6202" width="14.625" style="4" customWidth="1"/>
    <col min="6203" max="6204" width="14.875" style="4" customWidth="1"/>
    <col min="6205" max="6208" width="12.625" style="4" customWidth="1"/>
    <col min="6209" max="6209" width="14.625" style="4" customWidth="1"/>
    <col min="6210" max="6211" width="14.875" style="4" customWidth="1"/>
    <col min="6212" max="6215" width="12.625" style="4" customWidth="1"/>
    <col min="6216" max="6216" width="14.625" style="4" customWidth="1"/>
    <col min="6217" max="6218" width="14.875" style="4" customWidth="1"/>
    <col min="6219" max="6222" width="12.625" style="4" customWidth="1"/>
    <col min="6223" max="6223" width="14.625" style="4" customWidth="1"/>
    <col min="6224" max="6399" width="9" style="4"/>
    <col min="6400" max="6400" width="11.875" style="4" customWidth="1"/>
    <col min="6401" max="6401" width="14.625" style="4" customWidth="1"/>
    <col min="6402" max="6403" width="14.875" style="4" customWidth="1"/>
    <col min="6404" max="6404" width="20.375" style="4" customWidth="1"/>
    <col min="6405" max="6405" width="12.625" style="4" customWidth="1"/>
    <col min="6406" max="6406" width="24.875" style="4" customWidth="1"/>
    <col min="6407" max="6408" width="12.625" style="4" customWidth="1"/>
    <col min="6409" max="6409" width="14.375" style="4" customWidth="1"/>
    <col min="6410" max="6411" width="14.875" style="4" customWidth="1"/>
    <col min="6412" max="6412" width="21.625" style="4" customWidth="1"/>
    <col min="6413" max="6413" width="12.625" style="4" customWidth="1"/>
    <col min="6414" max="6414" width="25.625" style="4" customWidth="1"/>
    <col min="6415" max="6415" width="12.625" style="4" customWidth="1"/>
    <col min="6416" max="6416" width="14.625" style="4" customWidth="1"/>
    <col min="6417" max="6418" width="14.875" style="4" customWidth="1"/>
    <col min="6419" max="6422" width="12.625" style="4" customWidth="1"/>
    <col min="6423" max="6423" width="14.625" style="4" customWidth="1"/>
    <col min="6424" max="6425" width="14.875" style="4" customWidth="1"/>
    <col min="6426" max="6429" width="12.625" style="4" customWidth="1"/>
    <col min="6430" max="6430" width="14.625" style="4" customWidth="1"/>
    <col min="6431" max="6432" width="14.875" style="4" customWidth="1"/>
    <col min="6433" max="6436" width="12.625" style="4" customWidth="1"/>
    <col min="6437" max="6437" width="14.625" style="4" customWidth="1"/>
    <col min="6438" max="6439" width="14.875" style="4" customWidth="1"/>
    <col min="6440" max="6443" width="12.625" style="4" customWidth="1"/>
    <col min="6444" max="6444" width="14.625" style="4" customWidth="1"/>
    <col min="6445" max="6446" width="14.875" style="4" customWidth="1"/>
    <col min="6447" max="6450" width="12.625" style="4" customWidth="1"/>
    <col min="6451" max="6451" width="14.625" style="4" customWidth="1"/>
    <col min="6452" max="6453" width="14.875" style="4" customWidth="1"/>
    <col min="6454" max="6457" width="12.625" style="4" customWidth="1"/>
    <col min="6458" max="6458" width="14.625" style="4" customWidth="1"/>
    <col min="6459" max="6460" width="14.875" style="4" customWidth="1"/>
    <col min="6461" max="6464" width="12.625" style="4" customWidth="1"/>
    <col min="6465" max="6465" width="14.625" style="4" customWidth="1"/>
    <col min="6466" max="6467" width="14.875" style="4" customWidth="1"/>
    <col min="6468" max="6471" width="12.625" style="4" customWidth="1"/>
    <col min="6472" max="6472" width="14.625" style="4" customWidth="1"/>
    <col min="6473" max="6474" width="14.875" style="4" customWidth="1"/>
    <col min="6475" max="6478" width="12.625" style="4" customWidth="1"/>
    <col min="6479" max="6479" width="14.625" style="4" customWidth="1"/>
    <col min="6480" max="6655" width="9" style="4"/>
    <col min="6656" max="6656" width="11.875" style="4" customWidth="1"/>
    <col min="6657" max="6657" width="14.625" style="4" customWidth="1"/>
    <col min="6658" max="6659" width="14.875" style="4" customWidth="1"/>
    <col min="6660" max="6660" width="20.375" style="4" customWidth="1"/>
    <col min="6661" max="6661" width="12.625" style="4" customWidth="1"/>
    <col min="6662" max="6662" width="24.875" style="4" customWidth="1"/>
    <col min="6663" max="6664" width="12.625" style="4" customWidth="1"/>
    <col min="6665" max="6665" width="14.375" style="4" customWidth="1"/>
    <col min="6666" max="6667" width="14.875" style="4" customWidth="1"/>
    <col min="6668" max="6668" width="21.625" style="4" customWidth="1"/>
    <col min="6669" max="6669" width="12.625" style="4" customWidth="1"/>
    <col min="6670" max="6670" width="25.625" style="4" customWidth="1"/>
    <col min="6671" max="6671" width="12.625" style="4" customWidth="1"/>
    <col min="6672" max="6672" width="14.625" style="4" customWidth="1"/>
    <col min="6673" max="6674" width="14.875" style="4" customWidth="1"/>
    <col min="6675" max="6678" width="12.625" style="4" customWidth="1"/>
    <col min="6679" max="6679" width="14.625" style="4" customWidth="1"/>
    <col min="6680" max="6681" width="14.875" style="4" customWidth="1"/>
    <col min="6682" max="6685" width="12.625" style="4" customWidth="1"/>
    <col min="6686" max="6686" width="14.625" style="4" customWidth="1"/>
    <col min="6687" max="6688" width="14.875" style="4" customWidth="1"/>
    <col min="6689" max="6692" width="12.625" style="4" customWidth="1"/>
    <col min="6693" max="6693" width="14.625" style="4" customWidth="1"/>
    <col min="6694" max="6695" width="14.875" style="4" customWidth="1"/>
    <col min="6696" max="6699" width="12.625" style="4" customWidth="1"/>
    <col min="6700" max="6700" width="14.625" style="4" customWidth="1"/>
    <col min="6701" max="6702" width="14.875" style="4" customWidth="1"/>
    <col min="6703" max="6706" width="12.625" style="4" customWidth="1"/>
    <col min="6707" max="6707" width="14.625" style="4" customWidth="1"/>
    <col min="6708" max="6709" width="14.875" style="4" customWidth="1"/>
    <col min="6710" max="6713" width="12.625" style="4" customWidth="1"/>
    <col min="6714" max="6714" width="14.625" style="4" customWidth="1"/>
    <col min="6715" max="6716" width="14.875" style="4" customWidth="1"/>
    <col min="6717" max="6720" width="12.625" style="4" customWidth="1"/>
    <col min="6721" max="6721" width="14.625" style="4" customWidth="1"/>
    <col min="6722" max="6723" width="14.875" style="4" customWidth="1"/>
    <col min="6724" max="6727" width="12.625" style="4" customWidth="1"/>
    <col min="6728" max="6728" width="14.625" style="4" customWidth="1"/>
    <col min="6729" max="6730" width="14.875" style="4" customWidth="1"/>
    <col min="6731" max="6734" width="12.625" style="4" customWidth="1"/>
    <col min="6735" max="6735" width="14.625" style="4" customWidth="1"/>
    <col min="6736" max="6911" width="9" style="4"/>
    <col min="6912" max="6912" width="11.875" style="4" customWidth="1"/>
    <col min="6913" max="6913" width="14.625" style="4" customWidth="1"/>
    <col min="6914" max="6915" width="14.875" style="4" customWidth="1"/>
    <col min="6916" max="6916" width="20.375" style="4" customWidth="1"/>
    <col min="6917" max="6917" width="12.625" style="4" customWidth="1"/>
    <col min="6918" max="6918" width="24.875" style="4" customWidth="1"/>
    <col min="6919" max="6920" width="12.625" style="4" customWidth="1"/>
    <col min="6921" max="6921" width="14.375" style="4" customWidth="1"/>
    <col min="6922" max="6923" width="14.875" style="4" customWidth="1"/>
    <col min="6924" max="6924" width="21.625" style="4" customWidth="1"/>
    <col min="6925" max="6925" width="12.625" style="4" customWidth="1"/>
    <col min="6926" max="6926" width="25.625" style="4" customWidth="1"/>
    <col min="6927" max="6927" width="12.625" style="4" customWidth="1"/>
    <col min="6928" max="6928" width="14.625" style="4" customWidth="1"/>
    <col min="6929" max="6930" width="14.875" style="4" customWidth="1"/>
    <col min="6931" max="6934" width="12.625" style="4" customWidth="1"/>
    <col min="6935" max="6935" width="14.625" style="4" customWidth="1"/>
    <col min="6936" max="6937" width="14.875" style="4" customWidth="1"/>
    <col min="6938" max="6941" width="12.625" style="4" customWidth="1"/>
    <col min="6942" max="6942" width="14.625" style="4" customWidth="1"/>
    <col min="6943" max="6944" width="14.875" style="4" customWidth="1"/>
    <col min="6945" max="6948" width="12.625" style="4" customWidth="1"/>
    <col min="6949" max="6949" width="14.625" style="4" customWidth="1"/>
    <col min="6950" max="6951" width="14.875" style="4" customWidth="1"/>
    <col min="6952" max="6955" width="12.625" style="4" customWidth="1"/>
    <col min="6956" max="6956" width="14.625" style="4" customWidth="1"/>
    <col min="6957" max="6958" width="14.875" style="4" customWidth="1"/>
    <col min="6959" max="6962" width="12.625" style="4" customWidth="1"/>
    <col min="6963" max="6963" width="14.625" style="4" customWidth="1"/>
    <col min="6964" max="6965" width="14.875" style="4" customWidth="1"/>
    <col min="6966" max="6969" width="12.625" style="4" customWidth="1"/>
    <col min="6970" max="6970" width="14.625" style="4" customWidth="1"/>
    <col min="6971" max="6972" width="14.875" style="4" customWidth="1"/>
    <col min="6973" max="6976" width="12.625" style="4" customWidth="1"/>
    <col min="6977" max="6977" width="14.625" style="4" customWidth="1"/>
    <col min="6978" max="6979" width="14.875" style="4" customWidth="1"/>
    <col min="6980" max="6983" width="12.625" style="4" customWidth="1"/>
    <col min="6984" max="6984" width="14.625" style="4" customWidth="1"/>
    <col min="6985" max="6986" width="14.875" style="4" customWidth="1"/>
    <col min="6987" max="6990" width="12.625" style="4" customWidth="1"/>
    <col min="6991" max="6991" width="14.625" style="4" customWidth="1"/>
    <col min="6992" max="7167" width="9" style="4"/>
    <col min="7168" max="7168" width="11.875" style="4" customWidth="1"/>
    <col min="7169" max="7169" width="14.625" style="4" customWidth="1"/>
    <col min="7170" max="7171" width="14.875" style="4" customWidth="1"/>
    <col min="7172" max="7172" width="20.375" style="4" customWidth="1"/>
    <col min="7173" max="7173" width="12.625" style="4" customWidth="1"/>
    <col min="7174" max="7174" width="24.875" style="4" customWidth="1"/>
    <col min="7175" max="7176" width="12.625" style="4" customWidth="1"/>
    <col min="7177" max="7177" width="14.375" style="4" customWidth="1"/>
    <col min="7178" max="7179" width="14.875" style="4" customWidth="1"/>
    <col min="7180" max="7180" width="21.625" style="4" customWidth="1"/>
    <col min="7181" max="7181" width="12.625" style="4" customWidth="1"/>
    <col min="7182" max="7182" width="25.625" style="4" customWidth="1"/>
    <col min="7183" max="7183" width="12.625" style="4" customWidth="1"/>
    <col min="7184" max="7184" width="14.625" style="4" customWidth="1"/>
    <col min="7185" max="7186" width="14.875" style="4" customWidth="1"/>
    <col min="7187" max="7190" width="12.625" style="4" customWidth="1"/>
    <col min="7191" max="7191" width="14.625" style="4" customWidth="1"/>
    <col min="7192" max="7193" width="14.875" style="4" customWidth="1"/>
    <col min="7194" max="7197" width="12.625" style="4" customWidth="1"/>
    <col min="7198" max="7198" width="14.625" style="4" customWidth="1"/>
    <col min="7199" max="7200" width="14.875" style="4" customWidth="1"/>
    <col min="7201" max="7204" width="12.625" style="4" customWidth="1"/>
    <col min="7205" max="7205" width="14.625" style="4" customWidth="1"/>
    <col min="7206" max="7207" width="14.875" style="4" customWidth="1"/>
    <col min="7208" max="7211" width="12.625" style="4" customWidth="1"/>
    <col min="7212" max="7212" width="14.625" style="4" customWidth="1"/>
    <col min="7213" max="7214" width="14.875" style="4" customWidth="1"/>
    <col min="7215" max="7218" width="12.625" style="4" customWidth="1"/>
    <col min="7219" max="7219" width="14.625" style="4" customWidth="1"/>
    <col min="7220" max="7221" width="14.875" style="4" customWidth="1"/>
    <col min="7222" max="7225" width="12.625" style="4" customWidth="1"/>
    <col min="7226" max="7226" width="14.625" style="4" customWidth="1"/>
    <col min="7227" max="7228" width="14.875" style="4" customWidth="1"/>
    <col min="7229" max="7232" width="12.625" style="4" customWidth="1"/>
    <col min="7233" max="7233" width="14.625" style="4" customWidth="1"/>
    <col min="7234" max="7235" width="14.875" style="4" customWidth="1"/>
    <col min="7236" max="7239" width="12.625" style="4" customWidth="1"/>
    <col min="7240" max="7240" width="14.625" style="4" customWidth="1"/>
    <col min="7241" max="7242" width="14.875" style="4" customWidth="1"/>
    <col min="7243" max="7246" width="12.625" style="4" customWidth="1"/>
    <col min="7247" max="7247" width="14.625" style="4" customWidth="1"/>
    <col min="7248" max="7423" width="9" style="4"/>
    <col min="7424" max="7424" width="11.875" style="4" customWidth="1"/>
    <col min="7425" max="7425" width="14.625" style="4" customWidth="1"/>
    <col min="7426" max="7427" width="14.875" style="4" customWidth="1"/>
    <col min="7428" max="7428" width="20.375" style="4" customWidth="1"/>
    <col min="7429" max="7429" width="12.625" style="4" customWidth="1"/>
    <col min="7430" max="7430" width="24.875" style="4" customWidth="1"/>
    <col min="7431" max="7432" width="12.625" style="4" customWidth="1"/>
    <col min="7433" max="7433" width="14.375" style="4" customWidth="1"/>
    <col min="7434" max="7435" width="14.875" style="4" customWidth="1"/>
    <col min="7436" max="7436" width="21.625" style="4" customWidth="1"/>
    <col min="7437" max="7437" width="12.625" style="4" customWidth="1"/>
    <col min="7438" max="7438" width="25.625" style="4" customWidth="1"/>
    <col min="7439" max="7439" width="12.625" style="4" customWidth="1"/>
    <col min="7440" max="7440" width="14.625" style="4" customWidth="1"/>
    <col min="7441" max="7442" width="14.875" style="4" customWidth="1"/>
    <col min="7443" max="7446" width="12.625" style="4" customWidth="1"/>
    <col min="7447" max="7447" width="14.625" style="4" customWidth="1"/>
    <col min="7448" max="7449" width="14.875" style="4" customWidth="1"/>
    <col min="7450" max="7453" width="12.625" style="4" customWidth="1"/>
    <col min="7454" max="7454" width="14.625" style="4" customWidth="1"/>
    <col min="7455" max="7456" width="14.875" style="4" customWidth="1"/>
    <col min="7457" max="7460" width="12.625" style="4" customWidth="1"/>
    <col min="7461" max="7461" width="14.625" style="4" customWidth="1"/>
    <col min="7462" max="7463" width="14.875" style="4" customWidth="1"/>
    <col min="7464" max="7467" width="12.625" style="4" customWidth="1"/>
    <col min="7468" max="7468" width="14.625" style="4" customWidth="1"/>
    <col min="7469" max="7470" width="14.875" style="4" customWidth="1"/>
    <col min="7471" max="7474" width="12.625" style="4" customWidth="1"/>
    <col min="7475" max="7475" width="14.625" style="4" customWidth="1"/>
    <col min="7476" max="7477" width="14.875" style="4" customWidth="1"/>
    <col min="7478" max="7481" width="12.625" style="4" customWidth="1"/>
    <col min="7482" max="7482" width="14.625" style="4" customWidth="1"/>
    <col min="7483" max="7484" width="14.875" style="4" customWidth="1"/>
    <col min="7485" max="7488" width="12.625" style="4" customWidth="1"/>
    <col min="7489" max="7489" width="14.625" style="4" customWidth="1"/>
    <col min="7490" max="7491" width="14.875" style="4" customWidth="1"/>
    <col min="7492" max="7495" width="12.625" style="4" customWidth="1"/>
    <col min="7496" max="7496" width="14.625" style="4" customWidth="1"/>
    <col min="7497" max="7498" width="14.875" style="4" customWidth="1"/>
    <col min="7499" max="7502" width="12.625" style="4" customWidth="1"/>
    <col min="7503" max="7503" width="14.625" style="4" customWidth="1"/>
    <col min="7504" max="7679" width="9" style="4"/>
    <col min="7680" max="7680" width="11.875" style="4" customWidth="1"/>
    <col min="7681" max="7681" width="14.625" style="4" customWidth="1"/>
    <col min="7682" max="7683" width="14.875" style="4" customWidth="1"/>
    <col min="7684" max="7684" width="20.375" style="4" customWidth="1"/>
    <col min="7685" max="7685" width="12.625" style="4" customWidth="1"/>
    <col min="7686" max="7686" width="24.875" style="4" customWidth="1"/>
    <col min="7687" max="7688" width="12.625" style="4" customWidth="1"/>
    <col min="7689" max="7689" width="14.375" style="4" customWidth="1"/>
    <col min="7690" max="7691" width="14.875" style="4" customWidth="1"/>
    <col min="7692" max="7692" width="21.625" style="4" customWidth="1"/>
    <col min="7693" max="7693" width="12.625" style="4" customWidth="1"/>
    <col min="7694" max="7694" width="25.625" style="4" customWidth="1"/>
    <col min="7695" max="7695" width="12.625" style="4" customWidth="1"/>
    <col min="7696" max="7696" width="14.625" style="4" customWidth="1"/>
    <col min="7697" max="7698" width="14.875" style="4" customWidth="1"/>
    <col min="7699" max="7702" width="12.625" style="4" customWidth="1"/>
    <col min="7703" max="7703" width="14.625" style="4" customWidth="1"/>
    <col min="7704" max="7705" width="14.875" style="4" customWidth="1"/>
    <col min="7706" max="7709" width="12.625" style="4" customWidth="1"/>
    <col min="7710" max="7710" width="14.625" style="4" customWidth="1"/>
    <col min="7711" max="7712" width="14.875" style="4" customWidth="1"/>
    <col min="7713" max="7716" width="12.625" style="4" customWidth="1"/>
    <col min="7717" max="7717" width="14.625" style="4" customWidth="1"/>
    <col min="7718" max="7719" width="14.875" style="4" customWidth="1"/>
    <col min="7720" max="7723" width="12.625" style="4" customWidth="1"/>
    <col min="7724" max="7724" width="14.625" style="4" customWidth="1"/>
    <col min="7725" max="7726" width="14.875" style="4" customWidth="1"/>
    <col min="7727" max="7730" width="12.625" style="4" customWidth="1"/>
    <col min="7731" max="7731" width="14.625" style="4" customWidth="1"/>
    <col min="7732" max="7733" width="14.875" style="4" customWidth="1"/>
    <col min="7734" max="7737" width="12.625" style="4" customWidth="1"/>
    <col min="7738" max="7738" width="14.625" style="4" customWidth="1"/>
    <col min="7739" max="7740" width="14.875" style="4" customWidth="1"/>
    <col min="7741" max="7744" width="12.625" style="4" customWidth="1"/>
    <col min="7745" max="7745" width="14.625" style="4" customWidth="1"/>
    <col min="7746" max="7747" width="14.875" style="4" customWidth="1"/>
    <col min="7748" max="7751" width="12.625" style="4" customWidth="1"/>
    <col min="7752" max="7752" width="14.625" style="4" customWidth="1"/>
    <col min="7753" max="7754" width="14.875" style="4" customWidth="1"/>
    <col min="7755" max="7758" width="12.625" style="4" customWidth="1"/>
    <col min="7759" max="7759" width="14.625" style="4" customWidth="1"/>
    <col min="7760" max="7935" width="9" style="4"/>
    <col min="7936" max="7936" width="11.875" style="4" customWidth="1"/>
    <col min="7937" max="7937" width="14.625" style="4" customWidth="1"/>
    <col min="7938" max="7939" width="14.875" style="4" customWidth="1"/>
    <col min="7940" max="7940" width="20.375" style="4" customWidth="1"/>
    <col min="7941" max="7941" width="12.625" style="4" customWidth="1"/>
    <col min="7942" max="7942" width="24.875" style="4" customWidth="1"/>
    <col min="7943" max="7944" width="12.625" style="4" customWidth="1"/>
    <col min="7945" max="7945" width="14.375" style="4" customWidth="1"/>
    <col min="7946" max="7947" width="14.875" style="4" customWidth="1"/>
    <col min="7948" max="7948" width="21.625" style="4" customWidth="1"/>
    <col min="7949" max="7949" width="12.625" style="4" customWidth="1"/>
    <col min="7950" max="7950" width="25.625" style="4" customWidth="1"/>
    <col min="7951" max="7951" width="12.625" style="4" customWidth="1"/>
    <col min="7952" max="7952" width="14.625" style="4" customWidth="1"/>
    <col min="7953" max="7954" width="14.875" style="4" customWidth="1"/>
    <col min="7955" max="7958" width="12.625" style="4" customWidth="1"/>
    <col min="7959" max="7959" width="14.625" style="4" customWidth="1"/>
    <col min="7960" max="7961" width="14.875" style="4" customWidth="1"/>
    <col min="7962" max="7965" width="12.625" style="4" customWidth="1"/>
    <col min="7966" max="7966" width="14.625" style="4" customWidth="1"/>
    <col min="7967" max="7968" width="14.875" style="4" customWidth="1"/>
    <col min="7969" max="7972" width="12.625" style="4" customWidth="1"/>
    <col min="7973" max="7973" width="14.625" style="4" customWidth="1"/>
    <col min="7974" max="7975" width="14.875" style="4" customWidth="1"/>
    <col min="7976" max="7979" width="12.625" style="4" customWidth="1"/>
    <col min="7980" max="7980" width="14.625" style="4" customWidth="1"/>
    <col min="7981" max="7982" width="14.875" style="4" customWidth="1"/>
    <col min="7983" max="7986" width="12.625" style="4" customWidth="1"/>
    <col min="7987" max="7987" width="14.625" style="4" customWidth="1"/>
    <col min="7988" max="7989" width="14.875" style="4" customWidth="1"/>
    <col min="7990" max="7993" width="12.625" style="4" customWidth="1"/>
    <col min="7994" max="7994" width="14.625" style="4" customWidth="1"/>
    <col min="7995" max="7996" width="14.875" style="4" customWidth="1"/>
    <col min="7997" max="8000" width="12.625" style="4" customWidth="1"/>
    <col min="8001" max="8001" width="14.625" style="4" customWidth="1"/>
    <col min="8002" max="8003" width="14.875" style="4" customWidth="1"/>
    <col min="8004" max="8007" width="12.625" style="4" customWidth="1"/>
    <col min="8008" max="8008" width="14.625" style="4" customWidth="1"/>
    <col min="8009" max="8010" width="14.875" style="4" customWidth="1"/>
    <col min="8011" max="8014" width="12.625" style="4" customWidth="1"/>
    <col min="8015" max="8015" width="14.625" style="4" customWidth="1"/>
    <col min="8016" max="8191" width="9" style="4"/>
    <col min="8192" max="8192" width="11.875" style="4" customWidth="1"/>
    <col min="8193" max="8193" width="14.625" style="4" customWidth="1"/>
    <col min="8194" max="8195" width="14.875" style="4" customWidth="1"/>
    <col min="8196" max="8196" width="20.375" style="4" customWidth="1"/>
    <col min="8197" max="8197" width="12.625" style="4" customWidth="1"/>
    <col min="8198" max="8198" width="24.875" style="4" customWidth="1"/>
    <col min="8199" max="8200" width="12.625" style="4" customWidth="1"/>
    <col min="8201" max="8201" width="14.375" style="4" customWidth="1"/>
    <col min="8202" max="8203" width="14.875" style="4" customWidth="1"/>
    <col min="8204" max="8204" width="21.625" style="4" customWidth="1"/>
    <col min="8205" max="8205" width="12.625" style="4" customWidth="1"/>
    <col min="8206" max="8206" width="25.625" style="4" customWidth="1"/>
    <col min="8207" max="8207" width="12.625" style="4" customWidth="1"/>
    <col min="8208" max="8208" width="14.625" style="4" customWidth="1"/>
    <col min="8209" max="8210" width="14.875" style="4" customWidth="1"/>
    <col min="8211" max="8214" width="12.625" style="4" customWidth="1"/>
    <col min="8215" max="8215" width="14.625" style="4" customWidth="1"/>
    <col min="8216" max="8217" width="14.875" style="4" customWidth="1"/>
    <col min="8218" max="8221" width="12.625" style="4" customWidth="1"/>
    <col min="8222" max="8222" width="14.625" style="4" customWidth="1"/>
    <col min="8223" max="8224" width="14.875" style="4" customWidth="1"/>
    <col min="8225" max="8228" width="12.625" style="4" customWidth="1"/>
    <col min="8229" max="8229" width="14.625" style="4" customWidth="1"/>
    <col min="8230" max="8231" width="14.875" style="4" customWidth="1"/>
    <col min="8232" max="8235" width="12.625" style="4" customWidth="1"/>
    <col min="8236" max="8236" width="14.625" style="4" customWidth="1"/>
    <col min="8237" max="8238" width="14.875" style="4" customWidth="1"/>
    <col min="8239" max="8242" width="12.625" style="4" customWidth="1"/>
    <col min="8243" max="8243" width="14.625" style="4" customWidth="1"/>
    <col min="8244" max="8245" width="14.875" style="4" customWidth="1"/>
    <col min="8246" max="8249" width="12.625" style="4" customWidth="1"/>
    <col min="8250" max="8250" width="14.625" style="4" customWidth="1"/>
    <col min="8251" max="8252" width="14.875" style="4" customWidth="1"/>
    <col min="8253" max="8256" width="12.625" style="4" customWidth="1"/>
    <col min="8257" max="8257" width="14.625" style="4" customWidth="1"/>
    <col min="8258" max="8259" width="14.875" style="4" customWidth="1"/>
    <col min="8260" max="8263" width="12.625" style="4" customWidth="1"/>
    <col min="8264" max="8264" width="14.625" style="4" customWidth="1"/>
    <col min="8265" max="8266" width="14.875" style="4" customWidth="1"/>
    <col min="8267" max="8270" width="12.625" style="4" customWidth="1"/>
    <col min="8271" max="8271" width="14.625" style="4" customWidth="1"/>
    <col min="8272" max="8447" width="9" style="4"/>
    <col min="8448" max="8448" width="11.875" style="4" customWidth="1"/>
    <col min="8449" max="8449" width="14.625" style="4" customWidth="1"/>
    <col min="8450" max="8451" width="14.875" style="4" customWidth="1"/>
    <col min="8452" max="8452" width="20.375" style="4" customWidth="1"/>
    <col min="8453" max="8453" width="12.625" style="4" customWidth="1"/>
    <col min="8454" max="8454" width="24.875" style="4" customWidth="1"/>
    <col min="8455" max="8456" width="12.625" style="4" customWidth="1"/>
    <col min="8457" max="8457" width="14.375" style="4" customWidth="1"/>
    <col min="8458" max="8459" width="14.875" style="4" customWidth="1"/>
    <col min="8460" max="8460" width="21.625" style="4" customWidth="1"/>
    <col min="8461" max="8461" width="12.625" style="4" customWidth="1"/>
    <col min="8462" max="8462" width="25.625" style="4" customWidth="1"/>
    <col min="8463" max="8463" width="12.625" style="4" customWidth="1"/>
    <col min="8464" max="8464" width="14.625" style="4" customWidth="1"/>
    <col min="8465" max="8466" width="14.875" style="4" customWidth="1"/>
    <col min="8467" max="8470" width="12.625" style="4" customWidth="1"/>
    <col min="8471" max="8471" width="14.625" style="4" customWidth="1"/>
    <col min="8472" max="8473" width="14.875" style="4" customWidth="1"/>
    <col min="8474" max="8477" width="12.625" style="4" customWidth="1"/>
    <col min="8478" max="8478" width="14.625" style="4" customWidth="1"/>
    <col min="8479" max="8480" width="14.875" style="4" customWidth="1"/>
    <col min="8481" max="8484" width="12.625" style="4" customWidth="1"/>
    <col min="8485" max="8485" width="14.625" style="4" customWidth="1"/>
    <col min="8486" max="8487" width="14.875" style="4" customWidth="1"/>
    <col min="8488" max="8491" width="12.625" style="4" customWidth="1"/>
    <col min="8492" max="8492" width="14.625" style="4" customWidth="1"/>
    <col min="8493" max="8494" width="14.875" style="4" customWidth="1"/>
    <col min="8495" max="8498" width="12.625" style="4" customWidth="1"/>
    <col min="8499" max="8499" width="14.625" style="4" customWidth="1"/>
    <col min="8500" max="8501" width="14.875" style="4" customWidth="1"/>
    <col min="8502" max="8505" width="12.625" style="4" customWidth="1"/>
    <col min="8506" max="8506" width="14.625" style="4" customWidth="1"/>
    <col min="8507" max="8508" width="14.875" style="4" customWidth="1"/>
    <col min="8509" max="8512" width="12.625" style="4" customWidth="1"/>
    <col min="8513" max="8513" width="14.625" style="4" customWidth="1"/>
    <col min="8514" max="8515" width="14.875" style="4" customWidth="1"/>
    <col min="8516" max="8519" width="12.625" style="4" customWidth="1"/>
    <col min="8520" max="8520" width="14.625" style="4" customWidth="1"/>
    <col min="8521" max="8522" width="14.875" style="4" customWidth="1"/>
    <col min="8523" max="8526" width="12.625" style="4" customWidth="1"/>
    <col min="8527" max="8527" width="14.625" style="4" customWidth="1"/>
    <col min="8528" max="8703" width="9" style="4"/>
    <col min="8704" max="8704" width="11.875" style="4" customWidth="1"/>
    <col min="8705" max="8705" width="14.625" style="4" customWidth="1"/>
    <col min="8706" max="8707" width="14.875" style="4" customWidth="1"/>
    <col min="8708" max="8708" width="20.375" style="4" customWidth="1"/>
    <col min="8709" max="8709" width="12.625" style="4" customWidth="1"/>
    <col min="8710" max="8710" width="24.875" style="4" customWidth="1"/>
    <col min="8711" max="8712" width="12.625" style="4" customWidth="1"/>
    <col min="8713" max="8713" width="14.375" style="4" customWidth="1"/>
    <col min="8714" max="8715" width="14.875" style="4" customWidth="1"/>
    <col min="8716" max="8716" width="21.625" style="4" customWidth="1"/>
    <col min="8717" max="8717" width="12.625" style="4" customWidth="1"/>
    <col min="8718" max="8718" width="25.625" style="4" customWidth="1"/>
    <col min="8719" max="8719" width="12.625" style="4" customWidth="1"/>
    <col min="8720" max="8720" width="14.625" style="4" customWidth="1"/>
    <col min="8721" max="8722" width="14.875" style="4" customWidth="1"/>
    <col min="8723" max="8726" width="12.625" style="4" customWidth="1"/>
    <col min="8727" max="8727" width="14.625" style="4" customWidth="1"/>
    <col min="8728" max="8729" width="14.875" style="4" customWidth="1"/>
    <col min="8730" max="8733" width="12.625" style="4" customWidth="1"/>
    <col min="8734" max="8734" width="14.625" style="4" customWidth="1"/>
    <col min="8735" max="8736" width="14.875" style="4" customWidth="1"/>
    <col min="8737" max="8740" width="12.625" style="4" customWidth="1"/>
    <col min="8741" max="8741" width="14.625" style="4" customWidth="1"/>
    <col min="8742" max="8743" width="14.875" style="4" customWidth="1"/>
    <col min="8744" max="8747" width="12.625" style="4" customWidth="1"/>
    <col min="8748" max="8748" width="14.625" style="4" customWidth="1"/>
    <col min="8749" max="8750" width="14.875" style="4" customWidth="1"/>
    <col min="8751" max="8754" width="12.625" style="4" customWidth="1"/>
    <col min="8755" max="8755" width="14.625" style="4" customWidth="1"/>
    <col min="8756" max="8757" width="14.875" style="4" customWidth="1"/>
    <col min="8758" max="8761" width="12.625" style="4" customWidth="1"/>
    <col min="8762" max="8762" width="14.625" style="4" customWidth="1"/>
    <col min="8763" max="8764" width="14.875" style="4" customWidth="1"/>
    <col min="8765" max="8768" width="12.625" style="4" customWidth="1"/>
    <col min="8769" max="8769" width="14.625" style="4" customWidth="1"/>
    <col min="8770" max="8771" width="14.875" style="4" customWidth="1"/>
    <col min="8772" max="8775" width="12.625" style="4" customWidth="1"/>
    <col min="8776" max="8776" width="14.625" style="4" customWidth="1"/>
    <col min="8777" max="8778" width="14.875" style="4" customWidth="1"/>
    <col min="8779" max="8782" width="12.625" style="4" customWidth="1"/>
    <col min="8783" max="8783" width="14.625" style="4" customWidth="1"/>
    <col min="8784" max="8959" width="9" style="4"/>
    <col min="8960" max="8960" width="11.875" style="4" customWidth="1"/>
    <col min="8961" max="8961" width="14.625" style="4" customWidth="1"/>
    <col min="8962" max="8963" width="14.875" style="4" customWidth="1"/>
    <col min="8964" max="8964" width="20.375" style="4" customWidth="1"/>
    <col min="8965" max="8965" width="12.625" style="4" customWidth="1"/>
    <col min="8966" max="8966" width="24.875" style="4" customWidth="1"/>
    <col min="8967" max="8968" width="12.625" style="4" customWidth="1"/>
    <col min="8969" max="8969" width="14.375" style="4" customWidth="1"/>
    <col min="8970" max="8971" width="14.875" style="4" customWidth="1"/>
    <col min="8972" max="8972" width="21.625" style="4" customWidth="1"/>
    <col min="8973" max="8973" width="12.625" style="4" customWidth="1"/>
    <col min="8974" max="8974" width="25.625" style="4" customWidth="1"/>
    <col min="8975" max="8975" width="12.625" style="4" customWidth="1"/>
    <col min="8976" max="8976" width="14.625" style="4" customWidth="1"/>
    <col min="8977" max="8978" width="14.875" style="4" customWidth="1"/>
    <col min="8979" max="8982" width="12.625" style="4" customWidth="1"/>
    <col min="8983" max="8983" width="14.625" style="4" customWidth="1"/>
    <col min="8984" max="8985" width="14.875" style="4" customWidth="1"/>
    <col min="8986" max="8989" width="12.625" style="4" customWidth="1"/>
    <col min="8990" max="8990" width="14.625" style="4" customWidth="1"/>
    <col min="8991" max="8992" width="14.875" style="4" customWidth="1"/>
    <col min="8993" max="8996" width="12.625" style="4" customWidth="1"/>
    <col min="8997" max="8997" width="14.625" style="4" customWidth="1"/>
    <col min="8998" max="8999" width="14.875" style="4" customWidth="1"/>
    <col min="9000" max="9003" width="12.625" style="4" customWidth="1"/>
    <col min="9004" max="9004" width="14.625" style="4" customWidth="1"/>
    <col min="9005" max="9006" width="14.875" style="4" customWidth="1"/>
    <col min="9007" max="9010" width="12.625" style="4" customWidth="1"/>
    <col min="9011" max="9011" width="14.625" style="4" customWidth="1"/>
    <col min="9012" max="9013" width="14.875" style="4" customWidth="1"/>
    <col min="9014" max="9017" width="12.625" style="4" customWidth="1"/>
    <col min="9018" max="9018" width="14.625" style="4" customWidth="1"/>
    <col min="9019" max="9020" width="14.875" style="4" customWidth="1"/>
    <col min="9021" max="9024" width="12.625" style="4" customWidth="1"/>
    <col min="9025" max="9025" width="14.625" style="4" customWidth="1"/>
    <col min="9026" max="9027" width="14.875" style="4" customWidth="1"/>
    <col min="9028" max="9031" width="12.625" style="4" customWidth="1"/>
    <col min="9032" max="9032" width="14.625" style="4" customWidth="1"/>
    <col min="9033" max="9034" width="14.875" style="4" customWidth="1"/>
    <col min="9035" max="9038" width="12.625" style="4" customWidth="1"/>
    <col min="9039" max="9039" width="14.625" style="4" customWidth="1"/>
    <col min="9040" max="9215" width="9" style="4"/>
    <col min="9216" max="9216" width="11.875" style="4" customWidth="1"/>
    <col min="9217" max="9217" width="14.625" style="4" customWidth="1"/>
    <col min="9218" max="9219" width="14.875" style="4" customWidth="1"/>
    <col min="9220" max="9220" width="20.375" style="4" customWidth="1"/>
    <col min="9221" max="9221" width="12.625" style="4" customWidth="1"/>
    <col min="9222" max="9222" width="24.875" style="4" customWidth="1"/>
    <col min="9223" max="9224" width="12.625" style="4" customWidth="1"/>
    <col min="9225" max="9225" width="14.375" style="4" customWidth="1"/>
    <col min="9226" max="9227" width="14.875" style="4" customWidth="1"/>
    <col min="9228" max="9228" width="21.625" style="4" customWidth="1"/>
    <col min="9229" max="9229" width="12.625" style="4" customWidth="1"/>
    <col min="9230" max="9230" width="25.625" style="4" customWidth="1"/>
    <col min="9231" max="9231" width="12.625" style="4" customWidth="1"/>
    <col min="9232" max="9232" width="14.625" style="4" customWidth="1"/>
    <col min="9233" max="9234" width="14.875" style="4" customWidth="1"/>
    <col min="9235" max="9238" width="12.625" style="4" customWidth="1"/>
    <col min="9239" max="9239" width="14.625" style="4" customWidth="1"/>
    <col min="9240" max="9241" width="14.875" style="4" customWidth="1"/>
    <col min="9242" max="9245" width="12.625" style="4" customWidth="1"/>
    <col min="9246" max="9246" width="14.625" style="4" customWidth="1"/>
    <col min="9247" max="9248" width="14.875" style="4" customWidth="1"/>
    <col min="9249" max="9252" width="12.625" style="4" customWidth="1"/>
    <col min="9253" max="9253" width="14.625" style="4" customWidth="1"/>
    <col min="9254" max="9255" width="14.875" style="4" customWidth="1"/>
    <col min="9256" max="9259" width="12.625" style="4" customWidth="1"/>
    <col min="9260" max="9260" width="14.625" style="4" customWidth="1"/>
    <col min="9261" max="9262" width="14.875" style="4" customWidth="1"/>
    <col min="9263" max="9266" width="12.625" style="4" customWidth="1"/>
    <col min="9267" max="9267" width="14.625" style="4" customWidth="1"/>
    <col min="9268" max="9269" width="14.875" style="4" customWidth="1"/>
    <col min="9270" max="9273" width="12.625" style="4" customWidth="1"/>
    <col min="9274" max="9274" width="14.625" style="4" customWidth="1"/>
    <col min="9275" max="9276" width="14.875" style="4" customWidth="1"/>
    <col min="9277" max="9280" width="12.625" style="4" customWidth="1"/>
    <col min="9281" max="9281" width="14.625" style="4" customWidth="1"/>
    <col min="9282" max="9283" width="14.875" style="4" customWidth="1"/>
    <col min="9284" max="9287" width="12.625" style="4" customWidth="1"/>
    <col min="9288" max="9288" width="14.625" style="4" customWidth="1"/>
    <col min="9289" max="9290" width="14.875" style="4" customWidth="1"/>
    <col min="9291" max="9294" width="12.625" style="4" customWidth="1"/>
    <col min="9295" max="9295" width="14.625" style="4" customWidth="1"/>
    <col min="9296" max="9471" width="9" style="4"/>
    <col min="9472" max="9472" width="11.875" style="4" customWidth="1"/>
    <col min="9473" max="9473" width="14.625" style="4" customWidth="1"/>
    <col min="9474" max="9475" width="14.875" style="4" customWidth="1"/>
    <col min="9476" max="9476" width="20.375" style="4" customWidth="1"/>
    <col min="9477" max="9477" width="12.625" style="4" customWidth="1"/>
    <col min="9478" max="9478" width="24.875" style="4" customWidth="1"/>
    <col min="9479" max="9480" width="12.625" style="4" customWidth="1"/>
    <col min="9481" max="9481" width="14.375" style="4" customWidth="1"/>
    <col min="9482" max="9483" width="14.875" style="4" customWidth="1"/>
    <col min="9484" max="9484" width="21.625" style="4" customWidth="1"/>
    <col min="9485" max="9485" width="12.625" style="4" customWidth="1"/>
    <col min="9486" max="9486" width="25.625" style="4" customWidth="1"/>
    <col min="9487" max="9487" width="12.625" style="4" customWidth="1"/>
    <col min="9488" max="9488" width="14.625" style="4" customWidth="1"/>
    <col min="9489" max="9490" width="14.875" style="4" customWidth="1"/>
    <col min="9491" max="9494" width="12.625" style="4" customWidth="1"/>
    <col min="9495" max="9495" width="14.625" style="4" customWidth="1"/>
    <col min="9496" max="9497" width="14.875" style="4" customWidth="1"/>
    <col min="9498" max="9501" width="12.625" style="4" customWidth="1"/>
    <col min="9502" max="9502" width="14.625" style="4" customWidth="1"/>
    <col min="9503" max="9504" width="14.875" style="4" customWidth="1"/>
    <col min="9505" max="9508" width="12.625" style="4" customWidth="1"/>
    <col min="9509" max="9509" width="14.625" style="4" customWidth="1"/>
    <col min="9510" max="9511" width="14.875" style="4" customWidth="1"/>
    <col min="9512" max="9515" width="12.625" style="4" customWidth="1"/>
    <col min="9516" max="9516" width="14.625" style="4" customWidth="1"/>
    <col min="9517" max="9518" width="14.875" style="4" customWidth="1"/>
    <col min="9519" max="9522" width="12.625" style="4" customWidth="1"/>
    <col min="9523" max="9523" width="14.625" style="4" customWidth="1"/>
    <col min="9524" max="9525" width="14.875" style="4" customWidth="1"/>
    <col min="9526" max="9529" width="12.625" style="4" customWidth="1"/>
    <col min="9530" max="9530" width="14.625" style="4" customWidth="1"/>
    <col min="9531" max="9532" width="14.875" style="4" customWidth="1"/>
    <col min="9533" max="9536" width="12.625" style="4" customWidth="1"/>
    <col min="9537" max="9537" width="14.625" style="4" customWidth="1"/>
    <col min="9538" max="9539" width="14.875" style="4" customWidth="1"/>
    <col min="9540" max="9543" width="12.625" style="4" customWidth="1"/>
    <col min="9544" max="9544" width="14.625" style="4" customWidth="1"/>
    <col min="9545" max="9546" width="14.875" style="4" customWidth="1"/>
    <col min="9547" max="9550" width="12.625" style="4" customWidth="1"/>
    <col min="9551" max="9551" width="14.625" style="4" customWidth="1"/>
    <col min="9552" max="9727" width="9" style="4"/>
    <col min="9728" max="9728" width="11.875" style="4" customWidth="1"/>
    <col min="9729" max="9729" width="14.625" style="4" customWidth="1"/>
    <col min="9730" max="9731" width="14.875" style="4" customWidth="1"/>
    <col min="9732" max="9732" width="20.375" style="4" customWidth="1"/>
    <col min="9733" max="9733" width="12.625" style="4" customWidth="1"/>
    <col min="9734" max="9734" width="24.875" style="4" customWidth="1"/>
    <col min="9735" max="9736" width="12.625" style="4" customWidth="1"/>
    <col min="9737" max="9737" width="14.375" style="4" customWidth="1"/>
    <col min="9738" max="9739" width="14.875" style="4" customWidth="1"/>
    <col min="9740" max="9740" width="21.625" style="4" customWidth="1"/>
    <col min="9741" max="9741" width="12.625" style="4" customWidth="1"/>
    <col min="9742" max="9742" width="25.625" style="4" customWidth="1"/>
    <col min="9743" max="9743" width="12.625" style="4" customWidth="1"/>
    <col min="9744" max="9744" width="14.625" style="4" customWidth="1"/>
    <col min="9745" max="9746" width="14.875" style="4" customWidth="1"/>
    <col min="9747" max="9750" width="12.625" style="4" customWidth="1"/>
    <col min="9751" max="9751" width="14.625" style="4" customWidth="1"/>
    <col min="9752" max="9753" width="14.875" style="4" customWidth="1"/>
    <col min="9754" max="9757" width="12.625" style="4" customWidth="1"/>
    <col min="9758" max="9758" width="14.625" style="4" customWidth="1"/>
    <col min="9759" max="9760" width="14.875" style="4" customWidth="1"/>
    <col min="9761" max="9764" width="12.625" style="4" customWidth="1"/>
    <col min="9765" max="9765" width="14.625" style="4" customWidth="1"/>
    <col min="9766" max="9767" width="14.875" style="4" customWidth="1"/>
    <col min="9768" max="9771" width="12.625" style="4" customWidth="1"/>
    <col min="9772" max="9772" width="14.625" style="4" customWidth="1"/>
    <col min="9773" max="9774" width="14.875" style="4" customWidth="1"/>
    <col min="9775" max="9778" width="12.625" style="4" customWidth="1"/>
    <col min="9779" max="9779" width="14.625" style="4" customWidth="1"/>
    <col min="9780" max="9781" width="14.875" style="4" customWidth="1"/>
    <col min="9782" max="9785" width="12.625" style="4" customWidth="1"/>
    <col min="9786" max="9786" width="14.625" style="4" customWidth="1"/>
    <col min="9787" max="9788" width="14.875" style="4" customWidth="1"/>
    <col min="9789" max="9792" width="12.625" style="4" customWidth="1"/>
    <col min="9793" max="9793" width="14.625" style="4" customWidth="1"/>
    <col min="9794" max="9795" width="14.875" style="4" customWidth="1"/>
    <col min="9796" max="9799" width="12.625" style="4" customWidth="1"/>
    <col min="9800" max="9800" width="14.625" style="4" customWidth="1"/>
    <col min="9801" max="9802" width="14.875" style="4" customWidth="1"/>
    <col min="9803" max="9806" width="12.625" style="4" customWidth="1"/>
    <col min="9807" max="9807" width="14.625" style="4" customWidth="1"/>
    <col min="9808" max="9983" width="9" style="4"/>
    <col min="9984" max="9984" width="11.875" style="4" customWidth="1"/>
    <col min="9985" max="9985" width="14.625" style="4" customWidth="1"/>
    <col min="9986" max="9987" width="14.875" style="4" customWidth="1"/>
    <col min="9988" max="9988" width="20.375" style="4" customWidth="1"/>
    <col min="9989" max="9989" width="12.625" style="4" customWidth="1"/>
    <col min="9990" max="9990" width="24.875" style="4" customWidth="1"/>
    <col min="9991" max="9992" width="12.625" style="4" customWidth="1"/>
    <col min="9993" max="9993" width="14.375" style="4" customWidth="1"/>
    <col min="9994" max="9995" width="14.875" style="4" customWidth="1"/>
    <col min="9996" max="9996" width="21.625" style="4" customWidth="1"/>
    <col min="9997" max="9997" width="12.625" style="4" customWidth="1"/>
    <col min="9998" max="9998" width="25.625" style="4" customWidth="1"/>
    <col min="9999" max="9999" width="12.625" style="4" customWidth="1"/>
    <col min="10000" max="10000" width="14.625" style="4" customWidth="1"/>
    <col min="10001" max="10002" width="14.875" style="4" customWidth="1"/>
    <col min="10003" max="10006" width="12.625" style="4" customWidth="1"/>
    <col min="10007" max="10007" width="14.625" style="4" customWidth="1"/>
    <col min="10008" max="10009" width="14.875" style="4" customWidth="1"/>
    <col min="10010" max="10013" width="12.625" style="4" customWidth="1"/>
    <col min="10014" max="10014" width="14.625" style="4" customWidth="1"/>
    <col min="10015" max="10016" width="14.875" style="4" customWidth="1"/>
    <col min="10017" max="10020" width="12.625" style="4" customWidth="1"/>
    <col min="10021" max="10021" width="14.625" style="4" customWidth="1"/>
    <col min="10022" max="10023" width="14.875" style="4" customWidth="1"/>
    <col min="10024" max="10027" width="12.625" style="4" customWidth="1"/>
    <col min="10028" max="10028" width="14.625" style="4" customWidth="1"/>
    <col min="10029" max="10030" width="14.875" style="4" customWidth="1"/>
    <col min="10031" max="10034" width="12.625" style="4" customWidth="1"/>
    <col min="10035" max="10035" width="14.625" style="4" customWidth="1"/>
    <col min="10036" max="10037" width="14.875" style="4" customWidth="1"/>
    <col min="10038" max="10041" width="12.625" style="4" customWidth="1"/>
    <col min="10042" max="10042" width="14.625" style="4" customWidth="1"/>
    <col min="10043" max="10044" width="14.875" style="4" customWidth="1"/>
    <col min="10045" max="10048" width="12.625" style="4" customWidth="1"/>
    <col min="10049" max="10049" width="14.625" style="4" customWidth="1"/>
    <col min="10050" max="10051" width="14.875" style="4" customWidth="1"/>
    <col min="10052" max="10055" width="12.625" style="4" customWidth="1"/>
    <col min="10056" max="10056" width="14.625" style="4" customWidth="1"/>
    <col min="10057" max="10058" width="14.875" style="4" customWidth="1"/>
    <col min="10059" max="10062" width="12.625" style="4" customWidth="1"/>
    <col min="10063" max="10063" width="14.625" style="4" customWidth="1"/>
    <col min="10064" max="10239" width="9" style="4"/>
    <col min="10240" max="10240" width="11.875" style="4" customWidth="1"/>
    <col min="10241" max="10241" width="14.625" style="4" customWidth="1"/>
    <col min="10242" max="10243" width="14.875" style="4" customWidth="1"/>
    <col min="10244" max="10244" width="20.375" style="4" customWidth="1"/>
    <col min="10245" max="10245" width="12.625" style="4" customWidth="1"/>
    <col min="10246" max="10246" width="24.875" style="4" customWidth="1"/>
    <col min="10247" max="10248" width="12.625" style="4" customWidth="1"/>
    <col min="10249" max="10249" width="14.375" style="4" customWidth="1"/>
    <col min="10250" max="10251" width="14.875" style="4" customWidth="1"/>
    <col min="10252" max="10252" width="21.625" style="4" customWidth="1"/>
    <col min="10253" max="10253" width="12.625" style="4" customWidth="1"/>
    <col min="10254" max="10254" width="25.625" style="4" customWidth="1"/>
    <col min="10255" max="10255" width="12.625" style="4" customWidth="1"/>
    <col min="10256" max="10256" width="14.625" style="4" customWidth="1"/>
    <col min="10257" max="10258" width="14.875" style="4" customWidth="1"/>
    <col min="10259" max="10262" width="12.625" style="4" customWidth="1"/>
    <col min="10263" max="10263" width="14.625" style="4" customWidth="1"/>
    <col min="10264" max="10265" width="14.875" style="4" customWidth="1"/>
    <col min="10266" max="10269" width="12.625" style="4" customWidth="1"/>
    <col min="10270" max="10270" width="14.625" style="4" customWidth="1"/>
    <col min="10271" max="10272" width="14.875" style="4" customWidth="1"/>
    <col min="10273" max="10276" width="12.625" style="4" customWidth="1"/>
    <col min="10277" max="10277" width="14.625" style="4" customWidth="1"/>
    <col min="10278" max="10279" width="14.875" style="4" customWidth="1"/>
    <col min="10280" max="10283" width="12.625" style="4" customWidth="1"/>
    <col min="10284" max="10284" width="14.625" style="4" customWidth="1"/>
    <col min="10285" max="10286" width="14.875" style="4" customWidth="1"/>
    <col min="10287" max="10290" width="12.625" style="4" customWidth="1"/>
    <col min="10291" max="10291" width="14.625" style="4" customWidth="1"/>
    <col min="10292" max="10293" width="14.875" style="4" customWidth="1"/>
    <col min="10294" max="10297" width="12.625" style="4" customWidth="1"/>
    <col min="10298" max="10298" width="14.625" style="4" customWidth="1"/>
    <col min="10299" max="10300" width="14.875" style="4" customWidth="1"/>
    <col min="10301" max="10304" width="12.625" style="4" customWidth="1"/>
    <col min="10305" max="10305" width="14.625" style="4" customWidth="1"/>
    <col min="10306" max="10307" width="14.875" style="4" customWidth="1"/>
    <col min="10308" max="10311" width="12.625" style="4" customWidth="1"/>
    <col min="10312" max="10312" width="14.625" style="4" customWidth="1"/>
    <col min="10313" max="10314" width="14.875" style="4" customWidth="1"/>
    <col min="10315" max="10318" width="12.625" style="4" customWidth="1"/>
    <col min="10319" max="10319" width="14.625" style="4" customWidth="1"/>
    <col min="10320" max="10495" width="9" style="4"/>
    <col min="10496" max="10496" width="11.875" style="4" customWidth="1"/>
    <col min="10497" max="10497" width="14.625" style="4" customWidth="1"/>
    <col min="10498" max="10499" width="14.875" style="4" customWidth="1"/>
    <col min="10500" max="10500" width="20.375" style="4" customWidth="1"/>
    <col min="10501" max="10501" width="12.625" style="4" customWidth="1"/>
    <col min="10502" max="10502" width="24.875" style="4" customWidth="1"/>
    <col min="10503" max="10504" width="12.625" style="4" customWidth="1"/>
    <col min="10505" max="10505" width="14.375" style="4" customWidth="1"/>
    <col min="10506" max="10507" width="14.875" style="4" customWidth="1"/>
    <col min="10508" max="10508" width="21.625" style="4" customWidth="1"/>
    <col min="10509" max="10509" width="12.625" style="4" customWidth="1"/>
    <col min="10510" max="10510" width="25.625" style="4" customWidth="1"/>
    <col min="10511" max="10511" width="12.625" style="4" customWidth="1"/>
    <col min="10512" max="10512" width="14.625" style="4" customWidth="1"/>
    <col min="10513" max="10514" width="14.875" style="4" customWidth="1"/>
    <col min="10515" max="10518" width="12.625" style="4" customWidth="1"/>
    <col min="10519" max="10519" width="14.625" style="4" customWidth="1"/>
    <col min="10520" max="10521" width="14.875" style="4" customWidth="1"/>
    <col min="10522" max="10525" width="12.625" style="4" customWidth="1"/>
    <col min="10526" max="10526" width="14.625" style="4" customWidth="1"/>
    <col min="10527" max="10528" width="14.875" style="4" customWidth="1"/>
    <col min="10529" max="10532" width="12.625" style="4" customWidth="1"/>
    <col min="10533" max="10533" width="14.625" style="4" customWidth="1"/>
    <col min="10534" max="10535" width="14.875" style="4" customWidth="1"/>
    <col min="10536" max="10539" width="12.625" style="4" customWidth="1"/>
    <col min="10540" max="10540" width="14.625" style="4" customWidth="1"/>
    <col min="10541" max="10542" width="14.875" style="4" customWidth="1"/>
    <col min="10543" max="10546" width="12.625" style="4" customWidth="1"/>
    <col min="10547" max="10547" width="14.625" style="4" customWidth="1"/>
    <col min="10548" max="10549" width="14.875" style="4" customWidth="1"/>
    <col min="10550" max="10553" width="12.625" style="4" customWidth="1"/>
    <col min="10554" max="10554" width="14.625" style="4" customWidth="1"/>
    <col min="10555" max="10556" width="14.875" style="4" customWidth="1"/>
    <col min="10557" max="10560" width="12.625" style="4" customWidth="1"/>
    <col min="10561" max="10561" width="14.625" style="4" customWidth="1"/>
    <col min="10562" max="10563" width="14.875" style="4" customWidth="1"/>
    <col min="10564" max="10567" width="12.625" style="4" customWidth="1"/>
    <col min="10568" max="10568" width="14.625" style="4" customWidth="1"/>
    <col min="10569" max="10570" width="14.875" style="4" customWidth="1"/>
    <col min="10571" max="10574" width="12.625" style="4" customWidth="1"/>
    <col min="10575" max="10575" width="14.625" style="4" customWidth="1"/>
    <col min="10576" max="10751" width="9" style="4"/>
    <col min="10752" max="10752" width="11.875" style="4" customWidth="1"/>
    <col min="10753" max="10753" width="14.625" style="4" customWidth="1"/>
    <col min="10754" max="10755" width="14.875" style="4" customWidth="1"/>
    <col min="10756" max="10756" width="20.375" style="4" customWidth="1"/>
    <col min="10757" max="10757" width="12.625" style="4" customWidth="1"/>
    <col min="10758" max="10758" width="24.875" style="4" customWidth="1"/>
    <col min="10759" max="10760" width="12.625" style="4" customWidth="1"/>
    <col min="10761" max="10761" width="14.375" style="4" customWidth="1"/>
    <col min="10762" max="10763" width="14.875" style="4" customWidth="1"/>
    <col min="10764" max="10764" width="21.625" style="4" customWidth="1"/>
    <col min="10765" max="10765" width="12.625" style="4" customWidth="1"/>
    <col min="10766" max="10766" width="25.625" style="4" customWidth="1"/>
    <col min="10767" max="10767" width="12.625" style="4" customWidth="1"/>
    <col min="10768" max="10768" width="14.625" style="4" customWidth="1"/>
    <col min="10769" max="10770" width="14.875" style="4" customWidth="1"/>
    <col min="10771" max="10774" width="12.625" style="4" customWidth="1"/>
    <col min="10775" max="10775" width="14.625" style="4" customWidth="1"/>
    <col min="10776" max="10777" width="14.875" style="4" customWidth="1"/>
    <col min="10778" max="10781" width="12.625" style="4" customWidth="1"/>
    <col min="10782" max="10782" width="14.625" style="4" customWidth="1"/>
    <col min="10783" max="10784" width="14.875" style="4" customWidth="1"/>
    <col min="10785" max="10788" width="12.625" style="4" customWidth="1"/>
    <col min="10789" max="10789" width="14.625" style="4" customWidth="1"/>
    <col min="10790" max="10791" width="14.875" style="4" customWidth="1"/>
    <col min="10792" max="10795" width="12.625" style="4" customWidth="1"/>
    <col min="10796" max="10796" width="14.625" style="4" customWidth="1"/>
    <col min="10797" max="10798" width="14.875" style="4" customWidth="1"/>
    <col min="10799" max="10802" width="12.625" style="4" customWidth="1"/>
    <col min="10803" max="10803" width="14.625" style="4" customWidth="1"/>
    <col min="10804" max="10805" width="14.875" style="4" customWidth="1"/>
    <col min="10806" max="10809" width="12.625" style="4" customWidth="1"/>
    <col min="10810" max="10810" width="14.625" style="4" customWidth="1"/>
    <col min="10811" max="10812" width="14.875" style="4" customWidth="1"/>
    <col min="10813" max="10816" width="12.625" style="4" customWidth="1"/>
    <col min="10817" max="10817" width="14.625" style="4" customWidth="1"/>
    <col min="10818" max="10819" width="14.875" style="4" customWidth="1"/>
    <col min="10820" max="10823" width="12.625" style="4" customWidth="1"/>
    <col min="10824" max="10824" width="14.625" style="4" customWidth="1"/>
    <col min="10825" max="10826" width="14.875" style="4" customWidth="1"/>
    <col min="10827" max="10830" width="12.625" style="4" customWidth="1"/>
    <col min="10831" max="10831" width="14.625" style="4" customWidth="1"/>
    <col min="10832" max="11007" width="9" style="4"/>
    <col min="11008" max="11008" width="11.875" style="4" customWidth="1"/>
    <col min="11009" max="11009" width="14.625" style="4" customWidth="1"/>
    <col min="11010" max="11011" width="14.875" style="4" customWidth="1"/>
    <col min="11012" max="11012" width="20.375" style="4" customWidth="1"/>
    <col min="11013" max="11013" width="12.625" style="4" customWidth="1"/>
    <col min="11014" max="11014" width="24.875" style="4" customWidth="1"/>
    <col min="11015" max="11016" width="12.625" style="4" customWidth="1"/>
    <col min="11017" max="11017" width="14.375" style="4" customWidth="1"/>
    <col min="11018" max="11019" width="14.875" style="4" customWidth="1"/>
    <col min="11020" max="11020" width="21.625" style="4" customWidth="1"/>
    <col min="11021" max="11021" width="12.625" style="4" customWidth="1"/>
    <col min="11022" max="11022" width="25.625" style="4" customWidth="1"/>
    <col min="11023" max="11023" width="12.625" style="4" customWidth="1"/>
    <col min="11024" max="11024" width="14.625" style="4" customWidth="1"/>
    <col min="11025" max="11026" width="14.875" style="4" customWidth="1"/>
    <col min="11027" max="11030" width="12.625" style="4" customWidth="1"/>
    <col min="11031" max="11031" width="14.625" style="4" customWidth="1"/>
    <col min="11032" max="11033" width="14.875" style="4" customWidth="1"/>
    <col min="11034" max="11037" width="12.625" style="4" customWidth="1"/>
    <col min="11038" max="11038" width="14.625" style="4" customWidth="1"/>
    <col min="11039" max="11040" width="14.875" style="4" customWidth="1"/>
    <col min="11041" max="11044" width="12.625" style="4" customWidth="1"/>
    <col min="11045" max="11045" width="14.625" style="4" customWidth="1"/>
    <col min="11046" max="11047" width="14.875" style="4" customWidth="1"/>
    <col min="11048" max="11051" width="12.625" style="4" customWidth="1"/>
    <col min="11052" max="11052" width="14.625" style="4" customWidth="1"/>
    <col min="11053" max="11054" width="14.875" style="4" customWidth="1"/>
    <col min="11055" max="11058" width="12.625" style="4" customWidth="1"/>
    <col min="11059" max="11059" width="14.625" style="4" customWidth="1"/>
    <col min="11060" max="11061" width="14.875" style="4" customWidth="1"/>
    <col min="11062" max="11065" width="12.625" style="4" customWidth="1"/>
    <col min="11066" max="11066" width="14.625" style="4" customWidth="1"/>
    <col min="11067" max="11068" width="14.875" style="4" customWidth="1"/>
    <col min="11069" max="11072" width="12.625" style="4" customWidth="1"/>
    <col min="11073" max="11073" width="14.625" style="4" customWidth="1"/>
    <col min="11074" max="11075" width="14.875" style="4" customWidth="1"/>
    <col min="11076" max="11079" width="12.625" style="4" customWidth="1"/>
    <col min="11080" max="11080" width="14.625" style="4" customWidth="1"/>
    <col min="11081" max="11082" width="14.875" style="4" customWidth="1"/>
    <col min="11083" max="11086" width="12.625" style="4" customWidth="1"/>
    <col min="11087" max="11087" width="14.625" style="4" customWidth="1"/>
    <col min="11088" max="11263" width="9" style="4"/>
    <col min="11264" max="11264" width="11.875" style="4" customWidth="1"/>
    <col min="11265" max="11265" width="14.625" style="4" customWidth="1"/>
    <col min="11266" max="11267" width="14.875" style="4" customWidth="1"/>
    <col min="11268" max="11268" width="20.375" style="4" customWidth="1"/>
    <col min="11269" max="11269" width="12.625" style="4" customWidth="1"/>
    <col min="11270" max="11270" width="24.875" style="4" customWidth="1"/>
    <col min="11271" max="11272" width="12.625" style="4" customWidth="1"/>
    <col min="11273" max="11273" width="14.375" style="4" customWidth="1"/>
    <col min="11274" max="11275" width="14.875" style="4" customWidth="1"/>
    <col min="11276" max="11276" width="21.625" style="4" customWidth="1"/>
    <col min="11277" max="11277" width="12.625" style="4" customWidth="1"/>
    <col min="11278" max="11278" width="25.625" style="4" customWidth="1"/>
    <col min="11279" max="11279" width="12.625" style="4" customWidth="1"/>
    <col min="11280" max="11280" width="14.625" style="4" customWidth="1"/>
    <col min="11281" max="11282" width="14.875" style="4" customWidth="1"/>
    <col min="11283" max="11286" width="12.625" style="4" customWidth="1"/>
    <col min="11287" max="11287" width="14.625" style="4" customWidth="1"/>
    <col min="11288" max="11289" width="14.875" style="4" customWidth="1"/>
    <col min="11290" max="11293" width="12.625" style="4" customWidth="1"/>
    <col min="11294" max="11294" width="14.625" style="4" customWidth="1"/>
    <col min="11295" max="11296" width="14.875" style="4" customWidth="1"/>
    <col min="11297" max="11300" width="12.625" style="4" customWidth="1"/>
    <col min="11301" max="11301" width="14.625" style="4" customWidth="1"/>
    <col min="11302" max="11303" width="14.875" style="4" customWidth="1"/>
    <col min="11304" max="11307" width="12.625" style="4" customWidth="1"/>
    <col min="11308" max="11308" width="14.625" style="4" customWidth="1"/>
    <col min="11309" max="11310" width="14.875" style="4" customWidth="1"/>
    <col min="11311" max="11314" width="12.625" style="4" customWidth="1"/>
    <col min="11315" max="11315" width="14.625" style="4" customWidth="1"/>
    <col min="11316" max="11317" width="14.875" style="4" customWidth="1"/>
    <col min="11318" max="11321" width="12.625" style="4" customWidth="1"/>
    <col min="11322" max="11322" width="14.625" style="4" customWidth="1"/>
    <col min="11323" max="11324" width="14.875" style="4" customWidth="1"/>
    <col min="11325" max="11328" width="12.625" style="4" customWidth="1"/>
    <col min="11329" max="11329" width="14.625" style="4" customWidth="1"/>
    <col min="11330" max="11331" width="14.875" style="4" customWidth="1"/>
    <col min="11332" max="11335" width="12.625" style="4" customWidth="1"/>
    <col min="11336" max="11336" width="14.625" style="4" customWidth="1"/>
    <col min="11337" max="11338" width="14.875" style="4" customWidth="1"/>
    <col min="11339" max="11342" width="12.625" style="4" customWidth="1"/>
    <col min="11343" max="11343" width="14.625" style="4" customWidth="1"/>
    <col min="11344" max="11519" width="9" style="4"/>
    <col min="11520" max="11520" width="11.875" style="4" customWidth="1"/>
    <col min="11521" max="11521" width="14.625" style="4" customWidth="1"/>
    <col min="11522" max="11523" width="14.875" style="4" customWidth="1"/>
    <col min="11524" max="11524" width="20.375" style="4" customWidth="1"/>
    <col min="11525" max="11525" width="12.625" style="4" customWidth="1"/>
    <col min="11526" max="11526" width="24.875" style="4" customWidth="1"/>
    <col min="11527" max="11528" width="12.625" style="4" customWidth="1"/>
    <col min="11529" max="11529" width="14.375" style="4" customWidth="1"/>
    <col min="11530" max="11531" width="14.875" style="4" customWidth="1"/>
    <col min="11532" max="11532" width="21.625" style="4" customWidth="1"/>
    <col min="11533" max="11533" width="12.625" style="4" customWidth="1"/>
    <col min="11534" max="11534" width="25.625" style="4" customWidth="1"/>
    <col min="11535" max="11535" width="12.625" style="4" customWidth="1"/>
    <col min="11536" max="11536" width="14.625" style="4" customWidth="1"/>
    <col min="11537" max="11538" width="14.875" style="4" customWidth="1"/>
    <col min="11539" max="11542" width="12.625" style="4" customWidth="1"/>
    <col min="11543" max="11543" width="14.625" style="4" customWidth="1"/>
    <col min="11544" max="11545" width="14.875" style="4" customWidth="1"/>
    <col min="11546" max="11549" width="12.625" style="4" customWidth="1"/>
    <col min="11550" max="11550" width="14.625" style="4" customWidth="1"/>
    <col min="11551" max="11552" width="14.875" style="4" customWidth="1"/>
    <col min="11553" max="11556" width="12.625" style="4" customWidth="1"/>
    <col min="11557" max="11557" width="14.625" style="4" customWidth="1"/>
    <col min="11558" max="11559" width="14.875" style="4" customWidth="1"/>
    <col min="11560" max="11563" width="12.625" style="4" customWidth="1"/>
    <col min="11564" max="11564" width="14.625" style="4" customWidth="1"/>
    <col min="11565" max="11566" width="14.875" style="4" customWidth="1"/>
    <col min="11567" max="11570" width="12.625" style="4" customWidth="1"/>
    <col min="11571" max="11571" width="14.625" style="4" customWidth="1"/>
    <col min="11572" max="11573" width="14.875" style="4" customWidth="1"/>
    <col min="11574" max="11577" width="12.625" style="4" customWidth="1"/>
    <col min="11578" max="11578" width="14.625" style="4" customWidth="1"/>
    <col min="11579" max="11580" width="14.875" style="4" customWidth="1"/>
    <col min="11581" max="11584" width="12.625" style="4" customWidth="1"/>
    <col min="11585" max="11585" width="14.625" style="4" customWidth="1"/>
    <col min="11586" max="11587" width="14.875" style="4" customWidth="1"/>
    <col min="11588" max="11591" width="12.625" style="4" customWidth="1"/>
    <col min="11592" max="11592" width="14.625" style="4" customWidth="1"/>
    <col min="11593" max="11594" width="14.875" style="4" customWidth="1"/>
    <col min="11595" max="11598" width="12.625" style="4" customWidth="1"/>
    <col min="11599" max="11599" width="14.625" style="4" customWidth="1"/>
    <col min="11600" max="11775" width="9" style="4"/>
    <col min="11776" max="11776" width="11.875" style="4" customWidth="1"/>
    <col min="11777" max="11777" width="14.625" style="4" customWidth="1"/>
    <col min="11778" max="11779" width="14.875" style="4" customWidth="1"/>
    <col min="11780" max="11780" width="20.375" style="4" customWidth="1"/>
    <col min="11781" max="11781" width="12.625" style="4" customWidth="1"/>
    <col min="11782" max="11782" width="24.875" style="4" customWidth="1"/>
    <col min="11783" max="11784" width="12.625" style="4" customWidth="1"/>
    <col min="11785" max="11785" width="14.375" style="4" customWidth="1"/>
    <col min="11786" max="11787" width="14.875" style="4" customWidth="1"/>
    <col min="11788" max="11788" width="21.625" style="4" customWidth="1"/>
    <col min="11789" max="11789" width="12.625" style="4" customWidth="1"/>
    <col min="11790" max="11790" width="25.625" style="4" customWidth="1"/>
    <col min="11791" max="11791" width="12.625" style="4" customWidth="1"/>
    <col min="11792" max="11792" width="14.625" style="4" customWidth="1"/>
    <col min="11793" max="11794" width="14.875" style="4" customWidth="1"/>
    <col min="11795" max="11798" width="12.625" style="4" customWidth="1"/>
    <col min="11799" max="11799" width="14.625" style="4" customWidth="1"/>
    <col min="11800" max="11801" width="14.875" style="4" customWidth="1"/>
    <col min="11802" max="11805" width="12.625" style="4" customWidth="1"/>
    <col min="11806" max="11806" width="14.625" style="4" customWidth="1"/>
    <col min="11807" max="11808" width="14.875" style="4" customWidth="1"/>
    <col min="11809" max="11812" width="12.625" style="4" customWidth="1"/>
    <col min="11813" max="11813" width="14.625" style="4" customWidth="1"/>
    <col min="11814" max="11815" width="14.875" style="4" customWidth="1"/>
    <col min="11816" max="11819" width="12.625" style="4" customWidth="1"/>
    <col min="11820" max="11820" width="14.625" style="4" customWidth="1"/>
    <col min="11821" max="11822" width="14.875" style="4" customWidth="1"/>
    <col min="11823" max="11826" width="12.625" style="4" customWidth="1"/>
    <col min="11827" max="11827" width="14.625" style="4" customWidth="1"/>
    <col min="11828" max="11829" width="14.875" style="4" customWidth="1"/>
    <col min="11830" max="11833" width="12.625" style="4" customWidth="1"/>
    <col min="11834" max="11834" width="14.625" style="4" customWidth="1"/>
    <col min="11835" max="11836" width="14.875" style="4" customWidth="1"/>
    <col min="11837" max="11840" width="12.625" style="4" customWidth="1"/>
    <col min="11841" max="11841" width="14.625" style="4" customWidth="1"/>
    <col min="11842" max="11843" width="14.875" style="4" customWidth="1"/>
    <col min="11844" max="11847" width="12.625" style="4" customWidth="1"/>
    <col min="11848" max="11848" width="14.625" style="4" customWidth="1"/>
    <col min="11849" max="11850" width="14.875" style="4" customWidth="1"/>
    <col min="11851" max="11854" width="12.625" style="4" customWidth="1"/>
    <col min="11855" max="11855" width="14.625" style="4" customWidth="1"/>
    <col min="11856" max="12031" width="9" style="4"/>
    <col min="12032" max="12032" width="11.875" style="4" customWidth="1"/>
    <col min="12033" max="12033" width="14.625" style="4" customWidth="1"/>
    <col min="12034" max="12035" width="14.875" style="4" customWidth="1"/>
    <col min="12036" max="12036" width="20.375" style="4" customWidth="1"/>
    <col min="12037" max="12037" width="12.625" style="4" customWidth="1"/>
    <col min="12038" max="12038" width="24.875" style="4" customWidth="1"/>
    <col min="12039" max="12040" width="12.625" style="4" customWidth="1"/>
    <col min="12041" max="12041" width="14.375" style="4" customWidth="1"/>
    <col min="12042" max="12043" width="14.875" style="4" customWidth="1"/>
    <col min="12044" max="12044" width="21.625" style="4" customWidth="1"/>
    <col min="12045" max="12045" width="12.625" style="4" customWidth="1"/>
    <col min="12046" max="12046" width="25.625" style="4" customWidth="1"/>
    <col min="12047" max="12047" width="12.625" style="4" customWidth="1"/>
    <col min="12048" max="12048" width="14.625" style="4" customWidth="1"/>
    <col min="12049" max="12050" width="14.875" style="4" customWidth="1"/>
    <col min="12051" max="12054" width="12.625" style="4" customWidth="1"/>
    <col min="12055" max="12055" width="14.625" style="4" customWidth="1"/>
    <col min="12056" max="12057" width="14.875" style="4" customWidth="1"/>
    <col min="12058" max="12061" width="12.625" style="4" customWidth="1"/>
    <col min="12062" max="12062" width="14.625" style="4" customWidth="1"/>
    <col min="12063" max="12064" width="14.875" style="4" customWidth="1"/>
    <col min="12065" max="12068" width="12.625" style="4" customWidth="1"/>
    <col min="12069" max="12069" width="14.625" style="4" customWidth="1"/>
    <col min="12070" max="12071" width="14.875" style="4" customWidth="1"/>
    <col min="12072" max="12075" width="12.625" style="4" customWidth="1"/>
    <col min="12076" max="12076" width="14.625" style="4" customWidth="1"/>
    <col min="12077" max="12078" width="14.875" style="4" customWidth="1"/>
    <col min="12079" max="12082" width="12.625" style="4" customWidth="1"/>
    <col min="12083" max="12083" width="14.625" style="4" customWidth="1"/>
    <col min="12084" max="12085" width="14.875" style="4" customWidth="1"/>
    <col min="12086" max="12089" width="12.625" style="4" customWidth="1"/>
    <col min="12090" max="12090" width="14.625" style="4" customWidth="1"/>
    <col min="12091" max="12092" width="14.875" style="4" customWidth="1"/>
    <col min="12093" max="12096" width="12.625" style="4" customWidth="1"/>
    <col min="12097" max="12097" width="14.625" style="4" customWidth="1"/>
    <col min="12098" max="12099" width="14.875" style="4" customWidth="1"/>
    <col min="12100" max="12103" width="12.625" style="4" customWidth="1"/>
    <col min="12104" max="12104" width="14.625" style="4" customWidth="1"/>
    <col min="12105" max="12106" width="14.875" style="4" customWidth="1"/>
    <col min="12107" max="12110" width="12.625" style="4" customWidth="1"/>
    <col min="12111" max="12111" width="14.625" style="4" customWidth="1"/>
    <col min="12112" max="12287" width="9" style="4"/>
    <col min="12288" max="12288" width="11.875" style="4" customWidth="1"/>
    <col min="12289" max="12289" width="14.625" style="4" customWidth="1"/>
    <col min="12290" max="12291" width="14.875" style="4" customWidth="1"/>
    <col min="12292" max="12292" width="20.375" style="4" customWidth="1"/>
    <col min="12293" max="12293" width="12.625" style="4" customWidth="1"/>
    <col min="12294" max="12294" width="24.875" style="4" customWidth="1"/>
    <col min="12295" max="12296" width="12.625" style="4" customWidth="1"/>
    <col min="12297" max="12297" width="14.375" style="4" customWidth="1"/>
    <col min="12298" max="12299" width="14.875" style="4" customWidth="1"/>
    <col min="12300" max="12300" width="21.625" style="4" customWidth="1"/>
    <col min="12301" max="12301" width="12.625" style="4" customWidth="1"/>
    <col min="12302" max="12302" width="25.625" style="4" customWidth="1"/>
    <col min="12303" max="12303" width="12.625" style="4" customWidth="1"/>
    <col min="12304" max="12304" width="14.625" style="4" customWidth="1"/>
    <col min="12305" max="12306" width="14.875" style="4" customWidth="1"/>
    <col min="12307" max="12310" width="12.625" style="4" customWidth="1"/>
    <col min="12311" max="12311" width="14.625" style="4" customWidth="1"/>
    <col min="12312" max="12313" width="14.875" style="4" customWidth="1"/>
    <col min="12314" max="12317" width="12.625" style="4" customWidth="1"/>
    <col min="12318" max="12318" width="14.625" style="4" customWidth="1"/>
    <col min="12319" max="12320" width="14.875" style="4" customWidth="1"/>
    <col min="12321" max="12324" width="12.625" style="4" customWidth="1"/>
    <col min="12325" max="12325" width="14.625" style="4" customWidth="1"/>
    <col min="12326" max="12327" width="14.875" style="4" customWidth="1"/>
    <col min="12328" max="12331" width="12.625" style="4" customWidth="1"/>
    <col min="12332" max="12332" width="14.625" style="4" customWidth="1"/>
    <col min="12333" max="12334" width="14.875" style="4" customWidth="1"/>
    <col min="12335" max="12338" width="12.625" style="4" customWidth="1"/>
    <col min="12339" max="12339" width="14.625" style="4" customWidth="1"/>
    <col min="12340" max="12341" width="14.875" style="4" customWidth="1"/>
    <col min="12342" max="12345" width="12.625" style="4" customWidth="1"/>
    <col min="12346" max="12346" width="14.625" style="4" customWidth="1"/>
    <col min="12347" max="12348" width="14.875" style="4" customWidth="1"/>
    <col min="12349" max="12352" width="12.625" style="4" customWidth="1"/>
    <col min="12353" max="12353" width="14.625" style="4" customWidth="1"/>
    <col min="12354" max="12355" width="14.875" style="4" customWidth="1"/>
    <col min="12356" max="12359" width="12.625" style="4" customWidth="1"/>
    <col min="12360" max="12360" width="14.625" style="4" customWidth="1"/>
    <col min="12361" max="12362" width="14.875" style="4" customWidth="1"/>
    <col min="12363" max="12366" width="12.625" style="4" customWidth="1"/>
    <col min="12367" max="12367" width="14.625" style="4" customWidth="1"/>
    <col min="12368" max="12543" width="9" style="4"/>
    <col min="12544" max="12544" width="11.875" style="4" customWidth="1"/>
    <col min="12545" max="12545" width="14.625" style="4" customWidth="1"/>
    <col min="12546" max="12547" width="14.875" style="4" customWidth="1"/>
    <col min="12548" max="12548" width="20.375" style="4" customWidth="1"/>
    <col min="12549" max="12549" width="12.625" style="4" customWidth="1"/>
    <col min="12550" max="12550" width="24.875" style="4" customWidth="1"/>
    <col min="12551" max="12552" width="12.625" style="4" customWidth="1"/>
    <col min="12553" max="12553" width="14.375" style="4" customWidth="1"/>
    <col min="12554" max="12555" width="14.875" style="4" customWidth="1"/>
    <col min="12556" max="12556" width="21.625" style="4" customWidth="1"/>
    <col min="12557" max="12557" width="12.625" style="4" customWidth="1"/>
    <col min="12558" max="12558" width="25.625" style="4" customWidth="1"/>
    <col min="12559" max="12559" width="12.625" style="4" customWidth="1"/>
    <col min="12560" max="12560" width="14.625" style="4" customWidth="1"/>
    <col min="12561" max="12562" width="14.875" style="4" customWidth="1"/>
    <col min="12563" max="12566" width="12.625" style="4" customWidth="1"/>
    <col min="12567" max="12567" width="14.625" style="4" customWidth="1"/>
    <col min="12568" max="12569" width="14.875" style="4" customWidth="1"/>
    <col min="12570" max="12573" width="12.625" style="4" customWidth="1"/>
    <col min="12574" max="12574" width="14.625" style="4" customWidth="1"/>
    <col min="12575" max="12576" width="14.875" style="4" customWidth="1"/>
    <col min="12577" max="12580" width="12.625" style="4" customWidth="1"/>
    <col min="12581" max="12581" width="14.625" style="4" customWidth="1"/>
    <col min="12582" max="12583" width="14.875" style="4" customWidth="1"/>
    <col min="12584" max="12587" width="12.625" style="4" customWidth="1"/>
    <col min="12588" max="12588" width="14.625" style="4" customWidth="1"/>
    <col min="12589" max="12590" width="14.875" style="4" customWidth="1"/>
    <col min="12591" max="12594" width="12.625" style="4" customWidth="1"/>
    <col min="12595" max="12595" width="14.625" style="4" customWidth="1"/>
    <col min="12596" max="12597" width="14.875" style="4" customWidth="1"/>
    <col min="12598" max="12601" width="12.625" style="4" customWidth="1"/>
    <col min="12602" max="12602" width="14.625" style="4" customWidth="1"/>
    <col min="12603" max="12604" width="14.875" style="4" customWidth="1"/>
    <col min="12605" max="12608" width="12.625" style="4" customWidth="1"/>
    <col min="12609" max="12609" width="14.625" style="4" customWidth="1"/>
    <col min="12610" max="12611" width="14.875" style="4" customWidth="1"/>
    <col min="12612" max="12615" width="12.625" style="4" customWidth="1"/>
    <col min="12616" max="12616" width="14.625" style="4" customWidth="1"/>
    <col min="12617" max="12618" width="14.875" style="4" customWidth="1"/>
    <col min="12619" max="12622" width="12.625" style="4" customWidth="1"/>
    <col min="12623" max="12623" width="14.625" style="4" customWidth="1"/>
    <col min="12624" max="12799" width="9" style="4"/>
    <col min="12800" max="12800" width="11.875" style="4" customWidth="1"/>
    <col min="12801" max="12801" width="14.625" style="4" customWidth="1"/>
    <col min="12802" max="12803" width="14.875" style="4" customWidth="1"/>
    <col min="12804" max="12804" width="20.375" style="4" customWidth="1"/>
    <col min="12805" max="12805" width="12.625" style="4" customWidth="1"/>
    <col min="12806" max="12806" width="24.875" style="4" customWidth="1"/>
    <col min="12807" max="12808" width="12.625" style="4" customWidth="1"/>
    <col min="12809" max="12809" width="14.375" style="4" customWidth="1"/>
    <col min="12810" max="12811" width="14.875" style="4" customWidth="1"/>
    <col min="12812" max="12812" width="21.625" style="4" customWidth="1"/>
    <col min="12813" max="12813" width="12.625" style="4" customWidth="1"/>
    <col min="12814" max="12814" width="25.625" style="4" customWidth="1"/>
    <col min="12815" max="12815" width="12.625" style="4" customWidth="1"/>
    <col min="12816" max="12816" width="14.625" style="4" customWidth="1"/>
    <col min="12817" max="12818" width="14.875" style="4" customWidth="1"/>
    <col min="12819" max="12822" width="12.625" style="4" customWidth="1"/>
    <col min="12823" max="12823" width="14.625" style="4" customWidth="1"/>
    <col min="12824" max="12825" width="14.875" style="4" customWidth="1"/>
    <col min="12826" max="12829" width="12.625" style="4" customWidth="1"/>
    <col min="12830" max="12830" width="14.625" style="4" customWidth="1"/>
    <col min="12831" max="12832" width="14.875" style="4" customWidth="1"/>
    <col min="12833" max="12836" width="12.625" style="4" customWidth="1"/>
    <col min="12837" max="12837" width="14.625" style="4" customWidth="1"/>
    <col min="12838" max="12839" width="14.875" style="4" customWidth="1"/>
    <col min="12840" max="12843" width="12.625" style="4" customWidth="1"/>
    <col min="12844" max="12844" width="14.625" style="4" customWidth="1"/>
    <col min="12845" max="12846" width="14.875" style="4" customWidth="1"/>
    <col min="12847" max="12850" width="12.625" style="4" customWidth="1"/>
    <col min="12851" max="12851" width="14.625" style="4" customWidth="1"/>
    <col min="12852" max="12853" width="14.875" style="4" customWidth="1"/>
    <col min="12854" max="12857" width="12.625" style="4" customWidth="1"/>
    <col min="12858" max="12858" width="14.625" style="4" customWidth="1"/>
    <col min="12859" max="12860" width="14.875" style="4" customWidth="1"/>
    <col min="12861" max="12864" width="12.625" style="4" customWidth="1"/>
    <col min="12865" max="12865" width="14.625" style="4" customWidth="1"/>
    <col min="12866" max="12867" width="14.875" style="4" customWidth="1"/>
    <col min="12868" max="12871" width="12.625" style="4" customWidth="1"/>
    <col min="12872" max="12872" width="14.625" style="4" customWidth="1"/>
    <col min="12873" max="12874" width="14.875" style="4" customWidth="1"/>
    <col min="12875" max="12878" width="12.625" style="4" customWidth="1"/>
    <col min="12879" max="12879" width="14.625" style="4" customWidth="1"/>
    <col min="12880" max="13055" width="9" style="4"/>
    <col min="13056" max="13056" width="11.875" style="4" customWidth="1"/>
    <col min="13057" max="13057" width="14.625" style="4" customWidth="1"/>
    <col min="13058" max="13059" width="14.875" style="4" customWidth="1"/>
    <col min="13060" max="13060" width="20.375" style="4" customWidth="1"/>
    <col min="13061" max="13061" width="12.625" style="4" customWidth="1"/>
    <col min="13062" max="13062" width="24.875" style="4" customWidth="1"/>
    <col min="13063" max="13064" width="12.625" style="4" customWidth="1"/>
    <col min="13065" max="13065" width="14.375" style="4" customWidth="1"/>
    <col min="13066" max="13067" width="14.875" style="4" customWidth="1"/>
    <col min="13068" max="13068" width="21.625" style="4" customWidth="1"/>
    <col min="13069" max="13069" width="12.625" style="4" customWidth="1"/>
    <col min="13070" max="13070" width="25.625" style="4" customWidth="1"/>
    <col min="13071" max="13071" width="12.625" style="4" customWidth="1"/>
    <col min="13072" max="13072" width="14.625" style="4" customWidth="1"/>
    <col min="13073" max="13074" width="14.875" style="4" customWidth="1"/>
    <col min="13075" max="13078" width="12.625" style="4" customWidth="1"/>
    <col min="13079" max="13079" width="14.625" style="4" customWidth="1"/>
    <col min="13080" max="13081" width="14.875" style="4" customWidth="1"/>
    <col min="13082" max="13085" width="12.625" style="4" customWidth="1"/>
    <col min="13086" max="13086" width="14.625" style="4" customWidth="1"/>
    <col min="13087" max="13088" width="14.875" style="4" customWidth="1"/>
    <col min="13089" max="13092" width="12.625" style="4" customWidth="1"/>
    <col min="13093" max="13093" width="14.625" style="4" customWidth="1"/>
    <col min="13094" max="13095" width="14.875" style="4" customWidth="1"/>
    <col min="13096" max="13099" width="12.625" style="4" customWidth="1"/>
    <col min="13100" max="13100" width="14.625" style="4" customWidth="1"/>
    <col min="13101" max="13102" width="14.875" style="4" customWidth="1"/>
    <col min="13103" max="13106" width="12.625" style="4" customWidth="1"/>
    <col min="13107" max="13107" width="14.625" style="4" customWidth="1"/>
    <col min="13108" max="13109" width="14.875" style="4" customWidth="1"/>
    <col min="13110" max="13113" width="12.625" style="4" customWidth="1"/>
    <col min="13114" max="13114" width="14.625" style="4" customWidth="1"/>
    <col min="13115" max="13116" width="14.875" style="4" customWidth="1"/>
    <col min="13117" max="13120" width="12.625" style="4" customWidth="1"/>
    <col min="13121" max="13121" width="14.625" style="4" customWidth="1"/>
    <col min="13122" max="13123" width="14.875" style="4" customWidth="1"/>
    <col min="13124" max="13127" width="12.625" style="4" customWidth="1"/>
    <col min="13128" max="13128" width="14.625" style="4" customWidth="1"/>
    <col min="13129" max="13130" width="14.875" style="4" customWidth="1"/>
    <col min="13131" max="13134" width="12.625" style="4" customWidth="1"/>
    <col min="13135" max="13135" width="14.625" style="4" customWidth="1"/>
    <col min="13136" max="13311" width="9" style="4"/>
    <col min="13312" max="13312" width="11.875" style="4" customWidth="1"/>
    <col min="13313" max="13313" width="14.625" style="4" customWidth="1"/>
    <col min="13314" max="13315" width="14.875" style="4" customWidth="1"/>
    <col min="13316" max="13316" width="20.375" style="4" customWidth="1"/>
    <col min="13317" max="13317" width="12.625" style="4" customWidth="1"/>
    <col min="13318" max="13318" width="24.875" style="4" customWidth="1"/>
    <col min="13319" max="13320" width="12.625" style="4" customWidth="1"/>
    <col min="13321" max="13321" width="14.375" style="4" customWidth="1"/>
    <col min="13322" max="13323" width="14.875" style="4" customWidth="1"/>
    <col min="13324" max="13324" width="21.625" style="4" customWidth="1"/>
    <col min="13325" max="13325" width="12.625" style="4" customWidth="1"/>
    <col min="13326" max="13326" width="25.625" style="4" customWidth="1"/>
    <col min="13327" max="13327" width="12.625" style="4" customWidth="1"/>
    <col min="13328" max="13328" width="14.625" style="4" customWidth="1"/>
    <col min="13329" max="13330" width="14.875" style="4" customWidth="1"/>
    <col min="13331" max="13334" width="12.625" style="4" customWidth="1"/>
    <col min="13335" max="13335" width="14.625" style="4" customWidth="1"/>
    <col min="13336" max="13337" width="14.875" style="4" customWidth="1"/>
    <col min="13338" max="13341" width="12.625" style="4" customWidth="1"/>
    <col min="13342" max="13342" width="14.625" style="4" customWidth="1"/>
    <col min="13343" max="13344" width="14.875" style="4" customWidth="1"/>
    <col min="13345" max="13348" width="12.625" style="4" customWidth="1"/>
    <col min="13349" max="13349" width="14.625" style="4" customWidth="1"/>
    <col min="13350" max="13351" width="14.875" style="4" customWidth="1"/>
    <col min="13352" max="13355" width="12.625" style="4" customWidth="1"/>
    <col min="13356" max="13356" width="14.625" style="4" customWidth="1"/>
    <col min="13357" max="13358" width="14.875" style="4" customWidth="1"/>
    <col min="13359" max="13362" width="12.625" style="4" customWidth="1"/>
    <col min="13363" max="13363" width="14.625" style="4" customWidth="1"/>
    <col min="13364" max="13365" width="14.875" style="4" customWidth="1"/>
    <col min="13366" max="13369" width="12.625" style="4" customWidth="1"/>
    <col min="13370" max="13370" width="14.625" style="4" customWidth="1"/>
    <col min="13371" max="13372" width="14.875" style="4" customWidth="1"/>
    <col min="13373" max="13376" width="12.625" style="4" customWidth="1"/>
    <col min="13377" max="13377" width="14.625" style="4" customWidth="1"/>
    <col min="13378" max="13379" width="14.875" style="4" customWidth="1"/>
    <col min="13380" max="13383" width="12.625" style="4" customWidth="1"/>
    <col min="13384" max="13384" width="14.625" style="4" customWidth="1"/>
    <col min="13385" max="13386" width="14.875" style="4" customWidth="1"/>
    <col min="13387" max="13390" width="12.625" style="4" customWidth="1"/>
    <col min="13391" max="13391" width="14.625" style="4" customWidth="1"/>
    <col min="13392" max="13567" width="9" style="4"/>
    <col min="13568" max="13568" width="11.875" style="4" customWidth="1"/>
    <col min="13569" max="13569" width="14.625" style="4" customWidth="1"/>
    <col min="13570" max="13571" width="14.875" style="4" customWidth="1"/>
    <col min="13572" max="13572" width="20.375" style="4" customWidth="1"/>
    <col min="13573" max="13573" width="12.625" style="4" customWidth="1"/>
    <col min="13574" max="13574" width="24.875" style="4" customWidth="1"/>
    <col min="13575" max="13576" width="12.625" style="4" customWidth="1"/>
    <col min="13577" max="13577" width="14.375" style="4" customWidth="1"/>
    <col min="13578" max="13579" width="14.875" style="4" customWidth="1"/>
    <col min="13580" max="13580" width="21.625" style="4" customWidth="1"/>
    <col min="13581" max="13581" width="12.625" style="4" customWidth="1"/>
    <col min="13582" max="13582" width="25.625" style="4" customWidth="1"/>
    <col min="13583" max="13583" width="12.625" style="4" customWidth="1"/>
    <col min="13584" max="13584" width="14.625" style="4" customWidth="1"/>
    <col min="13585" max="13586" width="14.875" style="4" customWidth="1"/>
    <col min="13587" max="13590" width="12.625" style="4" customWidth="1"/>
    <col min="13591" max="13591" width="14.625" style="4" customWidth="1"/>
    <col min="13592" max="13593" width="14.875" style="4" customWidth="1"/>
    <col min="13594" max="13597" width="12.625" style="4" customWidth="1"/>
    <col min="13598" max="13598" width="14.625" style="4" customWidth="1"/>
    <col min="13599" max="13600" width="14.875" style="4" customWidth="1"/>
    <col min="13601" max="13604" width="12.625" style="4" customWidth="1"/>
    <col min="13605" max="13605" width="14.625" style="4" customWidth="1"/>
    <col min="13606" max="13607" width="14.875" style="4" customWidth="1"/>
    <col min="13608" max="13611" width="12.625" style="4" customWidth="1"/>
    <col min="13612" max="13612" width="14.625" style="4" customWidth="1"/>
    <col min="13613" max="13614" width="14.875" style="4" customWidth="1"/>
    <col min="13615" max="13618" width="12.625" style="4" customWidth="1"/>
    <col min="13619" max="13619" width="14.625" style="4" customWidth="1"/>
    <col min="13620" max="13621" width="14.875" style="4" customWidth="1"/>
    <col min="13622" max="13625" width="12.625" style="4" customWidth="1"/>
    <col min="13626" max="13626" width="14.625" style="4" customWidth="1"/>
    <col min="13627" max="13628" width="14.875" style="4" customWidth="1"/>
    <col min="13629" max="13632" width="12.625" style="4" customWidth="1"/>
    <col min="13633" max="13633" width="14.625" style="4" customWidth="1"/>
    <col min="13634" max="13635" width="14.875" style="4" customWidth="1"/>
    <col min="13636" max="13639" width="12.625" style="4" customWidth="1"/>
    <col min="13640" max="13640" width="14.625" style="4" customWidth="1"/>
    <col min="13641" max="13642" width="14.875" style="4" customWidth="1"/>
    <col min="13643" max="13646" width="12.625" style="4" customWidth="1"/>
    <col min="13647" max="13647" width="14.625" style="4" customWidth="1"/>
    <col min="13648" max="13823" width="9" style="4"/>
    <col min="13824" max="13824" width="11.875" style="4" customWidth="1"/>
    <col min="13825" max="13825" width="14.625" style="4" customWidth="1"/>
    <col min="13826" max="13827" width="14.875" style="4" customWidth="1"/>
    <col min="13828" max="13828" width="20.375" style="4" customWidth="1"/>
    <col min="13829" max="13829" width="12.625" style="4" customWidth="1"/>
    <col min="13830" max="13830" width="24.875" style="4" customWidth="1"/>
    <col min="13831" max="13832" width="12.625" style="4" customWidth="1"/>
    <col min="13833" max="13833" width="14.375" style="4" customWidth="1"/>
    <col min="13834" max="13835" width="14.875" style="4" customWidth="1"/>
    <col min="13836" max="13836" width="21.625" style="4" customWidth="1"/>
    <col min="13837" max="13837" width="12.625" style="4" customWidth="1"/>
    <col min="13838" max="13838" width="25.625" style="4" customWidth="1"/>
    <col min="13839" max="13839" width="12.625" style="4" customWidth="1"/>
    <col min="13840" max="13840" width="14.625" style="4" customWidth="1"/>
    <col min="13841" max="13842" width="14.875" style="4" customWidth="1"/>
    <col min="13843" max="13846" width="12.625" style="4" customWidth="1"/>
    <col min="13847" max="13847" width="14.625" style="4" customWidth="1"/>
    <col min="13848" max="13849" width="14.875" style="4" customWidth="1"/>
    <col min="13850" max="13853" width="12.625" style="4" customWidth="1"/>
    <col min="13854" max="13854" width="14.625" style="4" customWidth="1"/>
    <col min="13855" max="13856" width="14.875" style="4" customWidth="1"/>
    <col min="13857" max="13860" width="12.625" style="4" customWidth="1"/>
    <col min="13861" max="13861" width="14.625" style="4" customWidth="1"/>
    <col min="13862" max="13863" width="14.875" style="4" customWidth="1"/>
    <col min="13864" max="13867" width="12.625" style="4" customWidth="1"/>
    <col min="13868" max="13868" width="14.625" style="4" customWidth="1"/>
    <col min="13869" max="13870" width="14.875" style="4" customWidth="1"/>
    <col min="13871" max="13874" width="12.625" style="4" customWidth="1"/>
    <col min="13875" max="13875" width="14.625" style="4" customWidth="1"/>
    <col min="13876" max="13877" width="14.875" style="4" customWidth="1"/>
    <col min="13878" max="13881" width="12.625" style="4" customWidth="1"/>
    <col min="13882" max="13882" width="14.625" style="4" customWidth="1"/>
    <col min="13883" max="13884" width="14.875" style="4" customWidth="1"/>
    <col min="13885" max="13888" width="12.625" style="4" customWidth="1"/>
    <col min="13889" max="13889" width="14.625" style="4" customWidth="1"/>
    <col min="13890" max="13891" width="14.875" style="4" customWidth="1"/>
    <col min="13892" max="13895" width="12.625" style="4" customWidth="1"/>
    <col min="13896" max="13896" width="14.625" style="4" customWidth="1"/>
    <col min="13897" max="13898" width="14.875" style="4" customWidth="1"/>
    <col min="13899" max="13902" width="12.625" style="4" customWidth="1"/>
    <col min="13903" max="13903" width="14.625" style="4" customWidth="1"/>
    <col min="13904" max="14079" width="9" style="4"/>
    <col min="14080" max="14080" width="11.875" style="4" customWidth="1"/>
    <col min="14081" max="14081" width="14.625" style="4" customWidth="1"/>
    <col min="14082" max="14083" width="14.875" style="4" customWidth="1"/>
    <col min="14084" max="14084" width="20.375" style="4" customWidth="1"/>
    <col min="14085" max="14085" width="12.625" style="4" customWidth="1"/>
    <col min="14086" max="14086" width="24.875" style="4" customWidth="1"/>
    <col min="14087" max="14088" width="12.625" style="4" customWidth="1"/>
    <col min="14089" max="14089" width="14.375" style="4" customWidth="1"/>
    <col min="14090" max="14091" width="14.875" style="4" customWidth="1"/>
    <col min="14092" max="14092" width="21.625" style="4" customWidth="1"/>
    <col min="14093" max="14093" width="12.625" style="4" customWidth="1"/>
    <col min="14094" max="14094" width="25.625" style="4" customWidth="1"/>
    <col min="14095" max="14095" width="12.625" style="4" customWidth="1"/>
    <col min="14096" max="14096" width="14.625" style="4" customWidth="1"/>
    <col min="14097" max="14098" width="14.875" style="4" customWidth="1"/>
    <col min="14099" max="14102" width="12.625" style="4" customWidth="1"/>
    <col min="14103" max="14103" width="14.625" style="4" customWidth="1"/>
    <col min="14104" max="14105" width="14.875" style="4" customWidth="1"/>
    <col min="14106" max="14109" width="12.625" style="4" customWidth="1"/>
    <col min="14110" max="14110" width="14.625" style="4" customWidth="1"/>
    <col min="14111" max="14112" width="14.875" style="4" customWidth="1"/>
    <col min="14113" max="14116" width="12.625" style="4" customWidth="1"/>
    <col min="14117" max="14117" width="14.625" style="4" customWidth="1"/>
    <col min="14118" max="14119" width="14.875" style="4" customWidth="1"/>
    <col min="14120" max="14123" width="12.625" style="4" customWidth="1"/>
    <col min="14124" max="14124" width="14.625" style="4" customWidth="1"/>
    <col min="14125" max="14126" width="14.875" style="4" customWidth="1"/>
    <col min="14127" max="14130" width="12.625" style="4" customWidth="1"/>
    <col min="14131" max="14131" width="14.625" style="4" customWidth="1"/>
    <col min="14132" max="14133" width="14.875" style="4" customWidth="1"/>
    <col min="14134" max="14137" width="12.625" style="4" customWidth="1"/>
    <col min="14138" max="14138" width="14.625" style="4" customWidth="1"/>
    <col min="14139" max="14140" width="14.875" style="4" customWidth="1"/>
    <col min="14141" max="14144" width="12.625" style="4" customWidth="1"/>
    <col min="14145" max="14145" width="14.625" style="4" customWidth="1"/>
    <col min="14146" max="14147" width="14.875" style="4" customWidth="1"/>
    <col min="14148" max="14151" width="12.625" style="4" customWidth="1"/>
    <col min="14152" max="14152" width="14.625" style="4" customWidth="1"/>
    <col min="14153" max="14154" width="14.875" style="4" customWidth="1"/>
    <col min="14155" max="14158" width="12.625" style="4" customWidth="1"/>
    <col min="14159" max="14159" width="14.625" style="4" customWidth="1"/>
    <col min="14160" max="14335" width="9" style="4"/>
    <col min="14336" max="14336" width="11.875" style="4" customWidth="1"/>
    <col min="14337" max="14337" width="14.625" style="4" customWidth="1"/>
    <col min="14338" max="14339" width="14.875" style="4" customWidth="1"/>
    <col min="14340" max="14340" width="20.375" style="4" customWidth="1"/>
    <col min="14341" max="14341" width="12.625" style="4" customWidth="1"/>
    <col min="14342" max="14342" width="24.875" style="4" customWidth="1"/>
    <col min="14343" max="14344" width="12.625" style="4" customWidth="1"/>
    <col min="14345" max="14345" width="14.375" style="4" customWidth="1"/>
    <col min="14346" max="14347" width="14.875" style="4" customWidth="1"/>
    <col min="14348" max="14348" width="21.625" style="4" customWidth="1"/>
    <col min="14349" max="14349" width="12.625" style="4" customWidth="1"/>
    <col min="14350" max="14350" width="25.625" style="4" customWidth="1"/>
    <col min="14351" max="14351" width="12.625" style="4" customWidth="1"/>
    <col min="14352" max="14352" width="14.625" style="4" customWidth="1"/>
    <col min="14353" max="14354" width="14.875" style="4" customWidth="1"/>
    <col min="14355" max="14358" width="12.625" style="4" customWidth="1"/>
    <col min="14359" max="14359" width="14.625" style="4" customWidth="1"/>
    <col min="14360" max="14361" width="14.875" style="4" customWidth="1"/>
    <col min="14362" max="14365" width="12.625" style="4" customWidth="1"/>
    <col min="14366" max="14366" width="14.625" style="4" customWidth="1"/>
    <col min="14367" max="14368" width="14.875" style="4" customWidth="1"/>
    <col min="14369" max="14372" width="12.625" style="4" customWidth="1"/>
    <col min="14373" max="14373" width="14.625" style="4" customWidth="1"/>
    <col min="14374" max="14375" width="14.875" style="4" customWidth="1"/>
    <col min="14376" max="14379" width="12.625" style="4" customWidth="1"/>
    <col min="14380" max="14380" width="14.625" style="4" customWidth="1"/>
    <col min="14381" max="14382" width="14.875" style="4" customWidth="1"/>
    <col min="14383" max="14386" width="12.625" style="4" customWidth="1"/>
    <col min="14387" max="14387" width="14.625" style="4" customWidth="1"/>
    <col min="14388" max="14389" width="14.875" style="4" customWidth="1"/>
    <col min="14390" max="14393" width="12.625" style="4" customWidth="1"/>
    <col min="14394" max="14394" width="14.625" style="4" customWidth="1"/>
    <col min="14395" max="14396" width="14.875" style="4" customWidth="1"/>
    <col min="14397" max="14400" width="12.625" style="4" customWidth="1"/>
    <col min="14401" max="14401" width="14.625" style="4" customWidth="1"/>
    <col min="14402" max="14403" width="14.875" style="4" customWidth="1"/>
    <col min="14404" max="14407" width="12.625" style="4" customWidth="1"/>
    <col min="14408" max="14408" width="14.625" style="4" customWidth="1"/>
    <col min="14409" max="14410" width="14.875" style="4" customWidth="1"/>
    <col min="14411" max="14414" width="12.625" style="4" customWidth="1"/>
    <col min="14415" max="14415" width="14.625" style="4" customWidth="1"/>
    <col min="14416" max="14591" width="9" style="4"/>
    <col min="14592" max="14592" width="11.875" style="4" customWidth="1"/>
    <col min="14593" max="14593" width="14.625" style="4" customWidth="1"/>
    <col min="14594" max="14595" width="14.875" style="4" customWidth="1"/>
    <col min="14596" max="14596" width="20.375" style="4" customWidth="1"/>
    <col min="14597" max="14597" width="12.625" style="4" customWidth="1"/>
    <col min="14598" max="14598" width="24.875" style="4" customWidth="1"/>
    <col min="14599" max="14600" width="12.625" style="4" customWidth="1"/>
    <col min="14601" max="14601" width="14.375" style="4" customWidth="1"/>
    <col min="14602" max="14603" width="14.875" style="4" customWidth="1"/>
    <col min="14604" max="14604" width="21.625" style="4" customWidth="1"/>
    <col min="14605" max="14605" width="12.625" style="4" customWidth="1"/>
    <col min="14606" max="14606" width="25.625" style="4" customWidth="1"/>
    <col min="14607" max="14607" width="12.625" style="4" customWidth="1"/>
    <col min="14608" max="14608" width="14.625" style="4" customWidth="1"/>
    <col min="14609" max="14610" width="14.875" style="4" customWidth="1"/>
    <col min="14611" max="14614" width="12.625" style="4" customWidth="1"/>
    <col min="14615" max="14615" width="14.625" style="4" customWidth="1"/>
    <col min="14616" max="14617" width="14.875" style="4" customWidth="1"/>
    <col min="14618" max="14621" width="12.625" style="4" customWidth="1"/>
    <col min="14622" max="14622" width="14.625" style="4" customWidth="1"/>
    <col min="14623" max="14624" width="14.875" style="4" customWidth="1"/>
    <col min="14625" max="14628" width="12.625" style="4" customWidth="1"/>
    <col min="14629" max="14629" width="14.625" style="4" customWidth="1"/>
    <col min="14630" max="14631" width="14.875" style="4" customWidth="1"/>
    <col min="14632" max="14635" width="12.625" style="4" customWidth="1"/>
    <col min="14636" max="14636" width="14.625" style="4" customWidth="1"/>
    <col min="14637" max="14638" width="14.875" style="4" customWidth="1"/>
    <col min="14639" max="14642" width="12.625" style="4" customWidth="1"/>
    <col min="14643" max="14643" width="14.625" style="4" customWidth="1"/>
    <col min="14644" max="14645" width="14.875" style="4" customWidth="1"/>
    <col min="14646" max="14649" width="12.625" style="4" customWidth="1"/>
    <col min="14650" max="14650" width="14.625" style="4" customWidth="1"/>
    <col min="14651" max="14652" width="14.875" style="4" customWidth="1"/>
    <col min="14653" max="14656" width="12.625" style="4" customWidth="1"/>
    <col min="14657" max="14657" width="14.625" style="4" customWidth="1"/>
    <col min="14658" max="14659" width="14.875" style="4" customWidth="1"/>
    <col min="14660" max="14663" width="12.625" style="4" customWidth="1"/>
    <col min="14664" max="14664" width="14.625" style="4" customWidth="1"/>
    <col min="14665" max="14666" width="14.875" style="4" customWidth="1"/>
    <col min="14667" max="14670" width="12.625" style="4" customWidth="1"/>
    <col min="14671" max="14671" width="14.625" style="4" customWidth="1"/>
    <col min="14672" max="14847" width="9" style="4"/>
    <col min="14848" max="14848" width="11.875" style="4" customWidth="1"/>
    <col min="14849" max="14849" width="14.625" style="4" customWidth="1"/>
    <col min="14850" max="14851" width="14.875" style="4" customWidth="1"/>
    <col min="14852" max="14852" width="20.375" style="4" customWidth="1"/>
    <col min="14853" max="14853" width="12.625" style="4" customWidth="1"/>
    <col min="14854" max="14854" width="24.875" style="4" customWidth="1"/>
    <col min="14855" max="14856" width="12.625" style="4" customWidth="1"/>
    <col min="14857" max="14857" width="14.375" style="4" customWidth="1"/>
    <col min="14858" max="14859" width="14.875" style="4" customWidth="1"/>
    <col min="14860" max="14860" width="21.625" style="4" customWidth="1"/>
    <col min="14861" max="14861" width="12.625" style="4" customWidth="1"/>
    <col min="14862" max="14862" width="25.625" style="4" customWidth="1"/>
    <col min="14863" max="14863" width="12.625" style="4" customWidth="1"/>
    <col min="14864" max="14864" width="14.625" style="4" customWidth="1"/>
    <col min="14865" max="14866" width="14.875" style="4" customWidth="1"/>
    <col min="14867" max="14870" width="12.625" style="4" customWidth="1"/>
    <col min="14871" max="14871" width="14.625" style="4" customWidth="1"/>
    <col min="14872" max="14873" width="14.875" style="4" customWidth="1"/>
    <col min="14874" max="14877" width="12.625" style="4" customWidth="1"/>
    <col min="14878" max="14878" width="14.625" style="4" customWidth="1"/>
    <col min="14879" max="14880" width="14.875" style="4" customWidth="1"/>
    <col min="14881" max="14884" width="12.625" style="4" customWidth="1"/>
    <col min="14885" max="14885" width="14.625" style="4" customWidth="1"/>
    <col min="14886" max="14887" width="14.875" style="4" customWidth="1"/>
    <col min="14888" max="14891" width="12.625" style="4" customWidth="1"/>
    <col min="14892" max="14892" width="14.625" style="4" customWidth="1"/>
    <col min="14893" max="14894" width="14.875" style="4" customWidth="1"/>
    <col min="14895" max="14898" width="12.625" style="4" customWidth="1"/>
    <col min="14899" max="14899" width="14.625" style="4" customWidth="1"/>
    <col min="14900" max="14901" width="14.875" style="4" customWidth="1"/>
    <col min="14902" max="14905" width="12.625" style="4" customWidth="1"/>
    <col min="14906" max="14906" width="14.625" style="4" customWidth="1"/>
    <col min="14907" max="14908" width="14.875" style="4" customWidth="1"/>
    <col min="14909" max="14912" width="12.625" style="4" customWidth="1"/>
    <col min="14913" max="14913" width="14.625" style="4" customWidth="1"/>
    <col min="14914" max="14915" width="14.875" style="4" customWidth="1"/>
    <col min="14916" max="14919" width="12.625" style="4" customWidth="1"/>
    <col min="14920" max="14920" width="14.625" style="4" customWidth="1"/>
    <col min="14921" max="14922" width="14.875" style="4" customWidth="1"/>
    <col min="14923" max="14926" width="12.625" style="4" customWidth="1"/>
    <col min="14927" max="14927" width="14.625" style="4" customWidth="1"/>
    <col min="14928" max="15103" width="9" style="4"/>
    <col min="15104" max="15104" width="11.875" style="4" customWidth="1"/>
    <col min="15105" max="15105" width="14.625" style="4" customWidth="1"/>
    <col min="15106" max="15107" width="14.875" style="4" customWidth="1"/>
    <col min="15108" max="15108" width="20.375" style="4" customWidth="1"/>
    <col min="15109" max="15109" width="12.625" style="4" customWidth="1"/>
    <col min="15110" max="15110" width="24.875" style="4" customWidth="1"/>
    <col min="15111" max="15112" width="12.625" style="4" customWidth="1"/>
    <col min="15113" max="15113" width="14.375" style="4" customWidth="1"/>
    <col min="15114" max="15115" width="14.875" style="4" customWidth="1"/>
    <col min="15116" max="15116" width="21.625" style="4" customWidth="1"/>
    <col min="15117" max="15117" width="12.625" style="4" customWidth="1"/>
    <col min="15118" max="15118" width="25.625" style="4" customWidth="1"/>
    <col min="15119" max="15119" width="12.625" style="4" customWidth="1"/>
    <col min="15120" max="15120" width="14.625" style="4" customWidth="1"/>
    <col min="15121" max="15122" width="14.875" style="4" customWidth="1"/>
    <col min="15123" max="15126" width="12.625" style="4" customWidth="1"/>
    <col min="15127" max="15127" width="14.625" style="4" customWidth="1"/>
    <col min="15128" max="15129" width="14.875" style="4" customWidth="1"/>
    <col min="15130" max="15133" width="12.625" style="4" customWidth="1"/>
    <col min="15134" max="15134" width="14.625" style="4" customWidth="1"/>
    <col min="15135" max="15136" width="14.875" style="4" customWidth="1"/>
    <col min="15137" max="15140" width="12.625" style="4" customWidth="1"/>
    <col min="15141" max="15141" width="14.625" style="4" customWidth="1"/>
    <col min="15142" max="15143" width="14.875" style="4" customWidth="1"/>
    <col min="15144" max="15147" width="12.625" style="4" customWidth="1"/>
    <col min="15148" max="15148" width="14.625" style="4" customWidth="1"/>
    <col min="15149" max="15150" width="14.875" style="4" customWidth="1"/>
    <col min="15151" max="15154" width="12.625" style="4" customWidth="1"/>
    <col min="15155" max="15155" width="14.625" style="4" customWidth="1"/>
    <col min="15156" max="15157" width="14.875" style="4" customWidth="1"/>
    <col min="15158" max="15161" width="12.625" style="4" customWidth="1"/>
    <col min="15162" max="15162" width="14.625" style="4" customWidth="1"/>
    <col min="15163" max="15164" width="14.875" style="4" customWidth="1"/>
    <col min="15165" max="15168" width="12.625" style="4" customWidth="1"/>
    <col min="15169" max="15169" width="14.625" style="4" customWidth="1"/>
    <col min="15170" max="15171" width="14.875" style="4" customWidth="1"/>
    <col min="15172" max="15175" width="12.625" style="4" customWidth="1"/>
    <col min="15176" max="15176" width="14.625" style="4" customWidth="1"/>
    <col min="15177" max="15178" width="14.875" style="4" customWidth="1"/>
    <col min="15179" max="15182" width="12.625" style="4" customWidth="1"/>
    <col min="15183" max="15183" width="14.625" style="4" customWidth="1"/>
    <col min="15184" max="15359" width="9" style="4"/>
    <col min="15360" max="15360" width="11.875" style="4" customWidth="1"/>
    <col min="15361" max="15361" width="14.625" style="4" customWidth="1"/>
    <col min="15362" max="15363" width="14.875" style="4" customWidth="1"/>
    <col min="15364" max="15364" width="20.375" style="4" customWidth="1"/>
    <col min="15365" max="15365" width="12.625" style="4" customWidth="1"/>
    <col min="15366" max="15366" width="24.875" style="4" customWidth="1"/>
    <col min="15367" max="15368" width="12.625" style="4" customWidth="1"/>
    <col min="15369" max="15369" width="14.375" style="4" customWidth="1"/>
    <col min="15370" max="15371" width="14.875" style="4" customWidth="1"/>
    <col min="15372" max="15372" width="21.625" style="4" customWidth="1"/>
    <col min="15373" max="15373" width="12.625" style="4" customWidth="1"/>
    <col min="15374" max="15374" width="25.625" style="4" customWidth="1"/>
    <col min="15375" max="15375" width="12.625" style="4" customWidth="1"/>
    <col min="15376" max="15376" width="14.625" style="4" customWidth="1"/>
    <col min="15377" max="15378" width="14.875" style="4" customWidth="1"/>
    <col min="15379" max="15382" width="12.625" style="4" customWidth="1"/>
    <col min="15383" max="15383" width="14.625" style="4" customWidth="1"/>
    <col min="15384" max="15385" width="14.875" style="4" customWidth="1"/>
    <col min="15386" max="15389" width="12.625" style="4" customWidth="1"/>
    <col min="15390" max="15390" width="14.625" style="4" customWidth="1"/>
    <col min="15391" max="15392" width="14.875" style="4" customWidth="1"/>
    <col min="15393" max="15396" width="12.625" style="4" customWidth="1"/>
    <col min="15397" max="15397" width="14.625" style="4" customWidth="1"/>
    <col min="15398" max="15399" width="14.875" style="4" customWidth="1"/>
    <col min="15400" max="15403" width="12.625" style="4" customWidth="1"/>
    <col min="15404" max="15404" width="14.625" style="4" customWidth="1"/>
    <col min="15405" max="15406" width="14.875" style="4" customWidth="1"/>
    <col min="15407" max="15410" width="12.625" style="4" customWidth="1"/>
    <col min="15411" max="15411" width="14.625" style="4" customWidth="1"/>
    <col min="15412" max="15413" width="14.875" style="4" customWidth="1"/>
    <col min="15414" max="15417" width="12.625" style="4" customWidth="1"/>
    <col min="15418" max="15418" width="14.625" style="4" customWidth="1"/>
    <col min="15419" max="15420" width="14.875" style="4" customWidth="1"/>
    <col min="15421" max="15424" width="12.625" style="4" customWidth="1"/>
    <col min="15425" max="15425" width="14.625" style="4" customWidth="1"/>
    <col min="15426" max="15427" width="14.875" style="4" customWidth="1"/>
    <col min="15428" max="15431" width="12.625" style="4" customWidth="1"/>
    <col min="15432" max="15432" width="14.625" style="4" customWidth="1"/>
    <col min="15433" max="15434" width="14.875" style="4" customWidth="1"/>
    <col min="15435" max="15438" width="12.625" style="4" customWidth="1"/>
    <col min="15439" max="15439" width="14.625" style="4" customWidth="1"/>
    <col min="15440" max="15615" width="9" style="4"/>
    <col min="15616" max="15616" width="11.875" style="4" customWidth="1"/>
    <col min="15617" max="15617" width="14.625" style="4" customWidth="1"/>
    <col min="15618" max="15619" width="14.875" style="4" customWidth="1"/>
    <col min="15620" max="15620" width="20.375" style="4" customWidth="1"/>
    <col min="15621" max="15621" width="12.625" style="4" customWidth="1"/>
    <col min="15622" max="15622" width="24.875" style="4" customWidth="1"/>
    <col min="15623" max="15624" width="12.625" style="4" customWidth="1"/>
    <col min="15625" max="15625" width="14.375" style="4" customWidth="1"/>
    <col min="15626" max="15627" width="14.875" style="4" customWidth="1"/>
    <col min="15628" max="15628" width="21.625" style="4" customWidth="1"/>
    <col min="15629" max="15629" width="12.625" style="4" customWidth="1"/>
    <col min="15630" max="15630" width="25.625" style="4" customWidth="1"/>
    <col min="15631" max="15631" width="12.625" style="4" customWidth="1"/>
    <col min="15632" max="15632" width="14.625" style="4" customWidth="1"/>
    <col min="15633" max="15634" width="14.875" style="4" customWidth="1"/>
    <col min="15635" max="15638" width="12.625" style="4" customWidth="1"/>
    <col min="15639" max="15639" width="14.625" style="4" customWidth="1"/>
    <col min="15640" max="15641" width="14.875" style="4" customWidth="1"/>
    <col min="15642" max="15645" width="12.625" style="4" customWidth="1"/>
    <col min="15646" max="15646" width="14.625" style="4" customWidth="1"/>
    <col min="15647" max="15648" width="14.875" style="4" customWidth="1"/>
    <col min="15649" max="15652" width="12.625" style="4" customWidth="1"/>
    <col min="15653" max="15653" width="14.625" style="4" customWidth="1"/>
    <col min="15654" max="15655" width="14.875" style="4" customWidth="1"/>
    <col min="15656" max="15659" width="12.625" style="4" customWidth="1"/>
    <col min="15660" max="15660" width="14.625" style="4" customWidth="1"/>
    <col min="15661" max="15662" width="14.875" style="4" customWidth="1"/>
    <col min="15663" max="15666" width="12.625" style="4" customWidth="1"/>
    <col min="15667" max="15667" width="14.625" style="4" customWidth="1"/>
    <col min="15668" max="15669" width="14.875" style="4" customWidth="1"/>
    <col min="15670" max="15673" width="12.625" style="4" customWidth="1"/>
    <col min="15674" max="15674" width="14.625" style="4" customWidth="1"/>
    <col min="15675" max="15676" width="14.875" style="4" customWidth="1"/>
    <col min="15677" max="15680" width="12.625" style="4" customWidth="1"/>
    <col min="15681" max="15681" width="14.625" style="4" customWidth="1"/>
    <col min="15682" max="15683" width="14.875" style="4" customWidth="1"/>
    <col min="15684" max="15687" width="12.625" style="4" customWidth="1"/>
    <col min="15688" max="15688" width="14.625" style="4" customWidth="1"/>
    <col min="15689" max="15690" width="14.875" style="4" customWidth="1"/>
    <col min="15691" max="15694" width="12.625" style="4" customWidth="1"/>
    <col min="15695" max="15695" width="14.625" style="4" customWidth="1"/>
    <col min="15696" max="15871" width="9" style="4"/>
    <col min="15872" max="15872" width="11.875" style="4" customWidth="1"/>
    <col min="15873" max="15873" width="14.625" style="4" customWidth="1"/>
    <col min="15874" max="15875" width="14.875" style="4" customWidth="1"/>
    <col min="15876" max="15876" width="20.375" style="4" customWidth="1"/>
    <col min="15877" max="15877" width="12.625" style="4" customWidth="1"/>
    <col min="15878" max="15878" width="24.875" style="4" customWidth="1"/>
    <col min="15879" max="15880" width="12.625" style="4" customWidth="1"/>
    <col min="15881" max="15881" width="14.375" style="4" customWidth="1"/>
    <col min="15882" max="15883" width="14.875" style="4" customWidth="1"/>
    <col min="15884" max="15884" width="21.625" style="4" customWidth="1"/>
    <col min="15885" max="15885" width="12.625" style="4" customWidth="1"/>
    <col min="15886" max="15886" width="25.625" style="4" customWidth="1"/>
    <col min="15887" max="15887" width="12.625" style="4" customWidth="1"/>
    <col min="15888" max="15888" width="14.625" style="4" customWidth="1"/>
    <col min="15889" max="15890" width="14.875" style="4" customWidth="1"/>
    <col min="15891" max="15894" width="12.625" style="4" customWidth="1"/>
    <col min="15895" max="15895" width="14.625" style="4" customWidth="1"/>
    <col min="15896" max="15897" width="14.875" style="4" customWidth="1"/>
    <col min="15898" max="15901" width="12.625" style="4" customWidth="1"/>
    <col min="15902" max="15902" width="14.625" style="4" customWidth="1"/>
    <col min="15903" max="15904" width="14.875" style="4" customWidth="1"/>
    <col min="15905" max="15908" width="12.625" style="4" customWidth="1"/>
    <col min="15909" max="15909" width="14.625" style="4" customWidth="1"/>
    <col min="15910" max="15911" width="14.875" style="4" customWidth="1"/>
    <col min="15912" max="15915" width="12.625" style="4" customWidth="1"/>
    <col min="15916" max="15916" width="14.625" style="4" customWidth="1"/>
    <col min="15917" max="15918" width="14.875" style="4" customWidth="1"/>
    <col min="15919" max="15922" width="12.625" style="4" customWidth="1"/>
    <col min="15923" max="15923" width="14.625" style="4" customWidth="1"/>
    <col min="15924" max="15925" width="14.875" style="4" customWidth="1"/>
    <col min="15926" max="15929" width="12.625" style="4" customWidth="1"/>
    <col min="15930" max="15930" width="14.625" style="4" customWidth="1"/>
    <col min="15931" max="15932" width="14.875" style="4" customWidth="1"/>
    <col min="15933" max="15936" width="12.625" style="4" customWidth="1"/>
    <col min="15937" max="15937" width="14.625" style="4" customWidth="1"/>
    <col min="15938" max="15939" width="14.875" style="4" customWidth="1"/>
    <col min="15940" max="15943" width="12.625" style="4" customWidth="1"/>
    <col min="15944" max="15944" width="14.625" style="4" customWidth="1"/>
    <col min="15945" max="15946" width="14.875" style="4" customWidth="1"/>
    <col min="15947" max="15950" width="12.625" style="4" customWidth="1"/>
    <col min="15951" max="15951" width="14.625" style="4" customWidth="1"/>
    <col min="15952" max="16127" width="9" style="4"/>
    <col min="16128" max="16128" width="11.875" style="4" customWidth="1"/>
    <col min="16129" max="16129" width="14.625" style="4" customWidth="1"/>
    <col min="16130" max="16131" width="14.875" style="4" customWidth="1"/>
    <col min="16132" max="16132" width="20.375" style="4" customWidth="1"/>
    <col min="16133" max="16133" width="12.625" style="4" customWidth="1"/>
    <col min="16134" max="16134" width="24.875" style="4" customWidth="1"/>
    <col min="16135" max="16136" width="12.625" style="4" customWidth="1"/>
    <col min="16137" max="16137" width="14.375" style="4" customWidth="1"/>
    <col min="16138" max="16139" width="14.875" style="4" customWidth="1"/>
    <col min="16140" max="16140" width="21.625" style="4" customWidth="1"/>
    <col min="16141" max="16141" width="12.625" style="4" customWidth="1"/>
    <col min="16142" max="16142" width="25.625" style="4" customWidth="1"/>
    <col min="16143" max="16143" width="12.625" style="4" customWidth="1"/>
    <col min="16144" max="16144" width="14.625" style="4" customWidth="1"/>
    <col min="16145" max="16146" width="14.875" style="4" customWidth="1"/>
    <col min="16147" max="16150" width="12.625" style="4" customWidth="1"/>
    <col min="16151" max="16151" width="14.625" style="4" customWidth="1"/>
    <col min="16152" max="16153" width="14.875" style="4" customWidth="1"/>
    <col min="16154" max="16157" width="12.625" style="4" customWidth="1"/>
    <col min="16158" max="16158" width="14.625" style="4" customWidth="1"/>
    <col min="16159" max="16160" width="14.875" style="4" customWidth="1"/>
    <col min="16161" max="16164" width="12.625" style="4" customWidth="1"/>
    <col min="16165" max="16165" width="14.625" style="4" customWidth="1"/>
    <col min="16166" max="16167" width="14.875" style="4" customWidth="1"/>
    <col min="16168" max="16171" width="12.625" style="4" customWidth="1"/>
    <col min="16172" max="16172" width="14.625" style="4" customWidth="1"/>
    <col min="16173" max="16174" width="14.875" style="4" customWidth="1"/>
    <col min="16175" max="16178" width="12.625" style="4" customWidth="1"/>
    <col min="16179" max="16179" width="14.625" style="4" customWidth="1"/>
    <col min="16180" max="16181" width="14.875" style="4" customWidth="1"/>
    <col min="16182" max="16185" width="12.625" style="4" customWidth="1"/>
    <col min="16186" max="16186" width="14.625" style="4" customWidth="1"/>
    <col min="16187" max="16188" width="14.875" style="4" customWidth="1"/>
    <col min="16189" max="16192" width="12.625" style="4" customWidth="1"/>
    <col min="16193" max="16193" width="14.625" style="4" customWidth="1"/>
    <col min="16194" max="16195" width="14.875" style="4" customWidth="1"/>
    <col min="16196" max="16199" width="12.625" style="4" customWidth="1"/>
    <col min="16200" max="16200" width="14.625" style="4" customWidth="1"/>
    <col min="16201" max="16202" width="14.875" style="4" customWidth="1"/>
    <col min="16203" max="16206" width="12.625" style="4" customWidth="1"/>
    <col min="16207" max="16207" width="14.625" style="4" customWidth="1"/>
    <col min="16208" max="16384" width="9" style="4"/>
  </cols>
  <sheetData>
    <row r="2" spans="2:12" ht="54" customHeight="1" x14ac:dyDescent="0.2">
      <c r="B2" s="180" t="s">
        <v>40</v>
      </c>
      <c r="C2" s="181"/>
      <c r="D2" s="182"/>
      <c r="E2" s="182"/>
      <c r="F2" s="182"/>
      <c r="G2" s="182"/>
    </row>
    <row r="3" spans="2:12" x14ac:dyDescent="0.2">
      <c r="H3" s="66"/>
      <c r="I3" s="66"/>
      <c r="J3" s="66"/>
      <c r="K3" s="66"/>
      <c r="L3" s="66"/>
    </row>
    <row r="4" spans="2:12" x14ac:dyDescent="0.2">
      <c r="H4" s="66" t="s">
        <v>57</v>
      </c>
      <c r="I4" s="66" t="s">
        <v>58</v>
      </c>
      <c r="J4" s="66" t="s">
        <v>59</v>
      </c>
      <c r="K4" s="66" t="s">
        <v>60</v>
      </c>
      <c r="L4" s="67" t="s">
        <v>61</v>
      </c>
    </row>
    <row r="5" spans="2:12" x14ac:dyDescent="0.2">
      <c r="H5" s="66" t="s">
        <v>62</v>
      </c>
      <c r="I5" s="66" t="s">
        <v>124</v>
      </c>
      <c r="J5" s="66" t="s">
        <v>123</v>
      </c>
      <c r="K5" s="66"/>
      <c r="L5" s="66"/>
    </row>
    <row r="6" spans="2:12" x14ac:dyDescent="0.2">
      <c r="H6" s="66">
        <v>299</v>
      </c>
      <c r="I6" s="66">
        <v>192.21</v>
      </c>
      <c r="J6" s="66">
        <v>384.41</v>
      </c>
      <c r="K6" s="66">
        <f>(I7-I6)/(H7-H6)</f>
        <v>1004.6700000000001</v>
      </c>
      <c r="L6" s="66">
        <f>(J7-J6)/(H7-H6)</f>
        <v>1413.79</v>
      </c>
    </row>
    <row r="7" spans="2:12" x14ac:dyDescent="0.2">
      <c r="H7" s="66">
        <v>300</v>
      </c>
      <c r="I7" s="66">
        <v>1196.8800000000001</v>
      </c>
      <c r="J7" s="66">
        <v>1798.2</v>
      </c>
      <c r="K7" s="66">
        <f>(I8-I7)/(H8-H7)</f>
        <v>2157.37</v>
      </c>
      <c r="L7" s="66">
        <f t="shared" ref="L7:L18" si="0">(J8-J7)/(H8-H7)</f>
        <v>739.51999999999975</v>
      </c>
    </row>
    <row r="8" spans="2:12" x14ac:dyDescent="0.2">
      <c r="H8" s="66">
        <v>301</v>
      </c>
      <c r="I8" s="66">
        <v>3354.25</v>
      </c>
      <c r="J8" s="66">
        <v>2537.7199999999998</v>
      </c>
      <c r="K8" s="66">
        <f t="shared" ref="K8:K18" si="1">(I9-I8)/(H9-H8)</f>
        <v>2810.1099999999997</v>
      </c>
      <c r="L8" s="66">
        <f t="shared" si="0"/>
        <v>1062.2800000000002</v>
      </c>
    </row>
    <row r="9" spans="2:12" x14ac:dyDescent="0.2">
      <c r="H9" s="66">
        <v>302</v>
      </c>
      <c r="I9" s="66">
        <v>6164.36</v>
      </c>
      <c r="J9" s="66">
        <v>3600</v>
      </c>
      <c r="K9" s="66">
        <f t="shared" si="1"/>
        <v>3363.7300000000005</v>
      </c>
      <c r="L9" s="66">
        <f t="shared" si="0"/>
        <v>1400</v>
      </c>
    </row>
    <row r="10" spans="2:12" x14ac:dyDescent="0.2">
      <c r="H10" s="66">
        <v>303</v>
      </c>
      <c r="I10" s="66">
        <v>9528.09</v>
      </c>
      <c r="J10" s="66">
        <v>5000</v>
      </c>
      <c r="K10" s="66">
        <f t="shared" si="1"/>
        <v>5640.09</v>
      </c>
      <c r="L10" s="66">
        <f t="shared" si="0"/>
        <v>74908.91</v>
      </c>
    </row>
    <row r="11" spans="2:12" x14ac:dyDescent="0.2">
      <c r="H11" s="66">
        <v>304</v>
      </c>
      <c r="I11" s="66">
        <v>15168.18</v>
      </c>
      <c r="J11" s="66">
        <v>79908.91</v>
      </c>
      <c r="K11" s="66">
        <f t="shared" si="1"/>
        <v>10955.16</v>
      </c>
      <c r="L11" s="66">
        <f t="shared" si="0"/>
        <v>-65592.990000000005</v>
      </c>
    </row>
    <row r="12" spans="2:12" x14ac:dyDescent="0.2">
      <c r="H12" s="66">
        <v>305</v>
      </c>
      <c r="I12" s="66">
        <v>26123.34</v>
      </c>
      <c r="J12" s="66">
        <v>14315.92</v>
      </c>
      <c r="K12" s="66">
        <f t="shared" si="1"/>
        <v>16780.48</v>
      </c>
      <c r="L12" s="66">
        <f t="shared" si="0"/>
        <v>4584.08</v>
      </c>
    </row>
    <row r="13" spans="2:12" x14ac:dyDescent="0.2">
      <c r="H13" s="66">
        <v>306</v>
      </c>
      <c r="I13" s="66">
        <v>42903.82</v>
      </c>
      <c r="J13" s="66">
        <v>18900</v>
      </c>
      <c r="K13" s="66">
        <f t="shared" si="1"/>
        <v>22365.489999999998</v>
      </c>
      <c r="L13" s="66">
        <f t="shared" si="0"/>
        <v>6598.82</v>
      </c>
    </row>
    <row r="14" spans="2:12" x14ac:dyDescent="0.2">
      <c r="H14" s="66">
        <v>307</v>
      </c>
      <c r="I14" s="66">
        <v>65269.31</v>
      </c>
      <c r="J14" s="66">
        <v>25498.82</v>
      </c>
      <c r="K14" s="66">
        <f t="shared" si="1"/>
        <v>27654.059999999998</v>
      </c>
      <c r="L14" s="66">
        <f t="shared" si="0"/>
        <v>6301.18</v>
      </c>
    </row>
    <row r="15" spans="2:12" x14ac:dyDescent="0.2">
      <c r="H15" s="66">
        <v>308</v>
      </c>
      <c r="I15" s="66">
        <v>92923.37</v>
      </c>
      <c r="J15" s="66">
        <v>31800</v>
      </c>
      <c r="K15" s="66">
        <f t="shared" si="1"/>
        <v>36676.340000000011</v>
      </c>
      <c r="L15" s="66">
        <f t="shared" si="0"/>
        <v>12137.07</v>
      </c>
    </row>
    <row r="16" spans="2:12" x14ac:dyDescent="0.2">
      <c r="H16" s="66">
        <v>309</v>
      </c>
      <c r="I16" s="66">
        <v>129599.71</v>
      </c>
      <c r="J16" s="66">
        <v>43937.07</v>
      </c>
      <c r="K16" s="66">
        <f t="shared" si="1"/>
        <v>48103.659999999989</v>
      </c>
      <c r="L16" s="66">
        <f t="shared" si="0"/>
        <v>8457.1699999999983</v>
      </c>
    </row>
    <row r="17" spans="1:12" x14ac:dyDescent="0.2">
      <c r="H17" s="66">
        <v>310</v>
      </c>
      <c r="I17" s="66">
        <v>177703.37</v>
      </c>
      <c r="J17" s="66">
        <v>52394.239999999998</v>
      </c>
      <c r="K17" s="66">
        <f t="shared" si="1"/>
        <v>57465.800000000017</v>
      </c>
      <c r="L17" s="66">
        <f t="shared" si="0"/>
        <v>10296.959999999999</v>
      </c>
    </row>
    <row r="18" spans="1:12" x14ac:dyDescent="0.2">
      <c r="H18" s="66">
        <v>311</v>
      </c>
      <c r="I18" s="66">
        <v>235169.17</v>
      </c>
      <c r="J18" s="66">
        <v>62691.199999999997</v>
      </c>
      <c r="K18" s="66">
        <f t="shared" si="1"/>
        <v>756.17096463022517</v>
      </c>
      <c r="L18" s="66">
        <f t="shared" si="0"/>
        <v>201.57942122186495</v>
      </c>
    </row>
    <row r="19" spans="1:12" x14ac:dyDescent="0.2">
      <c r="H19" s="66"/>
      <c r="I19" s="66"/>
      <c r="J19" s="66"/>
      <c r="K19" s="66"/>
      <c r="L19" s="66"/>
    </row>
    <row r="20" spans="1:12" x14ac:dyDescent="0.2">
      <c r="H20" s="66"/>
      <c r="I20" s="66"/>
      <c r="J20" s="66"/>
      <c r="K20" s="66"/>
      <c r="L20" s="66"/>
    </row>
    <row r="21" spans="1:12" x14ac:dyDescent="0.2">
      <c r="H21" s="66"/>
      <c r="I21" s="66"/>
      <c r="J21" s="66"/>
      <c r="K21" s="66"/>
      <c r="L21" s="66"/>
    </row>
    <row r="22" spans="1:12" x14ac:dyDescent="0.2">
      <c r="H22" s="185"/>
      <c r="I22" s="185"/>
      <c r="J22" s="185"/>
      <c r="K22" s="110"/>
      <c r="L22" s="66"/>
    </row>
    <row r="23" spans="1:12" x14ac:dyDescent="0.2">
      <c r="H23" s="185"/>
      <c r="I23" s="185"/>
      <c r="J23" s="185"/>
      <c r="K23" s="110"/>
      <c r="L23" s="66"/>
    </row>
    <row r="28" spans="1:12" x14ac:dyDescent="0.2">
      <c r="B28" s="49" t="s">
        <v>30</v>
      </c>
      <c r="H28" s="49"/>
    </row>
    <row r="30" spans="1:12" ht="29.1" customHeight="1" x14ac:dyDescent="0.2"/>
    <row r="32" spans="1:12" ht="29.1" customHeight="1" x14ac:dyDescent="0.2">
      <c r="A32" s="9" t="s">
        <v>9</v>
      </c>
      <c r="B32" s="10" t="s">
        <v>121</v>
      </c>
      <c r="C32" s="13"/>
      <c r="D32" s="13"/>
      <c r="E32" s="183"/>
      <c r="F32" s="50" t="s">
        <v>31</v>
      </c>
      <c r="I32" s="57"/>
      <c r="L32" s="184"/>
    </row>
    <row r="33" spans="1:14" x14ac:dyDescent="0.2">
      <c r="A33" s="16"/>
      <c r="E33" s="184"/>
      <c r="F33" s="18"/>
      <c r="L33" s="184"/>
    </row>
    <row r="34" spans="1:14" s="23" customFormat="1" ht="24.95" customHeight="1" x14ac:dyDescent="0.2">
      <c r="A34" s="19" t="s">
        <v>32</v>
      </c>
      <c r="B34" s="20"/>
      <c r="C34" s="20"/>
      <c r="D34" s="20"/>
      <c r="E34" s="20"/>
      <c r="F34" s="22"/>
      <c r="H34" s="58"/>
    </row>
    <row r="36" spans="1:14" ht="36" customHeight="1" x14ac:dyDescent="0.2">
      <c r="A36" s="51" t="s">
        <v>33</v>
      </c>
      <c r="B36" s="51" t="s">
        <v>34</v>
      </c>
      <c r="C36" s="51" t="s">
        <v>35</v>
      </c>
      <c r="D36" s="45" t="s">
        <v>36</v>
      </c>
      <c r="E36" s="46" t="s">
        <v>20</v>
      </c>
      <c r="F36" s="46" t="s">
        <v>37</v>
      </c>
      <c r="H36" s="49"/>
      <c r="I36" s="49"/>
      <c r="J36" s="49"/>
      <c r="K36" s="17"/>
    </row>
    <row r="37" spans="1:14" x14ac:dyDescent="0.2">
      <c r="A37" s="34">
        <v>41213</v>
      </c>
      <c r="B37" s="35"/>
      <c r="C37" s="52"/>
      <c r="D37" s="53"/>
      <c r="E37" s="39"/>
      <c r="F37" s="39"/>
      <c r="H37" s="59"/>
      <c r="I37" s="60"/>
      <c r="J37" s="61"/>
      <c r="K37" s="62"/>
      <c r="L37" s="60"/>
      <c r="M37" s="60"/>
      <c r="N37" s="60"/>
    </row>
    <row r="38" spans="1:14" x14ac:dyDescent="0.2">
      <c r="A38" s="34">
        <v>41243</v>
      </c>
      <c r="B38" s="35">
        <v>41233</v>
      </c>
      <c r="C38" s="52">
        <v>0.6875</v>
      </c>
      <c r="D38" s="53">
        <v>308</v>
      </c>
      <c r="E38" s="39" t="s">
        <v>205</v>
      </c>
      <c r="F38" s="39"/>
      <c r="H38" s="59"/>
      <c r="I38" s="60"/>
      <c r="J38" s="61"/>
      <c r="K38" s="62"/>
      <c r="L38" s="60"/>
      <c r="M38" s="60"/>
      <c r="N38" s="60"/>
    </row>
    <row r="39" spans="1:14" x14ac:dyDescent="0.2">
      <c r="A39" s="34">
        <v>41274</v>
      </c>
      <c r="B39" s="35">
        <v>41256</v>
      </c>
      <c r="C39" s="52">
        <v>0.375</v>
      </c>
      <c r="D39" s="53">
        <v>308</v>
      </c>
      <c r="E39" s="39" t="s">
        <v>206</v>
      </c>
      <c r="F39" s="39"/>
      <c r="H39" s="59"/>
      <c r="I39" s="60"/>
      <c r="J39" s="61"/>
      <c r="K39" s="62"/>
      <c r="L39" s="60"/>
      <c r="M39" s="60"/>
      <c r="N39" s="60"/>
    </row>
    <row r="40" spans="1:14" x14ac:dyDescent="0.2">
      <c r="A40" s="34">
        <v>41305</v>
      </c>
      <c r="B40" s="35">
        <v>41278</v>
      </c>
      <c r="C40" s="52">
        <v>0.69791666666666663</v>
      </c>
      <c r="D40" s="53">
        <v>307.89999999999998</v>
      </c>
      <c r="E40" s="39" t="s">
        <v>207</v>
      </c>
      <c r="F40" s="39"/>
      <c r="H40" s="59"/>
      <c r="I40" s="60"/>
      <c r="J40" s="61"/>
      <c r="K40" s="62"/>
      <c r="L40" s="60"/>
      <c r="M40" s="60"/>
      <c r="N40" s="60"/>
    </row>
    <row r="41" spans="1:14" x14ac:dyDescent="0.2">
      <c r="A41" s="34">
        <v>41333</v>
      </c>
      <c r="B41" s="35">
        <v>41316</v>
      </c>
      <c r="C41" s="52">
        <v>0.375</v>
      </c>
      <c r="D41" s="53">
        <v>308</v>
      </c>
      <c r="E41" s="39" t="s">
        <v>208</v>
      </c>
      <c r="F41" s="39"/>
      <c r="H41" s="59"/>
      <c r="I41" s="60"/>
      <c r="J41" s="61"/>
      <c r="K41" s="62"/>
      <c r="L41" s="57"/>
      <c r="M41" s="60"/>
      <c r="N41" s="60"/>
    </row>
    <row r="42" spans="1:14" x14ac:dyDescent="0.2">
      <c r="A42" s="34">
        <v>41364</v>
      </c>
      <c r="B42" s="35">
        <v>41358</v>
      </c>
      <c r="C42" s="52">
        <v>0.375</v>
      </c>
      <c r="D42" s="53">
        <v>308.10000000000002</v>
      </c>
      <c r="E42" s="39" t="s">
        <v>209</v>
      </c>
      <c r="F42" s="39"/>
      <c r="H42" s="117" t="s">
        <v>310</v>
      </c>
      <c r="I42" s="60"/>
      <c r="J42" s="116">
        <f>SUM(D38:D43)</f>
        <v>1848.1</v>
      </c>
      <c r="K42" s="62">
        <f>J42/6</f>
        <v>308.01666666666665</v>
      </c>
      <c r="L42" s="57"/>
      <c r="M42" s="60"/>
      <c r="N42" s="60"/>
    </row>
    <row r="43" spans="1:14" x14ac:dyDescent="0.2">
      <c r="A43" s="34">
        <v>41394</v>
      </c>
      <c r="B43" s="35">
        <v>41386</v>
      </c>
      <c r="C43" s="52">
        <v>0.375</v>
      </c>
      <c r="D43" s="53">
        <v>308.10000000000002</v>
      </c>
      <c r="E43" s="39" t="s">
        <v>210</v>
      </c>
      <c r="F43" s="39"/>
      <c r="H43" s="59"/>
      <c r="I43" s="60"/>
      <c r="J43" s="61"/>
      <c r="K43" s="62"/>
      <c r="L43" s="57"/>
      <c r="M43" s="60"/>
      <c r="N43" s="60"/>
    </row>
    <row r="44" spans="1:14" x14ac:dyDescent="0.2">
      <c r="A44" s="34">
        <v>41425</v>
      </c>
      <c r="B44" s="35">
        <v>41396</v>
      </c>
      <c r="C44" s="52">
        <v>0.38541666666666669</v>
      </c>
      <c r="D44" s="53">
        <v>308.10000000000002</v>
      </c>
      <c r="E44" s="39" t="s">
        <v>211</v>
      </c>
      <c r="F44" s="39"/>
      <c r="H44" s="59"/>
      <c r="I44" s="60"/>
      <c r="J44" s="61"/>
      <c r="K44" s="62"/>
      <c r="L44" s="57"/>
      <c r="M44" s="60"/>
      <c r="N44" s="60"/>
    </row>
    <row r="45" spans="1:14" x14ac:dyDescent="0.2">
      <c r="A45" s="34">
        <v>41455</v>
      </c>
      <c r="B45" s="35">
        <v>42526</v>
      </c>
      <c r="C45" s="52">
        <v>0.66666666666666663</v>
      </c>
      <c r="D45" s="53">
        <v>308.10000000000002</v>
      </c>
      <c r="E45" s="39" t="s">
        <v>212</v>
      </c>
      <c r="F45" s="39"/>
      <c r="H45" s="4" t="s">
        <v>311</v>
      </c>
      <c r="I45" s="60"/>
      <c r="J45" s="116">
        <f>SUM(D44:D55)</f>
        <v>3696.9999999999995</v>
      </c>
      <c r="K45" s="62">
        <f>J45/12</f>
        <v>308.08333333333331</v>
      </c>
      <c r="L45" s="57"/>
      <c r="M45" s="60"/>
      <c r="N45" s="60"/>
    </row>
    <row r="46" spans="1:14" x14ac:dyDescent="0.2">
      <c r="A46" s="34">
        <v>41486</v>
      </c>
      <c r="B46" s="35">
        <v>41432</v>
      </c>
      <c r="C46" s="52">
        <v>0.32291666666666669</v>
      </c>
      <c r="D46" s="53">
        <v>308</v>
      </c>
      <c r="E46" s="39" t="s">
        <v>213</v>
      </c>
      <c r="F46" s="39"/>
      <c r="I46" s="60"/>
      <c r="J46" s="61"/>
      <c r="K46" s="62"/>
      <c r="L46" s="57"/>
      <c r="M46" s="60"/>
      <c r="N46" s="60"/>
    </row>
    <row r="47" spans="1:14" x14ac:dyDescent="0.2">
      <c r="A47" s="34">
        <v>41517</v>
      </c>
      <c r="B47" s="35">
        <v>41513</v>
      </c>
      <c r="C47" s="52">
        <v>0.30208333333333331</v>
      </c>
      <c r="D47" s="53">
        <v>307.89999999999998</v>
      </c>
      <c r="E47" s="39" t="s">
        <v>214</v>
      </c>
      <c r="F47" s="39"/>
      <c r="I47" s="60"/>
      <c r="J47" s="61"/>
      <c r="K47" s="62"/>
      <c r="L47" s="57"/>
      <c r="M47" s="60"/>
      <c r="N47" s="60"/>
    </row>
    <row r="48" spans="1:14" x14ac:dyDescent="0.2">
      <c r="A48" s="34">
        <v>41547</v>
      </c>
      <c r="B48" s="35">
        <v>41539</v>
      </c>
      <c r="C48" s="52">
        <v>0.32291666666666669</v>
      </c>
      <c r="D48" s="53">
        <v>308.10000000000002</v>
      </c>
      <c r="E48" s="39" t="s">
        <v>215</v>
      </c>
      <c r="F48" s="39"/>
      <c r="I48" s="60"/>
      <c r="J48" s="116"/>
      <c r="K48" s="62"/>
      <c r="L48" s="57"/>
      <c r="M48" s="60"/>
      <c r="N48" s="60"/>
    </row>
    <row r="49" spans="1:14" x14ac:dyDescent="0.2">
      <c r="A49" s="34">
        <v>41578</v>
      </c>
      <c r="B49" s="35">
        <v>41554</v>
      </c>
      <c r="C49" s="52">
        <v>0.70833333333333337</v>
      </c>
      <c r="D49" s="53">
        <v>308.2</v>
      </c>
      <c r="E49" s="39" t="s">
        <v>216</v>
      </c>
      <c r="F49" s="39"/>
      <c r="H49" s="117" t="s">
        <v>308</v>
      </c>
      <c r="I49" s="60"/>
      <c r="J49" s="116">
        <f>SUM(D56:D67)</f>
        <v>3695.4</v>
      </c>
      <c r="K49" s="62">
        <f>J49/12</f>
        <v>307.95</v>
      </c>
      <c r="L49" s="57"/>
      <c r="M49" s="60"/>
      <c r="N49" s="60"/>
    </row>
    <row r="50" spans="1:14" x14ac:dyDescent="0.2">
      <c r="A50" s="34">
        <v>41608</v>
      </c>
      <c r="B50" s="35">
        <v>41584</v>
      </c>
      <c r="C50" s="52">
        <v>0.3125</v>
      </c>
      <c r="D50" s="53">
        <v>308.2</v>
      </c>
      <c r="E50" s="39" t="s">
        <v>216</v>
      </c>
      <c r="F50" s="39"/>
      <c r="H50" s="59"/>
      <c r="I50" s="60"/>
      <c r="J50" s="116"/>
      <c r="K50" s="62"/>
      <c r="L50" s="57"/>
      <c r="M50" s="60"/>
      <c r="N50" s="60"/>
    </row>
    <row r="51" spans="1:14" x14ac:dyDescent="0.2">
      <c r="A51" s="34">
        <v>41639</v>
      </c>
      <c r="B51" s="35">
        <v>41623</v>
      </c>
      <c r="C51" s="52">
        <v>0.82291666666666663</v>
      </c>
      <c r="D51" s="53">
        <v>308.2</v>
      </c>
      <c r="E51" s="39" t="s">
        <v>217</v>
      </c>
      <c r="F51" s="39"/>
      <c r="H51" s="59"/>
      <c r="I51" s="60"/>
      <c r="J51" s="116"/>
      <c r="K51" s="62"/>
      <c r="L51" s="57"/>
      <c r="M51" s="60"/>
      <c r="N51" s="60"/>
    </row>
    <row r="52" spans="1:14" x14ac:dyDescent="0.2">
      <c r="A52" s="34">
        <v>41670</v>
      </c>
      <c r="B52" s="35">
        <v>41645</v>
      </c>
      <c r="C52" s="52">
        <v>0.29166666666666669</v>
      </c>
      <c r="D52" s="53">
        <v>308</v>
      </c>
      <c r="E52" s="39" t="s">
        <v>218</v>
      </c>
      <c r="F52" s="39"/>
      <c r="H52" s="117" t="s">
        <v>312</v>
      </c>
      <c r="I52" s="60"/>
      <c r="J52" s="116">
        <f>SUM(D68:D79)</f>
        <v>3699.6</v>
      </c>
      <c r="K52" s="62">
        <f>J52/12</f>
        <v>308.3</v>
      </c>
      <c r="L52" s="57"/>
      <c r="M52" s="60"/>
      <c r="N52" s="60"/>
    </row>
    <row r="53" spans="1:14" x14ac:dyDescent="0.2">
      <c r="A53" s="34">
        <v>41698</v>
      </c>
      <c r="B53" s="35">
        <v>41687</v>
      </c>
      <c r="C53" s="52">
        <v>0.375</v>
      </c>
      <c r="D53" s="53">
        <v>308.10000000000002</v>
      </c>
      <c r="E53" s="39" t="s">
        <v>219</v>
      </c>
      <c r="F53" s="39"/>
      <c r="H53" s="59"/>
      <c r="I53" s="60"/>
      <c r="J53" s="116"/>
      <c r="K53" s="62"/>
      <c r="L53" s="57"/>
      <c r="M53" s="60"/>
      <c r="N53" s="60"/>
    </row>
    <row r="54" spans="1:14" x14ac:dyDescent="0.2">
      <c r="A54" s="34">
        <v>41729</v>
      </c>
      <c r="B54" s="35">
        <v>41699</v>
      </c>
      <c r="C54" s="52">
        <v>0.375</v>
      </c>
      <c r="D54" s="53">
        <v>308</v>
      </c>
      <c r="E54" s="39" t="s">
        <v>220</v>
      </c>
      <c r="F54" s="39"/>
      <c r="H54" s="59"/>
      <c r="I54" s="60"/>
      <c r="J54" s="116"/>
      <c r="K54" s="62"/>
      <c r="L54" s="57"/>
      <c r="M54" s="60"/>
      <c r="N54" s="60"/>
    </row>
    <row r="55" spans="1:14" x14ac:dyDescent="0.2">
      <c r="A55" s="34">
        <v>41759</v>
      </c>
      <c r="B55" s="35">
        <v>41739</v>
      </c>
      <c r="C55" s="52">
        <v>0.28125</v>
      </c>
      <c r="D55" s="53">
        <v>308.10000000000002</v>
      </c>
      <c r="E55" s="39" t="s">
        <v>221</v>
      </c>
      <c r="F55" s="39"/>
      <c r="H55" s="59"/>
      <c r="I55" s="60"/>
      <c r="J55" s="116"/>
      <c r="K55" s="62"/>
      <c r="L55" s="57"/>
      <c r="M55" s="60"/>
      <c r="N55" s="60"/>
    </row>
    <row r="56" spans="1:14" x14ac:dyDescent="0.2">
      <c r="A56" s="34">
        <v>41790</v>
      </c>
      <c r="B56" s="35">
        <v>41788</v>
      </c>
      <c r="C56" s="52">
        <v>0.6875</v>
      </c>
      <c r="D56" s="53">
        <v>307.3</v>
      </c>
      <c r="E56" s="39" t="s">
        <v>221</v>
      </c>
      <c r="F56" s="39"/>
      <c r="H56" s="117" t="s">
        <v>309</v>
      </c>
      <c r="I56" s="60"/>
      <c r="J56" s="116">
        <v>3702</v>
      </c>
      <c r="K56" s="62">
        <f>J56/12</f>
        <v>308.5</v>
      </c>
      <c r="L56" s="57"/>
      <c r="M56" s="60"/>
      <c r="N56" s="60"/>
    </row>
    <row r="57" spans="1:14" x14ac:dyDescent="0.2">
      <c r="A57" s="34">
        <v>41820</v>
      </c>
      <c r="B57" s="35">
        <v>41800</v>
      </c>
      <c r="C57" s="52">
        <v>0.68055555555555547</v>
      </c>
      <c r="D57" s="53">
        <v>308</v>
      </c>
      <c r="E57" s="39" t="s">
        <v>222</v>
      </c>
      <c r="F57" s="39"/>
      <c r="H57" s="59"/>
      <c r="I57" s="60"/>
      <c r="J57" s="116"/>
      <c r="K57" s="62"/>
      <c r="L57" s="57"/>
      <c r="M57" s="60"/>
      <c r="N57" s="60"/>
    </row>
    <row r="58" spans="1:14" x14ac:dyDescent="0.2">
      <c r="A58" s="34">
        <v>41851</v>
      </c>
      <c r="B58" s="35">
        <v>41834</v>
      </c>
      <c r="C58" s="52">
        <v>0.40625</v>
      </c>
      <c r="D58" s="53">
        <v>308</v>
      </c>
      <c r="E58" s="39" t="s">
        <v>223</v>
      </c>
      <c r="F58" s="39"/>
      <c r="H58" s="59"/>
      <c r="I58" s="60"/>
      <c r="J58" s="116"/>
      <c r="K58" s="62"/>
      <c r="L58" s="57"/>
      <c r="M58" s="60"/>
      <c r="N58" s="60"/>
    </row>
    <row r="59" spans="1:14" x14ac:dyDescent="0.2">
      <c r="A59" s="34">
        <v>41882</v>
      </c>
      <c r="B59" s="35">
        <v>41877</v>
      </c>
      <c r="C59" s="52">
        <v>0.23611111111111113</v>
      </c>
      <c r="D59" s="53">
        <v>308</v>
      </c>
      <c r="E59" s="39" t="s">
        <v>224</v>
      </c>
      <c r="F59" s="39"/>
      <c r="H59" s="117" t="s">
        <v>313</v>
      </c>
      <c r="I59" s="60"/>
      <c r="J59" s="116">
        <v>3706</v>
      </c>
      <c r="K59" s="62">
        <f>J59/12</f>
        <v>308.83333333333331</v>
      </c>
      <c r="L59" s="57"/>
      <c r="M59" s="60"/>
      <c r="N59" s="60"/>
    </row>
    <row r="60" spans="1:14" ht="14.25" customHeight="1" x14ac:dyDescent="0.2">
      <c r="A60" s="34">
        <v>41912</v>
      </c>
      <c r="B60" s="35">
        <v>41905</v>
      </c>
      <c r="C60" s="52">
        <v>0.70138888888888884</v>
      </c>
      <c r="D60" s="53">
        <v>308</v>
      </c>
      <c r="E60" s="39" t="s">
        <v>225</v>
      </c>
      <c r="F60" s="39"/>
      <c r="H60" s="59"/>
      <c r="I60" s="60"/>
      <c r="J60" s="116"/>
      <c r="K60" s="62"/>
      <c r="L60" s="57"/>
      <c r="M60" s="60"/>
      <c r="N60" s="60"/>
    </row>
    <row r="61" spans="1:14" ht="14.25" customHeight="1" x14ac:dyDescent="0.2">
      <c r="A61" s="34">
        <v>41943</v>
      </c>
      <c r="B61" s="35">
        <v>41938</v>
      </c>
      <c r="C61" s="52">
        <v>0.39583333333333331</v>
      </c>
      <c r="D61" s="53">
        <v>308</v>
      </c>
      <c r="E61" s="39" t="s">
        <v>226</v>
      </c>
      <c r="F61" s="39"/>
      <c r="H61" s="59"/>
      <c r="I61" s="60"/>
      <c r="J61" s="116"/>
      <c r="K61" s="62"/>
      <c r="L61" s="57"/>
      <c r="M61" s="60"/>
      <c r="N61" s="60"/>
    </row>
    <row r="62" spans="1:14" ht="14.25" customHeight="1" x14ac:dyDescent="0.2">
      <c r="A62" s="34">
        <v>41973</v>
      </c>
      <c r="B62" s="35">
        <v>41946</v>
      </c>
      <c r="C62" s="52">
        <v>0.375</v>
      </c>
      <c r="D62" s="53">
        <v>308</v>
      </c>
      <c r="E62" s="39" t="s">
        <v>227</v>
      </c>
      <c r="F62" s="39"/>
      <c r="H62" s="117" t="s">
        <v>314</v>
      </c>
      <c r="I62" s="60"/>
      <c r="J62" s="116">
        <v>3708.8</v>
      </c>
      <c r="K62" s="62">
        <f>J62/12</f>
        <v>309.06666666666666</v>
      </c>
      <c r="L62" s="57"/>
      <c r="M62" s="60"/>
      <c r="N62" s="60"/>
    </row>
    <row r="63" spans="1:14" ht="14.25" customHeight="1" x14ac:dyDescent="0.2">
      <c r="A63" s="34">
        <v>42004</v>
      </c>
      <c r="B63" s="35">
        <v>41975</v>
      </c>
      <c r="C63" s="52">
        <v>0.39583333333333331</v>
      </c>
      <c r="D63" s="53">
        <v>308</v>
      </c>
      <c r="E63" s="39" t="s">
        <v>228</v>
      </c>
      <c r="F63" s="39"/>
      <c r="H63" s="59"/>
      <c r="I63" s="60"/>
      <c r="J63" s="116"/>
      <c r="K63" s="62"/>
      <c r="L63" s="57"/>
      <c r="M63" s="60"/>
      <c r="N63" s="60"/>
    </row>
    <row r="64" spans="1:14" ht="14.25" customHeight="1" x14ac:dyDescent="0.2">
      <c r="A64" s="34">
        <v>42035</v>
      </c>
      <c r="B64" s="35">
        <v>42030</v>
      </c>
      <c r="C64" s="52">
        <v>0.69097222222222221</v>
      </c>
      <c r="D64" s="53">
        <v>308</v>
      </c>
      <c r="E64" s="39" t="s">
        <v>229</v>
      </c>
      <c r="F64" s="39"/>
      <c r="H64" s="59"/>
      <c r="I64" s="60"/>
      <c r="J64" s="116"/>
      <c r="K64" s="62"/>
      <c r="L64" s="57"/>
      <c r="M64" s="60"/>
      <c r="N64" s="60"/>
    </row>
    <row r="65" spans="1:14" ht="14.25" customHeight="1" x14ac:dyDescent="0.2">
      <c r="A65" s="34">
        <v>42063</v>
      </c>
      <c r="B65" s="35">
        <v>42039</v>
      </c>
      <c r="C65" s="52">
        <v>0.375</v>
      </c>
      <c r="D65" s="53">
        <v>308.10000000000002</v>
      </c>
      <c r="E65" s="39" t="s">
        <v>230</v>
      </c>
      <c r="F65" s="39"/>
      <c r="H65" s="59"/>
      <c r="I65" s="60"/>
      <c r="J65" s="116"/>
      <c r="K65" s="62"/>
      <c r="L65" s="57"/>
      <c r="M65" s="60"/>
      <c r="N65" s="60"/>
    </row>
    <row r="66" spans="1:14" ht="14.25" customHeight="1" x14ac:dyDescent="0.2">
      <c r="A66" s="34">
        <v>42094</v>
      </c>
      <c r="B66" s="35">
        <v>42079</v>
      </c>
      <c r="C66" s="52">
        <v>0.375</v>
      </c>
      <c r="D66" s="53">
        <v>308.2</v>
      </c>
      <c r="E66" s="39" t="s">
        <v>231</v>
      </c>
      <c r="F66" s="39"/>
      <c r="H66" s="59"/>
      <c r="I66" s="60"/>
      <c r="J66" s="116"/>
      <c r="K66" s="62"/>
      <c r="L66" s="57"/>
      <c r="M66" s="60"/>
      <c r="N66" s="60"/>
    </row>
    <row r="67" spans="1:14" ht="14.25" customHeight="1" x14ac:dyDescent="0.2">
      <c r="A67" s="34">
        <v>42124</v>
      </c>
      <c r="B67" s="35">
        <v>42114</v>
      </c>
      <c r="C67" s="52">
        <v>0.375</v>
      </c>
      <c r="D67" s="53">
        <v>307.8</v>
      </c>
      <c r="E67" s="39" t="s">
        <v>232</v>
      </c>
      <c r="F67" s="39"/>
      <c r="H67" s="59"/>
      <c r="I67" s="60"/>
      <c r="J67" s="116"/>
      <c r="K67" s="62"/>
      <c r="L67" s="57"/>
      <c r="M67" s="60"/>
      <c r="N67" s="60"/>
    </row>
    <row r="68" spans="1:14" ht="14.25" customHeight="1" x14ac:dyDescent="0.2">
      <c r="A68" s="34">
        <v>42155</v>
      </c>
      <c r="B68" s="35">
        <v>42127</v>
      </c>
      <c r="C68" s="52">
        <v>0.375</v>
      </c>
      <c r="D68" s="53">
        <v>308.10000000000002</v>
      </c>
      <c r="E68" s="39" t="s">
        <v>233</v>
      </c>
      <c r="F68" s="39"/>
      <c r="H68" s="59"/>
      <c r="I68" s="60"/>
      <c r="J68" s="116"/>
      <c r="K68" s="62"/>
      <c r="L68" s="57"/>
      <c r="M68" s="60"/>
      <c r="N68" s="60"/>
    </row>
    <row r="69" spans="1:14" ht="14.25" customHeight="1" x14ac:dyDescent="0.2">
      <c r="A69" s="34">
        <v>42185</v>
      </c>
      <c r="B69" s="35">
        <v>42178</v>
      </c>
      <c r="C69" s="52">
        <v>0.375</v>
      </c>
      <c r="D69" s="53">
        <v>308.60000000000002</v>
      </c>
      <c r="E69" s="39" t="s">
        <v>234</v>
      </c>
      <c r="F69" s="39"/>
      <c r="H69" s="59"/>
      <c r="I69" s="60"/>
      <c r="J69" s="116"/>
      <c r="K69" s="62"/>
      <c r="L69" s="57"/>
      <c r="M69" s="60"/>
      <c r="N69" s="60"/>
    </row>
    <row r="70" spans="1:14" ht="14.25" customHeight="1" x14ac:dyDescent="0.2">
      <c r="A70" s="34">
        <v>42216</v>
      </c>
      <c r="B70" s="35">
        <v>42190</v>
      </c>
      <c r="C70" s="52">
        <v>0.59375</v>
      </c>
      <c r="D70" s="53">
        <v>307.89999999999998</v>
      </c>
      <c r="E70" s="39" t="s">
        <v>235</v>
      </c>
      <c r="F70" s="39"/>
      <c r="H70" s="59"/>
      <c r="I70" s="60"/>
      <c r="J70" s="116"/>
      <c r="K70" s="62"/>
      <c r="L70" s="57"/>
      <c r="M70" s="60"/>
      <c r="N70" s="60"/>
    </row>
    <row r="71" spans="1:14" ht="14.25" customHeight="1" x14ac:dyDescent="0.2">
      <c r="A71" s="34">
        <v>42247</v>
      </c>
      <c r="B71" s="35">
        <v>42221</v>
      </c>
      <c r="C71" s="52">
        <v>0.25694444444444448</v>
      </c>
      <c r="D71" s="53">
        <v>308.10000000000002</v>
      </c>
      <c r="E71" s="39" t="s">
        <v>236</v>
      </c>
      <c r="F71" s="39"/>
      <c r="H71" s="59"/>
      <c r="I71" s="60"/>
      <c r="J71" s="116"/>
      <c r="K71" s="62"/>
      <c r="L71" s="57"/>
      <c r="M71" s="60"/>
      <c r="N71" s="60"/>
    </row>
    <row r="72" spans="1:14" ht="14.25" customHeight="1" x14ac:dyDescent="0.2">
      <c r="A72" s="34">
        <v>42277</v>
      </c>
      <c r="B72" s="35">
        <v>42248</v>
      </c>
      <c r="C72" s="52">
        <v>0.26041666666666669</v>
      </c>
      <c r="D72" s="53">
        <v>308.2</v>
      </c>
      <c r="E72" s="39" t="s">
        <v>237</v>
      </c>
      <c r="F72" s="39"/>
      <c r="H72" s="59"/>
      <c r="I72" s="60"/>
      <c r="J72" s="116"/>
      <c r="K72" s="62"/>
      <c r="L72" s="57"/>
      <c r="M72" s="60"/>
      <c r="N72" s="60"/>
    </row>
    <row r="73" spans="1:14" ht="14.25" customHeight="1" x14ac:dyDescent="0.2">
      <c r="A73" s="34">
        <v>42308</v>
      </c>
      <c r="B73" s="35">
        <v>42278</v>
      </c>
      <c r="C73" s="52">
        <v>0.88194444444444453</v>
      </c>
      <c r="D73" s="53">
        <v>308.39999999999998</v>
      </c>
      <c r="E73" s="39" t="s">
        <v>238</v>
      </c>
      <c r="F73" s="39"/>
      <c r="H73" s="59"/>
      <c r="I73" s="60"/>
      <c r="J73" s="116"/>
      <c r="K73" s="62"/>
      <c r="L73" s="57"/>
      <c r="M73" s="60"/>
      <c r="N73" s="60"/>
    </row>
    <row r="74" spans="1:14" ht="14.25" customHeight="1" x14ac:dyDescent="0.2">
      <c r="A74" s="34">
        <v>42338</v>
      </c>
      <c r="B74" s="35">
        <v>42322</v>
      </c>
      <c r="C74" s="52">
        <v>0.25694444444444448</v>
      </c>
      <c r="D74" s="53">
        <v>308.60000000000002</v>
      </c>
      <c r="E74" s="39" t="s">
        <v>239</v>
      </c>
      <c r="F74" s="39"/>
      <c r="H74" s="59"/>
      <c r="I74" s="60"/>
      <c r="J74" s="116"/>
      <c r="K74" s="62"/>
      <c r="L74" s="57"/>
      <c r="M74" s="60"/>
      <c r="N74" s="60"/>
    </row>
    <row r="75" spans="1:14" ht="14.25" customHeight="1" x14ac:dyDescent="0.2">
      <c r="A75" s="34">
        <v>42369</v>
      </c>
      <c r="B75" s="35">
        <v>42358</v>
      </c>
      <c r="C75" s="52">
        <v>0.25</v>
      </c>
      <c r="D75" s="53">
        <v>308.60000000000002</v>
      </c>
      <c r="E75" s="39" t="s">
        <v>240</v>
      </c>
      <c r="F75" s="39"/>
      <c r="H75" s="59"/>
      <c r="I75" s="60"/>
      <c r="J75" s="116"/>
      <c r="K75" s="62"/>
      <c r="L75" s="57"/>
      <c r="M75" s="60"/>
      <c r="N75" s="60"/>
    </row>
    <row r="76" spans="1:14" ht="14.25" customHeight="1" x14ac:dyDescent="0.2">
      <c r="A76" s="34">
        <v>42400</v>
      </c>
      <c r="B76" s="35">
        <v>42374</v>
      </c>
      <c r="C76" s="52">
        <v>0.38194444444444442</v>
      </c>
      <c r="D76" s="53">
        <v>308.60000000000002</v>
      </c>
      <c r="E76" s="39" t="s">
        <v>241</v>
      </c>
      <c r="F76" s="39"/>
      <c r="H76" s="59"/>
      <c r="I76" s="60"/>
      <c r="J76" s="61"/>
      <c r="K76" s="62"/>
      <c r="L76" s="57"/>
      <c r="M76" s="60"/>
      <c r="N76" s="60"/>
    </row>
    <row r="77" spans="1:14" ht="14.25" customHeight="1" x14ac:dyDescent="0.2">
      <c r="A77" s="34">
        <v>42429</v>
      </c>
      <c r="B77" s="35">
        <v>42405</v>
      </c>
      <c r="C77" s="52">
        <v>0.375</v>
      </c>
      <c r="D77" s="53">
        <v>308.3</v>
      </c>
      <c r="E77" s="39" t="s">
        <v>242</v>
      </c>
      <c r="F77" s="39"/>
      <c r="H77" s="59"/>
      <c r="I77" s="60"/>
      <c r="J77" s="61"/>
      <c r="K77" s="62"/>
      <c r="L77" s="57"/>
      <c r="M77" s="60"/>
      <c r="N77" s="60"/>
    </row>
    <row r="78" spans="1:14" ht="14.25" customHeight="1" x14ac:dyDescent="0.2">
      <c r="A78" s="34">
        <v>42460</v>
      </c>
      <c r="B78" s="35">
        <v>42442</v>
      </c>
      <c r="C78" s="52">
        <v>0.69097222222222221</v>
      </c>
      <c r="D78" s="53">
        <v>308</v>
      </c>
      <c r="E78" s="39" t="s">
        <v>243</v>
      </c>
      <c r="F78" s="39"/>
      <c r="H78" s="59"/>
      <c r="I78" s="60"/>
      <c r="J78" s="61"/>
      <c r="K78" s="62"/>
      <c r="L78" s="57"/>
      <c r="M78" s="60"/>
      <c r="N78" s="60"/>
    </row>
    <row r="79" spans="1:14" ht="14.25" customHeight="1" x14ac:dyDescent="0.2">
      <c r="A79" s="34">
        <v>42490</v>
      </c>
      <c r="B79" s="35">
        <v>42475</v>
      </c>
      <c r="C79" s="52">
        <v>0.375</v>
      </c>
      <c r="D79" s="53">
        <v>308.2</v>
      </c>
      <c r="E79" s="39" t="s">
        <v>244</v>
      </c>
      <c r="F79" s="39"/>
      <c r="H79" s="59"/>
      <c r="I79" s="60"/>
      <c r="J79" s="61"/>
      <c r="K79" s="62"/>
      <c r="L79" s="57"/>
      <c r="M79" s="60"/>
      <c r="N79" s="60"/>
    </row>
    <row r="80" spans="1:14" ht="14.25" customHeight="1" x14ac:dyDescent="0.2">
      <c r="A80" s="34">
        <v>42521</v>
      </c>
      <c r="B80" s="35">
        <v>42504</v>
      </c>
      <c r="C80" s="52">
        <v>0.375</v>
      </c>
      <c r="D80" s="53">
        <v>308.5</v>
      </c>
      <c r="E80" s="39" t="s">
        <v>245</v>
      </c>
      <c r="F80" s="39"/>
      <c r="H80" s="59"/>
      <c r="I80" s="60"/>
      <c r="J80" s="61"/>
      <c r="K80" s="62"/>
      <c r="L80" s="57"/>
      <c r="M80" s="60"/>
      <c r="N80" s="60"/>
    </row>
    <row r="81" spans="1:14" ht="14.25" customHeight="1" x14ac:dyDescent="0.2">
      <c r="A81" s="34">
        <v>42551</v>
      </c>
      <c r="B81" s="35">
        <v>42529</v>
      </c>
      <c r="C81" s="52">
        <v>0.38194444444444442</v>
      </c>
      <c r="D81" s="53">
        <v>308.60000000000002</v>
      </c>
      <c r="E81" s="39" t="s">
        <v>246</v>
      </c>
      <c r="F81" s="39"/>
      <c r="H81" s="59"/>
      <c r="I81" s="60"/>
      <c r="J81" s="61"/>
      <c r="K81" s="62"/>
      <c r="L81" s="57"/>
      <c r="M81" s="60"/>
      <c r="N81" s="60"/>
    </row>
    <row r="82" spans="1:14" ht="14.25" customHeight="1" x14ac:dyDescent="0.2">
      <c r="A82" s="34">
        <v>42582</v>
      </c>
      <c r="B82" s="35">
        <v>42561</v>
      </c>
      <c r="C82" s="52">
        <v>0.3263888888888889</v>
      </c>
      <c r="D82" s="53">
        <v>308.2</v>
      </c>
      <c r="E82" s="39" t="s">
        <v>247</v>
      </c>
      <c r="F82" s="39"/>
      <c r="H82" s="59"/>
      <c r="I82" s="60"/>
      <c r="J82" s="61"/>
      <c r="K82" s="62"/>
      <c r="L82" s="57"/>
      <c r="M82" s="60"/>
      <c r="N82" s="60"/>
    </row>
    <row r="83" spans="1:14" ht="14.25" customHeight="1" x14ac:dyDescent="0.2">
      <c r="A83" s="34">
        <v>42613</v>
      </c>
      <c r="B83" s="35">
        <v>42597</v>
      </c>
      <c r="C83" s="52">
        <v>0.29166666666666669</v>
      </c>
      <c r="D83" s="53">
        <v>308.60000000000002</v>
      </c>
      <c r="E83" s="39" t="s">
        <v>248</v>
      </c>
      <c r="F83" s="39"/>
      <c r="H83" s="59"/>
      <c r="I83" s="60"/>
      <c r="J83" s="61"/>
      <c r="K83" s="62"/>
      <c r="L83" s="57"/>
      <c r="M83" s="60"/>
      <c r="N83" s="60"/>
    </row>
    <row r="84" spans="1:14" ht="14.25" customHeight="1" x14ac:dyDescent="0.2">
      <c r="A84" s="34">
        <v>42643</v>
      </c>
      <c r="B84" s="35">
        <v>42634</v>
      </c>
      <c r="C84" s="52">
        <v>0.3298611111111111</v>
      </c>
      <c r="D84" s="53">
        <v>308.60000000000002</v>
      </c>
      <c r="E84" s="39" t="s">
        <v>249</v>
      </c>
      <c r="F84" s="39"/>
      <c r="H84" s="59"/>
      <c r="I84" s="60"/>
      <c r="J84" s="61"/>
      <c r="K84" s="62"/>
      <c r="L84" s="57"/>
      <c r="M84" s="60"/>
      <c r="N84" s="60"/>
    </row>
    <row r="85" spans="1:14" ht="14.25" customHeight="1" x14ac:dyDescent="0.2">
      <c r="A85" s="34">
        <v>42674</v>
      </c>
      <c r="B85" s="35">
        <v>42674</v>
      </c>
      <c r="C85" s="52">
        <v>0.27777777777777779</v>
      </c>
      <c r="D85" s="53">
        <v>308.3</v>
      </c>
      <c r="E85" s="39" t="s">
        <v>250</v>
      </c>
      <c r="F85" s="39"/>
      <c r="H85" s="59"/>
      <c r="I85" s="60"/>
      <c r="J85" s="61"/>
      <c r="K85" s="62"/>
      <c r="L85" s="57"/>
      <c r="M85" s="60"/>
      <c r="N85" s="60"/>
    </row>
    <row r="86" spans="1:14" ht="14.25" customHeight="1" x14ac:dyDescent="0.2">
      <c r="A86" s="34">
        <v>42704</v>
      </c>
      <c r="B86" s="35">
        <v>42702</v>
      </c>
      <c r="C86" s="52">
        <v>0.38541666666666669</v>
      </c>
      <c r="D86" s="53">
        <v>308.60000000000002</v>
      </c>
      <c r="E86" s="39" t="s">
        <v>251</v>
      </c>
      <c r="F86" s="39"/>
      <c r="H86" s="59"/>
      <c r="I86" s="60"/>
      <c r="J86" s="61"/>
      <c r="K86" s="62"/>
      <c r="L86" s="57"/>
      <c r="M86" s="60"/>
      <c r="N86" s="60"/>
    </row>
    <row r="87" spans="1:14" ht="14.25" customHeight="1" x14ac:dyDescent="0.2">
      <c r="A87" s="34">
        <v>42735</v>
      </c>
      <c r="B87" s="35">
        <v>42712</v>
      </c>
      <c r="C87" s="52">
        <v>0.69444444444444453</v>
      </c>
      <c r="D87" s="53">
        <v>308.60000000000002</v>
      </c>
      <c r="E87" s="39" t="s">
        <v>252</v>
      </c>
      <c r="F87" s="39"/>
      <c r="H87" s="59"/>
      <c r="I87" s="60"/>
      <c r="J87" s="61"/>
      <c r="K87" s="62"/>
      <c r="L87" s="57"/>
      <c r="M87" s="60"/>
      <c r="N87" s="60"/>
    </row>
    <row r="88" spans="1:14" ht="14.25" customHeight="1" x14ac:dyDescent="0.2">
      <c r="A88" s="34">
        <v>42766</v>
      </c>
      <c r="B88" s="35">
        <v>42746</v>
      </c>
      <c r="C88" s="52">
        <v>0.34722222222222227</v>
      </c>
      <c r="D88" s="53">
        <v>308.60000000000002</v>
      </c>
      <c r="E88" s="39" t="s">
        <v>253</v>
      </c>
      <c r="F88" s="39"/>
      <c r="H88" s="59"/>
      <c r="I88" s="60"/>
      <c r="J88" s="61"/>
      <c r="K88" s="62"/>
      <c r="L88" s="57"/>
      <c r="M88" s="60"/>
      <c r="N88" s="60"/>
    </row>
    <row r="89" spans="1:14" ht="14.25" customHeight="1" x14ac:dyDescent="0.2">
      <c r="A89" s="34">
        <v>42794</v>
      </c>
      <c r="B89" s="35">
        <v>42786</v>
      </c>
      <c r="C89" s="52">
        <v>0.375</v>
      </c>
      <c r="D89" s="53">
        <v>308.8</v>
      </c>
      <c r="E89" s="39" t="s">
        <v>254</v>
      </c>
      <c r="F89" s="39"/>
      <c r="H89" s="59"/>
      <c r="I89" s="60"/>
      <c r="J89" s="61"/>
      <c r="K89" s="62"/>
      <c r="L89" s="57"/>
      <c r="M89" s="60"/>
      <c r="N89" s="60"/>
    </row>
    <row r="90" spans="1:14" ht="14.25" customHeight="1" x14ac:dyDescent="0.2">
      <c r="A90" s="34">
        <v>42825</v>
      </c>
      <c r="B90" s="35">
        <v>42807</v>
      </c>
      <c r="C90" s="52">
        <v>0.38194444444444442</v>
      </c>
      <c r="D90" s="53">
        <v>308.8</v>
      </c>
      <c r="E90" s="39" t="s">
        <v>255</v>
      </c>
      <c r="F90" s="39"/>
      <c r="H90" s="59"/>
      <c r="I90" s="60"/>
      <c r="J90" s="61"/>
      <c r="K90" s="62"/>
      <c r="L90" s="57"/>
      <c r="M90" s="60"/>
      <c r="N90" s="60"/>
    </row>
    <row r="91" spans="1:14" ht="14.25" customHeight="1" x14ac:dyDescent="0.2">
      <c r="A91" s="34">
        <v>42855</v>
      </c>
      <c r="B91" s="35">
        <v>42832</v>
      </c>
      <c r="C91" s="52">
        <v>0.375</v>
      </c>
      <c r="D91" s="53">
        <v>308.5</v>
      </c>
      <c r="E91" s="39" t="s">
        <v>256</v>
      </c>
      <c r="F91" s="39"/>
      <c r="H91" s="59"/>
      <c r="I91" s="60"/>
      <c r="J91" s="61"/>
      <c r="K91" s="62"/>
      <c r="L91" s="57"/>
      <c r="M91" s="60"/>
      <c r="N91" s="60"/>
    </row>
    <row r="92" spans="1:14" ht="14.25" customHeight="1" x14ac:dyDescent="0.2">
      <c r="A92" s="34">
        <v>42886</v>
      </c>
      <c r="B92" s="35">
        <v>42856</v>
      </c>
      <c r="C92" s="52">
        <v>0.375</v>
      </c>
      <c r="D92" s="53">
        <v>308.8</v>
      </c>
      <c r="E92" s="39" t="s">
        <v>257</v>
      </c>
      <c r="F92" s="39"/>
      <c r="H92" s="59"/>
      <c r="I92" s="60"/>
      <c r="J92" s="61"/>
      <c r="K92" s="62"/>
      <c r="L92" s="57"/>
      <c r="M92" s="60"/>
      <c r="N92" s="60"/>
    </row>
    <row r="93" spans="1:14" ht="14.25" customHeight="1" x14ac:dyDescent="0.2">
      <c r="A93" s="34">
        <v>42916</v>
      </c>
      <c r="B93" s="35">
        <v>42893</v>
      </c>
      <c r="C93" s="52">
        <v>4.5138888888888888E-2</v>
      </c>
      <c r="D93" s="53">
        <v>308.8</v>
      </c>
      <c r="E93" s="39" t="s">
        <v>258</v>
      </c>
      <c r="F93" s="39"/>
      <c r="H93" s="59"/>
      <c r="I93" s="60"/>
      <c r="J93" s="61"/>
      <c r="K93" s="62"/>
      <c r="L93" s="57"/>
      <c r="M93" s="60"/>
      <c r="N93" s="60"/>
    </row>
    <row r="94" spans="1:14" ht="14.25" customHeight="1" x14ac:dyDescent="0.2">
      <c r="A94" s="34">
        <v>42947</v>
      </c>
      <c r="B94" s="35">
        <v>42932</v>
      </c>
      <c r="C94" s="52">
        <v>0.375</v>
      </c>
      <c r="D94" s="53">
        <v>308.8</v>
      </c>
      <c r="E94" s="39" t="s">
        <v>259</v>
      </c>
      <c r="F94" s="39"/>
      <c r="H94" s="59"/>
      <c r="I94" s="60"/>
      <c r="J94" s="61"/>
      <c r="K94" s="62"/>
      <c r="L94" s="57"/>
      <c r="M94" s="60"/>
      <c r="N94" s="60"/>
    </row>
    <row r="95" spans="1:14" ht="14.25" customHeight="1" x14ac:dyDescent="0.2">
      <c r="A95" s="34">
        <v>42978</v>
      </c>
      <c r="B95" s="35">
        <v>42973</v>
      </c>
      <c r="C95" s="52">
        <v>0.8125</v>
      </c>
      <c r="D95" s="53">
        <v>308.8</v>
      </c>
      <c r="E95" s="39" t="s">
        <v>260</v>
      </c>
      <c r="F95" s="39"/>
      <c r="H95" s="59"/>
      <c r="I95" s="60"/>
      <c r="J95" s="61"/>
      <c r="K95" s="62"/>
      <c r="L95" s="57"/>
      <c r="M95" s="60"/>
      <c r="N95" s="60"/>
    </row>
    <row r="96" spans="1:14" ht="14.25" customHeight="1" x14ac:dyDescent="0.2">
      <c r="A96" s="34">
        <v>43008</v>
      </c>
      <c r="B96" s="35">
        <v>43004</v>
      </c>
      <c r="C96" s="52">
        <v>0.3263888888888889</v>
      </c>
      <c r="D96" s="53">
        <v>308.8</v>
      </c>
      <c r="E96" s="39" t="s">
        <v>261</v>
      </c>
      <c r="F96" s="39"/>
      <c r="H96" s="59"/>
      <c r="I96" s="60"/>
      <c r="J96" s="61"/>
      <c r="K96" s="62"/>
      <c r="L96" s="57"/>
      <c r="M96" s="60"/>
      <c r="N96" s="60"/>
    </row>
    <row r="97" spans="1:14" ht="14.25" customHeight="1" x14ac:dyDescent="0.2">
      <c r="A97" s="34">
        <v>43039</v>
      </c>
      <c r="B97" s="35">
        <v>43036</v>
      </c>
      <c r="C97" s="52">
        <v>0.46180555555555558</v>
      </c>
      <c r="D97" s="53">
        <v>308.8</v>
      </c>
      <c r="E97" s="39" t="s">
        <v>262</v>
      </c>
      <c r="F97" s="39"/>
      <c r="H97" s="59"/>
      <c r="I97" s="60"/>
      <c r="J97" s="61"/>
      <c r="K97" s="62"/>
      <c r="L97" s="57"/>
      <c r="M97" s="60"/>
      <c r="N97" s="60"/>
    </row>
    <row r="98" spans="1:14" ht="14.25" customHeight="1" x14ac:dyDescent="0.2">
      <c r="A98" s="34">
        <v>43069</v>
      </c>
      <c r="B98" s="35">
        <v>43062</v>
      </c>
      <c r="C98" s="52">
        <v>0.6875</v>
      </c>
      <c r="D98" s="53">
        <v>308.8</v>
      </c>
      <c r="E98" s="39" t="s">
        <v>263</v>
      </c>
      <c r="F98" s="39"/>
      <c r="H98" s="59"/>
      <c r="I98" s="60"/>
      <c r="J98" s="61"/>
      <c r="K98" s="62"/>
      <c r="L98" s="57"/>
      <c r="M98" s="60"/>
      <c r="N98" s="60"/>
    </row>
    <row r="99" spans="1:14" ht="14.25" customHeight="1" x14ac:dyDescent="0.2">
      <c r="A99" s="34">
        <v>43100</v>
      </c>
      <c r="B99" s="35">
        <v>43078</v>
      </c>
      <c r="C99" s="52">
        <v>0.375</v>
      </c>
      <c r="D99" s="53">
        <v>308.8</v>
      </c>
      <c r="E99" s="39" t="s">
        <v>264</v>
      </c>
      <c r="F99" s="39"/>
      <c r="H99" s="59"/>
      <c r="I99" s="60"/>
      <c r="J99" s="61"/>
      <c r="K99" s="62"/>
      <c r="L99" s="57"/>
      <c r="M99" s="60"/>
      <c r="N99" s="60"/>
    </row>
    <row r="100" spans="1:14" ht="14.25" customHeight="1" x14ac:dyDescent="0.2">
      <c r="A100" s="34">
        <v>43131</v>
      </c>
      <c r="B100" s="35">
        <v>43101</v>
      </c>
      <c r="C100" s="52">
        <v>0.27083333333333331</v>
      </c>
      <c r="D100" s="53">
        <v>308.8</v>
      </c>
      <c r="E100" s="39" t="s">
        <v>265</v>
      </c>
      <c r="F100" s="39"/>
      <c r="H100" s="59"/>
      <c r="I100" s="60"/>
      <c r="J100" s="61"/>
      <c r="K100" s="62"/>
      <c r="L100" s="57"/>
      <c r="M100" s="60"/>
      <c r="N100" s="60"/>
    </row>
    <row r="101" spans="1:14" ht="14.25" customHeight="1" x14ac:dyDescent="0.2">
      <c r="A101" s="34">
        <v>43159</v>
      </c>
      <c r="B101" s="35">
        <v>43132</v>
      </c>
      <c r="C101" s="52">
        <v>0.69444444444444453</v>
      </c>
      <c r="D101" s="53">
        <v>308.8</v>
      </c>
      <c r="E101" s="39" t="s">
        <v>266</v>
      </c>
      <c r="F101" s="39"/>
      <c r="H101" s="59"/>
      <c r="I101" s="60"/>
      <c r="J101" s="61"/>
      <c r="K101" s="62"/>
      <c r="L101" s="57"/>
      <c r="M101" s="60"/>
      <c r="N101" s="60"/>
    </row>
    <row r="102" spans="1:14" ht="14.25" customHeight="1" x14ac:dyDescent="0.2">
      <c r="A102" s="34">
        <v>43190</v>
      </c>
      <c r="B102" s="35">
        <v>43164</v>
      </c>
      <c r="C102" s="52">
        <v>0.33333333333333331</v>
      </c>
      <c r="D102" s="53">
        <v>309</v>
      </c>
      <c r="E102" s="39" t="s">
        <v>267</v>
      </c>
      <c r="F102" s="39"/>
      <c r="H102" s="59"/>
      <c r="I102" s="60"/>
      <c r="J102" s="61"/>
      <c r="K102" s="62"/>
      <c r="L102" s="57"/>
      <c r="M102" s="60"/>
      <c r="N102" s="60"/>
    </row>
    <row r="103" spans="1:14" ht="14.25" customHeight="1" x14ac:dyDescent="0.2">
      <c r="A103" s="34">
        <v>43220</v>
      </c>
      <c r="B103" s="35">
        <v>43557</v>
      </c>
      <c r="C103" s="52">
        <v>0.38541666666666669</v>
      </c>
      <c r="D103" s="53">
        <v>309</v>
      </c>
      <c r="E103" s="39" t="s">
        <v>268</v>
      </c>
      <c r="F103" s="39"/>
      <c r="H103" s="59"/>
      <c r="I103" s="60"/>
      <c r="J103" s="61"/>
      <c r="K103" s="62"/>
      <c r="L103" s="57"/>
      <c r="M103" s="60"/>
      <c r="N103" s="60"/>
    </row>
    <row r="104" spans="1:14" ht="18" customHeight="1" x14ac:dyDescent="0.2">
      <c r="A104" s="34">
        <v>43251</v>
      </c>
      <c r="B104" s="35">
        <v>43226</v>
      </c>
      <c r="C104" s="52">
        <v>0.14583333333333334</v>
      </c>
      <c r="D104" s="53">
        <v>309</v>
      </c>
      <c r="E104" s="39" t="s">
        <v>269</v>
      </c>
      <c r="F104" s="39"/>
      <c r="H104" s="59"/>
      <c r="I104" s="60"/>
      <c r="J104" s="61"/>
      <c r="K104" s="62"/>
      <c r="L104" s="57"/>
      <c r="M104" s="60"/>
      <c r="N104" s="60"/>
    </row>
    <row r="105" spans="1:14" ht="20.25" customHeight="1" x14ac:dyDescent="0.2">
      <c r="A105" s="34">
        <v>43281</v>
      </c>
      <c r="B105" s="35">
        <v>43258</v>
      </c>
      <c r="C105" s="52">
        <v>0.36805555555555558</v>
      </c>
      <c r="D105" s="53">
        <v>309</v>
      </c>
      <c r="E105" s="39" t="s">
        <v>270</v>
      </c>
      <c r="F105" s="39"/>
      <c r="H105" s="59"/>
      <c r="I105" s="60"/>
      <c r="J105" s="61"/>
      <c r="K105" s="62"/>
      <c r="L105" s="57"/>
      <c r="M105" s="60"/>
      <c r="N105" s="60"/>
    </row>
    <row r="106" spans="1:14" x14ac:dyDescent="0.2">
      <c r="A106" s="34">
        <v>43312</v>
      </c>
      <c r="B106" s="35">
        <v>43293</v>
      </c>
      <c r="C106" s="52">
        <v>0.27083333333333331</v>
      </c>
      <c r="D106" s="53">
        <v>309</v>
      </c>
      <c r="E106" s="39" t="s">
        <v>271</v>
      </c>
      <c r="F106" s="39"/>
      <c r="H106" s="59"/>
      <c r="I106" s="60"/>
      <c r="J106" s="61"/>
      <c r="K106" s="62"/>
      <c r="L106" s="57"/>
      <c r="M106" s="60"/>
      <c r="N106" s="60"/>
    </row>
    <row r="107" spans="1:14" x14ac:dyDescent="0.2">
      <c r="A107" s="34">
        <v>43343</v>
      </c>
      <c r="B107" s="35">
        <v>43316</v>
      </c>
      <c r="C107" s="52">
        <v>0.36458333333333331</v>
      </c>
      <c r="D107" s="53">
        <v>308.60000000000002</v>
      </c>
      <c r="E107" s="39" t="s">
        <v>272</v>
      </c>
      <c r="F107" s="39"/>
      <c r="H107" s="59"/>
      <c r="I107" s="60"/>
      <c r="J107" s="61"/>
      <c r="K107" s="62"/>
      <c r="L107" s="57"/>
      <c r="M107" s="60"/>
      <c r="N107" s="60"/>
    </row>
    <row r="108" spans="1:14" x14ac:dyDescent="0.2">
      <c r="A108" s="34">
        <v>43373</v>
      </c>
      <c r="B108" s="35">
        <v>43359</v>
      </c>
      <c r="C108" s="52">
        <v>0.80902777777777779</v>
      </c>
      <c r="D108" s="53">
        <v>308.60000000000002</v>
      </c>
      <c r="E108" s="39" t="s">
        <v>273</v>
      </c>
      <c r="F108" s="39"/>
      <c r="H108" s="59"/>
      <c r="I108" s="60"/>
      <c r="J108" s="61"/>
      <c r="K108" s="62"/>
      <c r="L108" s="57"/>
      <c r="M108" s="60"/>
      <c r="N108" s="60"/>
    </row>
    <row r="109" spans="1:14" x14ac:dyDescent="0.2">
      <c r="A109" s="34">
        <v>43404</v>
      </c>
      <c r="B109" s="35">
        <v>43398</v>
      </c>
      <c r="C109" s="52" t="s">
        <v>281</v>
      </c>
      <c r="D109" s="53">
        <v>309</v>
      </c>
      <c r="E109" s="39" t="s">
        <v>274</v>
      </c>
      <c r="F109" s="39"/>
      <c r="H109" s="59"/>
      <c r="I109" s="60"/>
      <c r="J109" s="61"/>
      <c r="K109" s="62"/>
      <c r="L109" s="57"/>
      <c r="M109" s="60"/>
      <c r="N109" s="60"/>
    </row>
    <row r="110" spans="1:14" x14ac:dyDescent="0.2">
      <c r="A110" s="34">
        <v>43434</v>
      </c>
      <c r="B110" s="35">
        <v>43407</v>
      </c>
      <c r="C110" s="52">
        <v>0.34375</v>
      </c>
      <c r="D110" s="53">
        <v>309.2</v>
      </c>
      <c r="E110" s="39" t="s">
        <v>275</v>
      </c>
      <c r="F110" s="39"/>
      <c r="H110" s="59"/>
      <c r="I110" s="60"/>
      <c r="J110" s="61"/>
      <c r="K110" s="62"/>
      <c r="L110" s="57"/>
      <c r="M110" s="60"/>
      <c r="N110" s="60"/>
    </row>
    <row r="111" spans="1:14" x14ac:dyDescent="0.2">
      <c r="A111" s="34">
        <v>43465</v>
      </c>
      <c r="B111" s="35">
        <v>43435</v>
      </c>
      <c r="C111" s="52">
        <v>0.3888888888888889</v>
      </c>
      <c r="D111" s="53">
        <v>309.2</v>
      </c>
      <c r="E111" s="39" t="s">
        <v>276</v>
      </c>
      <c r="F111" s="39"/>
      <c r="H111" s="59"/>
      <c r="I111" s="60"/>
      <c r="J111" s="61"/>
      <c r="K111" s="62"/>
      <c r="L111" s="57"/>
      <c r="M111" s="60"/>
      <c r="N111" s="60"/>
    </row>
    <row r="112" spans="1:14" x14ac:dyDescent="0.2">
      <c r="A112" s="34">
        <v>43496</v>
      </c>
      <c r="B112" s="35">
        <v>43466</v>
      </c>
      <c r="C112" s="52">
        <v>0.38194444444444442</v>
      </c>
      <c r="D112" s="53">
        <v>309.2</v>
      </c>
      <c r="E112" s="39" t="s">
        <v>277</v>
      </c>
      <c r="F112" s="39"/>
      <c r="H112" s="59"/>
      <c r="I112" s="60"/>
      <c r="J112" s="61"/>
      <c r="K112" s="62"/>
      <c r="L112" s="57"/>
      <c r="M112" s="60"/>
      <c r="N112" s="60"/>
    </row>
    <row r="113" spans="1:14" ht="14.25" customHeight="1" x14ac:dyDescent="0.2">
      <c r="A113" s="34">
        <v>43524</v>
      </c>
      <c r="B113" s="35">
        <v>43500</v>
      </c>
      <c r="C113" s="52">
        <v>0.37847222222222227</v>
      </c>
      <c r="D113" s="53">
        <v>309.10000000000002</v>
      </c>
      <c r="E113" s="39" t="s">
        <v>278</v>
      </c>
      <c r="F113" s="39"/>
      <c r="H113" s="59"/>
      <c r="I113" s="60"/>
      <c r="J113" s="61"/>
      <c r="K113" s="62"/>
      <c r="L113" s="57"/>
      <c r="M113" s="60"/>
      <c r="N113" s="60"/>
    </row>
    <row r="114" spans="1:14" ht="14.25" customHeight="1" x14ac:dyDescent="0.2">
      <c r="A114" s="34">
        <v>43555</v>
      </c>
      <c r="B114" s="35">
        <v>43555</v>
      </c>
      <c r="C114" s="52">
        <v>0.56597222222222221</v>
      </c>
      <c r="D114" s="53">
        <v>308.7</v>
      </c>
      <c r="E114" s="39" t="s">
        <v>279</v>
      </c>
      <c r="F114" s="39"/>
      <c r="H114" s="59"/>
      <c r="I114" s="60"/>
      <c r="J114" s="61"/>
      <c r="K114" s="62"/>
      <c r="L114" s="57"/>
      <c r="M114" s="60"/>
      <c r="N114" s="60"/>
    </row>
    <row r="115" spans="1:14" ht="14.25" customHeight="1" x14ac:dyDescent="0.2">
      <c r="A115" s="34">
        <v>43585</v>
      </c>
      <c r="B115" s="35">
        <v>43570</v>
      </c>
      <c r="C115" s="52">
        <v>0.37847222222222227</v>
      </c>
      <c r="D115" s="53">
        <v>309.2</v>
      </c>
      <c r="E115" s="39" t="s">
        <v>280</v>
      </c>
      <c r="F115" s="39"/>
      <c r="H115" s="59"/>
      <c r="I115" s="60"/>
      <c r="J115" s="61"/>
      <c r="K115" s="62"/>
      <c r="L115" s="57"/>
      <c r="M115" s="60"/>
      <c r="N115" s="60"/>
    </row>
    <row r="116" spans="1:14" ht="66" customHeight="1" x14ac:dyDescent="0.2">
      <c r="A116" s="49" t="s">
        <v>38</v>
      </c>
      <c r="D116" s="4" t="s">
        <v>39</v>
      </c>
      <c r="E116" s="54" t="s">
        <v>125</v>
      </c>
      <c r="H116" s="49"/>
      <c r="L116" s="54"/>
    </row>
    <row r="117" spans="1:14" ht="44.1" customHeight="1" x14ac:dyDescent="0.2">
      <c r="A117" s="49" t="s">
        <v>41</v>
      </c>
      <c r="D117" s="55">
        <f>MAX(D37:D39)</f>
        <v>308</v>
      </c>
      <c r="E117" s="56">
        <f>+VLOOKUP(D117,$H$6:$L$18,3)+(D117-VLOOKUP(D117,$H$6:$L$18,1))*VLOOKUP(D117,$H$6:$L$18,5)</f>
        <v>31800</v>
      </c>
      <c r="H117" s="49"/>
      <c r="K117" s="63"/>
    </row>
    <row r="118" spans="1:14" x14ac:dyDescent="0.2">
      <c r="A118" s="49" t="s">
        <v>42</v>
      </c>
      <c r="D118" s="55">
        <f>MAX(D40:D51)</f>
        <v>308.2</v>
      </c>
      <c r="E118" s="56">
        <f t="shared" ref="E118:E124" si="2">+VLOOKUP(D118,$H$6:$L$18,3)+(D118-VLOOKUP(D118,$H$6:$L$18,1))*VLOOKUP(D118,$H$6:$L$18,5)</f>
        <v>34227.413999999859</v>
      </c>
    </row>
    <row r="119" spans="1:14" x14ac:dyDescent="0.2">
      <c r="A119" s="49" t="s">
        <v>43</v>
      </c>
      <c r="D119" s="55">
        <f>MAX(D52:D63)</f>
        <v>308.10000000000002</v>
      </c>
      <c r="E119" s="56">
        <f t="shared" si="2"/>
        <v>33013.707000000279</v>
      </c>
    </row>
    <row r="120" spans="1:14" x14ac:dyDescent="0.2">
      <c r="A120" s="49" t="s">
        <v>44</v>
      </c>
      <c r="D120" s="55">
        <f>MAX(D64:D75)</f>
        <v>308.60000000000002</v>
      </c>
      <c r="E120" s="56">
        <f t="shared" si="2"/>
        <v>39082.242000000275</v>
      </c>
    </row>
    <row r="121" spans="1:14" x14ac:dyDescent="0.2">
      <c r="A121" s="49" t="s">
        <v>45</v>
      </c>
      <c r="D121" s="55">
        <f>MAX(D76:D87)</f>
        <v>308.60000000000002</v>
      </c>
      <c r="E121" s="56">
        <f t="shared" si="2"/>
        <v>39082.242000000275</v>
      </c>
    </row>
    <row r="122" spans="1:14" x14ac:dyDescent="0.2">
      <c r="A122" s="49" t="s">
        <v>46</v>
      </c>
      <c r="D122" s="55">
        <f>MAX(D88:D99)</f>
        <v>308.8</v>
      </c>
      <c r="E122" s="56">
        <f t="shared" si="2"/>
        <v>41509.656000000134</v>
      </c>
    </row>
    <row r="123" spans="1:14" x14ac:dyDescent="0.2">
      <c r="A123" s="49" t="s">
        <v>119</v>
      </c>
      <c r="D123" s="55">
        <f>MAX(D100:D111)</f>
        <v>309.2</v>
      </c>
      <c r="E123" s="56">
        <f t="shared" si="2"/>
        <v>45628.503999999906</v>
      </c>
    </row>
    <row r="124" spans="1:14" x14ac:dyDescent="0.2">
      <c r="A124" s="49" t="s">
        <v>120</v>
      </c>
      <c r="D124" s="55">
        <f>MAX(D112:D115)</f>
        <v>309.2</v>
      </c>
      <c r="E124" s="56">
        <f t="shared" si="2"/>
        <v>45628.503999999906</v>
      </c>
    </row>
  </sheetData>
  <mergeCells count="5">
    <mergeCell ref="B2:G2"/>
    <mergeCell ref="E32:E33"/>
    <mergeCell ref="L32:L33"/>
    <mergeCell ref="H22:J22"/>
    <mergeCell ref="H23:J23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82"/>
  <sheetViews>
    <sheetView topLeftCell="A28" workbookViewId="0">
      <selection activeCell="C65" sqref="C65"/>
    </sheetView>
  </sheetViews>
  <sheetFormatPr defaultColWidth="8.875" defaultRowHeight="12.75" x14ac:dyDescent="0.2"/>
  <cols>
    <col min="2" max="2" width="14.875" customWidth="1"/>
    <col min="3" max="3" width="18.125" customWidth="1"/>
    <col min="4" max="4" width="17" customWidth="1"/>
    <col min="5" max="5" width="18.125" customWidth="1"/>
    <col min="6" max="6" width="18.625" hidden="1" customWidth="1"/>
    <col min="7" max="7" width="21" hidden="1" customWidth="1"/>
    <col min="8" max="8" width="19.125" bestFit="1" customWidth="1"/>
  </cols>
  <sheetData>
    <row r="1" spans="2:8" ht="26.25" customHeight="1" x14ac:dyDescent="0.2">
      <c r="B1" s="186" t="s">
        <v>302</v>
      </c>
      <c r="C1" s="186"/>
      <c r="D1" s="186"/>
      <c r="E1" s="186"/>
    </row>
    <row r="3" spans="2:8" ht="51" x14ac:dyDescent="0.2">
      <c r="B3" s="97" t="s">
        <v>56</v>
      </c>
      <c r="C3" s="101" t="s">
        <v>50</v>
      </c>
      <c r="D3" s="101" t="s">
        <v>51</v>
      </c>
      <c r="E3" s="101" t="s">
        <v>55</v>
      </c>
      <c r="F3" s="102" t="s">
        <v>52</v>
      </c>
      <c r="G3" s="102" t="s">
        <v>53</v>
      </c>
      <c r="H3" s="103" t="s">
        <v>54</v>
      </c>
    </row>
    <row r="4" spans="2:8" x14ac:dyDescent="0.2">
      <c r="B4" s="107">
        <v>41213</v>
      </c>
      <c r="C4" s="108">
        <f>+SUM('InputData Supply PEG'!D40:F40)-SUM('InputData Supply PEG'!D32:F32)-'InputData Supply PEG'!G40</f>
        <v>910.10599999999999</v>
      </c>
      <c r="D4" s="108">
        <f>+SUM('InputData Supply PEG'!P40:R40)-SUM('InputData Supply PEG'!P32:R32)-'InputData Supply PEG'!S40</f>
        <v>912.202</v>
      </c>
      <c r="E4" s="109">
        <f>+'Input data monthly1'!$C4</f>
        <v>910.10599999999999</v>
      </c>
      <c r="F4" s="108">
        <f>+SUM('inputdata consumption EC'!D12:F12)-SUM('inputdata consumption EC'!D11:F11)</f>
        <v>0.52</v>
      </c>
      <c r="G4" s="108">
        <f>+SUM('inputdata consumption EC'!O12:Q12)-SUM('inputdata consumption EC'!O11:Q11)</f>
        <v>0.52</v>
      </c>
      <c r="H4" s="109">
        <f>+'Input data monthly1'!$F4</f>
        <v>0.52</v>
      </c>
    </row>
    <row r="5" spans="2:8" x14ac:dyDescent="0.2">
      <c r="B5" s="107">
        <v>41243</v>
      </c>
      <c r="C5" s="108">
        <f>+SUM('InputData Supply PEG'!D41:F41)-SUM('InputData Supply PEG'!D40:F40)-'InputData Supply PEG'!G41</f>
        <v>643.53399999999988</v>
      </c>
      <c r="D5" s="108">
        <f>+SUM('InputData Supply PEG'!P41:R41)-SUM('InputData Supply PEG'!P40:R40)-'InputData Supply PEG'!S41</f>
        <v>644.69000000000005</v>
      </c>
      <c r="E5" s="109">
        <f>+'Input data monthly1'!$C5</f>
        <v>643.53399999999988</v>
      </c>
      <c r="F5" s="108">
        <f>+SUM('inputdata consumption EC'!D13:F13)-SUM('inputdata consumption EC'!D12:F12)</f>
        <v>0.49</v>
      </c>
      <c r="G5" s="108">
        <f>+SUM('inputdata consumption EC'!O13:Q13)-SUM('inputdata consumption EC'!O12:Q12)</f>
        <v>0.51</v>
      </c>
      <c r="H5" s="109">
        <f>+'Input data monthly1'!$F5</f>
        <v>0.49</v>
      </c>
    </row>
    <row r="6" spans="2:8" x14ac:dyDescent="0.2">
      <c r="B6" s="107">
        <v>41274</v>
      </c>
      <c r="C6" s="108">
        <f>+SUM('InputData Supply PEG'!D42:F42)-SUM('InputData Supply PEG'!D41:F41)-'InputData Supply PEG'!G42</f>
        <v>443.83899999999977</v>
      </c>
      <c r="D6" s="108">
        <f>+SUM('InputData Supply PEG'!P42:R42)-SUM('InputData Supply PEG'!P41:R41)-'InputData Supply PEG'!S42</f>
        <v>444.43199999999968</v>
      </c>
      <c r="E6" s="109">
        <f>+'Input data monthly1'!$C6</f>
        <v>443.83899999999977</v>
      </c>
      <c r="F6" s="108">
        <f>+SUM('inputdata consumption EC'!D14:F14)-SUM('inputdata consumption EC'!D13:F13)</f>
        <v>0.29000000000000004</v>
      </c>
      <c r="G6" s="108">
        <f>+SUM('inputdata consumption EC'!O14:Q14)-SUM('inputdata consumption EC'!O13:Q13)</f>
        <v>0.30000000000000004</v>
      </c>
      <c r="H6" s="109">
        <f>+'Input data monthly1'!$F6</f>
        <v>0.29000000000000004</v>
      </c>
    </row>
    <row r="7" spans="2:8" x14ac:dyDescent="0.2">
      <c r="B7" s="107">
        <v>41305</v>
      </c>
      <c r="C7" s="108">
        <f>+SUM('InputData Supply PEG'!D43:F43)-SUM('InputData Supply PEG'!D42:F42)-'InputData Supply PEG'!G43</f>
        <v>330.68400000000025</v>
      </c>
      <c r="D7" s="108">
        <f>+SUM('InputData Supply PEG'!P43:R43)-SUM('InputData Supply PEG'!P42:R42)-'InputData Supply PEG'!S43</f>
        <v>331.1580000000003</v>
      </c>
      <c r="E7" s="109">
        <f>+'Input data monthly1'!$C7</f>
        <v>330.68400000000025</v>
      </c>
      <c r="F7" s="108">
        <f>+SUM('inputdata consumption EC'!D15:F15)-SUM('inputdata consumption EC'!D14:F14)</f>
        <v>0.15999999999999992</v>
      </c>
      <c r="G7" s="108">
        <f>+SUM('inputdata consumption EC'!O15:Q15)-SUM('inputdata consumption EC'!O14:Q14)</f>
        <v>0.18999999999999995</v>
      </c>
      <c r="H7" s="109">
        <f>+'Input data monthly1'!$F7</f>
        <v>0.15999999999999992</v>
      </c>
    </row>
    <row r="8" spans="2:8" x14ac:dyDescent="0.2">
      <c r="B8" s="107">
        <v>41333</v>
      </c>
      <c r="C8" s="108">
        <f>+SUM('InputData Supply PEG'!D44:F44)-SUM('InputData Supply PEG'!D43:F43)-'InputData Supply PEG'!G44</f>
        <v>227.77299999999997</v>
      </c>
      <c r="D8" s="108">
        <f>+SUM('InputData Supply PEG'!P44:R44)-SUM('InputData Supply PEG'!P43:R43)-'InputData Supply PEG'!S44</f>
        <v>228.09999999999988</v>
      </c>
      <c r="E8" s="109">
        <f>+'Input data monthly1'!$C8</f>
        <v>227.77299999999997</v>
      </c>
      <c r="F8" s="108">
        <f>+SUM('inputdata consumption EC'!D16:F16)-SUM('inputdata consumption EC'!D15:F15)</f>
        <v>0.27</v>
      </c>
      <c r="G8" s="108">
        <f>+SUM('inputdata consumption EC'!O16:Q16)-SUM('inputdata consumption EC'!O15:Q15)</f>
        <v>0.28000000000000003</v>
      </c>
      <c r="H8" s="109">
        <f>+'Input data monthly1'!$F8</f>
        <v>0.27</v>
      </c>
    </row>
    <row r="9" spans="2:8" x14ac:dyDescent="0.2">
      <c r="B9" s="107">
        <v>41364</v>
      </c>
      <c r="C9" s="108">
        <f>+SUM('InputData Supply PEG'!D45:F45)-SUM('InputData Supply PEG'!D44:F44)-'InputData Supply PEG'!G45</f>
        <v>183.56099999999995</v>
      </c>
      <c r="D9" s="108">
        <f>+SUM('InputData Supply PEG'!P45:R45)-SUM('InputData Supply PEG'!P44:R44)-'InputData Supply PEG'!S45</f>
        <v>183.81799999999973</v>
      </c>
      <c r="E9" s="109">
        <f>+'Input data monthly1'!$C9</f>
        <v>183.56099999999995</v>
      </c>
      <c r="F9" s="108">
        <f>+SUM('inputdata consumption EC'!D17:F17)-SUM('inputdata consumption EC'!D16:F16)</f>
        <v>0.4700000000000002</v>
      </c>
      <c r="G9" s="108">
        <f>+SUM('inputdata consumption EC'!O17:Q17)-SUM('inputdata consumption EC'!O16:Q16)</f>
        <v>0.49</v>
      </c>
      <c r="H9" s="109">
        <f>+'Input data monthly1'!$F9</f>
        <v>0.4700000000000002</v>
      </c>
    </row>
    <row r="10" spans="2:8" x14ac:dyDescent="0.2">
      <c r="B10" s="107">
        <v>41394</v>
      </c>
      <c r="C10" s="108">
        <f>+SUM('InputData Supply PEG'!D46:F46)-SUM('InputData Supply PEG'!D45:F45)-'InputData Supply PEG'!G46</f>
        <v>191.44499999999999</v>
      </c>
      <c r="D10" s="108">
        <f>+SUM('InputData Supply PEG'!P46:R46)-SUM('InputData Supply PEG'!P45:R45)-'InputData Supply PEG'!S46</f>
        <v>191.74100000000016</v>
      </c>
      <c r="E10" s="109">
        <f>+'Input data monthly1'!$C10</f>
        <v>191.44499999999999</v>
      </c>
      <c r="F10" s="108">
        <f>+SUM('inputdata consumption EC'!D18:F18)-SUM('inputdata consumption EC'!D17:F17)</f>
        <v>0.49999999999999956</v>
      </c>
      <c r="G10" s="108">
        <f>+SUM('inputdata consumption EC'!O18:Q18)-SUM('inputdata consumption EC'!O17:Q17)</f>
        <v>0.51999999999999957</v>
      </c>
      <c r="H10" s="109">
        <f>+'Input data monthly1'!$F10</f>
        <v>0.49999999999999956</v>
      </c>
    </row>
    <row r="11" spans="2:8" x14ac:dyDescent="0.2">
      <c r="B11" s="107">
        <v>41425</v>
      </c>
      <c r="C11" s="108">
        <f>+SUM('InputData Supply PEG'!D47:F47)-SUM('InputData Supply PEG'!D46:F46)-'InputData Supply PEG'!G47</f>
        <v>253.32300000000009</v>
      </c>
      <c r="D11" s="108">
        <f>+SUM('InputData Supply PEG'!P47:R47)-SUM('InputData Supply PEG'!P46:R46)-'InputData Supply PEG'!S47</f>
        <v>253.76799999999992</v>
      </c>
      <c r="E11" s="109">
        <f>+'Input data monthly1'!$C11</f>
        <v>253.32300000000009</v>
      </c>
      <c r="F11" s="108">
        <f>+SUM('inputdata consumption EC'!D19:F19)-SUM('inputdata consumption EC'!D18:F18)</f>
        <v>0.79999999999999982</v>
      </c>
      <c r="G11" s="108">
        <f>+SUM('inputdata consumption EC'!O19:Q19)-SUM('inputdata consumption EC'!O18:Q18)</f>
        <v>0.86000000000000076</v>
      </c>
      <c r="H11" s="109">
        <f>+'Input data monthly1'!$F11</f>
        <v>0.79999999999999982</v>
      </c>
    </row>
    <row r="12" spans="2:8" x14ac:dyDescent="0.2">
      <c r="B12" s="107">
        <v>41455</v>
      </c>
      <c r="C12" s="108">
        <f>+SUM('InputData Supply PEG'!D48:F48)-SUM('InputData Supply PEG'!D47:F47)-'InputData Supply PEG'!G48</f>
        <v>197.32300000000026</v>
      </c>
      <c r="D12" s="108">
        <f>+SUM('InputData Supply PEG'!P48:R48)-SUM('InputData Supply PEG'!P47:R47)-'InputData Supply PEG'!S48</f>
        <v>197.71900000000034</v>
      </c>
      <c r="E12" s="109">
        <f>+'Input data monthly1'!$C12</f>
        <v>197.32300000000026</v>
      </c>
      <c r="F12" s="108">
        <f>+SUM('inputdata consumption EC'!D20:F20)-SUM('inputdata consumption EC'!D19:F19)</f>
        <v>0.85000000000000009</v>
      </c>
      <c r="G12" s="108">
        <f>+SUM('inputdata consumption EC'!O20:Q20)-SUM('inputdata consumption EC'!O19:Q19)</f>
        <v>0.89000000000000012</v>
      </c>
      <c r="H12" s="109">
        <f>+'Input data monthly1'!$F12</f>
        <v>0.85000000000000009</v>
      </c>
    </row>
    <row r="13" spans="2:8" x14ac:dyDescent="0.2">
      <c r="B13" s="107">
        <v>41486</v>
      </c>
      <c r="C13" s="108">
        <f>+SUM('InputData Supply PEG'!D49:F49)-SUM('InputData Supply PEG'!D48:F48)-'InputData Supply PEG'!G49</f>
        <v>473.25200000000001</v>
      </c>
      <c r="D13" s="108">
        <f>+SUM('InputData Supply PEG'!P49:R49)-SUM('InputData Supply PEG'!P48:R48)-'InputData Supply PEG'!S49</f>
        <v>474.26999999999975</v>
      </c>
      <c r="E13" s="109">
        <f>+'Input data monthly1'!$C13</f>
        <v>473.25200000000001</v>
      </c>
      <c r="F13" s="108">
        <f>+SUM('inputdata consumption EC'!D21:F21)-SUM('inputdata consumption EC'!D20:F20)</f>
        <v>0.72000000000000064</v>
      </c>
      <c r="G13" s="108">
        <f>+SUM('inputdata consumption EC'!O21:Q21)-SUM('inputdata consumption EC'!O20:Q20)</f>
        <v>0.73999999999999932</v>
      </c>
      <c r="H13" s="109">
        <f>+'Input data monthly1'!$F13</f>
        <v>0.72000000000000064</v>
      </c>
    </row>
    <row r="14" spans="2:8" x14ac:dyDescent="0.2">
      <c r="B14" s="107">
        <v>41517</v>
      </c>
      <c r="C14" s="108">
        <f>+SUM('InputData Supply PEG'!D50:F50)-SUM('InputData Supply PEG'!D49:F49)-'InputData Supply PEG'!G50</f>
        <v>542.66899999999976</v>
      </c>
      <c r="D14" s="108">
        <f>+SUM('InputData Supply PEG'!P50:R50)-SUM('InputData Supply PEG'!P49:R49)-'InputData Supply PEG'!S50</f>
        <v>543.90399999999977</v>
      </c>
      <c r="E14" s="109">
        <f>+'Input data monthly1'!$C14</f>
        <v>542.66899999999976</v>
      </c>
      <c r="F14" s="108">
        <f>+SUM('inputdata consumption EC'!D22:F22)-SUM('inputdata consumption EC'!D21:F21)</f>
        <v>0.38999999999999879</v>
      </c>
      <c r="G14" s="108">
        <f>+SUM('inputdata consumption EC'!O22:Q22)-SUM('inputdata consumption EC'!O21:Q21)</f>
        <v>0.29000000000000004</v>
      </c>
      <c r="H14" s="109">
        <f>+'Input data monthly1'!$F14</f>
        <v>0.38999999999999879</v>
      </c>
    </row>
    <row r="15" spans="2:8" x14ac:dyDescent="0.2">
      <c r="B15" s="107">
        <v>41547</v>
      </c>
      <c r="C15" s="108">
        <f>+SUM('InputData Supply PEG'!D51:F51)-SUM('InputData Supply PEG'!D50:F50)-'InputData Supply PEG'!G51</f>
        <v>893.17200000000048</v>
      </c>
      <c r="D15" s="108">
        <f>+SUM('InputData Supply PEG'!P51:R51)-SUM('InputData Supply PEG'!P50:R50)-'InputData Supply PEG'!S51</f>
        <v>895.11800000000073</v>
      </c>
      <c r="E15" s="109">
        <f>+'Input data monthly1'!$C15</f>
        <v>893.17200000000048</v>
      </c>
      <c r="F15" s="108">
        <f>+SUM('inputdata consumption EC'!D23:F23)-SUM('inputdata consumption EC'!D22:F22)</f>
        <v>0.23000000000000131</v>
      </c>
      <c r="G15" s="108">
        <f>+SUM('inputdata consumption EC'!O23:Q23)-SUM('inputdata consumption EC'!O22:Q22)</f>
        <v>0.33999999999999986</v>
      </c>
      <c r="H15" s="109">
        <f>+'Input data monthly1'!$F15</f>
        <v>0.23000000000000131</v>
      </c>
    </row>
    <row r="16" spans="2:8" x14ac:dyDescent="0.2">
      <c r="B16" s="107">
        <v>41578</v>
      </c>
      <c r="C16" s="108">
        <f>+SUM('InputData Supply PEG'!D52:F52)-SUM('InputData Supply PEG'!D51:F51)-'InputData Supply PEG'!G52</f>
        <v>1589.7319999999991</v>
      </c>
      <c r="D16" s="108">
        <f>+SUM('InputData Supply PEG'!P52:R52)-SUM('InputData Supply PEG'!P51:R51)-'InputData Supply PEG'!S52</f>
        <v>1593.2589999999996</v>
      </c>
      <c r="E16" s="109">
        <f>+'Input data monthly1'!$C16</f>
        <v>1589.7319999999991</v>
      </c>
      <c r="F16" s="108">
        <f>+SUM('inputdata consumption EC'!D24:F24)-SUM('inputdata consumption EC'!D23:F23)</f>
        <v>1.9999999999999574E-2</v>
      </c>
      <c r="G16" s="108">
        <f>+SUM('inputdata consumption EC'!O24:Q24)-SUM('inputdata consumption EC'!O23:Q23)</f>
        <v>3.0000000000000249E-2</v>
      </c>
      <c r="H16" s="109">
        <f>+'Input data monthly1'!$F16</f>
        <v>1.9999999999999574E-2</v>
      </c>
    </row>
    <row r="17" spans="2:8" x14ac:dyDescent="0.2">
      <c r="B17" s="107">
        <v>41608</v>
      </c>
      <c r="C17" s="108">
        <f>+SUM('InputData Supply PEG'!D53:F53)-SUM('InputData Supply PEG'!D52:F52)-'InputData Supply PEG'!G53+3.795</f>
        <v>1693.5750000000005</v>
      </c>
      <c r="D17" s="108">
        <f>+SUM('InputData Supply PEG'!P53:R53)-SUM('InputData Supply PEG'!P52:R52)-'InputData Supply PEG'!S53+3.795</f>
        <v>1697.3200000000004</v>
      </c>
      <c r="E17" s="109">
        <f>+'Input data monthly1'!$C17</f>
        <v>1693.5750000000005</v>
      </c>
      <c r="F17" s="108">
        <f>+SUM('inputdata consumption EC'!D25:F25)-SUM('inputdata consumption EC'!D24:F24)-1</f>
        <v>2.0000000000000462E-2</v>
      </c>
      <c r="G17" s="108">
        <f>+SUM('inputdata consumption EC'!O25:Q25)-SUM('inputdata consumption EC'!O24:Q24)-1.01</f>
        <v>9.9999999999995648E-3</v>
      </c>
      <c r="H17" s="109">
        <f>+'Input data monthly1'!$F17</f>
        <v>2.0000000000000462E-2</v>
      </c>
    </row>
    <row r="18" spans="2:8" x14ac:dyDescent="0.2">
      <c r="B18" s="107">
        <v>41639</v>
      </c>
      <c r="C18" s="108">
        <f>+SUM('InputData Supply PEG'!D54:F54)-SUM('InputData Supply PEG'!D53:F53)-'InputData Supply PEG'!G54</f>
        <v>1235.7309999999998</v>
      </c>
      <c r="D18" s="108">
        <f>+SUM('InputData Supply PEG'!P54:R54)-SUM('InputData Supply PEG'!P53:R53)-'InputData Supply PEG'!S54</f>
        <v>1237.7270000000003</v>
      </c>
      <c r="E18" s="109">
        <f>+'Input data monthly1'!$C18</f>
        <v>1235.7309999999998</v>
      </c>
      <c r="F18" s="108">
        <f>+SUM('inputdata consumption EC'!D26:F26)-SUM('inputdata consumption EC'!D25:F25)</f>
        <v>1.9999999999999574E-2</v>
      </c>
      <c r="G18" s="108">
        <f>+SUM('inputdata consumption EC'!O26:Q26)-SUM('inputdata consumption EC'!O25:Q25)</f>
        <v>2.0000000000000462E-2</v>
      </c>
      <c r="H18" s="109">
        <f>+'Input data monthly1'!$F18</f>
        <v>1.9999999999999574E-2</v>
      </c>
    </row>
    <row r="19" spans="2:8" x14ac:dyDescent="0.2">
      <c r="B19" s="107">
        <v>41670</v>
      </c>
      <c r="C19" s="108">
        <f>+SUM('InputData Supply PEG'!D55:F55)-SUM('InputData Supply PEG'!D54:F54)-'InputData Supply PEG'!G55</f>
        <v>663.39200000000073</v>
      </c>
      <c r="D19" s="108">
        <f>+SUM('InputData Supply PEG'!P55:R55)-SUM('InputData Supply PEG'!P54:R54)-'InputData Supply PEG'!S55</f>
        <v>664.35099999999829</v>
      </c>
      <c r="E19" s="109">
        <f>+'Input data monthly1'!$C19</f>
        <v>663.39200000000073</v>
      </c>
      <c r="F19" s="108">
        <f>+SUM('inputdata consumption EC'!D27:F27)-SUM('inputdata consumption EC'!D26:F26)</f>
        <v>8.0000000000000071E-2</v>
      </c>
      <c r="G19" s="108">
        <f>+SUM('inputdata consumption EC'!O27:Q27)-SUM('inputdata consumption EC'!O26:Q26)</f>
        <v>6.9999999999999396E-2</v>
      </c>
      <c r="H19" s="109">
        <f>+'Input data monthly1'!$F19</f>
        <v>8.0000000000000071E-2</v>
      </c>
    </row>
    <row r="20" spans="2:8" x14ac:dyDescent="0.2">
      <c r="B20" s="107">
        <v>41698</v>
      </c>
      <c r="C20" s="108">
        <f>+SUM('InputData Supply PEG'!D56:F56)-SUM('InputData Supply PEG'!D55:F55)-'InputData Supply PEG'!G56</f>
        <v>351.00700000000046</v>
      </c>
      <c r="D20" s="108">
        <f>+SUM('InputData Supply PEG'!P56:R56)-SUM('InputData Supply PEG'!P55:R55)-'InputData Supply PEG'!S56</f>
        <v>351.56000000000176</v>
      </c>
      <c r="E20" s="109">
        <f>+'Input data monthly1'!$C20</f>
        <v>351.00700000000046</v>
      </c>
      <c r="F20" s="108">
        <f>+SUM('inputdata consumption EC'!D28:F28)-SUM('inputdata consumption EC'!D27:F27)</f>
        <v>0.12999999999999989</v>
      </c>
      <c r="G20" s="108">
        <f>+SUM('inputdata consumption EC'!O28:Q28)-SUM('inputdata consumption EC'!O27:Q27)</f>
        <v>0.15000000000000036</v>
      </c>
      <c r="H20" s="109">
        <f>+'Input data monthly1'!$F20</f>
        <v>0.12999999999999989</v>
      </c>
    </row>
    <row r="21" spans="2:8" x14ac:dyDescent="0.2">
      <c r="B21" s="107">
        <v>41729</v>
      </c>
      <c r="C21" s="108">
        <f>+SUM('InputData Supply PEG'!D57:F57)-SUM('InputData Supply PEG'!D56:F56)-'InputData Supply PEG'!G57</f>
        <v>260.23899999999963</v>
      </c>
      <c r="D21" s="108">
        <f>+SUM('InputData Supply PEG'!P57:R57)-SUM('InputData Supply PEG'!P56:R56)-'InputData Supply PEG'!S57</f>
        <v>260.72299999999944</v>
      </c>
      <c r="E21" s="109">
        <f>+'Input data monthly1'!$C21</f>
        <v>260.23899999999963</v>
      </c>
      <c r="F21" s="108">
        <f>+SUM('inputdata consumption EC'!D29:F29)-SUM('inputdata consumption EC'!D28:F28)</f>
        <v>0.42999999999999972</v>
      </c>
      <c r="G21" s="108">
        <f>+SUM('inputdata consumption EC'!O29:Q29)-SUM('inputdata consumption EC'!O28:Q28)</f>
        <v>0.4399999999999995</v>
      </c>
      <c r="H21" s="109">
        <f>+'Input data monthly1'!$F21</f>
        <v>0.42999999999999972</v>
      </c>
    </row>
    <row r="22" spans="2:8" x14ac:dyDescent="0.2">
      <c r="B22" s="107">
        <v>41759</v>
      </c>
      <c r="C22" s="108">
        <f>+SUM('InputData Supply PEG'!D58:F58)-SUM('InputData Supply PEG'!D57:F57)-'InputData Supply PEG'!G58</f>
        <v>212.23199999999949</v>
      </c>
      <c r="D22" s="108">
        <f>+SUM('InputData Supply PEG'!P58:R58)-SUM('InputData Supply PEG'!P57:R57)-'InputData Supply PEG'!S58</f>
        <v>212.73599999999971</v>
      </c>
      <c r="E22" s="109">
        <f>+'Input data monthly1'!$C22</f>
        <v>212.23199999999949</v>
      </c>
      <c r="F22" s="108">
        <f>+SUM('inputdata consumption EC'!D30:F30)-SUM('inputdata consumption EC'!D29:F29)</f>
        <v>0.87000000000000011</v>
      </c>
      <c r="G22" s="108">
        <f>+SUM('inputdata consumption EC'!O30:Q30)-SUM('inputdata consumption EC'!O29:Q29)</f>
        <v>0.92000000000000082</v>
      </c>
      <c r="H22" s="109">
        <f>+'Input data monthly1'!$F22</f>
        <v>0.87000000000000011</v>
      </c>
    </row>
    <row r="23" spans="2:8" x14ac:dyDescent="0.2">
      <c r="B23" s="107">
        <v>41790</v>
      </c>
      <c r="C23" s="108">
        <f>+SUM('InputData Supply PEG'!D59:F59)-SUM('InputData Supply PEG'!D58:F58)-'InputData Supply PEG'!G59</f>
        <v>160.13499999999993</v>
      </c>
      <c r="D23" s="108">
        <f>+SUM('InputData Supply PEG'!P59:R59)-SUM('InputData Supply PEG'!P58:R58)-'InputData Supply PEG'!S59</f>
        <v>160.50100000000072</v>
      </c>
      <c r="E23" s="109">
        <f>+'Input data monthly1'!$C23</f>
        <v>160.13499999999993</v>
      </c>
      <c r="F23" s="108">
        <f>+SUM('inputdata consumption EC'!D31:F31)-SUM('inputdata consumption EC'!D30:F30)</f>
        <v>0.92999999999999972</v>
      </c>
      <c r="G23" s="108">
        <f>+SUM('inputdata consumption EC'!O31:Q31)-SUM('inputdata consumption EC'!O30:Q30)</f>
        <v>0.98000000000000043</v>
      </c>
      <c r="H23" s="109">
        <f>+'Input data monthly1'!$F23</f>
        <v>0.92999999999999972</v>
      </c>
    </row>
    <row r="24" spans="2:8" x14ac:dyDescent="0.2">
      <c r="B24" s="107">
        <v>41820</v>
      </c>
      <c r="C24" s="108">
        <f>+SUM('InputData Supply PEG'!D60:F60)-SUM('InputData Supply PEG'!D59:F59)-'InputData Supply PEG'!G60</f>
        <v>277.94399999999973</v>
      </c>
      <c r="D24" s="108">
        <f>+SUM('InputData Supply PEG'!P60:R60)-SUM('InputData Supply PEG'!P59:R59)-'InputData Supply PEG'!S60</f>
        <v>278.60599999999977</v>
      </c>
      <c r="E24" s="109">
        <f>+'Input data monthly1'!$C24</f>
        <v>277.94399999999973</v>
      </c>
      <c r="F24" s="108">
        <f>+SUM('inputdata consumption EC'!D32:F32)-SUM('inputdata consumption EC'!D31:F31)</f>
        <v>0.5</v>
      </c>
      <c r="G24" s="108">
        <f>+SUM('inputdata consumption EC'!O32:Q32)-SUM('inputdata consumption EC'!O31:Q31)</f>
        <v>0.52999999999999936</v>
      </c>
      <c r="H24" s="109">
        <f>+'Input data monthly1'!$F24</f>
        <v>0.5</v>
      </c>
    </row>
    <row r="25" spans="2:8" x14ac:dyDescent="0.2">
      <c r="B25" s="107">
        <v>41851</v>
      </c>
      <c r="C25" s="108">
        <f>+SUM('InputData Supply PEG'!D61:F61)-SUM('InputData Supply PEG'!D60:F60)-'InputData Supply PEG'!G61</f>
        <v>400.29799999999983</v>
      </c>
      <c r="D25" s="108">
        <f>+SUM('InputData Supply PEG'!P61:R61)-SUM('InputData Supply PEG'!P60:R60)-'InputData Supply PEG'!S61</f>
        <v>401.36499999999978</v>
      </c>
      <c r="E25" s="109">
        <f>+'Input data monthly1'!$C25</f>
        <v>400.29799999999983</v>
      </c>
      <c r="F25" s="108">
        <f>+SUM('inputdata consumption EC'!D33:F33)-SUM('inputdata consumption EC'!D32:F32)</f>
        <v>0.23000000000000043</v>
      </c>
      <c r="G25" s="108">
        <f>+SUM('inputdata consumption EC'!O33:Q33)-SUM('inputdata consumption EC'!O32:Q32)</f>
        <v>0.24000000000000021</v>
      </c>
      <c r="H25" s="109">
        <f>+'Input data monthly1'!$F25</f>
        <v>0.23000000000000043</v>
      </c>
    </row>
    <row r="26" spans="2:8" x14ac:dyDescent="0.2">
      <c r="B26" s="107">
        <v>41882</v>
      </c>
      <c r="C26" s="108">
        <f>+SUM('InputData Supply PEG'!D62:F62)-SUM('InputData Supply PEG'!D61:F61)-'InputData Supply PEG'!G62</f>
        <v>529.87399999999946</v>
      </c>
      <c r="D26" s="108">
        <f>+SUM('InputData Supply PEG'!P62:R62)-SUM('InputData Supply PEG'!P61:R61)-'InputData Supply PEG'!S62</f>
        <v>531.32699999999886</v>
      </c>
      <c r="E26" s="109">
        <f>+'Input data monthly1'!$C26</f>
        <v>529.87399999999946</v>
      </c>
      <c r="F26" s="108">
        <f>+SUM('inputdata consumption EC'!D34:F34)-SUM('inputdata consumption EC'!D33:F33)</f>
        <v>0.15000000000000036</v>
      </c>
      <c r="G26" s="108">
        <f>+SUM('inputdata consumption EC'!O34:Q34)-SUM('inputdata consumption EC'!O33:Q33)</f>
        <v>0.15000000000000036</v>
      </c>
      <c r="H26" s="109">
        <f>+'Input data monthly1'!$F26</f>
        <v>0.15000000000000036</v>
      </c>
    </row>
    <row r="27" spans="2:8" x14ac:dyDescent="0.2">
      <c r="B27" s="107">
        <v>41912</v>
      </c>
      <c r="C27" s="108">
        <f>+SUM('InputData Supply PEG'!D63:F63)-SUM('InputData Supply PEG'!D62:F62)-'InputData Supply PEG'!G63</f>
        <v>414.97000000000202</v>
      </c>
      <c r="D27" s="108">
        <f>+SUM('InputData Supply PEG'!P63:R63)-SUM('InputData Supply PEG'!P62:R62)-'InputData Supply PEG'!S63</f>
        <v>415.99799999999925</v>
      </c>
      <c r="E27" s="109">
        <f>+'Input data monthly1'!$C27</f>
        <v>414.97000000000202</v>
      </c>
      <c r="F27" s="108">
        <f>+SUM('inputdata consumption EC'!D35:F35)-SUM('inputdata consumption EC'!D34:F34)</f>
        <v>0.42999999999999972</v>
      </c>
      <c r="G27" s="108">
        <f>+SUM('inputdata consumption EC'!O35:Q35)-SUM('inputdata consumption EC'!O34:Q34)</f>
        <v>0.46000000000000085</v>
      </c>
      <c r="H27" s="109">
        <f>+'Input data monthly1'!$F27</f>
        <v>0.42999999999999972</v>
      </c>
    </row>
    <row r="28" spans="2:8" x14ac:dyDescent="0.2">
      <c r="B28" s="107">
        <v>41943</v>
      </c>
      <c r="C28" s="108">
        <f>+SUM('InputData Supply PEG'!D64:F64)-SUM('InputData Supply PEG'!D63:F63)-'InputData Supply PEG'!G64</f>
        <v>363.05099999999914</v>
      </c>
      <c r="D28" s="108">
        <f>+SUM('InputData Supply PEG'!P64:R64)-SUM('InputData Supply PEG'!P63:R63)-'InputData Supply PEG'!S64</f>
        <v>363.89000000000311</v>
      </c>
      <c r="E28" s="109">
        <f>+'Input data monthly1'!$C28</f>
        <v>363.05099999999914</v>
      </c>
      <c r="F28" s="108">
        <f>+SUM('inputdata consumption EC'!D36:F36)-SUM('inputdata consumption EC'!D35:F35)</f>
        <v>0.23000000000000043</v>
      </c>
      <c r="G28" s="108">
        <f>+SUM('inputdata consumption EC'!O36:Q36)-SUM('inputdata consumption EC'!O35:Q35)</f>
        <v>0.21999999999999886</v>
      </c>
      <c r="H28" s="109">
        <f>+'Input data monthly1'!$F28</f>
        <v>0.23000000000000043</v>
      </c>
    </row>
    <row r="29" spans="2:8" x14ac:dyDescent="0.2">
      <c r="B29" s="107">
        <v>41973</v>
      </c>
      <c r="C29" s="108">
        <f>+SUM('InputData Supply PEG'!D65:F65)-SUM('InputData Supply PEG'!D64:F64)-'InputData Supply PEG'!G65-0.49</f>
        <v>330.64400000000143</v>
      </c>
      <c r="D29" s="108">
        <f>+SUM('InputData Supply PEG'!P65:R65)-SUM('InputData Supply PEG'!P64:R64)-'InputData Supply PEG'!S65-0.49</f>
        <v>331.3159999999981</v>
      </c>
      <c r="E29" s="109">
        <f>+'Input data monthly1'!$C29</f>
        <v>330.64400000000143</v>
      </c>
      <c r="F29" s="108">
        <f>+SUM('inputdata consumption EC'!D37:F37)-SUM('inputdata consumption EC'!D36:F36)-0.41</f>
        <v>0.32000000000000045</v>
      </c>
      <c r="G29" s="108">
        <f>+SUM('inputdata consumption EC'!O37:Q37)-SUM('inputdata consumption EC'!O36:Q36)-0.41</f>
        <v>0.34999999999999981</v>
      </c>
      <c r="H29" s="109">
        <f>+'Input data monthly1'!$F29</f>
        <v>0.32000000000000045</v>
      </c>
    </row>
    <row r="30" spans="2:8" x14ac:dyDescent="0.2">
      <c r="B30" s="107">
        <v>42004</v>
      </c>
      <c r="C30" s="108">
        <f>+SUM('InputData Supply PEG'!D66:F66)-SUM('InputData Supply PEG'!D65:F65)-'InputData Supply PEG'!G66</f>
        <v>502.05199999999962</v>
      </c>
      <c r="D30" s="108">
        <f>+SUM('InputData Supply PEG'!P66:R66)-SUM('InputData Supply PEG'!P65:R65)-'InputData Supply PEG'!S66</f>
        <v>502.93200000000087</v>
      </c>
      <c r="E30" s="109">
        <f>+'Input data monthly1'!$C30</f>
        <v>502.05199999999962</v>
      </c>
      <c r="F30" s="108">
        <f>+SUM('inputdata consumption EC'!D38:F38)-SUM('inputdata consumption EC'!D37:F37)</f>
        <v>5.9999999999998721E-2</v>
      </c>
      <c r="G30" s="108">
        <f>+SUM('inputdata consumption EC'!O38:Q38)-SUM('inputdata consumption EC'!O37:Q37)</f>
        <v>7.0000000000000284E-2</v>
      </c>
      <c r="H30" s="109">
        <f>+'Input data monthly1'!$F30</f>
        <v>5.9999999999998721E-2</v>
      </c>
    </row>
    <row r="31" spans="2:8" x14ac:dyDescent="0.2">
      <c r="B31" s="107">
        <v>42035</v>
      </c>
      <c r="C31" s="108">
        <f>+SUM('InputData Supply PEG'!D67:F67)-SUM('InputData Supply PEG'!D66:F66)-'InputData Supply PEG'!G67</f>
        <v>300.17399999999606</v>
      </c>
      <c r="D31" s="108">
        <f>+SUM('InputData Supply PEG'!P67:R67)-SUM('InputData Supply PEG'!P66:R66)-'InputData Supply PEG'!S67</f>
        <v>300.57900000000137</v>
      </c>
      <c r="E31" s="109">
        <f>+'Input data monthly1'!$C31</f>
        <v>300.17399999999606</v>
      </c>
      <c r="F31" s="108">
        <f>+SUM('inputdata consumption EC'!D39:F39)-SUM('inputdata consumption EC'!D38:F38)</f>
        <v>0.42000000000000171</v>
      </c>
      <c r="G31" s="108">
        <f>+SUM('inputdata consumption EC'!O39:Q39)-SUM('inputdata consumption EC'!O38:Q38)</f>
        <v>0.43000000000000149</v>
      </c>
      <c r="H31" s="109">
        <f>+'Input data monthly1'!$F31</f>
        <v>0.42000000000000171</v>
      </c>
    </row>
    <row r="32" spans="2:8" x14ac:dyDescent="0.2">
      <c r="B32" s="107">
        <v>42063</v>
      </c>
      <c r="C32" s="108">
        <f>+SUM('InputData Supply PEG'!D68:F68)-SUM('InputData Supply PEG'!D67:F67)-'InputData Supply PEG'!G68</f>
        <v>241.89200000000176</v>
      </c>
      <c r="D32" s="108">
        <f>+SUM('InputData Supply PEG'!P68:R68)-SUM('InputData Supply PEG'!P67:R67)-'InputData Supply PEG'!S68</f>
        <v>242.27699999999751</v>
      </c>
      <c r="E32" s="109">
        <f>+'Input data monthly1'!$C32</f>
        <v>241.89200000000176</v>
      </c>
      <c r="F32" s="108">
        <f>+SUM('inputdata consumption EC'!D40:F40)-SUM('inputdata consumption EC'!D39:F39)</f>
        <v>0.34999999999999964</v>
      </c>
      <c r="G32" s="108">
        <f>+SUM('inputdata consumption EC'!O40:Q40)-SUM('inputdata consumption EC'!O39:Q39)</f>
        <v>0.38999999999999879</v>
      </c>
      <c r="H32" s="109">
        <f>+'Input data monthly1'!$F32</f>
        <v>0.34999999999999964</v>
      </c>
    </row>
    <row r="33" spans="2:8" x14ac:dyDescent="0.2">
      <c r="B33" s="107">
        <v>42094</v>
      </c>
      <c r="C33" s="108">
        <f>+SUM('InputData Supply PEG'!D69:F69)-SUM('InputData Supply PEG'!D68:F68)-'InputData Supply PEG'!G69</f>
        <v>178.64500000000132</v>
      </c>
      <c r="D33" s="108">
        <f>+SUM('InputData Supply PEG'!P69:R69)-SUM('InputData Supply PEG'!P68:R68)-'InputData Supply PEG'!S69</f>
        <v>178.97300000000305</v>
      </c>
      <c r="E33" s="109">
        <f>+'Input data monthly1'!$C33</f>
        <v>178.64500000000132</v>
      </c>
      <c r="F33" s="108">
        <f>+SUM('inputdata consumption EC'!D41:F41)-SUM('inputdata consumption EC'!D40:F40)</f>
        <v>-12.290000000000001</v>
      </c>
      <c r="G33" s="108">
        <f>+SUM('inputdata consumption EC'!O41:Q41)-SUM('inputdata consumption EC'!O40:Q40)</f>
        <v>-12.81</v>
      </c>
      <c r="H33" s="109">
        <f>+'Input data monthly1'!$F33</f>
        <v>-12.290000000000001</v>
      </c>
    </row>
    <row r="34" spans="2:8" x14ac:dyDescent="0.2">
      <c r="B34" s="107">
        <v>42124</v>
      </c>
      <c r="C34" s="108">
        <f>+SUM('InputData Supply PEG'!D70:F70)-SUM('InputData Supply PEG'!D69:F69)-'InputData Supply PEG'!G70</f>
        <v>128.87499999999869</v>
      </c>
      <c r="D34" s="108">
        <f>+SUM('InputData Supply PEG'!P70:R70)-SUM('InputData Supply PEG'!P69:R69)-'InputData Supply PEG'!S70</f>
        <v>129.10199999999824</v>
      </c>
      <c r="E34" s="109">
        <f>+'Input data monthly1'!$C34</f>
        <v>128.87499999999869</v>
      </c>
      <c r="F34" s="108">
        <f>+SUM('inputdata consumption EC'!D42:F42)-SUM('inputdata consumption EC'!D41:F41)</f>
        <v>14.52</v>
      </c>
      <c r="G34" s="108">
        <f>+SUM('inputdata consumption EC'!O42:Q42)-SUM('inputdata consumption EC'!O41:Q41)</f>
        <v>15.11</v>
      </c>
      <c r="H34" s="109">
        <f>+'Input data monthly1'!$F34</f>
        <v>14.52</v>
      </c>
    </row>
    <row r="35" spans="2:8" x14ac:dyDescent="0.2">
      <c r="B35" s="107">
        <v>42155</v>
      </c>
      <c r="C35" s="108">
        <f>+SUM('InputData Supply PEG'!D71:F71)-SUM('InputData Supply PEG'!D70:F70)-'InputData Supply PEG'!G71</f>
        <v>100.38100000000219</v>
      </c>
      <c r="D35" s="108">
        <f>+SUM('InputData Supply PEG'!P71:R71)-SUM('InputData Supply PEG'!P70:R70)-'InputData Supply PEG'!S71</f>
        <v>100.55899999999883</v>
      </c>
      <c r="E35" s="109">
        <f>+'Input data monthly1'!$C35</f>
        <v>100.38100000000219</v>
      </c>
      <c r="F35" s="108">
        <f>+SUM('inputdata consumption EC'!D43:F43)-SUM('inputdata consumption EC'!D42:F42)</f>
        <v>1.9199999999999982</v>
      </c>
      <c r="G35" s="108">
        <f>+SUM('inputdata consumption EC'!O43:Q43)-SUM('inputdata consumption EC'!O42:Q42)</f>
        <v>1.9600000000000009</v>
      </c>
      <c r="H35" s="109">
        <f>+'Input data monthly1'!$F35</f>
        <v>1.9199999999999982</v>
      </c>
    </row>
    <row r="36" spans="2:8" x14ac:dyDescent="0.2">
      <c r="B36" s="107">
        <v>42185</v>
      </c>
      <c r="C36" s="108">
        <f>+SUM('InputData Supply PEG'!D72:F72)-SUM('InputData Supply PEG'!D71:F71)-'InputData Supply PEG'!G72</f>
        <v>126.25699999999905</v>
      </c>
      <c r="D36" s="108">
        <f>+SUM('InputData Supply PEG'!P72:R72)-SUM('InputData Supply PEG'!P71:R71)-'InputData Supply PEG'!S72</f>
        <v>126.44399999999956</v>
      </c>
      <c r="E36" s="109">
        <f>+'Input data monthly1'!$C36</f>
        <v>126.25699999999905</v>
      </c>
      <c r="F36" s="108">
        <f>+SUM('inputdata consumption EC'!D44:F44)-SUM('inputdata consumption EC'!D43:F43)</f>
        <v>-16.439999999999998</v>
      </c>
      <c r="G36" s="108">
        <f>+SUM('inputdata consumption EC'!O44:Q44)-SUM('inputdata consumption EC'!O43:Q43)</f>
        <v>-17.07</v>
      </c>
      <c r="H36" s="109">
        <f>+'Input data monthly1'!$F36</f>
        <v>-16.439999999999998</v>
      </c>
    </row>
    <row r="37" spans="2:8" x14ac:dyDescent="0.2">
      <c r="B37" s="107">
        <v>42216</v>
      </c>
      <c r="C37" s="108">
        <f>+SUM('InputData Supply PEG'!D73:F73)-SUM('InputData Supply PEG'!D72:F72)-'InputData Supply PEG'!G73</f>
        <v>383.25499999999806</v>
      </c>
      <c r="D37" s="108">
        <f>+SUM('InputData Supply PEG'!P73:R73)-SUM('InputData Supply PEG'!P72:R72)-'InputData Supply PEG'!S73</f>
        <v>384.02600000000234</v>
      </c>
      <c r="E37" s="109">
        <f>+'Input data monthly1'!$C37</f>
        <v>383.25499999999806</v>
      </c>
      <c r="F37" s="108">
        <f>+SUM('inputdata consumption EC'!D45:F45)-SUM('inputdata consumption EC'!D44:F44)</f>
        <v>0</v>
      </c>
      <c r="G37" s="108">
        <f>+SUM('inputdata consumption EC'!O45:Q45)-SUM('inputdata consumption EC'!O44:Q44)</f>
        <v>0</v>
      </c>
      <c r="H37" s="109">
        <f>+'Input data monthly1'!$F37</f>
        <v>0</v>
      </c>
    </row>
    <row r="38" spans="2:8" x14ac:dyDescent="0.2">
      <c r="B38" s="107">
        <v>42247</v>
      </c>
      <c r="C38" s="108">
        <f>+SUM('InputData Supply PEG'!D74:F74)-SUM('InputData Supply PEG'!D73:F73)-'InputData Supply PEG'!G74</f>
        <v>328.9840000000014</v>
      </c>
      <c r="D38" s="108">
        <f>+SUM('InputData Supply PEG'!P74:R74)-SUM('InputData Supply PEG'!P73:R73)-'InputData Supply PEG'!S74</f>
        <v>329.8039999999977</v>
      </c>
      <c r="E38" s="109">
        <f>+'Input data monthly1'!$C38</f>
        <v>328.9840000000014</v>
      </c>
      <c r="F38" s="108">
        <f>+SUM('inputdata consumption EC'!D46:F46)-SUM('inputdata consumption EC'!D45:F45)</f>
        <v>19.64</v>
      </c>
      <c r="G38" s="108">
        <f>+SUM('inputdata consumption EC'!O46:Q46)-SUM('inputdata consumption EC'!O45:Q45)</f>
        <v>20.39</v>
      </c>
      <c r="H38" s="109">
        <f>+'Input data monthly1'!$F38</f>
        <v>19.64</v>
      </c>
    </row>
    <row r="39" spans="2:8" x14ac:dyDescent="0.2">
      <c r="B39" s="107">
        <v>42277</v>
      </c>
      <c r="C39" s="108">
        <f>+SUM('InputData Supply PEG'!D75:F75)-SUM('InputData Supply PEG'!D74:F74)-'InputData Supply PEG'!G75</f>
        <v>848.73199999999906</v>
      </c>
      <c r="D39" s="108">
        <f>+SUM('InputData Supply PEG'!P75:R75)-SUM('InputData Supply PEG'!P74:R74)-'InputData Supply PEG'!S75</f>
        <v>850.63800000000117</v>
      </c>
      <c r="E39" s="109">
        <f>+'Input data monthly1'!$C39</f>
        <v>848.73199999999906</v>
      </c>
      <c r="F39" s="108">
        <f>+SUM('inputdata consumption EC'!D47:F47)-SUM('inputdata consumption EC'!D46:F46)</f>
        <v>0.44999999999999929</v>
      </c>
      <c r="G39" s="108">
        <f>+SUM('inputdata consumption EC'!O47:Q47)-SUM('inputdata consumption EC'!O46:Q46)</f>
        <v>0.46000000000000085</v>
      </c>
      <c r="H39" s="109">
        <f>+'Input data monthly1'!$F39</f>
        <v>0.44999999999999929</v>
      </c>
    </row>
    <row r="40" spans="2:8" x14ac:dyDescent="0.2">
      <c r="B40" s="107">
        <v>42308</v>
      </c>
      <c r="C40" s="108">
        <f>+SUM('InputData Supply PEG'!D76:F76)-SUM('InputData Supply PEG'!D75:F75)-'InputData Supply PEG'!G76</f>
        <v>784.51200000000085</v>
      </c>
      <c r="D40" s="108">
        <f>+SUM('InputData Supply PEG'!P76:R76)-SUM('InputData Supply PEG'!P75:R75)-'InputData Supply PEG'!S76</f>
        <v>786.28000000000179</v>
      </c>
      <c r="E40" s="109">
        <f>+'Input data monthly1'!$C40</f>
        <v>784.51200000000085</v>
      </c>
      <c r="F40" s="108">
        <f>+SUM('inputdata consumption EC'!D48:F48)-SUM('inputdata consumption EC'!D47:F47)</f>
        <v>0.25999999999999801</v>
      </c>
      <c r="G40" s="108">
        <f>+SUM('inputdata consumption EC'!O48:Q48)-SUM('inputdata consumption EC'!O47:Q47)</f>
        <v>0.26999999999999957</v>
      </c>
      <c r="H40" s="109">
        <f>+'Input data monthly1'!$F40</f>
        <v>0.25999999999999801</v>
      </c>
    </row>
    <row r="41" spans="2:8" x14ac:dyDescent="0.2">
      <c r="B41" s="107">
        <v>42338</v>
      </c>
      <c r="C41" s="108">
        <f>+SUM('InputData Supply PEG'!D77:F77)-SUM('InputData Supply PEG'!D76:F76)-'InputData Supply PEG'!G77+2.198</f>
        <v>1091.5109999999997</v>
      </c>
      <c r="D41" s="108">
        <f>+SUM('InputData Supply PEG'!P77:R77)-SUM('InputData Supply PEG'!P76:R76)-'InputData Supply PEG'!S77+2.208</f>
        <v>1094.0099999999966</v>
      </c>
      <c r="E41" s="109">
        <f>+'Input data monthly1'!$C41</f>
        <v>1091.5109999999997</v>
      </c>
      <c r="F41" s="108">
        <f>+SUM('inputdata consumption EC'!D49:F49)-SUM('inputdata consumption EC'!D48:F48)-0.25</f>
        <v>0.19000000000000128</v>
      </c>
      <c r="G41" s="108">
        <f>+SUM('inputdata consumption EC'!O49:Q49)-SUM('inputdata consumption EC'!O48:Q48)-0.25</f>
        <v>0.18999999999999773</v>
      </c>
      <c r="H41" s="109">
        <f>+'Input data monthly1'!$F41</f>
        <v>0.19000000000000128</v>
      </c>
    </row>
    <row r="42" spans="2:8" x14ac:dyDescent="0.2">
      <c r="B42" s="107">
        <v>42369</v>
      </c>
      <c r="C42" s="108">
        <f>+SUM('InputData Supply PEG'!D78:F78)-SUM('InputData Supply PEG'!D77:F77)-'InputData Supply PEG'!G78</f>
        <v>558.25900000000092</v>
      </c>
      <c r="D42" s="108">
        <f>+SUM('InputData Supply PEG'!P78:R78)-SUM('InputData Supply PEG'!P77:R77)-'InputData Supply PEG'!S78</f>
        <v>559.45500000000368</v>
      </c>
      <c r="E42" s="109">
        <f>+'Input data monthly1'!$C42</f>
        <v>558.25900000000092</v>
      </c>
      <c r="F42" s="108">
        <f>+SUM('inputdata consumption EC'!D50:F50)-SUM('inputdata consumption EC'!D49:F49)</f>
        <v>0.28999999999999915</v>
      </c>
      <c r="G42" s="108">
        <f>+SUM('inputdata consumption EC'!O50:Q50)-SUM('inputdata consumption EC'!O49:Q49)</f>
        <v>0.31000000000000227</v>
      </c>
      <c r="H42" s="109">
        <f>+'Input data monthly1'!$F42</f>
        <v>0.28999999999999915</v>
      </c>
    </row>
    <row r="43" spans="2:8" x14ac:dyDescent="0.2">
      <c r="B43" s="107">
        <v>42400</v>
      </c>
      <c r="C43" s="108">
        <f>+SUM('InputData Supply PEG'!D79:F79)-SUM('InputData Supply PEG'!D78:F78)-'InputData Supply PEG'!G79</f>
        <v>437.02199999999812</v>
      </c>
      <c r="D43" s="108">
        <f>+SUM('InputData Supply PEG'!P79:R79)-SUM('InputData Supply PEG'!P78:R78)-'InputData Supply PEG'!S79</f>
        <v>437.86199999999667</v>
      </c>
      <c r="E43" s="109">
        <f>+'Input data monthly1'!$C43</f>
        <v>437.02199999999812</v>
      </c>
      <c r="F43" s="108">
        <f>+SUM('inputdata consumption EC'!D51:F51)-SUM('inputdata consumption EC'!D50:F50)</f>
        <v>0.16000000000000369</v>
      </c>
      <c r="G43" s="108">
        <f>+SUM('inputdata consumption EC'!O51:Q51)-SUM('inputdata consumption EC'!O50:Q50)</f>
        <v>0.16000000000000014</v>
      </c>
      <c r="H43" s="109">
        <f>+'Input data monthly1'!$F43</f>
        <v>0.16000000000000369</v>
      </c>
    </row>
    <row r="44" spans="2:8" x14ac:dyDescent="0.2">
      <c r="B44" s="107">
        <v>42429</v>
      </c>
      <c r="C44" s="108">
        <f>+SUM('InputData Supply PEG'!D80:F80)-SUM('InputData Supply PEG'!D79:F79)-'InputData Supply PEG'!G80</f>
        <v>266.21700000000072</v>
      </c>
      <c r="D44" s="108">
        <f>+SUM('InputData Supply PEG'!P80:R80)-SUM('InputData Supply PEG'!P79:R79)-'InputData Supply PEG'!S80</f>
        <v>266.56199999999927</v>
      </c>
      <c r="E44" s="109">
        <f>+'Input data monthly1'!$C44</f>
        <v>266.21700000000072</v>
      </c>
      <c r="F44" s="108">
        <f>+SUM('inputdata consumption EC'!D52:F52)-SUM('inputdata consumption EC'!D51:F51)</f>
        <v>0.14999999999999858</v>
      </c>
      <c r="G44" s="108">
        <f>+SUM('inputdata consumption EC'!O52:Q52)-SUM('inputdata consumption EC'!O51:Q51)</f>
        <v>0.17000000000000171</v>
      </c>
      <c r="H44" s="109">
        <f>+'Input data monthly1'!$F44</f>
        <v>0.14999999999999858</v>
      </c>
    </row>
    <row r="45" spans="2:8" x14ac:dyDescent="0.2">
      <c r="B45" s="107">
        <v>42460</v>
      </c>
      <c r="C45" s="108">
        <f>+SUM('InputData Supply PEG'!D81:F81)-SUM('InputData Supply PEG'!D80:F80)-'InputData Supply PEG'!G81</f>
        <v>201.68999999999943</v>
      </c>
      <c r="D45" s="108">
        <f>+SUM('InputData Supply PEG'!P81:R81)-SUM('InputData Supply PEG'!P80:R80)-'InputData Supply PEG'!S81</f>
        <v>202.03600000000159</v>
      </c>
      <c r="E45" s="109">
        <f>+'Input data monthly1'!$C45</f>
        <v>201.68999999999943</v>
      </c>
      <c r="F45" s="108">
        <f>+SUM('inputdata consumption EC'!D53:F53)-SUM('inputdata consumption EC'!D52:F52)</f>
        <v>0.32000000000000028</v>
      </c>
      <c r="G45" s="108">
        <f>+SUM('inputdata consumption EC'!O53:Q53)-SUM('inputdata consumption EC'!O52:Q52)</f>
        <v>0.63999999999999702</v>
      </c>
      <c r="H45" s="109">
        <f>+'Input data monthly1'!$F45</f>
        <v>0.32000000000000028</v>
      </c>
    </row>
    <row r="46" spans="2:8" x14ac:dyDescent="0.2">
      <c r="B46" s="107">
        <v>42490</v>
      </c>
      <c r="C46" s="108">
        <f>+SUM('InputData Supply PEG'!D82:F82)-SUM('InputData Supply PEG'!D81:F81)-'InputData Supply PEG'!G82</f>
        <v>161.31100000000043</v>
      </c>
      <c r="D46" s="108">
        <f>+SUM('InputData Supply PEG'!P82:R82)-SUM('InputData Supply PEG'!P81:R81)-'InputData Supply PEG'!S82</f>
        <v>161.67599999999942</v>
      </c>
      <c r="E46" s="109">
        <f>+'Input data monthly1'!$C46</f>
        <v>161.31100000000043</v>
      </c>
      <c r="F46" s="108">
        <f>+SUM('inputdata consumption EC'!D54:F54)-SUM('inputdata consumption EC'!D53:F53)</f>
        <v>1.7699999999999996</v>
      </c>
      <c r="G46" s="108">
        <f>+SUM('inputdata consumption EC'!O54:Q54)-SUM('inputdata consumption EC'!O53:Q53)</f>
        <v>1.5100000000000016</v>
      </c>
      <c r="H46" s="109">
        <f>+'Input data monthly1'!$F46</f>
        <v>1.7699999999999996</v>
      </c>
    </row>
    <row r="47" spans="2:8" x14ac:dyDescent="0.2">
      <c r="B47" s="107">
        <v>42521</v>
      </c>
      <c r="C47" s="108">
        <f>+SUM('InputData Supply PEG'!D83:F83)-SUM('InputData Supply PEG'!D82:F82)-'InputData Supply PEG'!G83</f>
        <v>168.44400000000161</v>
      </c>
      <c r="D47" s="108">
        <f>+SUM('InputData Supply PEG'!P83:R83)-SUM('InputData Supply PEG'!P82:R82)-'InputData Supply PEG'!S83</f>
        <v>168.74100000000087</v>
      </c>
      <c r="E47" s="109">
        <f>+'Input data monthly1'!$C47</f>
        <v>168.44400000000161</v>
      </c>
      <c r="F47" s="108">
        <f>+SUM('inputdata consumption EC'!D55:F55)-SUM('inputdata consumption EC'!D54:F54)</f>
        <v>1.379999999999999</v>
      </c>
      <c r="G47" s="108">
        <f>+SUM('inputdata consumption EC'!O55:Q55)-SUM('inputdata consumption EC'!O54:Q54)</f>
        <v>1.4199999999999946</v>
      </c>
      <c r="H47" s="109">
        <f>+'Input data monthly1'!$F47</f>
        <v>1.379999999999999</v>
      </c>
    </row>
    <row r="48" spans="2:8" x14ac:dyDescent="0.2">
      <c r="B48" s="107">
        <v>42551</v>
      </c>
      <c r="C48" s="108">
        <f>+SUM('InputData Supply PEG'!D84:F84)-SUM('InputData Supply PEG'!D83:F83)-'InputData Supply PEG'!G84</f>
        <v>165.4409999999971</v>
      </c>
      <c r="D48" s="108">
        <f>+SUM('InputData Supply PEG'!P84:R84)-SUM('InputData Supply PEG'!P83:R83)-'InputData Supply PEG'!S84</f>
        <v>165.76699999999883</v>
      </c>
      <c r="E48" s="109">
        <f>+'Input data monthly1'!$C48</f>
        <v>165.4409999999971</v>
      </c>
      <c r="F48" s="108">
        <f>+SUM('inputdata consumption EC'!D56:F56)-SUM('inputdata consumption EC'!D55:F55)</f>
        <v>1.2899999999999991</v>
      </c>
      <c r="G48" s="108">
        <f>+SUM('inputdata consumption EC'!O56:Q56)-SUM('inputdata consumption EC'!O55:Q55)</f>
        <v>1.3400000000000034</v>
      </c>
      <c r="H48" s="109">
        <f>+'Input data monthly1'!$F48</f>
        <v>1.2899999999999991</v>
      </c>
    </row>
    <row r="49" spans="2:8" x14ac:dyDescent="0.2">
      <c r="B49" s="107">
        <v>42582</v>
      </c>
      <c r="C49" s="108">
        <f>+SUM('InputData Supply PEG'!D85:F85)-SUM('InputData Supply PEG'!D84:F84)-'InputData Supply PEG'!G85</f>
        <v>290.74900000000247</v>
      </c>
      <c r="D49" s="108">
        <f>+SUM('InputData Supply PEG'!P85:R85)-SUM('InputData Supply PEG'!P84:R84)-'InputData Supply PEG'!S85</f>
        <v>291.44000000000318</v>
      </c>
      <c r="E49" s="109">
        <f>+'Input data monthly1'!$C49</f>
        <v>290.74900000000247</v>
      </c>
      <c r="F49" s="108">
        <f>+SUM('inputdata consumption EC'!D57:F57)-SUM('inputdata consumption EC'!D56:F56)</f>
        <v>0.85000000000000142</v>
      </c>
      <c r="G49" s="108">
        <f>+SUM('inputdata consumption EC'!O57:Q57)-SUM('inputdata consumption EC'!O56:Q56)</f>
        <v>0.89000000000000057</v>
      </c>
      <c r="H49" s="109">
        <f>+'Input data monthly1'!$F49</f>
        <v>0.85000000000000142</v>
      </c>
    </row>
    <row r="50" spans="2:8" x14ac:dyDescent="0.2">
      <c r="B50" s="107">
        <v>42613</v>
      </c>
      <c r="C50" s="108">
        <f>+SUM('InputData Supply PEG'!D86:F86)-SUM('InputData Supply PEG'!D85:F85)-'InputData Supply PEG'!G86</f>
        <v>601.48500000000092</v>
      </c>
      <c r="D50" s="108">
        <f>+SUM('InputData Supply PEG'!P86:R86)-SUM('InputData Supply PEG'!P85:R85)-'InputData Supply PEG'!S86</f>
        <v>602.94699999999682</v>
      </c>
      <c r="E50" s="109">
        <f>+'Input data monthly1'!$C50</f>
        <v>601.48500000000092</v>
      </c>
      <c r="F50" s="108">
        <f>+SUM('inputdata consumption EC'!D58:F58)-SUM('inputdata consumption EC'!D57:F57)</f>
        <v>0.56000000000000227</v>
      </c>
      <c r="G50" s="108">
        <f>+SUM('inputdata consumption EC'!O58:Q58)-SUM('inputdata consumption EC'!O57:Q57)</f>
        <v>0.58000000000000185</v>
      </c>
      <c r="H50" s="109">
        <f>+'Input data monthly1'!$F50</f>
        <v>0.56000000000000227</v>
      </c>
    </row>
    <row r="51" spans="2:8" x14ac:dyDescent="0.2">
      <c r="B51" s="107">
        <v>42643</v>
      </c>
      <c r="C51" s="108">
        <f>+SUM('InputData Supply PEG'!D87:F87)-SUM('InputData Supply PEG'!D86:F86)-'InputData Supply PEG'!G87</f>
        <v>779.73300000000131</v>
      </c>
      <c r="D51" s="108">
        <f>+SUM('InputData Supply PEG'!P87:R87)-SUM('InputData Supply PEG'!P86:R86)-'InputData Supply PEG'!S87</f>
        <v>781.52100000000269</v>
      </c>
      <c r="E51" s="109">
        <f>+'Input data monthly1'!$C51</f>
        <v>779.73300000000131</v>
      </c>
      <c r="F51" s="108">
        <f>+SUM('inputdata consumption EC'!D59:F59)-SUM('inputdata consumption EC'!D58:F58)</f>
        <v>0.29800000000000182</v>
      </c>
      <c r="G51" s="108">
        <f>+SUM('inputdata consumption EC'!O59:Q59)-SUM('inputdata consumption EC'!O58:Q58)</f>
        <v>0.32400000000000162</v>
      </c>
      <c r="H51" s="109">
        <f>+'Input data monthly1'!$F51</f>
        <v>0.29800000000000182</v>
      </c>
    </row>
    <row r="52" spans="2:8" x14ac:dyDescent="0.2">
      <c r="B52" s="107">
        <v>42674</v>
      </c>
      <c r="C52" s="108">
        <f>+SUM('InputData Supply PEG'!D88:F88)-SUM('InputData Supply PEG'!D87:F87)-'InputData Supply PEG'!G88</f>
        <v>1068.3419999999956</v>
      </c>
      <c r="D52" s="108">
        <f>+SUM('InputData Supply PEG'!P88:R88)-SUM('InputData Supply PEG'!P87:R87)-'InputData Supply PEG'!S88</f>
        <v>1070.8479999999993</v>
      </c>
      <c r="E52" s="109">
        <f>+'Input data monthly1'!$C52</f>
        <v>1068.3419999999956</v>
      </c>
      <c r="F52" s="108">
        <f>+SUM('inputdata consumption EC'!D60:F60)-SUM('inputdata consumption EC'!D59:F59)</f>
        <v>0.1579999999999977</v>
      </c>
      <c r="G52" s="108">
        <f>+SUM('inputdata consumption EC'!O60:Q60)-SUM('inputdata consumption EC'!O59:Q59)</f>
        <v>0.16499999999999915</v>
      </c>
      <c r="H52" s="109">
        <f>+'Input data monthly1'!$F52</f>
        <v>0.1579999999999977</v>
      </c>
    </row>
    <row r="53" spans="2:8" x14ac:dyDescent="0.2">
      <c r="B53" s="107">
        <v>42704</v>
      </c>
      <c r="C53" s="108">
        <f>+SUM('InputData Supply PEG'!D89:F89)-SUM('InputData Supply PEG'!D88:F88)-'InputData Supply PEG'!G89-0.47</f>
        <v>1517.0920000000024</v>
      </c>
      <c r="D53" s="108">
        <f>+SUM('InputData Supply PEG'!P89:R89)-SUM('InputData Supply PEG'!P88:R88)-'InputData Supply PEG'!S89-0.47</f>
        <v>1520.5310000000022</v>
      </c>
      <c r="E53" s="109">
        <f>+'Input data monthly1'!$C53</f>
        <v>1517.0920000000024</v>
      </c>
      <c r="F53" s="108">
        <f>+SUM('inputdata consumption EC'!D61:F61)-SUM('inputdata consumption EC'!D60:F60)-1.02</f>
        <v>8.099999999999552E-2</v>
      </c>
      <c r="G53" s="108">
        <f>+SUM('inputdata consumption EC'!O61:Q61)-SUM('inputdata consumption EC'!O60:Q60)-1.013</f>
        <v>8.9000000000000412E-2</v>
      </c>
      <c r="H53" s="109">
        <f>+'Input data monthly1'!$F53</f>
        <v>8.099999999999552E-2</v>
      </c>
    </row>
    <row r="54" spans="2:8" x14ac:dyDescent="0.2">
      <c r="B54" s="107">
        <v>42735</v>
      </c>
      <c r="C54" s="108">
        <f>+SUM('InputData Supply PEG'!D90:F90)-SUM('InputData Supply PEG'!D89:F89)-'InputData Supply PEG'!G90</f>
        <v>1158.7369999999978</v>
      </c>
      <c r="D54" s="108">
        <f>+SUM('InputData Supply PEG'!P90:R90)-SUM('InputData Supply PEG'!P89:R89)-'InputData Supply PEG'!S90</f>
        <v>1160.9269999999983</v>
      </c>
      <c r="E54" s="109">
        <f>+'Input data monthly1'!$C54</f>
        <v>1158.7369999999978</v>
      </c>
      <c r="F54" s="108">
        <f>+SUM('inputdata consumption EC'!D62:F62)-SUM('inputdata consumption EC'!D61:F61)</f>
        <v>5.2000000000003155E-2</v>
      </c>
      <c r="G54" s="108">
        <f>+SUM('inputdata consumption EC'!O62:Q62)-SUM('inputdata consumption EC'!O61:Q61)</f>
        <v>5.3999999999998494E-2</v>
      </c>
      <c r="H54" s="109">
        <f>+'Input data monthly1'!$F54</f>
        <v>5.2000000000003155E-2</v>
      </c>
    </row>
    <row r="55" spans="2:8" x14ac:dyDescent="0.2">
      <c r="B55" s="107">
        <v>42766</v>
      </c>
      <c r="C55" s="108">
        <f>+SUM('InputData Supply PEG'!D91:F91)-SUM('InputData Supply PEG'!D90:F90)-'InputData Supply PEG'!G91</f>
        <v>811.44800000000009</v>
      </c>
      <c r="D55" s="108">
        <f>+SUM('InputData Supply PEG'!P91:R91)-SUM('InputData Supply PEG'!P90:R90)-'InputData Supply PEG'!S91</f>
        <v>813.03899999999703</v>
      </c>
      <c r="E55" s="109">
        <f>+'Input data monthly1'!$C55</f>
        <v>811.44800000000009</v>
      </c>
      <c r="F55" s="108">
        <f>+SUM('inputdata consumption EC'!D63:F63)-SUM('inputdata consumption EC'!D62:F62)</f>
        <v>8.9999999999999858E-2</v>
      </c>
      <c r="G55" s="108">
        <f>+SUM('inputdata consumption EC'!O63:Q63)-SUM('inputdata consumption EC'!O62:Q62)</f>
        <v>8.9999999999996305E-2</v>
      </c>
      <c r="H55" s="109">
        <f>+'Input data monthly1'!$F55</f>
        <v>8.9999999999999858E-2</v>
      </c>
    </row>
    <row r="56" spans="2:8" x14ac:dyDescent="0.2">
      <c r="B56" s="107">
        <v>42794</v>
      </c>
      <c r="C56" s="108">
        <f>+SUM('InputData Supply PEG'!D92:F92)-SUM('InputData Supply PEG'!D91:F91)-'InputData Supply PEG'!G92</f>
        <v>507.94800000000203</v>
      </c>
      <c r="D56" s="108">
        <f>+SUM('InputData Supply PEG'!P92:R92)-SUM('InputData Supply PEG'!P91:R91)-'InputData Supply PEG'!S92</f>
        <v>508.76800000000378</v>
      </c>
      <c r="E56" s="109">
        <f>+'Input data monthly1'!$C56</f>
        <v>507.94800000000203</v>
      </c>
      <c r="F56" s="108">
        <f>+SUM('inputdata consumption EC'!D64:F64)-SUM('inputdata consumption EC'!D63:F63)</f>
        <v>0.20400000000000063</v>
      </c>
      <c r="G56" s="108">
        <f>+SUM('inputdata consumption EC'!O64:Q64)-SUM('inputdata consumption EC'!O63:Q63)</f>
        <v>0.21400000000000574</v>
      </c>
      <c r="H56" s="109">
        <f>+'Input data monthly1'!$F56</f>
        <v>0.20400000000000063</v>
      </c>
    </row>
    <row r="57" spans="2:8" x14ac:dyDescent="0.2">
      <c r="B57" s="107">
        <v>42825</v>
      </c>
      <c r="C57" s="108">
        <f>+SUM('InputData Supply PEG'!D93:F93)-SUM('InputData Supply PEG'!D92:F92)-'InputData Supply PEG'!G93</f>
        <v>401.80199999999707</v>
      </c>
      <c r="D57" s="108">
        <f>+SUM('InputData Supply PEG'!P93:R93)-SUM('InputData Supply PEG'!P92:R92)-'InputData Supply PEG'!S93</f>
        <v>402.61299999999699</v>
      </c>
      <c r="E57" s="109">
        <f>+'Input data monthly1'!$C57</f>
        <v>401.80199999999707</v>
      </c>
      <c r="F57" s="108">
        <f>+SUM('inputdata consumption EC'!D65:F65)-SUM('inputdata consumption EC'!D64:F64)</f>
        <v>0.38400000000000034</v>
      </c>
      <c r="G57" s="108">
        <f>+SUM('inputdata consumption EC'!O65:Q65)-SUM('inputdata consumption EC'!O64:Q64)</f>
        <v>0.40399999999999636</v>
      </c>
      <c r="H57" s="109">
        <f>+'Input data monthly1'!$F57</f>
        <v>0.38400000000000034</v>
      </c>
    </row>
    <row r="58" spans="2:8" x14ac:dyDescent="0.2">
      <c r="B58" s="107">
        <v>42855</v>
      </c>
      <c r="C58" s="108">
        <f>+SUM('InputData Supply PEG'!D94:F94)-SUM('InputData Supply PEG'!D93:F93)-'InputData Supply PEG'!G94</f>
        <v>279.49400000000287</v>
      </c>
      <c r="D58" s="108">
        <f>+SUM('InputData Supply PEG'!P94:R94)-SUM('InputData Supply PEG'!P93:R93)-'InputData Supply PEG'!S94</f>
        <v>280.12400000000531</v>
      </c>
      <c r="E58" s="109">
        <f>+'Input data monthly1'!$C58</f>
        <v>279.49400000000287</v>
      </c>
      <c r="F58" s="108">
        <f>+SUM('inputdata consumption EC'!D66:F66)-SUM('inputdata consumption EC'!D65:F65)</f>
        <v>0.48899999999999721</v>
      </c>
      <c r="G58" s="108">
        <f>+SUM('inputdata consumption EC'!O66:Q66)-SUM('inputdata consumption EC'!O65:Q65)</f>
        <v>0.5140000000000029</v>
      </c>
      <c r="H58" s="109">
        <f>+'Input data monthly1'!$F58</f>
        <v>0.48899999999999721</v>
      </c>
    </row>
    <row r="59" spans="2:8" x14ac:dyDescent="0.2">
      <c r="B59" s="107">
        <v>42886</v>
      </c>
      <c r="C59" s="108">
        <f>+SUM('InputData Supply PEG'!D95:F95)-SUM('InputData Supply PEG'!D94:F94)-'InputData Supply PEG'!G95</f>
        <v>363.3029999999967</v>
      </c>
      <c r="D59" s="108">
        <f>+SUM('InputData Supply PEG'!P95:R95)-SUM('InputData Supply PEG'!P94:R94)-'InputData Supply PEG'!S95</f>
        <v>363.9329999999955</v>
      </c>
      <c r="E59" s="109">
        <f>+'Input data monthly1'!$C59</f>
        <v>363.3029999999967</v>
      </c>
      <c r="F59" s="108">
        <f>+SUM('inputdata consumption EC'!D67:F67)-SUM('inputdata consumption EC'!D66:F66)</f>
        <v>1.220000000000006</v>
      </c>
      <c r="G59" s="108">
        <f>+SUM('inputdata consumption EC'!O67:Q67)-SUM('inputdata consumption EC'!O66:Q66)</f>
        <v>1.259999999999998</v>
      </c>
      <c r="H59" s="109">
        <f>+'Input data monthly1'!$F59</f>
        <v>1.220000000000006</v>
      </c>
    </row>
    <row r="60" spans="2:8" x14ac:dyDescent="0.2">
      <c r="B60" s="107">
        <v>42916</v>
      </c>
      <c r="C60" s="108">
        <f>+SUM('InputData Supply PEG'!D96:F96)-SUM('InputData Supply PEG'!D95:F95)-'InputData Supply PEG'!G96</f>
        <v>567.93300000000193</v>
      </c>
      <c r="D60" s="108">
        <f>+SUM('InputData Supply PEG'!P96:R96)-SUM('InputData Supply PEG'!P95:R95)-'InputData Supply PEG'!S96</f>
        <v>569.20100000000139</v>
      </c>
      <c r="E60" s="109">
        <f>+'Input data monthly1'!$C60</f>
        <v>567.93300000000193</v>
      </c>
      <c r="F60" s="108">
        <f>+SUM('inputdata consumption EC'!D68:F68)-SUM('inputdata consumption EC'!D67:F67)</f>
        <v>0.93599999999999284</v>
      </c>
      <c r="G60" s="108">
        <f>+SUM('inputdata consumption EC'!O68:Q68)-SUM('inputdata consumption EC'!O67:Q67)</f>
        <v>0.97399999999999665</v>
      </c>
      <c r="H60" s="109">
        <f>+'Input data monthly1'!$F60</f>
        <v>0.93599999999999284</v>
      </c>
    </row>
    <row r="61" spans="2:8" x14ac:dyDescent="0.2">
      <c r="B61" s="107">
        <v>42947</v>
      </c>
      <c r="C61" s="108">
        <f>+SUM('InputData Supply PEG'!D97:F97)-SUM('InputData Supply PEG'!D96:F96)-'InputData Supply PEG'!G97</f>
        <v>1002.807000000001</v>
      </c>
      <c r="D61" s="108">
        <f>+SUM('InputData Supply PEG'!P97:R97)-SUM('InputData Supply PEG'!P96:R96)-'InputData Supply PEG'!S97</f>
        <v>1004.6209999999967</v>
      </c>
      <c r="E61" s="109">
        <f>+'Input data monthly1'!$C61</f>
        <v>1002.807000000001</v>
      </c>
      <c r="F61" s="108">
        <f>+SUM('inputdata consumption EC'!D69:F69)-SUM('inputdata consumption EC'!D68:F68)</f>
        <v>0.49399999999999977</v>
      </c>
      <c r="G61" s="108">
        <f>+SUM('inputdata consumption EC'!O69:Q69)-SUM('inputdata consumption EC'!O68:Q68)</f>
        <v>0.51500000000000057</v>
      </c>
      <c r="H61" s="109">
        <f>+'Input data monthly1'!$F61</f>
        <v>0.49399999999999977</v>
      </c>
    </row>
    <row r="62" spans="2:8" x14ac:dyDescent="0.2">
      <c r="B62" s="107">
        <v>42978</v>
      </c>
      <c r="C62" s="108">
        <f>+SUM('InputData Supply PEG'!D98:F98)-SUM('InputData Supply PEG'!D97:F97)-'InputData Supply PEG'!G98</f>
        <v>1117.2429999999983</v>
      </c>
      <c r="D62" s="108">
        <f>+SUM('InputData Supply PEG'!P98:R98)-SUM('InputData Supply PEG'!P97:R97)-'InputData Supply PEG'!S98</f>
        <v>1119.7590000000041</v>
      </c>
      <c r="E62" s="109">
        <f>+'Input data monthly1'!$C62</f>
        <v>1117.2429999999983</v>
      </c>
      <c r="F62" s="108">
        <f>+SUM('inputdata consumption EC'!D70:F70)-SUM('inputdata consumption EC'!D69:F69)</f>
        <v>0.27200000000000557</v>
      </c>
      <c r="G62" s="108">
        <f>+SUM('inputdata consumption EC'!O70:Q70)-SUM('inputdata consumption EC'!O69:Q69)</f>
        <v>0.28000000000000114</v>
      </c>
      <c r="H62" s="109">
        <f>+'Input data monthly1'!$F62</f>
        <v>0.27200000000000557</v>
      </c>
    </row>
    <row r="63" spans="2:8" x14ac:dyDescent="0.2">
      <c r="B63" s="107">
        <v>43008</v>
      </c>
      <c r="C63" s="108">
        <f>+SUM('InputData Supply PEG'!D99:F99)-SUM('InputData Supply PEG'!D98:F98)-'InputData Supply PEG'!G99</f>
        <v>1074.0280000000039</v>
      </c>
      <c r="D63" s="108">
        <f>+SUM('InputData Supply PEG'!P99:R99)-SUM('InputData Supply PEG'!P98:R98)-'InputData Supply PEG'!S99</f>
        <v>1076.2939999999946</v>
      </c>
      <c r="E63" s="109">
        <f>+'Input data monthly1'!$C63</f>
        <v>1074.0280000000039</v>
      </c>
      <c r="F63" s="108">
        <f>+SUM('inputdata consumption EC'!D71:F71)-SUM('inputdata consumption EC'!D70:F70)</f>
        <v>6.1999999999990507E-2</v>
      </c>
      <c r="G63" s="108">
        <f>+SUM('inputdata consumption EC'!O71:Q71)-SUM('inputdata consumption EC'!O70:Q70)</f>
        <v>6.4999999999997726E-2</v>
      </c>
      <c r="H63" s="109">
        <f>+'Input data monthly1'!$F63</f>
        <v>6.1999999999990507E-2</v>
      </c>
    </row>
    <row r="64" spans="2:8" x14ac:dyDescent="0.2">
      <c r="B64" s="107">
        <v>43039</v>
      </c>
      <c r="C64" s="108">
        <f>+SUM('InputData Supply PEG'!D100:F100)-SUM('InputData Supply PEG'!D99:F99)-'InputData Supply PEG'!G100</f>
        <v>876.41700000000174</v>
      </c>
      <c r="D64" s="108">
        <f>+SUM('InputData Supply PEG'!P100:R100)-SUM('InputData Supply PEG'!P99:R99)-'InputData Supply PEG'!S100</f>
        <v>878.1770000000007</v>
      </c>
      <c r="E64" s="109">
        <f>+'Input data monthly1'!$C64</f>
        <v>876.41700000000174</v>
      </c>
      <c r="F64" s="108">
        <f>+SUM('inputdata consumption EC'!D72:F72)-SUM('inputdata consumption EC'!D71:F71)</f>
        <v>0.18100000000000449</v>
      </c>
      <c r="G64" s="108">
        <f>+SUM('inputdata consumption EC'!O72:Q72)-SUM('inputdata consumption EC'!O71:Q71)</f>
        <v>0.18700000000000472</v>
      </c>
      <c r="H64" s="109">
        <f>+'Input data monthly1'!$F64</f>
        <v>0.18100000000000449</v>
      </c>
    </row>
    <row r="65" spans="2:8" x14ac:dyDescent="0.2">
      <c r="B65" s="107">
        <v>43069</v>
      </c>
      <c r="C65" s="108">
        <f>+SUM('InputData Supply PEG'!D101:F101)-SUM('InputData Supply PEG'!D100:F100)-'InputData Supply PEG'!G101+0.719</f>
        <v>1025.2310000000002</v>
      </c>
      <c r="D65" s="108">
        <f>+SUM('InputData Supply PEG'!P101:R101)-SUM('InputData Supply PEG'!P100:R100)-'InputData Supply PEG'!S101+0.721</f>
        <v>1027.3040000000051</v>
      </c>
      <c r="E65" s="109">
        <f>+'Input data monthly1'!$C65</f>
        <v>1025.2310000000002</v>
      </c>
      <c r="F65" s="108">
        <f>+SUM('inputdata consumption EC'!D73:F73)-SUM('inputdata consumption EC'!D72:F72)-0.361</f>
        <v>0.12600000000000189</v>
      </c>
      <c r="G65" s="108">
        <f>+SUM('inputdata consumption EC'!O73:Q73)-SUM('inputdata consumption EC'!O72:Q72)-0.362</f>
        <v>0.13100000000000211</v>
      </c>
      <c r="H65" s="109">
        <f>+'Input data monthly1'!$F65</f>
        <v>0.12600000000000189</v>
      </c>
    </row>
    <row r="66" spans="2:8" x14ac:dyDescent="0.2">
      <c r="B66" s="107">
        <v>43100</v>
      </c>
      <c r="C66" s="108">
        <f>+SUM('InputData Supply PEG'!D102:F102)-SUM('InputData Supply PEG'!D101:F101)-'InputData Supply PEG'!G102</f>
        <v>857.48199999999724</v>
      </c>
      <c r="D66" s="108">
        <f>+SUM('InputData Supply PEG'!P102:R102)-SUM('InputData Supply PEG'!P101:R101)-'InputData Supply PEG'!S102</f>
        <v>858.99099999999908</v>
      </c>
      <c r="E66" s="109">
        <f>+'Input data monthly1'!$C66</f>
        <v>857.48199999999724</v>
      </c>
      <c r="F66" s="108">
        <f>+SUM('inputdata consumption EC'!D74:F74)-SUM('inputdata consumption EC'!D73:F73)</f>
        <v>0.18800000000000239</v>
      </c>
      <c r="G66" s="108">
        <f>+SUM('inputdata consumption EC'!O74:Q74)-SUM('inputdata consumption EC'!O73:Q73)</f>
        <v>0.1909999999999954</v>
      </c>
      <c r="H66" s="109">
        <f>+'Input data monthly1'!$F66</f>
        <v>0.18800000000000239</v>
      </c>
    </row>
    <row r="67" spans="2:8" x14ac:dyDescent="0.2">
      <c r="B67" s="107">
        <v>43131</v>
      </c>
      <c r="C67" s="108">
        <f>+SUM('InputData Supply PEG'!D103:F103)-SUM('InputData Supply PEG'!D102:F102)-'InputData Supply PEG'!G103</f>
        <v>703.51400000000115</v>
      </c>
      <c r="D67" s="108">
        <f>+SUM('InputData Supply PEG'!P103:R103)-SUM('InputData Supply PEG'!P102:R102)-'InputData Supply PEG'!S103</f>
        <v>704.89099999999746</v>
      </c>
      <c r="E67" s="109">
        <f>+'Input data monthly1'!$C67</f>
        <v>703.51400000000115</v>
      </c>
      <c r="F67" s="108">
        <f>+SUM('inputdata consumption EC'!D75:F75)-SUM('inputdata consumption EC'!D74:F74)</f>
        <v>0.15999999999999659</v>
      </c>
      <c r="G67" s="108">
        <f>+SUM('inputdata consumption EC'!O75:Q75)-SUM('inputdata consumption EC'!O74:Q74)</f>
        <v>0.17600000000000193</v>
      </c>
      <c r="H67" s="109">
        <f>+'Input data monthly1'!$F67</f>
        <v>0.15999999999999659</v>
      </c>
    </row>
    <row r="68" spans="2:8" x14ac:dyDescent="0.2">
      <c r="B68" s="107">
        <v>43159</v>
      </c>
      <c r="C68" s="108">
        <f>+SUM('InputData Supply PEG'!D104:F104)-SUM('InputData Supply PEG'!D103:F103)-'InputData Supply PEG'!G104</f>
        <v>417.16600000000017</v>
      </c>
      <c r="D68" s="108">
        <f>+SUM('InputData Supply PEG'!P104:R104)-SUM('InputData Supply PEG'!P103:R103)-'InputData Supply PEG'!S104</f>
        <v>417.82800000000572</v>
      </c>
      <c r="E68" s="109">
        <f>+'Input data monthly1'!$C68</f>
        <v>417.16600000000017</v>
      </c>
      <c r="F68" s="108">
        <f>+SUM('inputdata consumption EC'!D76:F76)-SUM('inputdata consumption EC'!D75:F75)</f>
        <v>0.21900000000000119</v>
      </c>
      <c r="G68" s="108">
        <f>+SUM('inputdata consumption EC'!O76:Q76)-SUM('inputdata consumption EC'!O75:Q75)</f>
        <v>0.2359999999999971</v>
      </c>
      <c r="H68" s="109">
        <f>+'Input data monthly1'!$F68</f>
        <v>0.21900000000000119</v>
      </c>
    </row>
    <row r="69" spans="2:8" x14ac:dyDescent="0.2">
      <c r="B69" s="107">
        <v>43190</v>
      </c>
      <c r="C69" s="108">
        <f>+SUM('InputData Supply PEG'!D105:F105)-SUM('InputData Supply PEG'!D104:F104)-'InputData Supply PEG'!G105</f>
        <v>354.45399999999819</v>
      </c>
      <c r="D69" s="108">
        <f>+SUM('InputData Supply PEG'!P105:R105)-SUM('InputData Supply PEG'!P104:R104)-'InputData Supply PEG'!S105</f>
        <v>355.15799999999427</v>
      </c>
      <c r="E69" s="109">
        <f>+'Input data monthly1'!$C69</f>
        <v>354.45399999999819</v>
      </c>
      <c r="F69" s="108">
        <f>+SUM('inputdata consumption EC'!D77:F77)-SUM('inputdata consumption EC'!D76:F76)</f>
        <v>1.0330000000000013</v>
      </c>
      <c r="G69" s="108">
        <f>+SUM('inputdata consumption EC'!O77:Q77)-SUM('inputdata consumption EC'!O76:Q76)</f>
        <v>0.50900000000000034</v>
      </c>
      <c r="H69" s="109">
        <f>+'Input data monthly1'!$F69</f>
        <v>1.0330000000000013</v>
      </c>
    </row>
    <row r="70" spans="2:8" x14ac:dyDescent="0.2">
      <c r="B70" s="107">
        <v>43220</v>
      </c>
      <c r="C70" s="108">
        <f>+SUM('InputData Supply PEG'!D106:F106)-SUM('InputData Supply PEG'!D105:F105)-'InputData Supply PEG'!G106</f>
        <v>275.39200000000096</v>
      </c>
      <c r="D70" s="108">
        <f>+SUM('InputData Supply PEG'!P106:R106)-SUM('InputData Supply PEG'!P105:R105)-'InputData Supply PEG'!S106</f>
        <v>275.93099999999924</v>
      </c>
      <c r="E70" s="109">
        <f>+'Input data monthly1'!$C70</f>
        <v>275.39200000000096</v>
      </c>
      <c r="F70" s="108">
        <f>+SUM('inputdata consumption EC'!D78:F78)-SUM('inputdata consumption EC'!D77:F77)</f>
        <v>8.5999999999998522E-2</v>
      </c>
      <c r="G70" s="108">
        <f>+SUM('inputdata consumption EC'!O78:Q78)-SUM('inputdata consumption EC'!O77:Q77)</f>
        <v>0.68999999999999773</v>
      </c>
      <c r="H70" s="109">
        <f>+'Input data monthly1'!$F70</f>
        <v>8.5999999999998522E-2</v>
      </c>
    </row>
    <row r="71" spans="2:8" x14ac:dyDescent="0.2">
      <c r="B71" s="107">
        <v>43251</v>
      </c>
      <c r="C71" s="108">
        <f>+SUM('InputData Supply PEG'!D107:F107)-SUM('InputData Supply PEG'!D106:F106)-'InputData Supply PEG'!G107</f>
        <v>281.99699999999865</v>
      </c>
      <c r="D71" s="108">
        <f>+SUM('InputData Supply PEG'!P107:R107)-SUM('InputData Supply PEG'!P106:R106)-'InputData Supply PEG'!S107</f>
        <v>282.6110000000017</v>
      </c>
      <c r="E71" s="109">
        <f>+'Input data monthly1'!$C71</f>
        <v>281.99699999999865</v>
      </c>
      <c r="F71" s="108">
        <f>+SUM('inputdata consumption EC'!D79:F79)-SUM('inputdata consumption EC'!D78:F78)</f>
        <v>0.32100000000000506</v>
      </c>
      <c r="G71" s="108">
        <f>+SUM('inputdata consumption EC'!O79:Q79)-SUM('inputdata consumption EC'!O78:Q78)</f>
        <v>0.34000000000000341</v>
      </c>
      <c r="H71" s="109">
        <f>+'Input data monthly1'!$F71</f>
        <v>0.32100000000000506</v>
      </c>
    </row>
    <row r="72" spans="2:8" x14ac:dyDescent="0.2">
      <c r="B72" s="107">
        <v>43281</v>
      </c>
      <c r="C72" s="108">
        <f>+SUM('InputData Supply PEG'!D108:F108)-SUM('InputData Supply PEG'!D107:F107)-'InputData Supply PEG'!G108</f>
        <v>458.01300000000094</v>
      </c>
      <c r="D72" s="108">
        <f>+SUM('InputData Supply PEG'!P108:R108)-SUM('InputData Supply PEG'!P107:R107)-'InputData Supply PEG'!S108</f>
        <v>459.01399999999995</v>
      </c>
      <c r="E72" s="109">
        <f>+'Input data monthly1'!$C72</f>
        <v>458.01300000000094</v>
      </c>
      <c r="F72" s="108">
        <f>+SUM('inputdata consumption EC'!D80:F80)-SUM('inputdata consumption EC'!D79:F79)</f>
        <v>0.10899999999999466</v>
      </c>
      <c r="G72" s="108">
        <f>+SUM('inputdata consumption EC'!O80:Q80)-SUM('inputdata consumption EC'!O79:Q79)</f>
        <v>0.117999999999995</v>
      </c>
      <c r="H72" s="109">
        <f>+'Input data monthly1'!$F72</f>
        <v>0.10899999999999466</v>
      </c>
    </row>
    <row r="73" spans="2:8" x14ac:dyDescent="0.2">
      <c r="B73" s="107">
        <v>43312</v>
      </c>
      <c r="C73" s="108">
        <f>+SUM('InputData Supply PEG'!D109:F109)-SUM('InputData Supply PEG'!D108:F108)-'InputData Supply PEG'!G109</f>
        <v>1339.9109999999978</v>
      </c>
      <c r="D73" s="108">
        <f>+SUM('InputData Supply PEG'!P109:R109)-SUM('InputData Supply PEG'!P108:R108)-'InputData Supply PEG'!S109</f>
        <v>1343.1529999999968</v>
      </c>
      <c r="E73" s="109">
        <f>+'Input data monthly1'!$C73</f>
        <v>1339.9109999999978</v>
      </c>
      <c r="F73" s="108">
        <f>+SUM('inputdata consumption EC'!D81:F81)-SUM('inputdata consumption EC'!D80:F80)</f>
        <v>7.4000000000005173E-2</v>
      </c>
      <c r="G73" s="108">
        <f>+SUM('inputdata consumption EC'!O81:Q81)-SUM('inputdata consumption EC'!O80:Q80)</f>
        <v>7.9000000000007731E-2</v>
      </c>
      <c r="H73" s="109">
        <f>+'Input data monthly1'!$F73</f>
        <v>7.4000000000005173E-2</v>
      </c>
    </row>
    <row r="74" spans="2:8" x14ac:dyDescent="0.2">
      <c r="B74" s="107">
        <v>43343</v>
      </c>
      <c r="C74" s="108">
        <f>+SUM('InputData Supply PEG'!D110:F110)-SUM('InputData Supply PEG'!D109:F109)-'InputData Supply PEG'!G110</f>
        <v>2163.5559919999955</v>
      </c>
      <c r="D74" s="108">
        <f>+SUM('InputData Supply PEG'!P110:R110)-SUM('InputData Supply PEG'!P109:R109)-'InputData Supply PEG'!S110</f>
        <v>2169.4988120000021</v>
      </c>
      <c r="E74" s="109">
        <f>+'Input data monthly1'!$C74</f>
        <v>2163.5559919999955</v>
      </c>
      <c r="F74" s="108">
        <f>+SUM('inputdata consumption EC'!D82:F82)-SUM('inputdata consumption EC'!D81:F81)</f>
        <v>5.9999999999931219E-3</v>
      </c>
      <c r="G74" s="108">
        <f>+SUM('inputdata consumption EC'!O82:Q82)-SUM('inputdata consumption EC'!O81:Q81)</f>
        <v>4.9999999999954525E-3</v>
      </c>
      <c r="H74" s="109">
        <f>+'Input data monthly1'!$F74</f>
        <v>5.9999999999931219E-3</v>
      </c>
    </row>
    <row r="75" spans="2:8" x14ac:dyDescent="0.2">
      <c r="B75" s="107">
        <v>43373</v>
      </c>
      <c r="C75" s="108">
        <f>+SUM('InputData Supply PEG'!D111:F111)-SUM('InputData Supply PEG'!D110:F110)-'InputData Supply PEG'!G111</f>
        <v>1744.6390520000123</v>
      </c>
      <c r="D75" s="108">
        <f>+SUM('InputData Supply PEG'!P111:R111)-SUM('InputData Supply PEG'!P110:R110)-'InputData Supply PEG'!S111</f>
        <v>1748.8696679999971</v>
      </c>
      <c r="E75" s="109">
        <f>+'Input data monthly1'!$C75</f>
        <v>1744.6390520000123</v>
      </c>
      <c r="F75" s="108">
        <f>+SUM('inputdata consumption EC'!D83:F83)-SUM('inputdata consumption EC'!D82:F82)</f>
        <v>7.0000000000050022E-3</v>
      </c>
      <c r="G75" s="108">
        <f>+SUM('inputdata consumption EC'!O83:Q83)-SUM('inputdata consumption EC'!O82:Q82)</f>
        <v>7.0000000000050022E-3</v>
      </c>
      <c r="H75" s="109">
        <f>+'Input data monthly1'!$F75</f>
        <v>7.0000000000050022E-3</v>
      </c>
    </row>
    <row r="76" spans="2:8" x14ac:dyDescent="0.2">
      <c r="B76" s="107">
        <v>43404</v>
      </c>
      <c r="C76" s="108">
        <f>+SUM('InputData Supply PEG'!D112:F112)-SUM('InputData Supply PEG'!D111:F111)-'InputData Supply PEG'!G112</f>
        <v>1047.5675079999974</v>
      </c>
      <c r="D76" s="108">
        <f>+SUM('InputData Supply PEG'!P112:R112)-SUM('InputData Supply PEG'!P111:R111)-'InputData Supply PEG'!S112</f>
        <v>1049.9920600000098</v>
      </c>
      <c r="E76" s="109">
        <f>+'Input data monthly1'!$C76</f>
        <v>1047.5675079999974</v>
      </c>
      <c r="F76" s="108">
        <f>+SUM('inputdata consumption EC'!D84:F84)-SUM('inputdata consumption EC'!D83:F83)</f>
        <v>2.4999999999998579E-2</v>
      </c>
      <c r="G76" s="108">
        <f>+SUM('inputdata consumption EC'!O84:Q84)-SUM('inputdata consumption EC'!O83:Q83)</f>
        <v>2.5999999999996248E-2</v>
      </c>
      <c r="H76" s="109">
        <f>+'Input data monthly1'!$F76</f>
        <v>2.4999999999998579E-2</v>
      </c>
    </row>
    <row r="77" spans="2:8" x14ac:dyDescent="0.2">
      <c r="B77" s="107">
        <v>43434</v>
      </c>
      <c r="C77" s="108">
        <f>+SUM('InputData Supply PEG'!D113:F113)-SUM('InputData Supply PEG'!D112:F112)-'InputData Supply PEG'!G113+3.588</f>
        <v>645.60423199999843</v>
      </c>
      <c r="D77" s="108">
        <f>+SUM('InputData Supply PEG'!P113:R113)-SUM('InputData Supply PEG'!P112:R112)-'InputData Supply PEG'!S113+3.588</f>
        <v>646.92913999999166</v>
      </c>
      <c r="E77" s="109">
        <f>+'Input data monthly1'!$C77</f>
        <v>645.60423199999843</v>
      </c>
      <c r="F77" s="108">
        <f>+SUM('inputdata consumption EC'!D85:F85)-SUM('inputdata consumption EC'!D84:F84)-0.39</f>
        <v>0.38799999999999868</v>
      </c>
      <c r="G77" s="108">
        <f>+SUM('inputdata consumption EC'!O85:Q85)-SUM('inputdata consumption EC'!O84:Q84)-0.39</f>
        <v>0.40200000000000158</v>
      </c>
      <c r="H77" s="109">
        <f>+'Input data monthly1'!$F77</f>
        <v>0.38799999999999868</v>
      </c>
    </row>
    <row r="78" spans="2:8" x14ac:dyDescent="0.2">
      <c r="B78" s="107">
        <v>43465</v>
      </c>
      <c r="C78" s="108">
        <f>+SUM('InputData Supply PEG'!D114:F114)-SUM('InputData Supply PEG'!D113:F113)-'InputData Supply PEG'!G114</f>
        <v>524.03322400000104</v>
      </c>
      <c r="D78" s="108">
        <f>+SUM('InputData Supply PEG'!P114:R114)-SUM('InputData Supply PEG'!P113:R113)-'InputData Supply PEG'!S114</f>
        <v>524.95799200000249</v>
      </c>
      <c r="E78" s="109">
        <f>+'Input data monthly1'!$C78</f>
        <v>524.03322400000104</v>
      </c>
      <c r="F78" s="108">
        <f>+SUM('inputdata consumption EC'!D86:F86)-SUM('inputdata consumption EC'!D85:F85)</f>
        <v>0.15299999999999869</v>
      </c>
      <c r="G78" s="108">
        <f>+SUM('inputdata consumption EC'!O86:Q86)-SUM('inputdata consumption EC'!O85:Q85)</f>
        <v>0.16199999999999903</v>
      </c>
      <c r="H78" s="109">
        <f>+'Input data monthly1'!$F78</f>
        <v>0.15299999999999869</v>
      </c>
    </row>
    <row r="79" spans="2:8" x14ac:dyDescent="0.2">
      <c r="B79" s="107">
        <v>43496</v>
      </c>
      <c r="C79" s="108">
        <f>+SUM('InputData Supply PEG'!D115:F115)-SUM('InputData Supply PEG'!D114:F114)-'InputData Supply PEG'!G115</f>
        <v>399.17274799999342</v>
      </c>
      <c r="D79" s="108">
        <f>+SUM('InputData Supply PEG'!P115:R115)-SUM('InputData Supply PEG'!P114:R114)-'InputData Supply PEG'!S115</f>
        <v>399.84952799999832</v>
      </c>
      <c r="E79" s="109">
        <f>+'Input data monthly1'!$C79</f>
        <v>399.17274799999342</v>
      </c>
      <c r="F79" s="108">
        <f>+SUM('inputdata consumption EC'!D87:F87)-SUM('inputdata consumption EC'!D86:F86)</f>
        <v>0.10300000000000153</v>
      </c>
      <c r="G79" s="108">
        <f>+SUM('inputdata consumption EC'!O87:Q87)-SUM('inputdata consumption EC'!O86:Q86)</f>
        <v>0.10300000000000153</v>
      </c>
      <c r="H79" s="109">
        <f>+'Input data monthly1'!$F79</f>
        <v>0.10300000000000153</v>
      </c>
    </row>
    <row r="80" spans="2:8" x14ac:dyDescent="0.2">
      <c r="B80" s="107">
        <v>43524</v>
      </c>
      <c r="C80" s="108">
        <f>+SUM('InputData Supply PEG'!D116:F116)-SUM('InputData Supply PEG'!D115:F115)-'InputData Supply PEG'!G116</f>
        <v>233.59580400000448</v>
      </c>
      <c r="D80" s="108">
        <f>+SUM('InputData Supply PEG'!P116:R116)-SUM('InputData Supply PEG'!P115:R115)-'InputData Supply PEG'!S116</f>
        <v>234.11055199999794</v>
      </c>
      <c r="E80" s="109">
        <f>+'Input data monthly1'!$C80</f>
        <v>233.59580400000448</v>
      </c>
      <c r="F80" s="108">
        <f>+SUM('inputdata consumption EC'!D88:F88)-SUM('inputdata consumption EC'!D87:F87)</f>
        <v>0.19299999999999784</v>
      </c>
      <c r="G80" s="108">
        <f>+SUM('inputdata consumption EC'!O88:Q88)-SUM('inputdata consumption EC'!O87:Q87)</f>
        <v>0.20199999999999818</v>
      </c>
      <c r="H80" s="109">
        <f>+'Input data monthly1'!$F80</f>
        <v>0.19299999999999784</v>
      </c>
    </row>
    <row r="81" spans="2:8" x14ac:dyDescent="0.2">
      <c r="B81" s="107">
        <v>43555</v>
      </c>
      <c r="C81" s="108">
        <f>+SUM('InputData Supply PEG'!D117:F117)-SUM('InputData Supply PEG'!D116:F116)-'InputData Supply PEG'!G117</f>
        <v>183.47851599999493</v>
      </c>
      <c r="D81" s="108">
        <f>+SUM('InputData Supply PEG'!P117:R117)-SUM('InputData Supply PEG'!P116:R116)-'InputData Supply PEG'!S117</f>
        <v>183.90632000000662</v>
      </c>
      <c r="E81" s="109">
        <f>+'Input data monthly1'!$C81</f>
        <v>183.47851599999493</v>
      </c>
      <c r="F81" s="108">
        <f>+SUM('inputdata consumption EC'!D89:F89)-SUM('inputdata consumption EC'!D88:F88)</f>
        <v>0.2430000000000021</v>
      </c>
      <c r="G81" s="108">
        <f>+SUM('inputdata consumption EC'!O89:Q89)-SUM('inputdata consumption EC'!O88:Q88)</f>
        <v>0.25300000000000011</v>
      </c>
      <c r="H81" s="109">
        <f>+'Input data monthly1'!$F81</f>
        <v>0.2430000000000021</v>
      </c>
    </row>
    <row r="82" spans="2:8" x14ac:dyDescent="0.2">
      <c r="B82" s="107">
        <v>43585</v>
      </c>
      <c r="C82" s="108">
        <f>+SUM('InputData Supply PEG'!D118:F118)-SUM('InputData Supply PEG'!D117:F117)-'InputData Supply PEG'!G118</f>
        <v>174.4452319999985</v>
      </c>
      <c r="D82" s="108">
        <f>+SUM('InputData Supply PEG'!P118:R118)-SUM('InputData Supply PEG'!P117:R117)-'InputData Supply PEG'!S118</f>
        <v>174.87402399999959</v>
      </c>
      <c r="E82" s="109">
        <f>+'Input data monthly1'!$C82</f>
        <v>174.4452319999985</v>
      </c>
      <c r="F82" s="108">
        <f>+SUM('inputdata consumption EC'!D90:F90)-SUM('inputdata consumption EC'!D89:F89)</f>
        <v>0.46499999999999631</v>
      </c>
      <c r="G82" s="108">
        <f>+SUM('inputdata consumption EC'!O90:Q90)-SUM('inputdata consumption EC'!O89:Q89)</f>
        <v>0.49600000000000222</v>
      </c>
      <c r="H82" s="109">
        <f>+'Input data monthly1'!$F82</f>
        <v>0.46499999999999631</v>
      </c>
    </row>
  </sheetData>
  <mergeCells count="1">
    <mergeCell ref="B1:E1"/>
  </mergeCells>
  <pageMargins left="0.7" right="0.7" top="0.75" bottom="0.75" header="0.3" footer="0.3"/>
  <pageSetup paperSize="9" orientation="portrait" r:id="rId1"/>
  <ignoredErrors>
    <ignoredError sqref="F4:F16 C74:F76 C78:F82 D77:E77 C77 H74:H76 H78:H82 H77 G78:G82 G74:G76 G4:G16 G83 F71:F73 F30:F40 G30:G40 F42:F52 G42:G52 F54:F64 G54:G64 F66:F70 G66:G73 F77:G77 F18:F27 G18:G28" formulaRange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J19"/>
  <sheetViews>
    <sheetView topLeftCell="A7" workbookViewId="0">
      <selection activeCell="G22" sqref="G22"/>
    </sheetView>
  </sheetViews>
  <sheetFormatPr defaultColWidth="8.875" defaultRowHeight="12.75" x14ac:dyDescent="0.2"/>
  <cols>
    <col min="2" max="2" width="17" customWidth="1"/>
    <col min="3" max="3" width="20.5" customWidth="1"/>
    <col min="4" max="4" width="13.125" customWidth="1"/>
    <col min="5" max="5" width="13.875" customWidth="1"/>
    <col min="6" max="6" width="17.625" customWidth="1"/>
    <col min="7" max="7" width="18.5" customWidth="1"/>
  </cols>
  <sheetData>
    <row r="1" spans="1:11" ht="33.75" x14ac:dyDescent="0.5">
      <c r="A1" s="68" t="s">
        <v>70</v>
      </c>
      <c r="G1" s="69"/>
    </row>
    <row r="2" spans="1:11" x14ac:dyDescent="0.2">
      <c r="G2" s="69"/>
    </row>
    <row r="3" spans="1:11" ht="13.5" thickBot="1" x14ac:dyDescent="0.25">
      <c r="G3" s="69"/>
    </row>
    <row r="4" spans="1:11" s="74" customFormat="1" ht="65.25" customHeight="1" x14ac:dyDescent="0.2">
      <c r="A4" s="70" t="s">
        <v>47</v>
      </c>
      <c r="B4" s="71" t="s">
        <v>48</v>
      </c>
      <c r="C4" s="72" t="s">
        <v>49</v>
      </c>
      <c r="D4" s="71" t="s">
        <v>1</v>
      </c>
      <c r="E4" s="72" t="s">
        <v>63</v>
      </c>
      <c r="F4" s="72" t="s">
        <v>64</v>
      </c>
      <c r="G4" s="73" t="s">
        <v>65</v>
      </c>
      <c r="H4" s="188"/>
      <c r="I4" s="189"/>
      <c r="J4" s="189"/>
      <c r="K4" s="190"/>
    </row>
    <row r="5" spans="1:11" s="79" customFormat="1" ht="69" customHeight="1" x14ac:dyDescent="0.2">
      <c r="A5" s="75">
        <v>1</v>
      </c>
      <c r="B5" s="76" t="s">
        <v>66</v>
      </c>
      <c r="C5" s="76" t="s">
        <v>67</v>
      </c>
      <c r="D5" s="75" t="s">
        <v>68</v>
      </c>
      <c r="E5" s="77">
        <v>0.57640000000000002</v>
      </c>
      <c r="F5" s="77">
        <v>0.57640000000000002</v>
      </c>
      <c r="G5" s="78"/>
      <c r="H5" s="191"/>
      <c r="I5" s="192"/>
      <c r="J5" s="192"/>
      <c r="K5" s="193"/>
    </row>
    <row r="6" spans="1:11" s="79" customFormat="1" ht="42.75" customHeight="1" x14ac:dyDescent="0.2">
      <c r="A6" s="80">
        <v>2</v>
      </c>
      <c r="B6" s="75" t="s">
        <v>12</v>
      </c>
      <c r="C6" s="81" t="s">
        <v>69</v>
      </c>
      <c r="D6" s="80"/>
      <c r="E6" s="80">
        <v>1000</v>
      </c>
      <c r="F6" s="82">
        <v>1</v>
      </c>
      <c r="G6" s="83"/>
      <c r="H6" s="194"/>
      <c r="I6" s="194"/>
      <c r="J6" s="194"/>
      <c r="K6" s="194"/>
    </row>
    <row r="7" spans="1:11" ht="39" customHeight="1" x14ac:dyDescent="0.2">
      <c r="A7" s="75">
        <v>3</v>
      </c>
      <c r="B7" s="75" t="s">
        <v>13</v>
      </c>
      <c r="C7" s="76" t="s">
        <v>69</v>
      </c>
      <c r="D7" s="75"/>
      <c r="E7" s="75">
        <v>1000</v>
      </c>
      <c r="F7" s="84">
        <v>1</v>
      </c>
      <c r="G7" s="83"/>
      <c r="H7" s="194"/>
      <c r="I7" s="194"/>
      <c r="J7" s="194"/>
      <c r="K7" s="194"/>
    </row>
    <row r="10" spans="1:11" s="118" customFormat="1" x14ac:dyDescent="0.2"/>
    <row r="11" spans="1:11" s="118" customFormat="1" ht="20.100000000000001" customHeight="1" x14ac:dyDescent="0.2">
      <c r="B11" s="127" t="s">
        <v>319</v>
      </c>
    </row>
    <row r="12" spans="1:11" s="118" customFormat="1" x14ac:dyDescent="0.2"/>
    <row r="13" spans="1:11" s="118" customFormat="1" ht="27.95" customHeight="1" x14ac:dyDescent="0.2">
      <c r="B13" s="125" t="s">
        <v>47</v>
      </c>
      <c r="C13" s="125" t="s">
        <v>48</v>
      </c>
      <c r="D13" s="195" t="s">
        <v>49</v>
      </c>
      <c r="E13" s="195"/>
      <c r="F13" s="126" t="s">
        <v>1</v>
      </c>
      <c r="G13" s="125" t="s">
        <v>318</v>
      </c>
      <c r="H13" s="196" t="s">
        <v>317</v>
      </c>
      <c r="I13" s="197"/>
      <c r="J13" s="198"/>
    </row>
    <row r="14" spans="1:11" s="118" customFormat="1" ht="69.95" customHeight="1" x14ac:dyDescent="0.2">
      <c r="B14" s="123">
        <v>1</v>
      </c>
      <c r="C14" s="124" t="s">
        <v>66</v>
      </c>
      <c r="D14" s="187" t="s">
        <v>316</v>
      </c>
      <c r="E14" s="187"/>
      <c r="F14" s="123" t="s">
        <v>68</v>
      </c>
      <c r="G14" s="122">
        <v>0.57640000000000002</v>
      </c>
      <c r="H14" s="121" t="s">
        <v>315</v>
      </c>
      <c r="I14" s="120"/>
      <c r="J14" s="120"/>
    </row>
    <row r="15" spans="1:11" s="118" customFormat="1" x14ac:dyDescent="0.2"/>
    <row r="16" spans="1:11" s="118" customFormat="1" x14ac:dyDescent="0.2"/>
    <row r="17" spans="10:88" s="118" customFormat="1" x14ac:dyDescent="0.2"/>
    <row r="18" spans="10:88" s="118" customFormat="1" x14ac:dyDescent="0.2"/>
    <row r="19" spans="10:88" s="118" customFormat="1" x14ac:dyDescent="0.2"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</row>
  </sheetData>
  <mergeCells count="7">
    <mergeCell ref="D14:E14"/>
    <mergeCell ref="H4:K4"/>
    <mergeCell ref="H5:K5"/>
    <mergeCell ref="H6:K6"/>
    <mergeCell ref="H7:K7"/>
    <mergeCell ref="D13:E13"/>
    <mergeCell ref="H13:J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1"/>
  <sheetViews>
    <sheetView topLeftCell="D1" workbookViewId="0">
      <selection activeCell="C99" sqref="C99"/>
    </sheetView>
  </sheetViews>
  <sheetFormatPr defaultColWidth="8.875" defaultRowHeight="12.75" x14ac:dyDescent="0.2"/>
  <cols>
    <col min="2" max="2" width="34.375" customWidth="1"/>
    <col min="3" max="3" width="14.5" customWidth="1"/>
    <col min="4" max="4" width="19" customWidth="1"/>
    <col min="6" max="6" width="26.875" customWidth="1"/>
  </cols>
  <sheetData>
    <row r="1" spans="1:7" ht="33.75" x14ac:dyDescent="0.5">
      <c r="B1" s="68" t="s">
        <v>97</v>
      </c>
    </row>
    <row r="3" spans="1:7" ht="14.25" x14ac:dyDescent="0.2">
      <c r="B3" s="85" t="s">
        <v>85</v>
      </c>
      <c r="C3" s="79"/>
      <c r="D3" s="79"/>
      <c r="E3" s="79"/>
      <c r="F3" s="79"/>
      <c r="G3" s="79"/>
    </row>
    <row r="4" spans="1:7" ht="38.25" x14ac:dyDescent="0.2">
      <c r="B4" s="86" t="s">
        <v>86</v>
      </c>
      <c r="C4" s="86" t="s">
        <v>87</v>
      </c>
      <c r="D4" s="86" t="s">
        <v>88</v>
      </c>
      <c r="E4" s="86" t="s">
        <v>89</v>
      </c>
      <c r="F4" s="86" t="s">
        <v>90</v>
      </c>
      <c r="G4" s="79"/>
    </row>
    <row r="5" spans="1:7" ht="14.25" x14ac:dyDescent="0.2">
      <c r="B5" s="87" t="s">
        <v>12</v>
      </c>
      <c r="C5" s="87" t="s">
        <v>91</v>
      </c>
      <c r="D5" s="87"/>
      <c r="E5" s="87" t="s">
        <v>98</v>
      </c>
      <c r="F5" s="87">
        <v>2</v>
      </c>
      <c r="G5" s="79"/>
    </row>
    <row r="6" spans="1:7" ht="14.25" x14ac:dyDescent="0.2">
      <c r="B6" s="87"/>
      <c r="C6" s="87"/>
      <c r="D6" s="87"/>
      <c r="E6" s="87"/>
      <c r="F6" s="87"/>
      <c r="G6" s="79"/>
    </row>
    <row r="7" spans="1:7" ht="14.25" x14ac:dyDescent="0.2">
      <c r="B7" s="87" t="s">
        <v>13</v>
      </c>
      <c r="C7" s="87" t="s">
        <v>91</v>
      </c>
      <c r="D7" s="87"/>
      <c r="E7" s="87" t="s">
        <v>98</v>
      </c>
      <c r="F7" s="87">
        <v>2</v>
      </c>
      <c r="G7" s="79"/>
    </row>
    <row r="8" spans="1:7" ht="15" x14ac:dyDescent="0.2">
      <c r="B8" s="88"/>
      <c r="G8" s="79"/>
    </row>
    <row r="9" spans="1:7" ht="14.25" x14ac:dyDescent="0.2">
      <c r="B9" s="79"/>
      <c r="C9" s="79"/>
      <c r="D9" s="79"/>
      <c r="E9" s="79"/>
      <c r="F9" s="79"/>
      <c r="G9" s="79"/>
    </row>
    <row r="10" spans="1:7" ht="14.25" x14ac:dyDescent="0.2">
      <c r="B10" s="85" t="s">
        <v>92</v>
      </c>
      <c r="C10" s="79" t="s">
        <v>307</v>
      </c>
      <c r="D10" s="79"/>
      <c r="E10" s="79"/>
      <c r="F10" s="79"/>
      <c r="G10" s="79"/>
    </row>
    <row r="11" spans="1:7" ht="14.25" x14ac:dyDescent="0.2">
      <c r="A11" s="91"/>
      <c r="B11" s="77" t="s">
        <v>48</v>
      </c>
      <c r="C11" s="199" t="s">
        <v>93</v>
      </c>
      <c r="D11" s="199" t="s">
        <v>94</v>
      </c>
      <c r="E11" s="201" t="s">
        <v>95</v>
      </c>
      <c r="F11" s="202" t="s">
        <v>96</v>
      </c>
      <c r="G11" s="89"/>
    </row>
    <row r="12" spans="1:7" ht="42.75" x14ac:dyDescent="0.2">
      <c r="A12" s="91" t="s">
        <v>33</v>
      </c>
      <c r="B12" s="90" t="s">
        <v>122</v>
      </c>
      <c r="C12" s="200"/>
      <c r="D12" s="200"/>
      <c r="E12" s="200"/>
      <c r="F12" s="202"/>
      <c r="G12" s="79"/>
    </row>
    <row r="13" spans="1:7" x14ac:dyDescent="0.2">
      <c r="A13" s="34">
        <v>41183</v>
      </c>
      <c r="B13" s="113">
        <f>+'Input data monthly1'!C4-'Input data monthly1'!D4</f>
        <v>-2.0960000000000036</v>
      </c>
      <c r="C13" s="114">
        <f>1- ABS(B13/'Input data monthly1'!C4)</f>
        <v>0.99769697156155435</v>
      </c>
      <c r="D13" s="115">
        <f>1-0.005-0.02</f>
        <v>0.97499999999999998</v>
      </c>
      <c r="E13" s="91" t="b">
        <v>1</v>
      </c>
      <c r="F13" s="91"/>
    </row>
    <row r="14" spans="1:7" x14ac:dyDescent="0.2">
      <c r="A14" s="34">
        <v>41214</v>
      </c>
      <c r="B14" s="113">
        <f>+'Input data monthly1'!C5-'Input data monthly1'!D5</f>
        <v>-1.1560000000001764</v>
      </c>
      <c r="C14" s="114">
        <f>1- ABS(B14/'Input data monthly1'!C5)</f>
        <v>0.99820366911460745</v>
      </c>
      <c r="D14" s="115">
        <f t="shared" ref="D14:D77" si="0">1-0.005-0.02</f>
        <v>0.97499999999999998</v>
      </c>
      <c r="E14" s="91" t="b">
        <v>1</v>
      </c>
      <c r="F14" s="91"/>
    </row>
    <row r="15" spans="1:7" x14ac:dyDescent="0.2">
      <c r="A15" s="34">
        <v>41244</v>
      </c>
      <c r="B15" s="113">
        <f>+'Input data monthly1'!C6-'Input data monthly1'!D6</f>
        <v>-0.59299999999990405</v>
      </c>
      <c r="C15" s="114">
        <f>1- ABS(B15/'Input data monthly1'!C6)</f>
        <v>0.99866392993855901</v>
      </c>
      <c r="D15" s="115">
        <f t="shared" si="0"/>
        <v>0.97499999999999998</v>
      </c>
      <c r="E15" s="91" t="b">
        <v>1</v>
      </c>
      <c r="F15" s="91"/>
    </row>
    <row r="16" spans="1:7" x14ac:dyDescent="0.2">
      <c r="A16" s="34">
        <v>41275</v>
      </c>
      <c r="B16" s="113">
        <f>+'Input data monthly1'!C7-'Input data monthly1'!D7</f>
        <v>-0.47400000000004638</v>
      </c>
      <c r="C16" s="114">
        <f>1- ABS(B16/'Input data monthly1'!C7)</f>
        <v>0.9985666073955799</v>
      </c>
      <c r="D16" s="115">
        <f t="shared" si="0"/>
        <v>0.97499999999999998</v>
      </c>
      <c r="E16" s="91" t="b">
        <v>1</v>
      </c>
      <c r="F16" s="91"/>
    </row>
    <row r="17" spans="1:6" x14ac:dyDescent="0.2">
      <c r="A17" s="34">
        <v>41306</v>
      </c>
      <c r="B17" s="113">
        <f>+'Input data monthly1'!C8-'Input data monthly1'!D8</f>
        <v>-0.32699999999991292</v>
      </c>
      <c r="C17" s="114">
        <f>1- ABS(B17/'Input data monthly1'!C8)</f>
        <v>0.99856436013048122</v>
      </c>
      <c r="D17" s="115">
        <f t="shared" si="0"/>
        <v>0.97499999999999998</v>
      </c>
      <c r="E17" s="91" t="b">
        <v>1</v>
      </c>
      <c r="F17" s="91"/>
    </row>
    <row r="18" spans="1:6" x14ac:dyDescent="0.2">
      <c r="A18" s="34">
        <v>41334</v>
      </c>
      <c r="B18" s="113">
        <f>+'Input data monthly1'!C9-'Input data monthly1'!D9</f>
        <v>-0.25699999999977763</v>
      </c>
      <c r="C18" s="114">
        <f>1- ABS(B18/'Input data monthly1'!C9)</f>
        <v>0.99859992046240875</v>
      </c>
      <c r="D18" s="115">
        <f t="shared" si="0"/>
        <v>0.97499999999999998</v>
      </c>
      <c r="E18" s="91" t="b">
        <v>1</v>
      </c>
      <c r="F18" s="91"/>
    </row>
    <row r="19" spans="1:6" x14ac:dyDescent="0.2">
      <c r="A19" s="34">
        <v>41365</v>
      </c>
      <c r="B19" s="113">
        <f>+'Input data monthly1'!C10-'Input data monthly1'!D10</f>
        <v>-0.2960000000001628</v>
      </c>
      <c r="C19" s="114">
        <f>1- ABS(B19/'Input data monthly1'!C10)</f>
        <v>0.99845386403405589</v>
      </c>
      <c r="D19" s="115">
        <f t="shared" si="0"/>
        <v>0.97499999999999998</v>
      </c>
      <c r="E19" s="91" t="b">
        <v>1</v>
      </c>
      <c r="F19" s="91"/>
    </row>
    <row r="20" spans="1:6" x14ac:dyDescent="0.2">
      <c r="A20" s="34">
        <v>41395</v>
      </c>
      <c r="B20" s="113">
        <f>+'Input data monthly1'!C11-'Input data monthly1'!D11</f>
        <v>-0.44499999999982265</v>
      </c>
      <c r="C20" s="114">
        <f>1- ABS(B20/'Input data monthly1'!C11)</f>
        <v>0.99824334939977888</v>
      </c>
      <c r="D20" s="115">
        <f t="shared" si="0"/>
        <v>0.97499999999999998</v>
      </c>
      <c r="E20" s="91" t="b">
        <v>1</v>
      </c>
      <c r="F20" s="91"/>
    </row>
    <row r="21" spans="1:6" x14ac:dyDescent="0.2">
      <c r="A21" s="34">
        <v>41426</v>
      </c>
      <c r="B21" s="113">
        <f>+'Input data monthly1'!C12-'Input data monthly1'!D12</f>
        <v>-0.39600000000007185</v>
      </c>
      <c r="C21" s="114">
        <f>1- ABS(B21/'Input data monthly1'!C12)</f>
        <v>0.99799313815419355</v>
      </c>
      <c r="D21" s="115">
        <f t="shared" si="0"/>
        <v>0.97499999999999998</v>
      </c>
      <c r="E21" s="91" t="b">
        <v>1</v>
      </c>
      <c r="F21" s="91"/>
    </row>
    <row r="22" spans="1:6" x14ac:dyDescent="0.2">
      <c r="A22" s="34">
        <v>41456</v>
      </c>
      <c r="B22" s="113">
        <f>+'Input data monthly1'!C13-'Input data monthly1'!D13</f>
        <v>-1.0179999999997449</v>
      </c>
      <c r="C22" s="114">
        <f>1- ABS(B22/'Input data monthly1'!C13)</f>
        <v>0.99784892615350862</v>
      </c>
      <c r="D22" s="115">
        <f t="shared" si="0"/>
        <v>0.97499999999999998</v>
      </c>
      <c r="E22" s="91" t="b">
        <v>1</v>
      </c>
      <c r="F22" s="91"/>
    </row>
    <row r="23" spans="1:6" x14ac:dyDescent="0.2">
      <c r="A23" s="34">
        <v>41487</v>
      </c>
      <c r="B23" s="113">
        <f>+'Input data monthly1'!C14-'Input data monthly1'!D14</f>
        <v>-1.2350000000000136</v>
      </c>
      <c r="C23" s="114">
        <f>1- ABS(B23/'Input data monthly1'!C14)</f>
        <v>0.99772421125953392</v>
      </c>
      <c r="D23" s="115">
        <f t="shared" si="0"/>
        <v>0.97499999999999998</v>
      </c>
      <c r="E23" s="91" t="b">
        <v>1</v>
      </c>
      <c r="F23" s="91"/>
    </row>
    <row r="24" spans="1:6" x14ac:dyDescent="0.2">
      <c r="A24" s="34">
        <v>41518</v>
      </c>
      <c r="B24" s="113">
        <f>+'Input data monthly1'!C15-'Input data monthly1'!D15</f>
        <v>-1.9460000000002537</v>
      </c>
      <c r="C24" s="114">
        <f>1- ABS(B24/'Input data monthly1'!C15)</f>
        <v>0.99782124831499397</v>
      </c>
      <c r="D24" s="115">
        <f t="shared" si="0"/>
        <v>0.97499999999999998</v>
      </c>
      <c r="E24" s="91" t="b">
        <v>1</v>
      </c>
      <c r="F24" s="91"/>
    </row>
    <row r="25" spans="1:6" x14ac:dyDescent="0.2">
      <c r="A25" s="34">
        <v>41548</v>
      </c>
      <c r="B25" s="113">
        <f>+'Input data monthly1'!C16-'Input data monthly1'!D16</f>
        <v>-3.5270000000004984</v>
      </c>
      <c r="C25" s="114">
        <f>1- ABS(B25/'Input data monthly1'!C16)</f>
        <v>0.99778138705140207</v>
      </c>
      <c r="D25" s="115">
        <f t="shared" si="0"/>
        <v>0.97499999999999998</v>
      </c>
      <c r="E25" s="91" t="b">
        <v>1</v>
      </c>
      <c r="F25" s="91"/>
    </row>
    <row r="26" spans="1:6" x14ac:dyDescent="0.2">
      <c r="A26" s="34">
        <v>41579</v>
      </c>
      <c r="B26" s="113">
        <f>+'Input data monthly1'!C17-'Input data monthly1'!D17</f>
        <v>-3.7449999999998909</v>
      </c>
      <c r="C26" s="114">
        <f>1- ABS(B26/'Input data monthly1'!C17)</f>
        <v>0.99778870141564446</v>
      </c>
      <c r="D26" s="115">
        <f t="shared" si="0"/>
        <v>0.97499999999999998</v>
      </c>
      <c r="E26" s="91" t="b">
        <v>1</v>
      </c>
      <c r="F26" s="91"/>
    </row>
    <row r="27" spans="1:6" x14ac:dyDescent="0.2">
      <c r="A27" s="34">
        <v>41609</v>
      </c>
      <c r="B27" s="113">
        <f>+'Input data monthly1'!C18-'Input data monthly1'!D18</f>
        <v>-1.9960000000005493</v>
      </c>
      <c r="C27" s="114">
        <f>1- ABS(B27/'Input data monthly1'!C18)</f>
        <v>0.99838476173212409</v>
      </c>
      <c r="D27" s="115">
        <f t="shared" si="0"/>
        <v>0.97499999999999998</v>
      </c>
      <c r="E27" s="91" t="b">
        <v>1</v>
      </c>
      <c r="F27" s="91"/>
    </row>
    <row r="28" spans="1:6" x14ac:dyDescent="0.2">
      <c r="A28" s="34">
        <v>41640</v>
      </c>
      <c r="B28" s="113">
        <f>+'Input data monthly1'!C19-'Input data monthly1'!D19</f>
        <v>-0.95899999999755892</v>
      </c>
      <c r="C28" s="114">
        <f>1- ABS(B28/'Input data monthly1'!C19)</f>
        <v>0.99855439920891786</v>
      </c>
      <c r="D28" s="115">
        <f t="shared" si="0"/>
        <v>0.97499999999999998</v>
      </c>
      <c r="E28" s="91" t="b">
        <v>1</v>
      </c>
      <c r="F28" s="91"/>
    </row>
    <row r="29" spans="1:6" x14ac:dyDescent="0.2">
      <c r="A29" s="34">
        <v>41671</v>
      </c>
      <c r="B29" s="113">
        <f>+'Input data monthly1'!C20-'Input data monthly1'!D20</f>
        <v>-0.55300000000130467</v>
      </c>
      <c r="C29" s="114">
        <f>1- ABS(B29/'Input data monthly1'!C20)</f>
        <v>0.99842453284407062</v>
      </c>
      <c r="D29" s="115">
        <f t="shared" si="0"/>
        <v>0.97499999999999998</v>
      </c>
      <c r="E29" s="91" t="b">
        <v>1</v>
      </c>
      <c r="F29" s="91"/>
    </row>
    <row r="30" spans="1:6" x14ac:dyDescent="0.2">
      <c r="A30" s="34">
        <v>41699</v>
      </c>
      <c r="B30" s="113">
        <f>+'Input data monthly1'!C21-'Input data monthly1'!D21</f>
        <v>-0.48399999999980992</v>
      </c>
      <c r="C30" s="114">
        <f>1- ABS(B30/'Input data monthly1'!C21)</f>
        <v>0.99814017115036635</v>
      </c>
      <c r="D30" s="115">
        <f t="shared" si="0"/>
        <v>0.97499999999999998</v>
      </c>
      <c r="E30" s="91" t="b">
        <v>1</v>
      </c>
      <c r="F30" s="91"/>
    </row>
    <row r="31" spans="1:6" x14ac:dyDescent="0.2">
      <c r="A31" s="34">
        <v>41730</v>
      </c>
      <c r="B31" s="113">
        <f>+'Input data monthly1'!C22-'Input data monthly1'!D22</f>
        <v>-0.50400000000021805</v>
      </c>
      <c r="C31" s="114">
        <f>1- ABS(B31/'Input data monthly1'!C22)</f>
        <v>0.99762524030306354</v>
      </c>
      <c r="D31" s="115">
        <f t="shared" si="0"/>
        <v>0.97499999999999998</v>
      </c>
      <c r="E31" s="91" t="b">
        <v>1</v>
      </c>
      <c r="F31" s="91"/>
    </row>
    <row r="32" spans="1:6" x14ac:dyDescent="0.2">
      <c r="A32" s="34">
        <v>41760</v>
      </c>
      <c r="B32" s="113">
        <f>+'Input data monthly1'!C23-'Input data monthly1'!D23</f>
        <v>-0.36600000000078126</v>
      </c>
      <c r="C32" s="114">
        <f>1- ABS(B32/'Input data monthly1'!C23)</f>
        <v>0.99771442845098957</v>
      </c>
      <c r="D32" s="115">
        <f t="shared" si="0"/>
        <v>0.97499999999999998</v>
      </c>
      <c r="E32" s="91" t="b">
        <v>1</v>
      </c>
      <c r="F32" s="91"/>
    </row>
    <row r="33" spans="1:6" x14ac:dyDescent="0.2">
      <c r="A33" s="34">
        <v>41791</v>
      </c>
      <c r="B33" s="113">
        <f>+'Input data monthly1'!C24-'Input data monthly1'!D24</f>
        <v>-0.66200000000003456</v>
      </c>
      <c r="C33" s="114">
        <f>1- ABS(B33/'Input data monthly1'!C24)</f>
        <v>0.9976182252540079</v>
      </c>
      <c r="D33" s="115">
        <f t="shared" si="0"/>
        <v>0.97499999999999998</v>
      </c>
      <c r="E33" s="91" t="b">
        <v>1</v>
      </c>
      <c r="F33" s="91"/>
    </row>
    <row r="34" spans="1:6" x14ac:dyDescent="0.2">
      <c r="A34" s="34">
        <v>41821</v>
      </c>
      <c r="B34" s="113">
        <f>+'Input data monthly1'!C25-'Input data monthly1'!D25</f>
        <v>-1.0669999999999504</v>
      </c>
      <c r="C34" s="114">
        <f>1- ABS(B34/'Input data monthly1'!C25)</f>
        <v>0.99733448580807316</v>
      </c>
      <c r="D34" s="115">
        <f t="shared" si="0"/>
        <v>0.97499999999999998</v>
      </c>
      <c r="E34" s="91" t="b">
        <v>1</v>
      </c>
      <c r="F34" s="91"/>
    </row>
    <row r="35" spans="1:6" x14ac:dyDescent="0.2">
      <c r="A35" s="34">
        <v>41852</v>
      </c>
      <c r="B35" s="113">
        <f>+'Input data monthly1'!C26-'Input data monthly1'!D26</f>
        <v>-1.4529999999994061</v>
      </c>
      <c r="C35" s="114">
        <f>1- ABS(B35/'Input data monthly1'!C26)</f>
        <v>0.9972578386559835</v>
      </c>
      <c r="D35" s="115">
        <f t="shared" si="0"/>
        <v>0.97499999999999998</v>
      </c>
      <c r="E35" s="91" t="b">
        <v>1</v>
      </c>
      <c r="F35" s="91"/>
    </row>
    <row r="36" spans="1:6" x14ac:dyDescent="0.2">
      <c r="A36" s="34">
        <v>41883</v>
      </c>
      <c r="B36" s="113">
        <f>+'Input data monthly1'!C27-'Input data monthly1'!D27</f>
        <v>-1.0279999999972347</v>
      </c>
      <c r="C36" s="114">
        <f>1- ABS(B36/'Input data monthly1'!C27)</f>
        <v>0.9975227124852466</v>
      </c>
      <c r="D36" s="115">
        <f t="shared" si="0"/>
        <v>0.97499999999999998</v>
      </c>
      <c r="E36" s="91" t="b">
        <v>1</v>
      </c>
      <c r="F36" s="91"/>
    </row>
    <row r="37" spans="1:6" x14ac:dyDescent="0.2">
      <c r="A37" s="34">
        <v>41913</v>
      </c>
      <c r="B37" s="113">
        <f>+'Input data monthly1'!C28-'Input data monthly1'!D28</f>
        <v>-0.83900000000397768</v>
      </c>
      <c r="C37" s="114">
        <f>1- ABS(B37/'Input data monthly1'!C28)</f>
        <v>0.99768902991589614</v>
      </c>
      <c r="D37" s="115">
        <f t="shared" si="0"/>
        <v>0.97499999999999998</v>
      </c>
      <c r="E37" s="91" t="b">
        <v>1</v>
      </c>
      <c r="F37" s="91"/>
    </row>
    <row r="38" spans="1:6" x14ac:dyDescent="0.2">
      <c r="A38" s="34">
        <v>41944</v>
      </c>
      <c r="B38" s="113">
        <f>+'Input data monthly1'!C29-'Input data monthly1'!D29</f>
        <v>-0.6719999999966717</v>
      </c>
      <c r="C38" s="114">
        <f>1- ABS(B38/'Input data monthly1'!C29)</f>
        <v>0.99796760261793149</v>
      </c>
      <c r="D38" s="115">
        <f t="shared" si="0"/>
        <v>0.97499999999999998</v>
      </c>
      <c r="E38" s="91" t="b">
        <v>1</v>
      </c>
      <c r="F38" s="91"/>
    </row>
    <row r="39" spans="1:6" x14ac:dyDescent="0.2">
      <c r="A39" s="34">
        <v>41974</v>
      </c>
      <c r="B39" s="113">
        <f>+'Input data monthly1'!C30-'Input data monthly1'!D30</f>
        <v>-0.88000000000124601</v>
      </c>
      <c r="C39" s="114">
        <f>1- ABS(B39/'Input data monthly1'!C30)</f>
        <v>0.99824719351780045</v>
      </c>
      <c r="D39" s="115">
        <f t="shared" si="0"/>
        <v>0.97499999999999998</v>
      </c>
      <c r="E39" s="91" t="b">
        <v>1</v>
      </c>
      <c r="F39" s="91"/>
    </row>
    <row r="40" spans="1:6" x14ac:dyDescent="0.2">
      <c r="A40" s="34">
        <v>42005</v>
      </c>
      <c r="B40" s="113">
        <f>+'Input data monthly1'!C31-'Input data monthly1'!D31</f>
        <v>-0.405000000005316</v>
      </c>
      <c r="C40" s="114">
        <f>1- ABS(B40/'Input data monthly1'!C31)</f>
        <v>0.99865078254610551</v>
      </c>
      <c r="D40" s="115">
        <f t="shared" si="0"/>
        <v>0.97499999999999998</v>
      </c>
      <c r="E40" s="91" t="b">
        <v>1</v>
      </c>
      <c r="F40" s="91"/>
    </row>
    <row r="41" spans="1:6" x14ac:dyDescent="0.2">
      <c r="A41" s="34">
        <v>42036</v>
      </c>
      <c r="B41" s="113">
        <f>+'Input data monthly1'!C32-'Input data monthly1'!D32</f>
        <v>-0.38499999999575607</v>
      </c>
      <c r="C41" s="114">
        <f>1- ABS(B41/'Input data monthly1'!C32)</f>
        <v>0.998408380599624</v>
      </c>
      <c r="D41" s="115">
        <f t="shared" si="0"/>
        <v>0.97499999999999998</v>
      </c>
      <c r="E41" s="91" t="b">
        <v>1</v>
      </c>
      <c r="F41" s="91"/>
    </row>
    <row r="42" spans="1:6" x14ac:dyDescent="0.2">
      <c r="A42" s="34">
        <v>42064</v>
      </c>
      <c r="B42" s="113">
        <f>+'Input data monthly1'!C33-'Input data monthly1'!D33</f>
        <v>-0.32800000000173668</v>
      </c>
      <c r="C42" s="114">
        <f>1- ABS(B42/'Input data monthly1'!C33)</f>
        <v>0.99816395644993294</v>
      </c>
      <c r="D42" s="115">
        <f t="shared" si="0"/>
        <v>0.97499999999999998</v>
      </c>
      <c r="E42" s="91" t="b">
        <v>1</v>
      </c>
      <c r="F42" s="91"/>
    </row>
    <row r="43" spans="1:6" x14ac:dyDescent="0.2">
      <c r="A43" s="34">
        <v>42095</v>
      </c>
      <c r="B43" s="113">
        <f>+'Input data monthly1'!C34-'Input data monthly1'!D34</f>
        <v>-0.22699999999954912</v>
      </c>
      <c r="C43" s="114">
        <f>1- ABS(B43/'Input data monthly1'!C34)</f>
        <v>0.99823860329777259</v>
      </c>
      <c r="D43" s="115">
        <f t="shared" si="0"/>
        <v>0.97499999999999998</v>
      </c>
      <c r="E43" s="91" t="b">
        <v>1</v>
      </c>
      <c r="F43" s="91"/>
    </row>
    <row r="44" spans="1:6" x14ac:dyDescent="0.2">
      <c r="A44" s="34">
        <v>42125</v>
      </c>
      <c r="B44" s="113">
        <f>+'Input data monthly1'!C35-'Input data monthly1'!D35</f>
        <v>-0.17799999999664351</v>
      </c>
      <c r="C44" s="114">
        <f>1- ABS(B44/'Input data monthly1'!C35)</f>
        <v>0.99822675605944711</v>
      </c>
      <c r="D44" s="115">
        <f t="shared" si="0"/>
        <v>0.97499999999999998</v>
      </c>
      <c r="E44" s="91" t="b">
        <v>1</v>
      </c>
      <c r="F44" s="91"/>
    </row>
    <row r="45" spans="1:6" x14ac:dyDescent="0.2">
      <c r="A45" s="34">
        <v>42156</v>
      </c>
      <c r="B45" s="113">
        <f>+'Input data monthly1'!C36-'Input data monthly1'!D36</f>
        <v>-0.1870000000005092</v>
      </c>
      <c r="C45" s="114">
        <f>1- ABS(B45/'Input data monthly1'!C36)</f>
        <v>0.99851889400191263</v>
      </c>
      <c r="D45" s="115">
        <f t="shared" si="0"/>
        <v>0.97499999999999998</v>
      </c>
      <c r="E45" s="91" t="b">
        <v>1</v>
      </c>
      <c r="F45" s="91"/>
    </row>
    <row r="46" spans="1:6" x14ac:dyDescent="0.2">
      <c r="A46" s="34">
        <v>42186</v>
      </c>
      <c r="B46" s="113">
        <f>+'Input data monthly1'!C37-'Input data monthly1'!D37</f>
        <v>-0.77100000000427826</v>
      </c>
      <c r="C46" s="114">
        <f>1- ABS(B46/'Input data monthly1'!C37)</f>
        <v>0.99798828456248634</v>
      </c>
      <c r="D46" s="115">
        <f t="shared" si="0"/>
        <v>0.97499999999999998</v>
      </c>
      <c r="E46" s="91" t="b">
        <v>1</v>
      </c>
      <c r="F46" s="91"/>
    </row>
    <row r="47" spans="1:6" x14ac:dyDescent="0.2">
      <c r="A47" s="34">
        <v>42217</v>
      </c>
      <c r="B47" s="113">
        <f>+'Input data monthly1'!C38-'Input data monthly1'!D38</f>
        <v>-0.81999999999629836</v>
      </c>
      <c r="C47" s="114">
        <f>1- ABS(B47/'Input data monthly1'!C38)</f>
        <v>0.9975074775673094</v>
      </c>
      <c r="D47" s="115">
        <f t="shared" si="0"/>
        <v>0.97499999999999998</v>
      </c>
      <c r="E47" s="91" t="b">
        <v>1</v>
      </c>
      <c r="F47" s="91"/>
    </row>
    <row r="48" spans="1:6" x14ac:dyDescent="0.2">
      <c r="A48" s="34">
        <v>42248</v>
      </c>
      <c r="B48" s="113">
        <f>+'Input data monthly1'!C39-'Input data monthly1'!D39</f>
        <v>-1.9060000000021091</v>
      </c>
      <c r="C48" s="114">
        <f>1- ABS(B48/'Input data monthly1'!C39)</f>
        <v>0.99775429699834328</v>
      </c>
      <c r="D48" s="115">
        <f t="shared" si="0"/>
        <v>0.97499999999999998</v>
      </c>
      <c r="E48" s="91" t="b">
        <v>1</v>
      </c>
      <c r="F48" s="91"/>
    </row>
    <row r="49" spans="1:6" x14ac:dyDescent="0.2">
      <c r="A49" s="34">
        <v>42278</v>
      </c>
      <c r="B49" s="113">
        <f>+'Input data monthly1'!C40-'Input data monthly1'!D40</f>
        <v>-1.7680000000009386</v>
      </c>
      <c r="C49" s="114">
        <f>1- ABS(B49/'Input data monthly1'!C40)</f>
        <v>0.99774636971773412</v>
      </c>
      <c r="D49" s="115">
        <f t="shared" si="0"/>
        <v>0.97499999999999998</v>
      </c>
      <c r="E49" s="91" t="b">
        <v>1</v>
      </c>
      <c r="F49" s="91"/>
    </row>
    <row r="50" spans="1:6" x14ac:dyDescent="0.2">
      <c r="A50" s="34">
        <v>42309</v>
      </c>
      <c r="B50" s="113">
        <f>+'Input data monthly1'!C41-'Input data monthly1'!D41</f>
        <v>-2.4989999999968404</v>
      </c>
      <c r="C50" s="114">
        <f>1- ABS(B50/'Input data monthly1'!C41)</f>
        <v>0.99771051322433135</v>
      </c>
      <c r="D50" s="115">
        <f t="shared" si="0"/>
        <v>0.97499999999999998</v>
      </c>
      <c r="E50" s="91" t="b">
        <v>1</v>
      </c>
      <c r="F50" s="91"/>
    </row>
    <row r="51" spans="1:6" x14ac:dyDescent="0.2">
      <c r="A51" s="34">
        <v>42339</v>
      </c>
      <c r="B51" s="113">
        <f>+'Input data monthly1'!C42-'Input data monthly1'!D42</f>
        <v>-1.1960000000027549</v>
      </c>
      <c r="C51" s="114">
        <f>1- ABS(B51/'Input data monthly1'!C42)</f>
        <v>0.99785762522412935</v>
      </c>
      <c r="D51" s="115">
        <f t="shared" si="0"/>
        <v>0.97499999999999998</v>
      </c>
      <c r="E51" s="91" t="b">
        <v>1</v>
      </c>
      <c r="F51" s="91"/>
    </row>
    <row r="52" spans="1:6" x14ac:dyDescent="0.2">
      <c r="A52" s="34">
        <v>42370</v>
      </c>
      <c r="B52" s="113">
        <f>+'Input data monthly1'!C43-'Input data monthly1'!D43</f>
        <v>-0.8399999999985539</v>
      </c>
      <c r="C52" s="114">
        <f>1- ABS(B52/'Input data monthly1'!C43)</f>
        <v>0.998077899968426</v>
      </c>
      <c r="D52" s="115">
        <f t="shared" si="0"/>
        <v>0.97499999999999998</v>
      </c>
      <c r="E52" s="91" t="b">
        <v>1</v>
      </c>
      <c r="F52" s="91"/>
    </row>
    <row r="53" spans="1:6" x14ac:dyDescent="0.2">
      <c r="A53" s="34">
        <v>42401</v>
      </c>
      <c r="B53" s="113">
        <f>+'Input data monthly1'!C44-'Input data monthly1'!D44</f>
        <v>-0.34499999999854936</v>
      </c>
      <c r="C53" s="114">
        <f>1- ABS(B53/'Input data monthly1'!C44)</f>
        <v>0.99870406472915496</v>
      </c>
      <c r="D53" s="115">
        <f t="shared" si="0"/>
        <v>0.97499999999999998</v>
      </c>
      <c r="E53" s="91" t="b">
        <v>1</v>
      </c>
      <c r="F53" s="91"/>
    </row>
    <row r="54" spans="1:6" x14ac:dyDescent="0.2">
      <c r="A54" s="34">
        <v>42430</v>
      </c>
      <c r="B54" s="113">
        <f>+'Input data monthly1'!C45-'Input data monthly1'!D45</f>
        <v>-0.34600000000216369</v>
      </c>
      <c r="C54" s="114">
        <f>1- ABS(B54/'Input data monthly1'!C45)</f>
        <v>0.99828449600871549</v>
      </c>
      <c r="D54" s="115">
        <f t="shared" si="0"/>
        <v>0.97499999999999998</v>
      </c>
      <c r="E54" s="91" t="b">
        <v>1</v>
      </c>
      <c r="F54" s="91"/>
    </row>
    <row r="55" spans="1:6" x14ac:dyDescent="0.2">
      <c r="A55" s="34">
        <v>42461</v>
      </c>
      <c r="B55" s="113">
        <f>+'Input data monthly1'!C46-'Input data monthly1'!D46</f>
        <v>-0.36499999999898591</v>
      </c>
      <c r="C55" s="114">
        <f>1- ABS(B55/'Input data monthly1'!C46)</f>
        <v>0.99773729007941814</v>
      </c>
      <c r="D55" s="115">
        <f t="shared" si="0"/>
        <v>0.97499999999999998</v>
      </c>
      <c r="E55" s="91" t="b">
        <v>1</v>
      </c>
      <c r="F55" s="91"/>
    </row>
    <row r="56" spans="1:6" x14ac:dyDescent="0.2">
      <c r="A56" s="34">
        <v>42491</v>
      </c>
      <c r="B56" s="113">
        <f>+'Input data monthly1'!C47-'Input data monthly1'!D47</f>
        <v>-0.29699999999925808</v>
      </c>
      <c r="C56" s="114">
        <f>1- ABS(B56/'Input data monthly1'!C47)</f>
        <v>0.99823680273563165</v>
      </c>
      <c r="D56" s="115">
        <f t="shared" si="0"/>
        <v>0.97499999999999998</v>
      </c>
      <c r="E56" s="91" t="b">
        <v>1</v>
      </c>
      <c r="F56" s="91"/>
    </row>
    <row r="57" spans="1:6" x14ac:dyDescent="0.2">
      <c r="A57" s="34">
        <v>42522</v>
      </c>
      <c r="B57" s="113">
        <f>+'Input data monthly1'!C48-'Input data monthly1'!D48</f>
        <v>-0.32600000000172713</v>
      </c>
      <c r="C57" s="114">
        <f>1- ABS(B57/'Input data monthly1'!C48)</f>
        <v>0.99802950900924359</v>
      </c>
      <c r="D57" s="115">
        <f t="shared" si="0"/>
        <v>0.97499999999999998</v>
      </c>
      <c r="E57" s="91" t="b">
        <v>1</v>
      </c>
      <c r="F57" s="91"/>
    </row>
    <row r="58" spans="1:6" x14ac:dyDescent="0.2">
      <c r="A58" s="34">
        <v>42552</v>
      </c>
      <c r="B58" s="113">
        <f>+'Input data monthly1'!C49-'Input data monthly1'!D49</f>
        <v>-0.69100000000071304</v>
      </c>
      <c r="C58" s="114">
        <f>1- ABS(B58/'Input data monthly1'!C49)</f>
        <v>0.9976233796160926</v>
      </c>
      <c r="D58" s="115">
        <f t="shared" si="0"/>
        <v>0.97499999999999998</v>
      </c>
      <c r="E58" s="91" t="b">
        <v>1</v>
      </c>
      <c r="F58" s="91"/>
    </row>
    <row r="59" spans="1:6" x14ac:dyDescent="0.2">
      <c r="A59" s="34">
        <v>42583</v>
      </c>
      <c r="B59" s="113">
        <f>+'Input data monthly1'!C50-'Input data monthly1'!D50</f>
        <v>-1.4619999999958964</v>
      </c>
      <c r="C59" s="114">
        <f>1- ABS(B59/'Input data monthly1'!C50)</f>
        <v>0.9975693491940848</v>
      </c>
      <c r="D59" s="115">
        <f t="shared" si="0"/>
        <v>0.97499999999999998</v>
      </c>
      <c r="E59" s="91" t="b">
        <v>1</v>
      </c>
      <c r="F59" s="91"/>
    </row>
    <row r="60" spans="1:6" x14ac:dyDescent="0.2">
      <c r="A60" s="34">
        <v>42614</v>
      </c>
      <c r="B60" s="113">
        <f>+'Input data monthly1'!C51-'Input data monthly1'!D51</f>
        <v>-1.7880000000013752</v>
      </c>
      <c r="C60" s="114">
        <f>1- ABS(B60/'Input data monthly1'!C51)</f>
        <v>0.99770690736444223</v>
      </c>
      <c r="D60" s="115">
        <f t="shared" si="0"/>
        <v>0.97499999999999998</v>
      </c>
      <c r="E60" s="91" t="b">
        <v>1</v>
      </c>
      <c r="F60" s="91"/>
    </row>
    <row r="61" spans="1:6" x14ac:dyDescent="0.2">
      <c r="A61" s="34">
        <v>42644</v>
      </c>
      <c r="B61" s="113">
        <f>+'Input data monthly1'!C52-'Input data monthly1'!D52</f>
        <v>-2.5060000000037235</v>
      </c>
      <c r="C61" s="114">
        <f>1- ABS(B61/'Input data monthly1'!C52)</f>
        <v>0.99765430920060827</v>
      </c>
      <c r="D61" s="115">
        <f t="shared" si="0"/>
        <v>0.97499999999999998</v>
      </c>
      <c r="E61" s="91" t="b">
        <v>1</v>
      </c>
      <c r="F61" s="91"/>
    </row>
    <row r="62" spans="1:6" x14ac:dyDescent="0.2">
      <c r="A62" s="34">
        <v>42675</v>
      </c>
      <c r="B62" s="113">
        <f>+'Input data monthly1'!C53-'Input data monthly1'!D53</f>
        <v>-3.4389999999998508</v>
      </c>
      <c r="C62" s="114">
        <f>1- ABS(B62/'Input data monthly1'!C53)</f>
        <v>0.99773316318324801</v>
      </c>
      <c r="D62" s="115">
        <f t="shared" si="0"/>
        <v>0.97499999999999998</v>
      </c>
      <c r="E62" s="91" t="b">
        <v>1</v>
      </c>
      <c r="F62" s="91"/>
    </row>
    <row r="63" spans="1:6" x14ac:dyDescent="0.2">
      <c r="A63" s="34">
        <v>42705</v>
      </c>
      <c r="B63" s="113">
        <f>+'Input data monthly1'!C54-'Input data monthly1'!D54</f>
        <v>-2.1900000000005093</v>
      </c>
      <c r="C63" s="114">
        <f>1- ABS(B63/'Input data monthly1'!C54)</f>
        <v>0.99811001115870079</v>
      </c>
      <c r="D63" s="115">
        <f t="shared" si="0"/>
        <v>0.97499999999999998</v>
      </c>
      <c r="E63" s="91" t="b">
        <v>1</v>
      </c>
      <c r="F63" s="91"/>
    </row>
    <row r="64" spans="1:6" x14ac:dyDescent="0.2">
      <c r="A64" s="34">
        <v>42736</v>
      </c>
      <c r="B64" s="113">
        <f>+'Input data monthly1'!C55-'Input data monthly1'!D55</f>
        <v>-1.5909999999969386</v>
      </c>
      <c r="C64" s="114">
        <f>1- ABS(B64/'Input data monthly1'!C55)</f>
        <v>0.99803930750954228</v>
      </c>
      <c r="D64" s="115">
        <f t="shared" si="0"/>
        <v>0.97499999999999998</v>
      </c>
      <c r="E64" s="91" t="b">
        <v>1</v>
      </c>
      <c r="F64" s="91"/>
    </row>
    <row r="65" spans="1:6" x14ac:dyDescent="0.2">
      <c r="A65" s="34">
        <v>42767</v>
      </c>
      <c r="B65" s="113">
        <f>+'Input data monthly1'!C56-'Input data monthly1'!D56</f>
        <v>-0.82000000000175532</v>
      </c>
      <c r="C65" s="114">
        <f>1- ABS(B65/'Input data monthly1'!C56)</f>
        <v>0.99838566152440456</v>
      </c>
      <c r="D65" s="115">
        <f t="shared" si="0"/>
        <v>0.97499999999999998</v>
      </c>
      <c r="E65" s="91" t="b">
        <v>1</v>
      </c>
      <c r="F65" s="91"/>
    </row>
    <row r="66" spans="1:6" x14ac:dyDescent="0.2">
      <c r="A66" s="34">
        <v>42795</v>
      </c>
      <c r="B66" s="113">
        <f>+'Input data monthly1'!C57-'Input data monthly1'!D57</f>
        <v>-0.81099999999992178</v>
      </c>
      <c r="C66" s="114">
        <f>1- ABS(B66/'Input data monthly1'!C57)</f>
        <v>0.99798159292387811</v>
      </c>
      <c r="D66" s="115">
        <f t="shared" si="0"/>
        <v>0.97499999999999998</v>
      </c>
      <c r="E66" s="91" t="b">
        <v>1</v>
      </c>
      <c r="F66" s="91"/>
    </row>
    <row r="67" spans="1:6" x14ac:dyDescent="0.2">
      <c r="A67" s="34">
        <v>42826</v>
      </c>
      <c r="B67" s="113">
        <f>+'Input data monthly1'!C58-'Input data monthly1'!D58</f>
        <v>-0.63000000000243972</v>
      </c>
      <c r="C67" s="114">
        <f>1- ABS(B67/'Input data monthly1'!C58)</f>
        <v>0.99774592656728789</v>
      </c>
      <c r="D67" s="115">
        <f t="shared" si="0"/>
        <v>0.97499999999999998</v>
      </c>
      <c r="E67" s="91" t="b">
        <v>1</v>
      </c>
      <c r="F67" s="91"/>
    </row>
    <row r="68" spans="1:6" x14ac:dyDescent="0.2">
      <c r="A68" s="34">
        <v>42856</v>
      </c>
      <c r="B68" s="113">
        <f>+'Input data monthly1'!C59-'Input data monthly1'!D59</f>
        <v>-0.62999999999880174</v>
      </c>
      <c r="C68" s="114">
        <f>1- ABS(B68/'Input data monthly1'!C59)</f>
        <v>0.99826591027324629</v>
      </c>
      <c r="D68" s="115">
        <f t="shared" si="0"/>
        <v>0.97499999999999998</v>
      </c>
      <c r="E68" s="91" t="b">
        <v>1</v>
      </c>
      <c r="F68" s="91"/>
    </row>
    <row r="69" spans="1:6" x14ac:dyDescent="0.2">
      <c r="A69" s="34">
        <v>42887</v>
      </c>
      <c r="B69" s="113">
        <f>+'Input data monthly1'!C60-'Input data monthly1'!D60</f>
        <v>-1.2679999999994607</v>
      </c>
      <c r="C69" s="114">
        <f>1- ABS(B69/'Input data monthly1'!C60)</f>
        <v>0.99776734227452979</v>
      </c>
      <c r="D69" s="115">
        <f t="shared" si="0"/>
        <v>0.97499999999999998</v>
      </c>
      <c r="E69" s="91" t="b">
        <v>1</v>
      </c>
      <c r="F69" s="91"/>
    </row>
    <row r="70" spans="1:6" x14ac:dyDescent="0.2">
      <c r="A70" s="34">
        <v>42917</v>
      </c>
      <c r="B70" s="113">
        <f>+'Input data monthly1'!C61-'Input data monthly1'!D61</f>
        <v>-1.8139999999956444</v>
      </c>
      <c r="C70" s="114">
        <f>1- ABS(B70/'Input data monthly1'!C61)</f>
        <v>0.99819107764505466</v>
      </c>
      <c r="D70" s="115">
        <f t="shared" si="0"/>
        <v>0.97499999999999998</v>
      </c>
      <c r="E70" s="91" t="b">
        <v>1</v>
      </c>
      <c r="F70" s="91"/>
    </row>
    <row r="71" spans="1:6" x14ac:dyDescent="0.2">
      <c r="A71" s="34">
        <v>42948</v>
      </c>
      <c r="B71" s="113">
        <f>+'Input data monthly1'!C62-'Input data monthly1'!D62</f>
        <v>-2.5160000000057607</v>
      </c>
      <c r="C71" s="114">
        <f>1- ABS(B71/'Input data monthly1'!C62)</f>
        <v>0.99774802795810247</v>
      </c>
      <c r="D71" s="115">
        <f t="shared" si="0"/>
        <v>0.97499999999999998</v>
      </c>
      <c r="E71" s="91" t="b">
        <v>1</v>
      </c>
      <c r="F71" s="91"/>
    </row>
    <row r="72" spans="1:6" x14ac:dyDescent="0.2">
      <c r="A72" s="34">
        <v>42979</v>
      </c>
      <c r="B72" s="113">
        <f>+'Input data monthly1'!C63-'Input data monthly1'!D63</f>
        <v>-2.2659999999907541</v>
      </c>
      <c r="C72" s="114">
        <f>1- ABS(B72/'Input data monthly1'!C63)</f>
        <v>0.99789018535830465</v>
      </c>
      <c r="D72" s="115">
        <f t="shared" si="0"/>
        <v>0.97499999999999998</v>
      </c>
      <c r="E72" s="91" t="b">
        <v>1</v>
      </c>
      <c r="F72" s="91"/>
    </row>
    <row r="73" spans="1:6" x14ac:dyDescent="0.2">
      <c r="A73" s="34">
        <v>43009</v>
      </c>
      <c r="B73" s="113">
        <f>+'Input data monthly1'!C64-'Input data monthly1'!D64</f>
        <v>-1.7599999999989677</v>
      </c>
      <c r="C73" s="114">
        <f>1- ABS(B73/'Input data monthly1'!C64)</f>
        <v>0.99799182352692961</v>
      </c>
      <c r="D73" s="115">
        <f t="shared" si="0"/>
        <v>0.97499999999999998</v>
      </c>
      <c r="E73" s="91" t="b">
        <v>1</v>
      </c>
      <c r="F73" s="91"/>
    </row>
    <row r="74" spans="1:6" x14ac:dyDescent="0.2">
      <c r="A74" s="34">
        <v>43040</v>
      </c>
      <c r="B74" s="113">
        <f>+'Input data monthly1'!C65-'Input data monthly1'!D65</f>
        <v>-2.0730000000048676</v>
      </c>
      <c r="C74" s="114">
        <f>1- ABS(B74/'Input data monthly1'!C65)</f>
        <v>0.99797801666160613</v>
      </c>
      <c r="D74" s="115">
        <f t="shared" si="0"/>
        <v>0.97499999999999998</v>
      </c>
      <c r="E74" s="91" t="b">
        <v>1</v>
      </c>
      <c r="F74" s="91"/>
    </row>
    <row r="75" spans="1:6" x14ac:dyDescent="0.2">
      <c r="A75" s="34">
        <v>43070</v>
      </c>
      <c r="B75" s="113">
        <f>+'Input data monthly1'!C66-'Input data monthly1'!D66</f>
        <v>-1.5090000000018335</v>
      </c>
      <c r="C75" s="114">
        <f>1- ABS(B75/'Input data monthly1'!C66)</f>
        <v>0.99824019629566352</v>
      </c>
      <c r="D75" s="115">
        <f t="shared" si="0"/>
        <v>0.97499999999999998</v>
      </c>
      <c r="E75" s="91" t="b">
        <v>1</v>
      </c>
      <c r="F75" s="91"/>
    </row>
    <row r="76" spans="1:6" x14ac:dyDescent="0.2">
      <c r="A76" s="34">
        <v>43101</v>
      </c>
      <c r="B76" s="113">
        <f>+'Input data monthly1'!C67-'Input data monthly1'!D67</f>
        <v>-1.3769999999963147</v>
      </c>
      <c r="C76" s="114">
        <f>1- ABS(B76/'Input data monthly1'!C67)</f>
        <v>0.99804268287483078</v>
      </c>
      <c r="D76" s="115">
        <f t="shared" si="0"/>
        <v>0.97499999999999998</v>
      </c>
      <c r="E76" s="91" t="b">
        <v>1</v>
      </c>
      <c r="F76" s="91"/>
    </row>
    <row r="77" spans="1:6" x14ac:dyDescent="0.2">
      <c r="A77" s="34">
        <v>43132</v>
      </c>
      <c r="B77" s="113">
        <f>+'Input data monthly1'!C68-'Input data monthly1'!D68</f>
        <v>-0.66200000000554837</v>
      </c>
      <c r="C77" s="114">
        <f>1- ABS(B77/'Input data monthly1'!C68)</f>
        <v>0.99841310173886288</v>
      </c>
      <c r="D77" s="115">
        <f t="shared" si="0"/>
        <v>0.97499999999999998</v>
      </c>
      <c r="E77" s="91" t="b">
        <v>1</v>
      </c>
      <c r="F77" s="91"/>
    </row>
    <row r="78" spans="1:6" x14ac:dyDescent="0.2">
      <c r="A78" s="34">
        <v>43160</v>
      </c>
      <c r="B78" s="113">
        <f>+'Input data monthly1'!C69-'Input data monthly1'!D69</f>
        <v>-0.70399999999608553</v>
      </c>
      <c r="C78" s="114">
        <f>1- ABS(B78/'Input data monthly1'!C69)</f>
        <v>0.99801384664865933</v>
      </c>
      <c r="D78" s="115">
        <f t="shared" ref="D78:D91" si="1">1-0.005-0.02</f>
        <v>0.97499999999999998</v>
      </c>
      <c r="E78" s="91" t="b">
        <v>1</v>
      </c>
      <c r="F78" s="91"/>
    </row>
    <row r="79" spans="1:6" x14ac:dyDescent="0.2">
      <c r="A79" s="34">
        <v>43191</v>
      </c>
      <c r="B79" s="113">
        <f>+'Input data monthly1'!C70-'Input data monthly1'!D70</f>
        <v>-0.53899999999828196</v>
      </c>
      <c r="C79" s="114">
        <f>1- ABS(B79/'Input data monthly1'!C70)</f>
        <v>0.99804278991401973</v>
      </c>
      <c r="D79" s="115">
        <f t="shared" si="1"/>
        <v>0.97499999999999998</v>
      </c>
      <c r="E79" s="91" t="b">
        <v>1</v>
      </c>
      <c r="F79" s="91"/>
    </row>
    <row r="80" spans="1:6" x14ac:dyDescent="0.2">
      <c r="A80" s="34">
        <v>43221</v>
      </c>
      <c r="B80" s="113">
        <f>+'Input data monthly1'!C71-'Input data monthly1'!D71</f>
        <v>-0.61400000000304544</v>
      </c>
      <c r="C80" s="114">
        <f>1- ABS(B80/'Input data monthly1'!C71)</f>
        <v>0.99782267187238505</v>
      </c>
      <c r="D80" s="115">
        <f t="shared" si="1"/>
        <v>0.97499999999999998</v>
      </c>
      <c r="E80" s="91" t="b">
        <v>1</v>
      </c>
      <c r="F80" s="91"/>
    </row>
    <row r="81" spans="1:6" x14ac:dyDescent="0.2">
      <c r="A81" s="34">
        <v>43252</v>
      </c>
      <c r="B81" s="113">
        <f>+'Input data monthly1'!C72-'Input data monthly1'!D72</f>
        <v>-1.00099999999901</v>
      </c>
      <c r="C81" s="114">
        <f>1- ABS(B81/'Input data monthly1'!C72)</f>
        <v>0.99781447251497446</v>
      </c>
      <c r="D81" s="115">
        <f t="shared" si="1"/>
        <v>0.97499999999999998</v>
      </c>
      <c r="E81" s="91" t="b">
        <v>1</v>
      </c>
      <c r="F81" s="91"/>
    </row>
    <row r="82" spans="1:6" x14ac:dyDescent="0.2">
      <c r="A82" s="34">
        <v>43282</v>
      </c>
      <c r="B82" s="113">
        <f>+'Input data monthly1'!C73-'Input data monthly1'!D73</f>
        <v>-3.2419999999990523</v>
      </c>
      <c r="C82" s="114">
        <f>1- ABS(B82/'Input data monthly1'!C73)</f>
        <v>0.99758043631256177</v>
      </c>
      <c r="D82" s="115">
        <f t="shared" si="1"/>
        <v>0.97499999999999998</v>
      </c>
      <c r="E82" s="91" t="b">
        <v>1</v>
      </c>
      <c r="F82" s="91"/>
    </row>
    <row r="83" spans="1:6" x14ac:dyDescent="0.2">
      <c r="A83" s="34">
        <v>43313</v>
      </c>
      <c r="B83" s="113">
        <f>+'Input data monthly1'!C74-'Input data monthly1'!D74</f>
        <v>-5.9428200000065772</v>
      </c>
      <c r="C83" s="114">
        <f>1- ABS(B83/'Input data monthly1'!C74)</f>
        <v>0.9972532164538469</v>
      </c>
      <c r="D83" s="115">
        <f t="shared" si="1"/>
        <v>0.97499999999999998</v>
      </c>
      <c r="E83" s="91" t="b">
        <v>1</v>
      </c>
      <c r="F83" s="91"/>
    </row>
    <row r="84" spans="1:6" x14ac:dyDescent="0.2">
      <c r="A84" s="34">
        <v>43344</v>
      </c>
      <c r="B84" s="113">
        <f>+'Input data monthly1'!C75-'Input data monthly1'!D75</f>
        <v>-4.2306159999848205</v>
      </c>
      <c r="C84" s="114">
        <f>1- ABS(B84/'Input data monthly1'!C75)</f>
        <v>0.99757507663540201</v>
      </c>
      <c r="D84" s="115">
        <f t="shared" si="1"/>
        <v>0.97499999999999998</v>
      </c>
      <c r="E84" s="91" t="b">
        <v>1</v>
      </c>
      <c r="F84" s="91"/>
    </row>
    <row r="85" spans="1:6" x14ac:dyDescent="0.2">
      <c r="A85" s="34">
        <v>43374</v>
      </c>
      <c r="B85" s="113">
        <f>+'Input data monthly1'!C76-'Input data monthly1'!D76</f>
        <v>-2.4245520000124543</v>
      </c>
      <c r="C85" s="114">
        <f>1- ABS(B85/'Input data monthly1'!C76)</f>
        <v>0.99768554104485219</v>
      </c>
      <c r="D85" s="115">
        <f t="shared" si="1"/>
        <v>0.97499999999999998</v>
      </c>
      <c r="E85" s="91" t="b">
        <v>1</v>
      </c>
      <c r="F85" s="91"/>
    </row>
    <row r="86" spans="1:6" x14ac:dyDescent="0.2">
      <c r="A86" s="34">
        <v>43405</v>
      </c>
      <c r="B86" s="113">
        <f>+'Input data monthly1'!C77-'Input data monthly1'!D77</f>
        <v>-1.3249079999932292</v>
      </c>
      <c r="C86" s="114">
        <f>1- ABS(B86/'Input data monthly1'!C77)</f>
        <v>0.99794780155655294</v>
      </c>
      <c r="D86" s="115">
        <f t="shared" si="1"/>
        <v>0.97499999999999998</v>
      </c>
      <c r="E86" s="91" t="b">
        <v>1</v>
      </c>
      <c r="F86" s="91"/>
    </row>
    <row r="87" spans="1:6" x14ac:dyDescent="0.2">
      <c r="A87" s="34">
        <v>43435</v>
      </c>
      <c r="B87" s="113">
        <f>+'Input data monthly1'!C78-'Input data monthly1'!D78</f>
        <v>-0.92476800000144976</v>
      </c>
      <c r="C87" s="114">
        <f>1- ABS(B87/'Input data monthly1'!C78)</f>
        <v>0.99823528746337375</v>
      </c>
      <c r="D87" s="115">
        <f t="shared" si="1"/>
        <v>0.97499999999999998</v>
      </c>
      <c r="E87" s="91" t="b">
        <v>1</v>
      </c>
      <c r="F87" s="91"/>
    </row>
    <row r="88" spans="1:6" x14ac:dyDescent="0.2">
      <c r="A88" s="34">
        <v>43466</v>
      </c>
      <c r="B88" s="113">
        <f>+'Input data monthly1'!C79-'Input data monthly1'!D79</f>
        <v>-0.67678000000489646</v>
      </c>
      <c r="C88" s="114">
        <f>1- ABS(B88/'Input data monthly1'!C79)</f>
        <v>0.99830454357569298</v>
      </c>
      <c r="D88" s="115">
        <f t="shared" si="1"/>
        <v>0.97499999999999998</v>
      </c>
      <c r="E88" s="91" t="b">
        <v>1</v>
      </c>
      <c r="F88" s="91"/>
    </row>
    <row r="89" spans="1:6" x14ac:dyDescent="0.2">
      <c r="A89" s="34">
        <v>43497</v>
      </c>
      <c r="B89" s="113">
        <f>+'Input data monthly1'!C80-'Input data monthly1'!D80</f>
        <v>-0.51474799999346033</v>
      </c>
      <c r="C89" s="114">
        <f>1- ABS(B89/'Input data monthly1'!C80)</f>
        <v>0.99779641589797796</v>
      </c>
      <c r="D89" s="115">
        <f t="shared" si="1"/>
        <v>0.97499999999999998</v>
      </c>
      <c r="E89" s="91" t="b">
        <v>1</v>
      </c>
      <c r="F89" s="91"/>
    </row>
    <row r="90" spans="1:6" x14ac:dyDescent="0.2">
      <c r="A90" s="34">
        <v>43525</v>
      </c>
      <c r="B90" s="113">
        <f>+'Input data monthly1'!C81-'Input data monthly1'!D81</f>
        <v>-0.42780400001169028</v>
      </c>
      <c r="C90" s="114">
        <f>1- ABS(B90/'Input data monthly1'!C81)</f>
        <v>0.9976683700667619</v>
      </c>
      <c r="D90" s="115">
        <f t="shared" si="1"/>
        <v>0.97499999999999998</v>
      </c>
      <c r="E90" s="91" t="b">
        <v>1</v>
      </c>
      <c r="F90" s="91"/>
    </row>
    <row r="91" spans="1:6" x14ac:dyDescent="0.2">
      <c r="A91" s="34">
        <v>43556</v>
      </c>
      <c r="B91" s="113">
        <f>+'Input data monthly1'!C82-'Input data monthly1'!D82</f>
        <v>-0.42879200000109563</v>
      </c>
      <c r="C91" s="114">
        <f>1- ABS(B91/'Input data monthly1'!C82)</f>
        <v>0.99754196778504611</v>
      </c>
      <c r="D91" s="115">
        <f t="shared" si="1"/>
        <v>0.97499999999999998</v>
      </c>
      <c r="E91" s="91" t="b">
        <v>1</v>
      </c>
      <c r="F91" s="91"/>
    </row>
  </sheetData>
  <mergeCells count="4">
    <mergeCell ref="D11:D12"/>
    <mergeCell ref="E11:E12"/>
    <mergeCell ref="F11:F12"/>
    <mergeCell ref="C11:C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EB4B-567E-4861-B260-391C005D81F5}">
  <dimension ref="A3:Y14"/>
  <sheetViews>
    <sheetView workbookViewId="0">
      <selection activeCell="L12" sqref="L12"/>
    </sheetView>
  </sheetViews>
  <sheetFormatPr defaultRowHeight="12.75" x14ac:dyDescent="0.2"/>
  <cols>
    <col min="7" max="7" width="15" customWidth="1"/>
    <col min="8" max="8" width="10.625" bestFit="1" customWidth="1"/>
  </cols>
  <sheetData>
    <row r="3" spans="1:25" s="118" customFormat="1" ht="18" x14ac:dyDescent="0.25">
      <c r="A3" s="135" t="s">
        <v>340</v>
      </c>
      <c r="S3" s="132"/>
    </row>
    <row r="4" spans="1:25" s="118" customFormat="1" ht="18" x14ac:dyDescent="0.25">
      <c r="A4" s="135"/>
      <c r="S4" s="132"/>
    </row>
    <row r="5" spans="1:25" s="118" customFormat="1" ht="18" x14ac:dyDescent="0.25">
      <c r="A5" s="135"/>
      <c r="B5" s="127" t="s">
        <v>339</v>
      </c>
      <c r="S5" s="132"/>
    </row>
    <row r="6" spans="1:25" s="118" customFormat="1" ht="18" x14ac:dyDescent="0.25">
      <c r="A6" s="135"/>
      <c r="B6" s="118" t="s">
        <v>338</v>
      </c>
      <c r="C6" s="118" t="s">
        <v>337</v>
      </c>
      <c r="S6" s="132"/>
    </row>
    <row r="7" spans="1:25" s="118" customFormat="1" ht="18" x14ac:dyDescent="0.25">
      <c r="A7" s="135"/>
      <c r="C7" s="118" t="s">
        <v>336</v>
      </c>
      <c r="S7" s="132"/>
      <c r="X7" s="132"/>
      <c r="Y7" s="132"/>
    </row>
    <row r="8" spans="1:25" s="118" customFormat="1" ht="18.75" thickBot="1" x14ac:dyDescent="0.3">
      <c r="A8" s="135"/>
      <c r="S8" s="132"/>
    </row>
    <row r="9" spans="1:25" s="118" customFormat="1" ht="18" x14ac:dyDescent="0.25">
      <c r="A9" s="135"/>
      <c r="B9" s="138" t="s">
        <v>48</v>
      </c>
      <c r="C9" s="138" t="s">
        <v>49</v>
      </c>
      <c r="D9" s="138" t="s">
        <v>1</v>
      </c>
      <c r="E9" s="137" t="s">
        <v>335</v>
      </c>
      <c r="F9" s="137" t="s">
        <v>334</v>
      </c>
      <c r="G9" s="137" t="s">
        <v>333</v>
      </c>
      <c r="H9" s="137" t="s">
        <v>332</v>
      </c>
      <c r="I9" s="137" t="s">
        <v>331</v>
      </c>
      <c r="J9" s="137" t="s">
        <v>330</v>
      </c>
      <c r="K9" s="137" t="s">
        <v>329</v>
      </c>
      <c r="L9" s="137" t="s">
        <v>328</v>
      </c>
      <c r="M9" s="136"/>
      <c r="N9" s="136"/>
      <c r="O9" s="136"/>
      <c r="P9" s="136"/>
      <c r="Q9" s="136"/>
      <c r="R9" s="136"/>
      <c r="S9" s="132"/>
    </row>
    <row r="10" spans="1:25" s="118" customFormat="1" ht="20.100000000000001" customHeight="1" x14ac:dyDescent="0.25">
      <c r="A10" s="135"/>
      <c r="B10" s="120" t="s">
        <v>327</v>
      </c>
      <c r="C10" s="120" t="s">
        <v>326</v>
      </c>
      <c r="D10" s="120" t="s">
        <v>58</v>
      </c>
      <c r="E10" s="134">
        <v>3000000</v>
      </c>
      <c r="F10" s="134">
        <v>3000000</v>
      </c>
      <c r="G10" s="134">
        <v>3000000</v>
      </c>
      <c r="H10" s="134">
        <v>3000000</v>
      </c>
      <c r="I10" s="134">
        <v>3000000</v>
      </c>
      <c r="J10" s="134">
        <v>3000000</v>
      </c>
      <c r="K10" s="134">
        <v>3000000</v>
      </c>
      <c r="L10" s="134">
        <v>3000000</v>
      </c>
      <c r="M10" s="132"/>
      <c r="N10" s="132"/>
      <c r="O10" s="132"/>
      <c r="P10" s="132"/>
      <c r="Q10" s="132"/>
      <c r="R10" s="132"/>
      <c r="S10" s="132"/>
    </row>
    <row r="11" spans="1:25" s="118" customFormat="1" ht="20.100000000000001" customHeight="1" x14ac:dyDescent="0.2">
      <c r="B11" s="120" t="s">
        <v>325</v>
      </c>
      <c r="C11" s="120" t="s">
        <v>324</v>
      </c>
      <c r="D11" s="120" t="s">
        <v>123</v>
      </c>
      <c r="E11" s="133">
        <v>31800</v>
      </c>
      <c r="F11" s="133">
        <v>34227.413999999859</v>
      </c>
      <c r="G11" s="133">
        <v>33013.707000000279</v>
      </c>
      <c r="H11" s="133">
        <v>39082.242000000275</v>
      </c>
      <c r="I11" s="133">
        <v>39082.242000000275</v>
      </c>
      <c r="J11" s="133">
        <v>41509.656000000134</v>
      </c>
      <c r="K11" s="133">
        <v>45628.503999999906</v>
      </c>
      <c r="L11" s="133">
        <v>45628.503999999906</v>
      </c>
      <c r="M11" s="132"/>
      <c r="N11" s="132"/>
      <c r="O11" s="132"/>
      <c r="P11" s="132"/>
      <c r="Q11" s="132"/>
      <c r="R11" s="132"/>
      <c r="S11" s="132"/>
    </row>
    <row r="12" spans="1:25" s="118" customFormat="1" ht="20.100000000000001" customHeight="1" x14ac:dyDescent="0.2">
      <c r="B12" s="131" t="s">
        <v>323</v>
      </c>
      <c r="C12" s="131" t="s">
        <v>322</v>
      </c>
      <c r="D12" s="131" t="s">
        <v>321</v>
      </c>
      <c r="E12" s="130">
        <f t="shared" ref="E12:L12" si="0">E10/E11</f>
        <v>94.339622641509436</v>
      </c>
      <c r="F12" s="130">
        <f t="shared" si="0"/>
        <v>87.649040619896454</v>
      </c>
      <c r="G12" s="130">
        <f t="shared" si="0"/>
        <v>90.871346256267884</v>
      </c>
      <c r="H12" s="130">
        <f t="shared" si="0"/>
        <v>76.761205255317208</v>
      </c>
      <c r="I12" s="130">
        <f t="shared" si="0"/>
        <v>76.761205255317208</v>
      </c>
      <c r="J12" s="130">
        <f t="shared" si="0"/>
        <v>72.272340681406519</v>
      </c>
      <c r="K12" s="129">
        <f t="shared" si="0"/>
        <v>65.748375182320373</v>
      </c>
      <c r="L12" s="129">
        <f t="shared" si="0"/>
        <v>65.748375182320373</v>
      </c>
      <c r="M12" s="128" t="s">
        <v>320</v>
      </c>
      <c r="N12" s="128"/>
      <c r="O12" s="128"/>
      <c r="P12" s="128"/>
      <c r="Q12" s="128"/>
      <c r="R12" s="128"/>
    </row>
    <row r="13" spans="1:25" s="118" customFormat="1" x14ac:dyDescent="0.2"/>
    <row r="14" spans="1:25" s="118" customFormat="1" x14ac:dyDescent="0.2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CER-Spreadsheet</vt:lpstr>
      <vt:lpstr>Output &amp; CERs</vt:lpstr>
      <vt:lpstr>InputData Supply PEG</vt:lpstr>
      <vt:lpstr>inputdata consumption EC</vt:lpstr>
      <vt:lpstr>InputData Reservoir Level</vt:lpstr>
      <vt:lpstr>Input data monthly1</vt:lpstr>
      <vt:lpstr>Fixed para</vt:lpstr>
      <vt:lpstr>QC-QA</vt:lpstr>
      <vt:lpstr>Power Density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Tuyet Ly</dc:creator>
  <cp:lastModifiedBy>Admin T</cp:lastModifiedBy>
  <dcterms:created xsi:type="dcterms:W3CDTF">2019-08-22T02:53:34Z</dcterms:created>
  <dcterms:modified xsi:type="dcterms:W3CDTF">2023-03-13T05:19:43Z</dcterms:modified>
</cp:coreProperties>
</file>