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zeyneppinarozturk/Documents/CERES/Offgridsun/11544/2nd round GS Review/"/>
    </mc:Choice>
  </mc:AlternateContent>
  <xr:revisionPtr revIDLastSave="0" documentId="13_ncr:1_{435F07E2-B78A-4445-88A0-4FC61D93740D}" xr6:coauthVersionLast="47" xr6:coauthVersionMax="47" xr10:uidLastSave="{00000000-0000-0000-0000-000000000000}"/>
  <bookViews>
    <workbookView xWindow="0" yWindow="500" windowWidth="28800" windowHeight="15800" xr2:uid="{D1CF96F5-3077-D143-93FB-DB69A16565E0}"/>
  </bookViews>
  <sheets>
    <sheet name="ER Calculations" sheetId="1" r:id="rId1"/>
    <sheet name="Results" sheetId="6" r:id="rId2"/>
    <sheet name="SDGs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6" l="1"/>
  <c r="G14" i="6"/>
  <c r="C3" i="6"/>
  <c r="D68" i="1" l="1"/>
  <c r="K10" i="3"/>
  <c r="K8" i="3"/>
  <c r="K9" i="3"/>
  <c r="K7" i="3"/>
  <c r="K6" i="3"/>
  <c r="D67" i="1"/>
  <c r="D64" i="1"/>
  <c r="F52" i="6" l="1"/>
  <c r="F75" i="6"/>
  <c r="F74" i="6"/>
  <c r="F73" i="6"/>
  <c r="D70" i="6"/>
  <c r="D69" i="6"/>
  <c r="D68" i="6"/>
  <c r="G59" i="6"/>
  <c r="F59" i="6"/>
  <c r="G58" i="6"/>
  <c r="F58" i="6"/>
  <c r="G57" i="6"/>
  <c r="F57" i="6"/>
  <c r="H53" i="6"/>
  <c r="G53" i="6"/>
  <c r="H52" i="6"/>
  <c r="G52" i="6"/>
  <c r="H51" i="6"/>
  <c r="G51" i="6"/>
  <c r="H50" i="6"/>
  <c r="G50" i="6"/>
  <c r="C49" i="6"/>
  <c r="C48" i="6"/>
  <c r="C45" i="6"/>
  <c r="C44" i="6"/>
  <c r="C52" i="6" s="1"/>
  <c r="C43" i="6"/>
  <c r="G42" i="6"/>
  <c r="H42" i="6" s="1"/>
  <c r="C42" i="6"/>
  <c r="D42" i="6" s="1"/>
  <c r="G41" i="6"/>
  <c r="H41" i="6" s="1"/>
  <c r="G40" i="6"/>
  <c r="H40" i="6" s="1"/>
  <c r="G39" i="6"/>
  <c r="H39" i="6" s="1"/>
  <c r="G37" i="6"/>
  <c r="H37" i="6" s="1"/>
  <c r="G36" i="6"/>
  <c r="H36" i="6" s="1"/>
  <c r="G35" i="6"/>
  <c r="H35" i="6" s="1"/>
  <c r="E34" i="6"/>
  <c r="F34" i="6" s="1"/>
  <c r="E33" i="6"/>
  <c r="F33" i="6" s="1"/>
  <c r="E32" i="6"/>
  <c r="F32" i="6" s="1"/>
  <c r="F30" i="6"/>
  <c r="E29" i="6"/>
  <c r="F29" i="6" s="1"/>
  <c r="E28" i="6"/>
  <c r="F28" i="6" s="1"/>
  <c r="D26" i="6"/>
  <c r="D25" i="6"/>
  <c r="C24" i="6"/>
  <c r="D24" i="6" s="1"/>
  <c r="J23" i="6"/>
  <c r="F23" i="6"/>
  <c r="G23" i="6" s="1"/>
  <c r="J21" i="6"/>
  <c r="F21" i="6"/>
  <c r="G21" i="6" s="1"/>
  <c r="J20" i="6"/>
  <c r="M20" i="6" s="1"/>
  <c r="F20" i="6"/>
  <c r="G20" i="6" s="1"/>
  <c r="J19" i="6"/>
  <c r="F19" i="6"/>
  <c r="G19" i="6" s="1"/>
  <c r="F18" i="6"/>
  <c r="J22" i="6" s="1"/>
  <c r="F15" i="6"/>
  <c r="F14" i="6"/>
  <c r="F13" i="6"/>
  <c r="G13" i="6" s="1"/>
  <c r="F12" i="6"/>
  <c r="G12" i="6" s="1"/>
  <c r="E10" i="6"/>
  <c r="F10" i="6" s="1"/>
  <c r="D8" i="6"/>
  <c r="D7" i="6"/>
  <c r="C5" i="6"/>
  <c r="E34" i="1"/>
  <c r="D34" i="1" s="1"/>
  <c r="K27" i="6" l="1"/>
  <c r="D69" i="1"/>
  <c r="D66" i="1"/>
  <c r="D28" i="1"/>
  <c r="C51" i="6"/>
  <c r="C50" i="6" s="1"/>
  <c r="F51" i="6" s="1"/>
  <c r="F72" i="6"/>
  <c r="G74" i="6" s="1"/>
  <c r="C54" i="6"/>
  <c r="D9" i="6"/>
  <c r="E7" i="6" s="1"/>
  <c r="H54" i="6"/>
  <c r="C46" i="6"/>
  <c r="D43" i="6" s="1"/>
  <c r="F60" i="6"/>
  <c r="I57" i="6" s="1"/>
  <c r="D71" i="6"/>
  <c r="E69" i="6" s="1"/>
  <c r="J24" i="6"/>
  <c r="K22" i="6" s="1"/>
  <c r="L22" i="6" s="1"/>
  <c r="K26" i="6"/>
  <c r="G60" i="6"/>
  <c r="G54" i="6"/>
  <c r="F48" i="6" s="1"/>
  <c r="G18" i="6"/>
  <c r="L27" i="6" l="1"/>
  <c r="D26" i="1" s="1"/>
  <c r="D51" i="6"/>
  <c r="L50" i="6"/>
  <c r="E6" i="1" s="1"/>
  <c r="G73" i="6"/>
  <c r="G75" i="6"/>
  <c r="D49" i="6"/>
  <c r="E8" i="6"/>
  <c r="D48" i="6"/>
  <c r="D52" i="6"/>
  <c r="D53" i="6"/>
  <c r="D50" i="6"/>
  <c r="K50" i="6"/>
  <c r="D6" i="1" s="1"/>
  <c r="L26" i="6"/>
  <c r="K19" i="6"/>
  <c r="H57" i="6"/>
  <c r="D45" i="6"/>
  <c r="D44" i="6"/>
  <c r="I50" i="6"/>
  <c r="I59" i="6"/>
  <c r="I62" i="6" s="1"/>
  <c r="E12" i="1" s="1"/>
  <c r="K23" i="6"/>
  <c r="L23" i="6" s="1"/>
  <c r="K21" i="6"/>
  <c r="E70" i="6"/>
  <c r="E68" i="6"/>
  <c r="J53" i="6"/>
  <c r="J52" i="6"/>
  <c r="I53" i="6"/>
  <c r="I52" i="6"/>
  <c r="J51" i="6"/>
  <c r="J50" i="6"/>
  <c r="I51" i="6"/>
  <c r="H59" i="6"/>
  <c r="I58" i="6"/>
  <c r="H58" i="6"/>
  <c r="K20" i="6"/>
  <c r="E32" i="1"/>
  <c r="E29" i="1"/>
  <c r="I63" i="6" l="1"/>
  <c r="E13" i="1" s="1"/>
  <c r="H62" i="6"/>
  <c r="D12" i="1" s="1"/>
  <c r="H63" i="6"/>
  <c r="D13" i="1" s="1"/>
  <c r="K24" i="6"/>
  <c r="L21" i="6"/>
  <c r="L19" i="6"/>
  <c r="E26" i="1" l="1"/>
  <c r="E7" i="3" s="1"/>
  <c r="D7" i="3" l="1"/>
  <c r="D5" i="1"/>
  <c r="D5" i="3" s="1"/>
  <c r="E5" i="1"/>
  <c r="E5" i="3" s="1"/>
  <c r="E31" i="1" l="1"/>
  <c r="E28" i="1" s="1"/>
  <c r="D6" i="3" l="1"/>
  <c r="G28" i="1"/>
  <c r="E20" i="1"/>
  <c r="E38" i="1" s="1"/>
  <c r="D20" i="1"/>
  <c r="D38" i="1" s="1"/>
  <c r="D19" i="1"/>
  <c r="E19" i="1"/>
  <c r="D21" i="1" l="1"/>
  <c r="E37" i="1"/>
  <c r="E21" i="1"/>
  <c r="D37" i="1"/>
  <c r="D8" i="3"/>
  <c r="D10" i="3" s="1"/>
  <c r="E6" i="3"/>
  <c r="F6" i="3" s="1"/>
  <c r="I10" i="3" l="1"/>
  <c r="I5" i="3"/>
  <c r="D17" i="3"/>
  <c r="I6" i="3"/>
  <c r="I7" i="3" s="1"/>
  <c r="I8" i="3" s="1"/>
  <c r="I9" i="3" s="1"/>
  <c r="E8" i="3"/>
  <c r="E10" i="3" s="1"/>
  <c r="F10" i="3" s="1"/>
  <c r="D39" i="1"/>
  <c r="E39" i="1"/>
  <c r="F37" i="1"/>
  <c r="F38" i="1"/>
  <c r="J10" i="3" l="1"/>
  <c r="K5" i="3"/>
  <c r="K11" i="3" s="1"/>
  <c r="K12" i="3" s="1"/>
  <c r="J5" i="3"/>
  <c r="J6" i="3"/>
  <c r="J7" i="3" s="1"/>
  <c r="J8" i="3" s="1"/>
  <c r="J9" i="3" s="1"/>
  <c r="I11" i="3"/>
  <c r="I12" i="3" s="1"/>
  <c r="F40" i="1"/>
  <c r="C44" i="1" s="1"/>
  <c r="C49" i="1" l="1"/>
  <c r="J11" i="3"/>
  <c r="J12" i="3" s="1"/>
  <c r="C45" i="1"/>
  <c r="C46" i="1" s="1"/>
  <c r="C47" i="1" s="1"/>
  <c r="C48" i="1" s="1"/>
  <c r="C50" i="1" l="1"/>
  <c r="C5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tc={2282AAD3-C241-3246-B87A-CBBAE998E876}</author>
  </authors>
  <commentList>
    <comment ref="D50" authorId="0" shapeId="0" xr:uid="{2282AAD3-C241-3246-B87A-CBBAE998E876}">
      <text>
        <t>[Threaded comment]
Your version of Excel allows you to read this threaded comment; however, any edits to it will get removed if the file is opened in a newer version of Excel. Learn more: https://go.microsoft.com/fwlink/?linkid=870924
Comment:
    Siaya County Report</t>
      </text>
    </comment>
  </commentList>
</comments>
</file>

<file path=xl/sharedStrings.xml><?xml version="1.0" encoding="utf-8"?>
<sst xmlns="http://schemas.openxmlformats.org/spreadsheetml/2006/main" count="247" uniqueCount="203">
  <si>
    <t>𝑓</t>
  </si>
  <si>
    <t xml:space="preserve"> 𝑆𝐸𝑤,𝑏,𝑦 </t>
  </si>
  <si>
    <t>Specific energy required to boil water (kJ/L)</t>
  </si>
  <si>
    <t xml:space="preserve">Efficiency of the stoves for baseline water boiling (%). </t>
  </si>
  <si>
    <t>𝜂𝑤𝑏</t>
  </si>
  <si>
    <t>Unimproved water source</t>
  </si>
  <si>
    <t>Unimproved sub-group</t>
  </si>
  <si>
    <t>Lake</t>
  </si>
  <si>
    <t>River</t>
  </si>
  <si>
    <t>Suffer from water borne diseases</t>
  </si>
  <si>
    <t>Purify water( Yes)</t>
  </si>
  <si>
    <t>Drinking</t>
  </si>
  <si>
    <t>% to the Total Sample Group</t>
  </si>
  <si>
    <t>Purify water( No)</t>
  </si>
  <si>
    <t>Purifying method</t>
  </si>
  <si>
    <t>Boiling</t>
  </si>
  <si>
    <t>Boiling and purification tablets</t>
  </si>
  <si>
    <t>Purification tablets</t>
  </si>
  <si>
    <t>Unavaliability of fuels within the area</t>
  </si>
  <si>
    <t xml:space="preserve">Safe water </t>
  </si>
  <si>
    <t>Boiling with fuelwood</t>
  </si>
  <si>
    <t>Fetching water sub-group</t>
  </si>
  <si>
    <t>Buying from water vendors</t>
  </si>
  <si>
    <t>At long distance</t>
  </si>
  <si>
    <t xml:space="preserve">Lake </t>
  </si>
  <si>
    <t>Pedal</t>
  </si>
  <si>
    <t>Walk</t>
  </si>
  <si>
    <t>Both Pedal and walk</t>
  </si>
  <si>
    <t>Lenght of the round trip</t>
  </si>
  <si>
    <t>0-30mins</t>
  </si>
  <si>
    <t>31-60 mins</t>
  </si>
  <si>
    <t>1-2 hour</t>
  </si>
  <si>
    <t>Who?</t>
  </si>
  <si>
    <t>Mother</t>
  </si>
  <si>
    <t>Girls</t>
  </si>
  <si>
    <t>Father</t>
  </si>
  <si>
    <t>Boys</t>
  </si>
  <si>
    <t xml:space="preserve">Cookstove Ownership </t>
  </si>
  <si>
    <t>1 Stove</t>
  </si>
  <si>
    <t xml:space="preserve">2 Stoves </t>
  </si>
  <si>
    <t>3 Stoves</t>
  </si>
  <si>
    <t>Boiling water</t>
  </si>
  <si>
    <t>Current season</t>
  </si>
  <si>
    <t>Other season</t>
  </si>
  <si>
    <t>Only charcoal cookstove</t>
  </si>
  <si>
    <t>Both 3 stone and charcoal</t>
  </si>
  <si>
    <t>Improved fuelwood</t>
  </si>
  <si>
    <t>Fueluse</t>
  </si>
  <si>
    <t>Only Firewood</t>
  </si>
  <si>
    <t>Only charcoal</t>
  </si>
  <si>
    <t>Both firewood and charcoal</t>
  </si>
  <si>
    <t>𝑓𝑁𝑅𝐵,𝑓,𝑦</t>
  </si>
  <si>
    <t>Parameter</t>
  </si>
  <si>
    <t>Definition</t>
  </si>
  <si>
    <t>Source</t>
  </si>
  <si>
    <t>Default value</t>
  </si>
  <si>
    <t>Default thermal efficiency</t>
  </si>
  <si>
    <t>Value for wet season</t>
  </si>
  <si>
    <t>Value for dry season</t>
  </si>
  <si>
    <t>Calculated</t>
  </si>
  <si>
    <t>Baseline Survey</t>
  </si>
  <si>
    <t>𝑥𝑓 (Firewood)</t>
  </si>
  <si>
    <t>𝑥𝑓 (Charcoal)</t>
  </si>
  <si>
    <t>𝐸𝐹𝑏,𝑓,𝐶𝑂2 (Fuelwood)</t>
  </si>
  <si>
    <t>𝐸𝐹𝑏,𝑓,𝐶𝑂2 (Charcoal)</t>
  </si>
  <si>
    <t>𝐸𝐹𝑏 fuelwood</t>
  </si>
  <si>
    <t>𝐸𝐹𝑏 charcoal</t>
  </si>
  <si>
    <t>𝐸𝐹𝑏,𝑓,𝑛𝑜𝑛𝐶𝑂2) (Fuelwood)</t>
  </si>
  <si>
    <t>𝐸𝐹𝑏,𝑓,𝑛𝑜𝑛𝐶𝑂2) (Coal)</t>
  </si>
  <si>
    <t>Eq. 3</t>
  </si>
  <si>
    <t>𝐶𝑏</t>
  </si>
  <si>
    <t>𝑋𝑐𝑙𝑒𝑎𝑛𝑏𝑜𝑖𝑙,𝑦</t>
  </si>
  <si>
    <t>𝑄𝑦</t>
  </si>
  <si>
    <t>𝑀𝑞,𝑦</t>
  </si>
  <si>
    <t>Proportion of project end-users who in the baseline were already using a safe water supply that did not require boiling (%)</t>
  </si>
  <si>
    <t>Assumed</t>
  </si>
  <si>
    <t>𝐵𝐸𝑦 (fuelwood)</t>
  </si>
  <si>
    <t>𝐵𝐸𝑦 (charcoal)</t>
  </si>
  <si>
    <t>QPWp</t>
  </si>
  <si>
    <t>DOp,y</t>
  </si>
  <si>
    <r>
      <t>𝐸𝐹</t>
    </r>
    <r>
      <rPr>
        <sz val="8"/>
        <rFont val="Cambria Math"/>
        <family val="1"/>
      </rPr>
      <t>𝑏</t>
    </r>
    <r>
      <rPr>
        <sz val="8"/>
        <rFont val="Verdana"/>
        <family val="2"/>
      </rPr>
      <t xml:space="preserve"> </t>
    </r>
    <r>
      <rPr>
        <sz val="11"/>
        <rFont val="Verdana"/>
        <family val="2"/>
      </rPr>
      <t xml:space="preserve">= </t>
    </r>
    <r>
      <rPr>
        <sz val="11"/>
        <rFont val="Cambria Math"/>
        <family val="1"/>
      </rPr>
      <t>𝑆𝐸</t>
    </r>
    <r>
      <rPr>
        <sz val="8"/>
        <rFont val="Cambria Math"/>
        <family val="1"/>
      </rPr>
      <t>𝑤</t>
    </r>
    <r>
      <rPr>
        <sz val="8"/>
        <rFont val="Verdana"/>
        <family val="2"/>
      </rPr>
      <t>,</t>
    </r>
    <r>
      <rPr>
        <sz val="8"/>
        <rFont val="Cambria Math"/>
        <family val="1"/>
      </rPr>
      <t>𝑏</t>
    </r>
    <r>
      <rPr>
        <sz val="8"/>
        <rFont val="Verdana"/>
        <family val="2"/>
      </rPr>
      <t>,</t>
    </r>
    <r>
      <rPr>
        <sz val="8"/>
        <rFont val="Cambria Math"/>
        <family val="1"/>
      </rPr>
      <t>𝑦</t>
    </r>
    <r>
      <rPr>
        <sz val="8"/>
        <rFont val="Verdana"/>
        <family val="2"/>
      </rPr>
      <t xml:space="preserve"> </t>
    </r>
    <r>
      <rPr>
        <sz val="11"/>
        <rFont val="Cambria Math"/>
        <family val="1"/>
      </rPr>
      <t>∗</t>
    </r>
    <r>
      <rPr>
        <sz val="11"/>
        <rFont val="Verdana"/>
        <family val="2"/>
      </rPr>
      <t xml:space="preserve"> ∑(</t>
    </r>
    <r>
      <rPr>
        <sz val="11"/>
        <rFont val="Cambria Math"/>
        <family val="1"/>
      </rPr>
      <t>𝑥</t>
    </r>
    <r>
      <rPr>
        <sz val="8"/>
        <rFont val="Cambria Math"/>
        <family val="1"/>
      </rPr>
      <t>𝑓</t>
    </r>
    <r>
      <rPr>
        <sz val="8"/>
        <rFont val="Verdana"/>
        <family val="2"/>
      </rPr>
      <t xml:space="preserve"> </t>
    </r>
    <r>
      <rPr>
        <sz val="11"/>
        <rFont val="Cambria Math"/>
        <family val="1"/>
      </rPr>
      <t>∗</t>
    </r>
    <r>
      <rPr>
        <sz val="11"/>
        <rFont val="Verdana"/>
        <family val="2"/>
      </rPr>
      <t xml:space="preserve"> (</t>
    </r>
    <r>
      <rPr>
        <sz val="11"/>
        <rFont val="Cambria Math"/>
        <family val="1"/>
      </rPr>
      <t>𝐸𝐹</t>
    </r>
    <r>
      <rPr>
        <sz val="8"/>
        <rFont val="Cambria Math"/>
        <family val="1"/>
      </rPr>
      <t>𝑏</t>
    </r>
    <r>
      <rPr>
        <sz val="8"/>
        <rFont val="Verdana"/>
        <family val="2"/>
      </rPr>
      <t>,</t>
    </r>
    <r>
      <rPr>
        <sz val="8"/>
        <rFont val="Cambria Math"/>
        <family val="1"/>
      </rPr>
      <t>𝑓</t>
    </r>
    <r>
      <rPr>
        <sz val="8"/>
        <rFont val="Verdana"/>
        <family val="2"/>
      </rPr>
      <t>,</t>
    </r>
    <r>
      <rPr>
        <sz val="8"/>
        <rFont val="Cambria Math"/>
        <family val="1"/>
      </rPr>
      <t>𝐶𝑂</t>
    </r>
    <r>
      <rPr>
        <sz val="8"/>
        <rFont val="Verdana"/>
        <family val="2"/>
      </rPr>
      <t xml:space="preserve">2 </t>
    </r>
    <r>
      <rPr>
        <sz val="11"/>
        <rFont val="Cambria Math"/>
        <family val="1"/>
      </rPr>
      <t>∗</t>
    </r>
    <r>
      <rPr>
        <sz val="11"/>
        <rFont val="Verdana"/>
        <family val="2"/>
      </rPr>
      <t xml:space="preserve"> </t>
    </r>
    <r>
      <rPr>
        <sz val="11"/>
        <rFont val="Cambria Math"/>
        <family val="1"/>
      </rPr>
      <t>𝑓</t>
    </r>
    <r>
      <rPr>
        <sz val="8"/>
        <rFont val="Cambria Math"/>
        <family val="1"/>
      </rPr>
      <t>𝑁𝑅𝐵</t>
    </r>
    <r>
      <rPr>
        <sz val="8"/>
        <rFont val="Verdana"/>
        <family val="2"/>
      </rPr>
      <t>,</t>
    </r>
    <r>
      <rPr>
        <sz val="8"/>
        <rFont val="Cambria Math"/>
        <family val="1"/>
      </rPr>
      <t>𝑓</t>
    </r>
    <r>
      <rPr>
        <sz val="8"/>
        <rFont val="Verdana"/>
        <family val="2"/>
      </rPr>
      <t>,</t>
    </r>
    <r>
      <rPr>
        <sz val="8"/>
        <rFont val="Cambria Math"/>
        <family val="1"/>
      </rPr>
      <t>𝑦</t>
    </r>
    <r>
      <rPr>
        <sz val="8"/>
        <rFont val="Verdana"/>
        <family val="2"/>
      </rPr>
      <t xml:space="preserve"> </t>
    </r>
    <r>
      <rPr>
        <sz val="11"/>
        <rFont val="Verdana"/>
        <family val="2"/>
      </rPr>
      <t xml:space="preserve">+ </t>
    </r>
    <r>
      <rPr>
        <sz val="11"/>
        <rFont val="Cambria Math"/>
        <family val="1"/>
      </rPr>
      <t>𝐸𝐹</t>
    </r>
    <r>
      <rPr>
        <sz val="8"/>
        <rFont val="Cambria Math"/>
        <family val="1"/>
      </rPr>
      <t>𝑏</t>
    </r>
    <r>
      <rPr>
        <sz val="8"/>
        <rFont val="Verdana"/>
        <family val="2"/>
      </rPr>
      <t>,</t>
    </r>
    <r>
      <rPr>
        <sz val="8"/>
        <rFont val="Cambria Math"/>
        <family val="1"/>
      </rPr>
      <t>𝑓</t>
    </r>
    <r>
      <rPr>
        <sz val="8"/>
        <rFont val="Verdana"/>
        <family val="2"/>
      </rPr>
      <t>,</t>
    </r>
    <r>
      <rPr>
        <sz val="8"/>
        <rFont val="Cambria Math"/>
        <family val="1"/>
      </rPr>
      <t>𝑛𝑜𝑛𝐶𝑂</t>
    </r>
    <r>
      <rPr>
        <sz val="8"/>
        <rFont val="Verdana"/>
        <family val="2"/>
      </rPr>
      <t>2</t>
    </r>
    <r>
      <rPr>
        <sz val="11"/>
        <rFont val="Verdana"/>
        <family val="2"/>
      </rPr>
      <t>)) ÷ 10</t>
    </r>
    <r>
      <rPr>
        <sz val="8"/>
        <rFont val="Verdana"/>
        <family val="2"/>
      </rPr>
      <t>9</t>
    </r>
  </si>
  <si>
    <r>
      <t>𝑆𝐸</t>
    </r>
    <r>
      <rPr>
        <sz val="8"/>
        <rFont val="Cambria Math"/>
        <family val="1"/>
      </rPr>
      <t>𝑤</t>
    </r>
    <r>
      <rPr>
        <sz val="8"/>
        <rFont val="Verdana"/>
        <family val="2"/>
      </rPr>
      <t>,</t>
    </r>
    <r>
      <rPr>
        <sz val="8"/>
        <rFont val="Cambria Math"/>
        <family val="1"/>
      </rPr>
      <t>𝑏</t>
    </r>
    <r>
      <rPr>
        <sz val="8"/>
        <rFont val="Verdana"/>
        <family val="2"/>
      </rPr>
      <t>,</t>
    </r>
    <r>
      <rPr>
        <sz val="8"/>
        <rFont val="Cambria Math"/>
        <family val="1"/>
      </rPr>
      <t>𝑦</t>
    </r>
    <r>
      <rPr>
        <sz val="8"/>
        <rFont val="Verdana"/>
        <family val="2"/>
      </rPr>
      <t xml:space="preserve"> </t>
    </r>
    <r>
      <rPr>
        <sz val="11"/>
        <rFont val="Verdana"/>
        <family val="2"/>
      </rPr>
      <t>= 360.83/</t>
    </r>
    <r>
      <rPr>
        <sz val="11"/>
        <rFont val="Cambria Math"/>
        <family val="1"/>
      </rPr>
      <t>𝜂</t>
    </r>
    <r>
      <rPr>
        <sz val="8"/>
        <rFont val="Cambria Math"/>
        <family val="1"/>
      </rPr>
      <t>𝑤𝑏</t>
    </r>
  </si>
  <si>
    <r>
      <t xml:space="preserve">Proportion of fuel </t>
    </r>
    <r>
      <rPr>
        <i/>
        <sz val="11"/>
        <rFont val="Verdana"/>
        <family val="2"/>
      </rPr>
      <t xml:space="preserve">f </t>
    </r>
    <r>
      <rPr>
        <sz val="11"/>
        <rFont val="Verdana"/>
        <family val="2"/>
      </rPr>
      <t>used in the baseline (fraction determined based on an energy basis)</t>
    </r>
  </si>
  <si>
    <r>
      <t>CO</t>
    </r>
    <r>
      <rPr>
        <vertAlign val="subscript"/>
        <sz val="11"/>
        <rFont val="Verdana"/>
        <family val="2"/>
      </rPr>
      <t>2</t>
    </r>
    <r>
      <rPr>
        <sz val="11"/>
        <rFont val="Verdana"/>
        <family val="2"/>
      </rPr>
      <t xml:space="preserve"> emission factor from use of fuel </t>
    </r>
    <r>
      <rPr>
        <i/>
        <sz val="11"/>
        <rFont val="Verdana"/>
        <family val="2"/>
      </rPr>
      <t xml:space="preserve">f </t>
    </r>
    <r>
      <rPr>
        <sz val="11"/>
        <rFont val="Verdana"/>
        <family val="2"/>
      </rPr>
      <t>(tCO</t>
    </r>
    <r>
      <rPr>
        <vertAlign val="subscript"/>
        <sz val="11"/>
        <rFont val="Verdana"/>
        <family val="2"/>
      </rPr>
      <t>2</t>
    </r>
    <r>
      <rPr>
        <sz val="11"/>
        <rFont val="Verdana"/>
        <family val="2"/>
      </rPr>
      <t>/TJ)</t>
    </r>
  </si>
  <si>
    <r>
      <t xml:space="preserve">Fractional non-renewability status of woody biomass fuel during year </t>
    </r>
    <r>
      <rPr>
        <i/>
        <sz val="11"/>
        <rFont val="Verdana"/>
        <family val="2"/>
      </rPr>
      <t xml:space="preserve">y </t>
    </r>
    <r>
      <rPr>
        <sz val="11"/>
        <rFont val="Verdana"/>
        <family val="2"/>
      </rPr>
      <t>(fraction)</t>
    </r>
  </si>
  <si>
    <r>
      <t>Non-CO</t>
    </r>
    <r>
      <rPr>
        <vertAlign val="subscript"/>
        <sz val="11"/>
        <rFont val="Verdana"/>
        <family val="2"/>
      </rPr>
      <t>2</t>
    </r>
    <r>
      <rPr>
        <sz val="11"/>
        <rFont val="Verdana"/>
        <family val="2"/>
      </rPr>
      <t xml:space="preserve"> emission factor arising from use of fuel f, when the baseline fuel f is biomass or charcoal (tCO2e/TJ). </t>
    </r>
  </si>
  <si>
    <r>
      <t>Emission factor for the use of fuel to obtain safe water   in the baseline (tCO</t>
    </r>
    <r>
      <rPr>
        <vertAlign val="subscript"/>
        <sz val="11"/>
        <rFont val="Verdana"/>
        <family val="2"/>
      </rPr>
      <t>2</t>
    </r>
    <r>
      <rPr>
        <sz val="11"/>
        <rFont val="Verdana"/>
        <family val="2"/>
      </rPr>
      <t>e/L)</t>
    </r>
  </si>
  <si>
    <r>
      <t>𝐵𝐸</t>
    </r>
    <r>
      <rPr>
        <sz val="8"/>
        <rFont val="Cambria Math"/>
        <family val="1"/>
      </rPr>
      <t>𝑦</t>
    </r>
    <r>
      <rPr>
        <sz val="8"/>
        <rFont val="Verdana"/>
        <family val="2"/>
      </rPr>
      <t xml:space="preserve"> </t>
    </r>
    <r>
      <rPr>
        <sz val="11"/>
        <rFont val="Verdana"/>
        <family val="2"/>
      </rPr>
      <t xml:space="preserve">= </t>
    </r>
    <r>
      <rPr>
        <sz val="11"/>
        <rFont val="Cambria Math"/>
        <family val="1"/>
      </rPr>
      <t>𝐸𝐹</t>
    </r>
    <r>
      <rPr>
        <sz val="8"/>
        <rFont val="Cambria Math"/>
        <family val="1"/>
      </rPr>
      <t>𝑏</t>
    </r>
    <r>
      <rPr>
        <sz val="8"/>
        <rFont val="Verdana"/>
        <family val="2"/>
      </rPr>
      <t xml:space="preserve"> </t>
    </r>
    <r>
      <rPr>
        <sz val="11"/>
        <rFont val="Verdana"/>
        <family val="2"/>
      </rPr>
      <t xml:space="preserve">× (1 − </t>
    </r>
    <r>
      <rPr>
        <sz val="11"/>
        <rFont val="Cambria Math"/>
        <family val="1"/>
      </rPr>
      <t>𝐶</t>
    </r>
    <r>
      <rPr>
        <sz val="8"/>
        <rFont val="Cambria Math"/>
        <family val="1"/>
      </rPr>
      <t>𝑏</t>
    </r>
    <r>
      <rPr>
        <sz val="8"/>
        <rFont val="Verdana"/>
        <family val="2"/>
      </rPr>
      <t xml:space="preserve"> </t>
    </r>
    <r>
      <rPr>
        <sz val="11"/>
        <rFont val="Verdana"/>
        <family val="2"/>
      </rPr>
      <t xml:space="preserve">− </t>
    </r>
    <r>
      <rPr>
        <sz val="11"/>
        <rFont val="Cambria Math"/>
        <family val="1"/>
      </rPr>
      <t>𝑋</t>
    </r>
    <r>
      <rPr>
        <sz val="8"/>
        <rFont val="Cambria Math"/>
        <family val="1"/>
      </rPr>
      <t>𝑐𝑙𝑒𝑎𝑛𝑏𝑜𝑖𝑙</t>
    </r>
    <r>
      <rPr>
        <sz val="8"/>
        <rFont val="Verdana"/>
        <family val="2"/>
      </rPr>
      <t>,</t>
    </r>
    <r>
      <rPr>
        <sz val="8"/>
        <rFont val="Cambria Math"/>
        <family val="1"/>
      </rPr>
      <t>𝑦</t>
    </r>
    <r>
      <rPr>
        <sz val="11"/>
        <rFont val="Verdana"/>
        <family val="2"/>
      </rPr>
      <t xml:space="preserve">) × </t>
    </r>
    <r>
      <rPr>
        <sz val="11"/>
        <rFont val="Cambria Math"/>
        <family val="1"/>
      </rPr>
      <t>𝑄</t>
    </r>
    <r>
      <rPr>
        <sz val="8"/>
        <rFont val="Cambria Math"/>
        <family val="1"/>
      </rPr>
      <t>𝑦</t>
    </r>
    <r>
      <rPr>
        <sz val="8"/>
        <rFont val="Verdana"/>
        <family val="2"/>
      </rPr>
      <t xml:space="preserve"> </t>
    </r>
    <r>
      <rPr>
        <sz val="11"/>
        <rFont val="Verdana"/>
        <family val="2"/>
      </rPr>
      <t xml:space="preserve">× </t>
    </r>
    <r>
      <rPr>
        <sz val="11"/>
        <rFont val="Cambria Math"/>
        <family val="1"/>
      </rPr>
      <t>𝑀</t>
    </r>
    <r>
      <rPr>
        <sz val="8"/>
        <rFont val="Cambria Math"/>
        <family val="1"/>
      </rPr>
      <t>𝑞</t>
    </r>
    <r>
      <rPr>
        <sz val="8"/>
        <rFont val="Verdana"/>
        <family val="2"/>
      </rPr>
      <t>,</t>
    </r>
    <r>
      <rPr>
        <sz val="8"/>
        <rFont val="Cambria Math"/>
        <family val="1"/>
      </rPr>
      <t>𝑦</t>
    </r>
  </si>
  <si>
    <r>
      <t xml:space="preserve">Proportion of project end-users that boil safe water in the project year </t>
    </r>
    <r>
      <rPr>
        <i/>
        <sz val="11"/>
        <rFont val="Verdana"/>
        <family val="2"/>
      </rPr>
      <t xml:space="preserve">y </t>
    </r>
    <r>
      <rPr>
        <sz val="11"/>
        <rFont val="Verdana"/>
        <family val="2"/>
      </rPr>
      <t>(%)</t>
    </r>
  </si>
  <si>
    <r>
      <t xml:space="preserve">Quantity of safe drinking water provided by the project in year </t>
    </r>
    <r>
      <rPr>
        <i/>
        <sz val="11"/>
        <rFont val="Verdana"/>
        <family val="2"/>
      </rPr>
      <t xml:space="preserve">y </t>
    </r>
    <r>
      <rPr>
        <sz val="11"/>
        <rFont val="Verdana"/>
        <family val="2"/>
      </rPr>
      <t>(L)</t>
    </r>
  </si>
  <si>
    <r>
      <t xml:space="preserve">Number of individuals per premises type </t>
    </r>
    <r>
      <rPr>
        <i/>
        <sz val="11"/>
        <rFont val="Verdana"/>
        <family val="2"/>
      </rPr>
      <t xml:space="preserve">p </t>
    </r>
    <r>
      <rPr>
        <sz val="11"/>
        <rFont val="Verdana"/>
        <family val="2"/>
      </rPr>
      <t xml:space="preserve">(e.g. household, school) in year </t>
    </r>
    <r>
      <rPr>
        <i/>
        <sz val="11"/>
        <rFont val="Verdana"/>
        <family val="2"/>
      </rPr>
      <t>y </t>
    </r>
  </si>
  <si>
    <r>
      <t xml:space="preserve">Number of premises type </t>
    </r>
    <r>
      <rPr>
        <i/>
        <sz val="11"/>
        <rFont val="Verdana"/>
        <family val="2"/>
      </rPr>
      <t xml:space="preserve">p </t>
    </r>
    <r>
      <rPr>
        <sz val="11"/>
        <rFont val="Verdana"/>
        <family val="2"/>
      </rPr>
      <t xml:space="preserve">served by the project in year </t>
    </r>
    <r>
      <rPr>
        <i/>
        <sz val="11"/>
        <rFont val="Verdana"/>
        <family val="2"/>
      </rPr>
      <t>y </t>
    </r>
  </si>
  <si>
    <r>
      <t xml:space="preserve">Volume of drinking water per person per day for premises type </t>
    </r>
    <r>
      <rPr>
        <i/>
        <sz val="11"/>
        <rFont val="Verdana"/>
        <family val="2"/>
      </rPr>
      <t xml:space="preserve">p </t>
    </r>
    <r>
      <rPr>
        <sz val="11"/>
        <rFont val="Verdana"/>
        <family val="2"/>
      </rPr>
      <t>(L). </t>
    </r>
  </si>
  <si>
    <r>
      <t xml:space="preserve">Days the project technology is operational for end-users in premises </t>
    </r>
    <r>
      <rPr>
        <i/>
        <sz val="11"/>
        <rFont val="Verdana"/>
        <family val="2"/>
      </rPr>
      <t xml:space="preserve">p </t>
    </r>
    <r>
      <rPr>
        <sz val="11"/>
        <rFont val="Verdana"/>
        <family val="2"/>
      </rPr>
      <t xml:space="preserve">in year </t>
    </r>
    <r>
      <rPr>
        <i/>
        <sz val="11"/>
        <rFont val="Verdana"/>
        <family val="2"/>
      </rPr>
      <t>y </t>
    </r>
  </si>
  <si>
    <r>
      <t xml:space="preserve">Modifier for the water quality in year </t>
    </r>
    <r>
      <rPr>
        <i/>
        <sz val="11"/>
        <rFont val="Verdana"/>
        <family val="2"/>
      </rPr>
      <t>y</t>
    </r>
  </si>
  <si>
    <r>
      <t>Baseline emissions from the use of fuel to obtain safe water in the baseline (tCO</t>
    </r>
    <r>
      <rPr>
        <vertAlign val="subscript"/>
        <sz val="11"/>
        <rFont val="Verdana"/>
        <family val="2"/>
      </rPr>
      <t>2</t>
    </r>
    <r>
      <rPr>
        <sz val="11"/>
        <rFont val="Verdana"/>
        <family val="2"/>
      </rPr>
      <t>e)</t>
    </r>
  </si>
  <si>
    <t>Equation 2</t>
  </si>
  <si>
    <t>Equation 1</t>
  </si>
  <si>
    <t>Equation 3</t>
  </si>
  <si>
    <t>GRAND TOTAL</t>
  </si>
  <si>
    <t>SDG 15</t>
  </si>
  <si>
    <t>Total anergy saved (TJ)</t>
  </si>
  <si>
    <t>NCV for fuelwood (TJ/t)</t>
  </si>
  <si>
    <t>Total Fuelwood Saved (t)</t>
  </si>
  <si>
    <t>Total who boils/ would boil water for drinking</t>
  </si>
  <si>
    <t>m3</t>
  </si>
  <si>
    <t xml:space="preserve"> (1 − 𝐶𝑏 − 𝑋𝑐𝑙𝑒𝑎𝑛𝑏𝑜𝑖𝑙,𝑦)</t>
  </si>
  <si>
    <t>Fraction of houses served</t>
  </si>
  <si>
    <t>Count</t>
  </si>
  <si>
    <t>Percentage</t>
  </si>
  <si>
    <t>Water unsafe sub- group</t>
  </si>
  <si>
    <t>No purification</t>
  </si>
  <si>
    <t>NO</t>
  </si>
  <si>
    <t>Cookstove Type</t>
  </si>
  <si>
    <t>Only 3 stone fire</t>
  </si>
  <si>
    <t>Fetching fuelwood-subgroup</t>
  </si>
  <si>
    <t>Collect</t>
  </si>
  <si>
    <t>Collect and Buy</t>
  </si>
  <si>
    <t>Buy</t>
  </si>
  <si>
    <t>Those collect firewood</t>
  </si>
  <si>
    <t>Forest</t>
  </si>
  <si>
    <t>Close to farmfields</t>
  </si>
  <si>
    <t>Both</t>
  </si>
  <si>
    <t>TOTAL</t>
  </si>
  <si>
    <t>HHp,y- East Yimbo</t>
  </si>
  <si>
    <t>HHp,y- West Yimbo</t>
  </si>
  <si>
    <t>SDG 6</t>
  </si>
  <si>
    <t>Quantity of safe drinking water provided by the project in year y (m3)</t>
  </si>
  <si>
    <t>SDG 3</t>
  </si>
  <si>
    <t>SDG 5</t>
  </si>
  <si>
    <t>Proportion of households who perceive saved time from collecting wood and water boiling</t>
  </si>
  <si>
    <t>Project Survey</t>
  </si>
  <si>
    <t>Proportion of target population using safely managed drinking water services without water-borne diseases</t>
  </si>
  <si>
    <t xml:space="preserve">Measured </t>
  </si>
  <si>
    <t>Water quality tests that passed threshold of &lt;1 cfu
E.coli/100ml</t>
  </si>
  <si>
    <t>Total</t>
  </si>
  <si>
    <t>SDG 8</t>
  </si>
  <si>
    <t>Number of temporary and permanent jobs created</t>
  </si>
  <si>
    <t>Employment records</t>
  </si>
  <si>
    <t>Only 3 stone</t>
  </si>
  <si>
    <t>Only Charcoal</t>
  </si>
  <si>
    <t>Both Charcoal and 3 stone</t>
  </si>
  <si>
    <t>9 Eylul University Report</t>
  </si>
  <si>
    <t>Kenya Ceramic Jiko</t>
  </si>
  <si>
    <t>Firewood</t>
  </si>
  <si>
    <t>Charcoal</t>
  </si>
  <si>
    <t>Value for dry season (6 months)</t>
  </si>
  <si>
    <t>Value for wet season (6 months)</t>
  </si>
  <si>
    <t>Metallic jiko</t>
  </si>
  <si>
    <t>Dry Season</t>
  </si>
  <si>
    <t>Wet Season</t>
  </si>
  <si>
    <t>Dry season</t>
  </si>
  <si>
    <t>Weighted Ave. Dry season</t>
  </si>
  <si>
    <t>Weighted ave. Wet season</t>
  </si>
  <si>
    <t>Years</t>
  </si>
  <si>
    <t>ERs estimated</t>
  </si>
  <si>
    <t>Total responses</t>
  </si>
  <si>
    <t>Average Household Size</t>
  </si>
  <si>
    <t>Cooking</t>
  </si>
  <si>
    <t xml:space="preserve"> Hygiene</t>
  </si>
  <si>
    <t>Economic Constraints</t>
  </si>
  <si>
    <t>Time constraints</t>
  </si>
  <si>
    <t xml:space="preserve">If no contraints, primary method chosen </t>
  </si>
  <si>
    <t>Total Responses</t>
  </si>
  <si>
    <t>Pond/Lake</t>
  </si>
  <si>
    <t>Trip</t>
  </si>
  <si>
    <t xml:space="preserve">Total responses </t>
  </si>
  <si>
    <t>Wet season</t>
  </si>
  <si>
    <t>Baseline survey</t>
  </si>
  <si>
    <t>Population in 8 kiosks</t>
  </si>
  <si>
    <t>No</t>
  </si>
  <si>
    <t>Name</t>
  </si>
  <si>
    <t>Survey Report</t>
  </si>
  <si>
    <t>RUWE KIOSK</t>
  </si>
  <si>
    <t>JUSA KIOSK</t>
  </si>
  <si>
    <t>KADERO KIOSK</t>
  </si>
  <si>
    <t>NYAGERA KIOSK</t>
  </si>
  <si>
    <t>USIGU KIOSK</t>
  </si>
  <si>
    <t>MAJENGO KIOSK</t>
  </si>
  <si>
    <t>KINDA UMALA KIOSK</t>
  </si>
  <si>
    <t xml:space="preserve">TOTAL </t>
  </si>
  <si>
    <t>As percentage to the total population served.</t>
  </si>
  <si>
    <t>Annual</t>
  </si>
  <si>
    <t>HNp,y -East Yimbo</t>
  </si>
  <si>
    <t>HNp,y-West Yimbo</t>
  </si>
  <si>
    <t>01.08.2023- 31.12.2023</t>
  </si>
  <si>
    <t>01.01.2028-30.07.2028</t>
  </si>
  <si>
    <t>County Kiosk Corner (Kaijario)</t>
  </si>
  <si>
    <t>1 and 2</t>
  </si>
  <si>
    <t>Total population in the target area</t>
  </si>
  <si>
    <t>House Count-Onsite</t>
  </si>
  <si>
    <t>House Count-Google Map</t>
  </si>
  <si>
    <t>House Count- Google Map</t>
  </si>
  <si>
    <t>Total population in East Yimbo</t>
  </si>
  <si>
    <t>Total population in West Yimbo</t>
  </si>
  <si>
    <t>Safe water+chlorine users (Cb)</t>
  </si>
  <si>
    <t>USENGE KIOSK and USENGE KIOSK 2 serve the same area</t>
  </si>
  <si>
    <t>SDG 7</t>
  </si>
  <si>
    <t xml:space="preserve">Calculated </t>
  </si>
  <si>
    <t>Total electricity produced: Renewable</t>
  </si>
  <si>
    <t>SD6 (L)</t>
  </si>
  <si>
    <t>SDG15 (ton)</t>
  </si>
  <si>
    <t>SDG7 (kWh)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</si>
</sst>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(* #,##0.00_);_(* \(#,##0.00\);_(* &quot;-&quot;??_);_(@_)"/>
    <numFmt numFmtId="164" formatCode="0.0%"/>
    <numFmt numFmtId="165" formatCode="_(* #,##0.000000_);_(* \(#,##0.000000\);_(* &quot;-&quot;?????????_);_(@_)"/>
    <numFmt numFmtId="166" formatCode="_(* #,##0.000000_);_(* \(#,##0.000000\);_(* &quot;-&quot;??_);_(@_)"/>
    <numFmt numFmtId="167" formatCode="0.000"/>
    <numFmt numFmtId="168" formatCode="_(* #,##0_);_(* \(#,##0\);_(* &quot;-&quot;??????_);_(@_)"/>
    <numFmt numFmtId="169" formatCode="_(* #,##0_);_(* \(#,##0\);_(* &quot;-&quot;??_);_(@_)"/>
    <numFmt numFmtId="170" formatCode="0.0"/>
    <numFmt numFmtId="171" formatCode="_(* #,##0.0_);_(* \(#,##0.0\);_(* &quot;-&quot;??_);_(@_)"/>
    <numFmt numFmtId="172" formatCode="_(* #,##0.000_);_(* \(#,##0.000\);_(* &quot;-&quot;??_);_(@_)"/>
    <numFmt numFmtId="173" formatCode="_(* #,##0.0_);_(* \(#,##0.0\);_(* &quot;-&quot;?_);_(@_)"/>
    <numFmt numFmtId="174" formatCode="_(* #,##0.000_);_(* \(#,##0.000\);_(* &quot;-&quot;???_);_(@_)"/>
    <numFmt numFmtId="175" formatCode="_(* #,##0_);_(* \(#,##0\);_(* &quot;-&quot;?_);_(@_)"/>
  </numFmts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mbria Math"/>
      <family val="1"/>
    </font>
    <font>
      <sz val="8"/>
      <name val="Cambria Math"/>
      <family val="1"/>
    </font>
    <font>
      <sz val="8"/>
      <name val="Verdana"/>
      <family val="2"/>
    </font>
    <font>
      <sz val="11"/>
      <name val="Verdana"/>
      <family val="2"/>
    </font>
    <font>
      <i/>
      <sz val="10"/>
      <name val="Verdana"/>
      <family val="2"/>
    </font>
    <font>
      <b/>
      <sz val="12"/>
      <name val="Calibri"/>
      <family val="2"/>
      <scheme val="minor"/>
    </font>
    <font>
      <i/>
      <sz val="11"/>
      <name val="Verdana"/>
      <family val="2"/>
    </font>
    <font>
      <vertAlign val="subscript"/>
      <sz val="11"/>
      <name val="Verdana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 (Body)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3"/>
    <xf numFmtId="0" fontId="2" fillId="2" borderId="0" xfId="3" applyFill="1"/>
    <xf numFmtId="9" fontId="0" fillId="2" borderId="0" xfId="4" applyFont="1" applyFill="1"/>
    <xf numFmtId="0" fontId="0" fillId="0" borderId="0" xfId="4" applyNumberFormat="1" applyFont="1"/>
    <xf numFmtId="0" fontId="2" fillId="0" borderId="0" xfId="3" applyAlignment="1">
      <alignment wrapText="1"/>
    </xf>
    <xf numFmtId="0" fontId="2" fillId="3" borderId="0" xfId="3" applyFill="1"/>
    <xf numFmtId="0" fontId="3" fillId="3" borderId="0" xfId="3" applyFont="1" applyFill="1" applyAlignment="1">
      <alignment wrapText="1"/>
    </xf>
    <xf numFmtId="0" fontId="3" fillId="3" borderId="0" xfId="3" applyFont="1" applyFill="1"/>
    <xf numFmtId="9" fontId="3" fillId="3" borderId="0" xfId="4" applyFont="1" applyFill="1"/>
    <xf numFmtId="0" fontId="2" fillId="3" borderId="0" xfId="3" applyFill="1" applyAlignment="1">
      <alignment wrapText="1"/>
    </xf>
    <xf numFmtId="9" fontId="0" fillId="0" borderId="0" xfId="4" applyFont="1"/>
    <xf numFmtId="0" fontId="3" fillId="0" borderId="0" xfId="3" applyFont="1"/>
    <xf numFmtId="0" fontId="3" fillId="2" borderId="0" xfId="3" applyFont="1" applyFill="1"/>
    <xf numFmtId="9" fontId="0" fillId="3" borderId="0" xfId="4" applyFont="1" applyFill="1"/>
    <xf numFmtId="0" fontId="2" fillId="0" borderId="0" xfId="3" applyAlignment="1">
      <alignment horizontal="center" wrapText="1"/>
    </xf>
    <xf numFmtId="9" fontId="2" fillId="0" borderId="0" xfId="3" applyNumberFormat="1"/>
    <xf numFmtId="9" fontId="2" fillId="3" borderId="0" xfId="3" applyNumberFormat="1" applyFill="1"/>
    <xf numFmtId="164" fontId="0" fillId="3" borderId="0" xfId="2" applyNumberFormat="1" applyFont="1" applyFill="1"/>
    <xf numFmtId="0" fontId="0" fillId="0" borderId="0" xfId="0" applyAlignment="1">
      <alignment wrapText="1"/>
    </xf>
    <xf numFmtId="43" fontId="0" fillId="0" borderId="0" xfId="0" applyNumberFormat="1"/>
    <xf numFmtId="170" fontId="0" fillId="0" borderId="0" xfId="0" applyNumberFormat="1"/>
    <xf numFmtId="0" fontId="4" fillId="0" borderId="0" xfId="0" applyFont="1"/>
    <xf numFmtId="0" fontId="9" fillId="0" borderId="0" xfId="0" applyFont="1" applyAlignment="1">
      <alignment horizontal="left" vertical="center" wrapText="1" indent="4"/>
    </xf>
    <xf numFmtId="0" fontId="10" fillId="0" borderId="0" xfId="0" applyFont="1"/>
    <xf numFmtId="0" fontId="8" fillId="0" borderId="0" xfId="0" applyFont="1"/>
    <xf numFmtId="43" fontId="4" fillId="0" borderId="0" xfId="1" applyFont="1"/>
    <xf numFmtId="167" fontId="4" fillId="0" borderId="0" xfId="0" applyNumberFormat="1" applyFont="1"/>
    <xf numFmtId="2" fontId="4" fillId="0" borderId="0" xfId="0" applyNumberFormat="1" applyFont="1"/>
    <xf numFmtId="0" fontId="8" fillId="0" borderId="0" xfId="0" applyFont="1" applyAlignment="1">
      <alignment wrapText="1"/>
    </xf>
    <xf numFmtId="165" fontId="4" fillId="0" borderId="0" xfId="0" applyNumberFormat="1" applyFont="1"/>
    <xf numFmtId="166" fontId="4" fillId="0" borderId="0" xfId="0" applyNumberFormat="1" applyFont="1"/>
    <xf numFmtId="0" fontId="9" fillId="0" borderId="0" xfId="0" applyFont="1" applyAlignment="1">
      <alignment horizontal="right" vertical="center" wrapText="1"/>
    </xf>
    <xf numFmtId="9" fontId="4" fillId="0" borderId="0" xfId="2" applyFont="1"/>
    <xf numFmtId="0" fontId="10" fillId="4" borderId="0" xfId="0" applyFont="1" applyFill="1"/>
    <xf numFmtId="0" fontId="10" fillId="4" borderId="0" xfId="0" applyFont="1" applyFill="1" applyAlignment="1">
      <alignment wrapText="1"/>
    </xf>
    <xf numFmtId="0" fontId="10" fillId="5" borderId="0" xfId="0" applyFont="1" applyFill="1"/>
    <xf numFmtId="0" fontId="4" fillId="5" borderId="0" xfId="0" applyFont="1" applyFill="1"/>
    <xf numFmtId="168" fontId="10" fillId="0" borderId="0" xfId="0" applyNumberFormat="1" applyFont="1"/>
    <xf numFmtId="169" fontId="10" fillId="0" borderId="0" xfId="0" applyNumberFormat="1" applyFont="1"/>
    <xf numFmtId="0" fontId="4" fillId="0" borderId="0" xfId="0" applyFont="1" applyAlignment="1">
      <alignment wrapText="1"/>
    </xf>
    <xf numFmtId="3" fontId="4" fillId="6" borderId="0" xfId="0" applyNumberFormat="1" applyFont="1" applyFill="1"/>
    <xf numFmtId="0" fontId="4" fillId="6" borderId="0" xfId="0" applyFont="1" applyFill="1"/>
    <xf numFmtId="168" fontId="4" fillId="0" borderId="0" xfId="0" applyNumberFormat="1" applyFont="1"/>
    <xf numFmtId="9" fontId="0" fillId="0" borderId="0" xfId="0" applyNumberFormat="1"/>
    <xf numFmtId="164" fontId="0" fillId="0" borderId="0" xfId="4" applyNumberFormat="1" applyFont="1"/>
    <xf numFmtId="1" fontId="0" fillId="0" borderId="0" xfId="4" applyNumberFormat="1" applyFont="1"/>
    <xf numFmtId="1" fontId="0" fillId="3" borderId="0" xfId="4" applyNumberFormat="1" applyFont="1" applyFill="1"/>
    <xf numFmtId="0" fontId="13" fillId="0" borderId="0" xfId="0" applyFont="1"/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9" fontId="2" fillId="0" borderId="0" xfId="2" applyFont="1" applyAlignment="1">
      <alignment wrapText="1"/>
    </xf>
    <xf numFmtId="0" fontId="2" fillId="7" borderId="0" xfId="3" applyFill="1"/>
    <xf numFmtId="9" fontId="2" fillId="7" borderId="0" xfId="2" applyFont="1" applyFill="1"/>
    <xf numFmtId="0" fontId="0" fillId="0" borderId="0" xfId="0" applyAlignment="1">
      <alignment horizontal="right"/>
    </xf>
    <xf numFmtId="0" fontId="3" fillId="7" borderId="0" xfId="3" applyFont="1" applyFill="1"/>
    <xf numFmtId="0" fontId="0" fillId="0" borderId="1" xfId="0" applyBorder="1"/>
    <xf numFmtId="0" fontId="13" fillId="0" borderId="1" xfId="0" applyFont="1" applyBorder="1"/>
    <xf numFmtId="170" fontId="0" fillId="0" borderId="1" xfId="0" applyNumberFormat="1" applyBorder="1"/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/>
    <xf numFmtId="2" fontId="15" fillId="0" borderId="0" xfId="0" applyNumberFormat="1" applyFont="1"/>
    <xf numFmtId="169" fontId="0" fillId="0" borderId="1" xfId="0" applyNumberFormat="1" applyBorder="1"/>
    <xf numFmtId="171" fontId="0" fillId="0" borderId="0" xfId="0" applyNumberFormat="1"/>
    <xf numFmtId="172" fontId="4" fillId="0" borderId="0" xfId="0" applyNumberFormat="1" applyFont="1"/>
    <xf numFmtId="172" fontId="0" fillId="0" borderId="0" xfId="0" applyNumberFormat="1"/>
    <xf numFmtId="2" fontId="2" fillId="0" borderId="0" xfId="3" applyNumberFormat="1"/>
    <xf numFmtId="1" fontId="2" fillId="0" borderId="0" xfId="3" applyNumberFormat="1"/>
    <xf numFmtId="1" fontId="2" fillId="3" borderId="0" xfId="3" applyNumberFormat="1" applyFill="1"/>
    <xf numFmtId="1" fontId="3" fillId="2" borderId="0" xfId="3" applyNumberFormat="1" applyFont="1" applyFill="1"/>
    <xf numFmtId="2" fontId="0" fillId="0" borderId="0" xfId="0" applyNumberFormat="1"/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173" fontId="0" fillId="0" borderId="0" xfId="0" applyNumberFormat="1"/>
    <xf numFmtId="2" fontId="4" fillId="6" borderId="0" xfId="0" applyNumberFormat="1" applyFont="1" applyFill="1"/>
    <xf numFmtId="0" fontId="6" fillId="0" borderId="0" xfId="0" applyFont="1" applyAlignment="1">
      <alignment horizontal="left" vertical="center" wrapText="1"/>
    </xf>
    <xf numFmtId="0" fontId="5" fillId="5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5" fillId="5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1" xfId="0" applyFont="1" applyBorder="1" applyAlignment="1">
      <alignment wrapText="1"/>
    </xf>
    <xf numFmtId="169" fontId="4" fillId="0" borderId="1" xfId="0" applyNumberFormat="1" applyFont="1" applyBorder="1" applyAlignment="1">
      <alignment horizontal="center" wrapText="1"/>
    </xf>
    <xf numFmtId="168" fontId="4" fillId="0" borderId="1" xfId="0" applyNumberFormat="1" applyFont="1" applyBorder="1" applyAlignment="1">
      <alignment horizontal="center" wrapText="1"/>
    </xf>
    <xf numFmtId="169" fontId="10" fillId="0" borderId="0" xfId="0" applyNumberFormat="1" applyFont="1" applyAlignment="1">
      <alignment wrapText="1"/>
    </xf>
    <xf numFmtId="169" fontId="17" fillId="0" borderId="0" xfId="1" applyNumberFormat="1" applyFont="1" applyAlignment="1">
      <alignment vertical="center" wrapText="1"/>
    </xf>
    <xf numFmtId="174" fontId="0" fillId="0" borderId="1" xfId="0" applyNumberFormat="1" applyBorder="1"/>
    <xf numFmtId="172" fontId="0" fillId="0" borderId="1" xfId="0" applyNumberFormat="1" applyBorder="1"/>
    <xf numFmtId="167" fontId="0" fillId="0" borderId="1" xfId="0" applyNumberFormat="1" applyBorder="1"/>
    <xf numFmtId="169" fontId="0" fillId="0" borderId="0" xfId="0" applyNumberFormat="1"/>
    <xf numFmtId="175" fontId="0" fillId="0" borderId="0" xfId="0" applyNumberFormat="1"/>
    <xf numFmtId="169" fontId="4" fillId="0" borderId="0" xfId="1" applyNumberFormat="1" applyFont="1"/>
    <xf numFmtId="0" fontId="8" fillId="0" borderId="0" xfId="0" applyFont="1" applyAlignment="1">
      <alignment horizontal="left" vertical="top" wrapText="1"/>
    </xf>
    <xf numFmtId="0" fontId="3" fillId="3" borderId="0" xfId="3" applyFont="1" applyFill="1" applyAlignment="1">
      <alignment horizontal="center" wrapText="1"/>
    </xf>
  </cellXfs>
  <cellStyles count="5">
    <cellStyle name="Comma" xfId="1" builtinId="3"/>
    <cellStyle name="Normal" xfId="0" builtinId="0"/>
    <cellStyle name="Normal 2" xfId="3" xr:uid="{A73DA035-B254-F145-89B7-D83DCE6A76B6}"/>
    <cellStyle name="Percent" xfId="2" builtinId="5"/>
    <cellStyle name="Percent 2" xfId="4" xr:uid="{3BBA585D-6946-6046-8FA8-3069BD4980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Cookstoves</a:t>
            </a:r>
            <a:r>
              <a:rPr lang="en-US" baseline="0"/>
              <a:t> used for boiling water</a:t>
            </a:r>
            <a:endParaRPr lang="en-US"/>
          </a:p>
        </c:rich>
      </c:tx>
      <c:layout>
        <c:manualLayout>
          <c:xMode val="edge"/>
          <c:yMode val="edge"/>
          <c:x val="0.31459011373578305"/>
          <c:y val="0.229787234042553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TR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DFD-0D4D-96CC-704E2706C8E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DFD-0D4D-96CC-704E2706C8E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DFD-0D4D-96CC-704E2706C8E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DFD-0D4D-96CC-704E2706C8E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T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Results!$E$50:$E$53</c:f>
              <c:strCache>
                <c:ptCount val="4"/>
                <c:pt idx="0">
                  <c:v>Only 3 stone fire</c:v>
                </c:pt>
                <c:pt idx="1">
                  <c:v>Only charcoal cookstove</c:v>
                </c:pt>
                <c:pt idx="2">
                  <c:v>Both 3 stone and charcoal</c:v>
                </c:pt>
                <c:pt idx="3">
                  <c:v>Improved fuelwood</c:v>
                </c:pt>
              </c:strCache>
            </c:strRef>
          </c:cat>
          <c:val>
            <c:numRef>
              <c:f>Results!$I$50:$I$53</c:f>
              <c:numCache>
                <c:formatCode>0%</c:formatCode>
                <c:ptCount val="4"/>
                <c:pt idx="0">
                  <c:v>0.51851851851851849</c:v>
                </c:pt>
                <c:pt idx="1">
                  <c:v>0.29629629629629628</c:v>
                </c:pt>
                <c:pt idx="2">
                  <c:v>0.1728395061728395</c:v>
                </c:pt>
                <c:pt idx="3">
                  <c:v>1.2345679012345678E-2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DFD-0D4D-96CC-704E2706C8E5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3DFD-0D4D-96CC-704E2706C8E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3DFD-0D4D-96CC-704E2706C8E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3DFD-0D4D-96CC-704E2706C8E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3DFD-0D4D-96CC-704E2706C8E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T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Results!$E$50:$E$53</c:f>
              <c:strCache>
                <c:ptCount val="4"/>
                <c:pt idx="0">
                  <c:v>Only 3 stone fire</c:v>
                </c:pt>
                <c:pt idx="1">
                  <c:v>Only charcoal cookstove</c:v>
                </c:pt>
                <c:pt idx="2">
                  <c:v>Both 3 stone and charcoal</c:v>
                </c:pt>
                <c:pt idx="3">
                  <c:v>Improved fuelwood</c:v>
                </c:pt>
              </c:strCache>
            </c:strRef>
          </c:cat>
          <c:val>
            <c:numRef>
              <c:f>Results!$J$50:$J$53</c:f>
              <c:numCache>
                <c:formatCode>0%</c:formatCode>
                <c:ptCount val="4"/>
                <c:pt idx="0">
                  <c:v>0.32098765432098764</c:v>
                </c:pt>
                <c:pt idx="1">
                  <c:v>0.49382716049382713</c:v>
                </c:pt>
                <c:pt idx="2">
                  <c:v>0.1728395061728395</c:v>
                </c:pt>
                <c:pt idx="3">
                  <c:v>1.2345679012345678E-2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DFD-0D4D-96CC-704E2706C8E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T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T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381000</xdr:colOff>
      <xdr:row>52</xdr:row>
      <xdr:rowOff>25400</xdr:rowOff>
    </xdr:from>
    <xdr:to>
      <xdr:col>14</xdr:col>
      <xdr:colOff>482600</xdr:colOff>
      <xdr:row>72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89C38F2-8300-3844-AC59-AFACE6586D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eyneppinarozturk/Downloads/CERES/Offgridsun/11544/Final_Baseline%20Survey%20Data_889%20Maji%20Safi%20Solar_v03@0304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ji safi maisha bora"/>
      <sheetName val="Fetching Water Sub-group"/>
      <sheetName val="Cookstove Owners-subgroup"/>
      <sheetName val="Results"/>
      <sheetName val="Sheet1"/>
      <sheetName val="Outliers"/>
    </sheetNames>
    <sheetDataSet>
      <sheetData sheetId="0">
        <row r="2">
          <cell r="O2">
            <v>5</v>
          </cell>
        </row>
        <row r="148">
          <cell r="V148">
            <v>3</v>
          </cell>
          <cell r="W148">
            <v>137</v>
          </cell>
          <cell r="AG148">
            <v>125</v>
          </cell>
          <cell r="AS148">
            <v>98</v>
          </cell>
          <cell r="AU148">
            <v>119</v>
          </cell>
          <cell r="AW148">
            <v>5</v>
          </cell>
          <cell r="AX148">
            <v>3</v>
          </cell>
          <cell r="AY148">
            <v>12</v>
          </cell>
          <cell r="BC148">
            <v>17</v>
          </cell>
          <cell r="BK148">
            <v>117</v>
          </cell>
          <cell r="BL148">
            <v>26</v>
          </cell>
          <cell r="BM148">
            <v>12</v>
          </cell>
          <cell r="BQ148">
            <v>87</v>
          </cell>
          <cell r="BR148">
            <v>62</v>
          </cell>
          <cell r="BX148">
            <v>127</v>
          </cell>
          <cell r="FO148">
            <v>85</v>
          </cell>
          <cell r="FP148">
            <v>71</v>
          </cell>
          <cell r="FY148">
            <v>44</v>
          </cell>
          <cell r="FZ148">
            <v>43</v>
          </cell>
        </row>
        <row r="149">
          <cell r="AG149">
            <v>11</v>
          </cell>
          <cell r="AU149">
            <v>17</v>
          </cell>
          <cell r="DC149">
            <v>114</v>
          </cell>
        </row>
        <row r="150">
          <cell r="AG150">
            <v>1</v>
          </cell>
          <cell r="BR150">
            <v>30</v>
          </cell>
          <cell r="BY150">
            <v>8</v>
          </cell>
          <cell r="FO150">
            <v>20</v>
          </cell>
          <cell r="FY150">
            <v>16</v>
          </cell>
        </row>
        <row r="151">
          <cell r="BY151">
            <v>1</v>
          </cell>
        </row>
      </sheetData>
      <sheetData sheetId="1">
        <row r="135">
          <cell r="CE135">
            <v>11</v>
          </cell>
          <cell r="CF135">
            <v>116</v>
          </cell>
          <cell r="CR135">
            <v>66</v>
          </cell>
          <cell r="CS135">
            <v>66</v>
          </cell>
          <cell r="CX135">
            <v>46</v>
          </cell>
        </row>
        <row r="136">
          <cell r="CX136">
            <v>7</v>
          </cell>
        </row>
        <row r="137">
          <cell r="CR137">
            <v>5</v>
          </cell>
          <cell r="CV137">
            <v>47</v>
          </cell>
          <cell r="CX137">
            <v>49</v>
          </cell>
        </row>
        <row r="138">
          <cell r="CV138">
            <v>45</v>
          </cell>
          <cell r="CX138">
            <v>25</v>
          </cell>
        </row>
        <row r="139">
          <cell r="CV139">
            <v>35</v>
          </cell>
        </row>
      </sheetData>
      <sheetData sheetId="2">
        <row r="124">
          <cell r="DG124">
            <v>80</v>
          </cell>
          <cell r="DJ124">
            <v>73</v>
          </cell>
          <cell r="DK124">
            <v>75</v>
          </cell>
          <cell r="DW124">
            <v>56</v>
          </cell>
          <cell r="DX124">
            <v>1</v>
          </cell>
          <cell r="DY124">
            <v>38</v>
          </cell>
          <cell r="EC124">
            <v>40</v>
          </cell>
          <cell r="ED124">
            <v>1</v>
          </cell>
          <cell r="EE124">
            <v>55</v>
          </cell>
          <cell r="EI124">
            <v>57</v>
          </cell>
          <cell r="EJ124">
            <v>38</v>
          </cell>
          <cell r="EO124">
            <v>41</v>
          </cell>
          <cell r="EP124">
            <v>54</v>
          </cell>
        </row>
        <row r="125">
          <cell r="DG125">
            <v>33</v>
          </cell>
        </row>
        <row r="126">
          <cell r="DG126">
            <v>1</v>
          </cell>
          <cell r="DJ126">
            <v>34</v>
          </cell>
          <cell r="DW126">
            <v>14</v>
          </cell>
          <cell r="EC126">
            <v>14</v>
          </cell>
          <cell r="EI126">
            <v>14</v>
          </cell>
          <cell r="EO126">
            <v>14</v>
          </cell>
        </row>
      </sheetData>
      <sheetData sheetId="3"/>
      <sheetData sheetId="4"/>
      <sheetData sheetId="5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gogretmen2@yahoo.com" id="{96CE6698-049B-F340-B33A-E350A53DF729}" userId="2fbaca1001b3165e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50" dT="2023-04-09T20:28:24.01" personId="{96CE6698-049B-F340-B33A-E350A53DF729}" id="{2282AAD3-C241-3246-B87A-CBBAE998E876}">
    <text>Siaya County Report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70E78-1449-8042-9B87-8211EDA9ECF4}">
  <dimension ref="B1:I69"/>
  <sheetViews>
    <sheetView tabSelected="1" topLeftCell="A14" workbookViewId="0">
      <selection activeCell="E16" sqref="E16"/>
    </sheetView>
  </sheetViews>
  <sheetFormatPr baseColWidth="10" defaultRowHeight="16" x14ac:dyDescent="0.2"/>
  <cols>
    <col min="1" max="1" width="10.83203125" style="22"/>
    <col min="2" max="2" width="29.5" style="22" customWidth="1"/>
    <col min="3" max="3" width="68.5" style="40" customWidth="1"/>
    <col min="4" max="4" width="19.6640625" style="22" customWidth="1"/>
    <col min="5" max="5" width="20.33203125" style="22" bestFit="1" customWidth="1"/>
    <col min="6" max="6" width="37" style="22" customWidth="1"/>
    <col min="7" max="7" width="14" style="22" bestFit="1" customWidth="1"/>
    <col min="8" max="8" width="10.83203125" style="22"/>
    <col min="9" max="9" width="28.6640625" style="22" customWidth="1"/>
    <col min="10" max="16384" width="10.83203125" style="22"/>
  </cols>
  <sheetData>
    <row r="1" spans="2:6" x14ac:dyDescent="0.2">
      <c r="C1" s="78"/>
      <c r="D1" s="23"/>
      <c r="E1" s="23"/>
    </row>
    <row r="2" spans="2:6" x14ac:dyDescent="0.2">
      <c r="B2" s="36" t="s">
        <v>96</v>
      </c>
      <c r="C2" s="79" t="s">
        <v>81</v>
      </c>
      <c r="D2" s="23"/>
      <c r="E2" s="23"/>
    </row>
    <row r="3" spans="2:6" x14ac:dyDescent="0.2">
      <c r="C3" s="80"/>
      <c r="D3" s="23"/>
      <c r="E3" s="23"/>
    </row>
    <row r="4" spans="2:6" ht="17" x14ac:dyDescent="0.2">
      <c r="B4" s="34" t="s">
        <v>52</v>
      </c>
      <c r="C4" s="35" t="s">
        <v>53</v>
      </c>
      <c r="D4" s="35" t="s">
        <v>58</v>
      </c>
      <c r="E4" s="35" t="s">
        <v>57</v>
      </c>
      <c r="F4" s="34" t="s">
        <v>54</v>
      </c>
    </row>
    <row r="5" spans="2:6" x14ac:dyDescent="0.2">
      <c r="B5" s="22" t="s">
        <v>1</v>
      </c>
      <c r="C5" s="29" t="s">
        <v>2</v>
      </c>
      <c r="D5" s="26">
        <f>360.83/D6</f>
        <v>2900.08816553727</v>
      </c>
      <c r="E5" s="26">
        <f>360.83/E6</f>
        <v>2661.0331097885946</v>
      </c>
      <c r="F5" s="22" t="s">
        <v>59</v>
      </c>
    </row>
    <row r="6" spans="2:6" x14ac:dyDescent="0.2">
      <c r="B6" s="22" t="s">
        <v>4</v>
      </c>
      <c r="C6" s="29" t="s">
        <v>3</v>
      </c>
      <c r="D6" s="27">
        <f>Results!K50</f>
        <v>0.12442035531466426</v>
      </c>
      <c r="E6" s="27">
        <f>Results!L50</f>
        <v>0.13559771153267089</v>
      </c>
      <c r="F6" s="22" t="s">
        <v>60</v>
      </c>
    </row>
    <row r="7" spans="2:6" x14ac:dyDescent="0.2">
      <c r="C7" s="29"/>
      <c r="D7" s="27"/>
      <c r="E7" s="27"/>
    </row>
    <row r="8" spans="2:6" x14ac:dyDescent="0.2">
      <c r="B8" s="36" t="s">
        <v>97</v>
      </c>
      <c r="C8" s="81" t="s">
        <v>80</v>
      </c>
      <c r="D8" s="27"/>
      <c r="E8" s="27"/>
    </row>
    <row r="9" spans="2:6" x14ac:dyDescent="0.2">
      <c r="B9" s="37"/>
      <c r="C9" s="82" t="s">
        <v>0</v>
      </c>
      <c r="D9" s="27"/>
      <c r="E9" s="27"/>
    </row>
    <row r="10" spans="2:6" x14ac:dyDescent="0.2">
      <c r="C10" s="78"/>
      <c r="D10" s="27"/>
      <c r="E10" s="27"/>
    </row>
    <row r="11" spans="2:6" ht="17" x14ac:dyDescent="0.2">
      <c r="B11" s="34" t="s">
        <v>52</v>
      </c>
      <c r="C11" s="35" t="s">
        <v>53</v>
      </c>
      <c r="D11" s="35" t="s">
        <v>58</v>
      </c>
      <c r="E11" s="35" t="s">
        <v>57</v>
      </c>
      <c r="F11" s="34" t="s">
        <v>54</v>
      </c>
    </row>
    <row r="12" spans="2:6" ht="30" customHeight="1" x14ac:dyDescent="0.2">
      <c r="B12" s="22" t="s">
        <v>61</v>
      </c>
      <c r="C12" s="95" t="s">
        <v>82</v>
      </c>
      <c r="D12" s="28">
        <f>Results!H62</f>
        <v>0.61728395061728403</v>
      </c>
      <c r="E12" s="28">
        <f>Results!I62</f>
        <v>0.41975308641975306</v>
      </c>
      <c r="F12" s="22" t="s">
        <v>60</v>
      </c>
    </row>
    <row r="13" spans="2:6" ht="24" customHeight="1" x14ac:dyDescent="0.2">
      <c r="B13" s="22" t="s">
        <v>62</v>
      </c>
      <c r="C13" s="95"/>
      <c r="D13" s="28">
        <f>Results!H63</f>
        <v>0.38271604938271603</v>
      </c>
      <c r="E13" s="28">
        <f>Results!I63</f>
        <v>0.58024691358024683</v>
      </c>
      <c r="F13" s="22" t="s">
        <v>60</v>
      </c>
    </row>
    <row r="14" spans="2:6" x14ac:dyDescent="0.2">
      <c r="B14" s="22" t="s">
        <v>63</v>
      </c>
      <c r="C14" s="95" t="s">
        <v>83</v>
      </c>
      <c r="D14" s="22">
        <v>112</v>
      </c>
      <c r="E14" s="22">
        <v>112</v>
      </c>
      <c r="F14" s="22" t="s">
        <v>55</v>
      </c>
    </row>
    <row r="15" spans="2:6" x14ac:dyDescent="0.2">
      <c r="B15" s="22" t="s">
        <v>64</v>
      </c>
      <c r="C15" s="95"/>
      <c r="D15" s="22">
        <v>165.22</v>
      </c>
      <c r="E15" s="22">
        <v>165.22</v>
      </c>
      <c r="F15" s="22" t="s">
        <v>55</v>
      </c>
    </row>
    <row r="16" spans="2:6" ht="31" x14ac:dyDescent="0.2">
      <c r="B16" s="22" t="s">
        <v>51</v>
      </c>
      <c r="C16" s="29" t="s">
        <v>84</v>
      </c>
      <c r="D16" s="62">
        <v>0.76</v>
      </c>
      <c r="E16" s="62">
        <v>0.76</v>
      </c>
      <c r="F16" s="22" t="s">
        <v>142</v>
      </c>
    </row>
    <row r="17" spans="2:8" ht="27" customHeight="1" x14ac:dyDescent="0.2">
      <c r="B17" s="22" t="s">
        <v>67</v>
      </c>
      <c r="C17" s="95" t="s">
        <v>85</v>
      </c>
      <c r="D17" s="22">
        <v>9.4600000000000009</v>
      </c>
      <c r="E17" s="22">
        <v>9.4600000000000009</v>
      </c>
      <c r="F17" s="22" t="s">
        <v>55</v>
      </c>
    </row>
    <row r="18" spans="2:8" x14ac:dyDescent="0.2">
      <c r="B18" s="22" t="s">
        <v>68</v>
      </c>
      <c r="C18" s="95"/>
      <c r="D18" s="22">
        <v>44.83</v>
      </c>
      <c r="E18" s="22">
        <v>44.83</v>
      </c>
      <c r="F18" s="22" t="s">
        <v>55</v>
      </c>
    </row>
    <row r="19" spans="2:8" x14ac:dyDescent="0.2">
      <c r="B19" s="22" t="s">
        <v>65</v>
      </c>
      <c r="C19" s="95" t="s">
        <v>86</v>
      </c>
      <c r="D19" s="30">
        <f>D5*(D12*(D14*D16+D17))/1000000000</f>
        <v>1.6931502388673771E-4</v>
      </c>
      <c r="E19" s="30">
        <f>(E5*(E12*(E14*E16+E17)))/1000000000</f>
        <v>1.0564367150381951E-4</v>
      </c>
      <c r="F19" s="22" t="s">
        <v>59</v>
      </c>
    </row>
    <row r="20" spans="2:8" x14ac:dyDescent="0.2">
      <c r="B20" s="22" t="s">
        <v>66</v>
      </c>
      <c r="C20" s="95"/>
      <c r="D20" s="31">
        <f>D5*(D13*(D15*D16+D18))/1000000000</f>
        <v>1.8912560491334948E-4</v>
      </c>
      <c r="E20" s="31">
        <f>E5*(E13*(E15*E16+E18))/1000000000</f>
        <v>2.6310286145330423E-4</v>
      </c>
      <c r="F20" s="22" t="s">
        <v>59</v>
      </c>
    </row>
    <row r="21" spans="2:8" x14ac:dyDescent="0.2">
      <c r="D21" s="31">
        <f>D19+D20</f>
        <v>3.5844062880008721E-4</v>
      </c>
      <c r="E21" s="31">
        <f>E19+E20</f>
        <v>3.6874653295712373E-4</v>
      </c>
    </row>
    <row r="23" spans="2:8" x14ac:dyDescent="0.2">
      <c r="B23" s="36" t="s">
        <v>98</v>
      </c>
      <c r="C23" s="81" t="s">
        <v>87</v>
      </c>
      <c r="D23" s="32" t="s">
        <v>69</v>
      </c>
    </row>
    <row r="24" spans="2:8" x14ac:dyDescent="0.2">
      <c r="B24" s="24"/>
      <c r="C24" s="83"/>
      <c r="D24" s="32"/>
    </row>
    <row r="25" spans="2:8" ht="34" x14ac:dyDescent="0.2">
      <c r="B25" s="34" t="s">
        <v>52</v>
      </c>
      <c r="C25" s="35" t="s">
        <v>53</v>
      </c>
      <c r="D25" s="35" t="s">
        <v>146</v>
      </c>
      <c r="E25" s="35" t="s">
        <v>147</v>
      </c>
      <c r="F25" s="34" t="s">
        <v>54</v>
      </c>
    </row>
    <row r="26" spans="2:8" ht="31" x14ac:dyDescent="0.2">
      <c r="B26" s="22" t="s">
        <v>70</v>
      </c>
      <c r="C26" s="29" t="s">
        <v>74</v>
      </c>
      <c r="D26" s="33">
        <f>Results!L27</f>
        <v>0.35971223021582732</v>
      </c>
      <c r="E26" s="33">
        <f>D26</f>
        <v>0.35971223021582732</v>
      </c>
      <c r="F26" s="22" t="s">
        <v>60</v>
      </c>
    </row>
    <row r="27" spans="2:8" ht="31" x14ac:dyDescent="0.2">
      <c r="B27" s="22" t="s">
        <v>71</v>
      </c>
      <c r="C27" s="29" t="s">
        <v>88</v>
      </c>
      <c r="D27">
        <v>0</v>
      </c>
      <c r="E27">
        <v>0</v>
      </c>
      <c r="F27" s="22" t="s">
        <v>75</v>
      </c>
      <c r="G27" s="22" t="s">
        <v>123</v>
      </c>
    </row>
    <row r="28" spans="2:8" x14ac:dyDescent="0.2">
      <c r="B28" s="22" t="s">
        <v>72</v>
      </c>
      <c r="C28" s="29" t="s">
        <v>89</v>
      </c>
      <c r="D28" s="94">
        <f>(D29*D31 +D30*D32)*D33*D34</f>
        <v>31600971.600000001</v>
      </c>
      <c r="E28" s="94">
        <f>(E29*E31+E30*E32)*E33*E34*E35</f>
        <v>33113987.816</v>
      </c>
      <c r="F28" s="22" t="s">
        <v>59</v>
      </c>
      <c r="G28" s="65">
        <f>(D28+E28)/1000</f>
        <v>64714.959415999998</v>
      </c>
      <c r="H28" s="22" t="s">
        <v>105</v>
      </c>
    </row>
    <row r="29" spans="2:8" ht="31" x14ac:dyDescent="0.2">
      <c r="B29" s="22" t="s">
        <v>183</v>
      </c>
      <c r="C29" s="29" t="s">
        <v>90</v>
      </c>
      <c r="D29" s="77">
        <v>4.97</v>
      </c>
      <c r="E29" s="77">
        <f>D29</f>
        <v>4.97</v>
      </c>
      <c r="F29" s="22" t="s">
        <v>168</v>
      </c>
    </row>
    <row r="30" spans="2:8" ht="48" customHeight="1" x14ac:dyDescent="0.2">
      <c r="B30" s="22" t="s">
        <v>184</v>
      </c>
      <c r="C30" s="29" t="s">
        <v>90</v>
      </c>
      <c r="D30" s="77">
        <v>4.1100000000000003</v>
      </c>
      <c r="E30" s="77">
        <v>4.1100000000000003</v>
      </c>
      <c r="F30" s="40" t="s">
        <v>190</v>
      </c>
    </row>
    <row r="31" spans="2:8" x14ac:dyDescent="0.2">
      <c r="B31" s="22" t="s">
        <v>124</v>
      </c>
      <c r="C31" s="29" t="s">
        <v>91</v>
      </c>
      <c r="D31" s="41">
        <v>5743</v>
      </c>
      <c r="E31" s="41">
        <f>D31</f>
        <v>5743</v>
      </c>
      <c r="F31" s="22" t="s">
        <v>191</v>
      </c>
    </row>
    <row r="32" spans="2:8" x14ac:dyDescent="0.2">
      <c r="B32" s="22" t="s">
        <v>125</v>
      </c>
      <c r="C32" s="29" t="s">
        <v>91</v>
      </c>
      <c r="D32" s="41">
        <v>4705</v>
      </c>
      <c r="E32" s="41">
        <f>D32</f>
        <v>4705</v>
      </c>
      <c r="F32" s="22" t="s">
        <v>192</v>
      </c>
    </row>
    <row r="33" spans="2:6" ht="31" x14ac:dyDescent="0.2">
      <c r="B33" s="22" t="s">
        <v>78</v>
      </c>
      <c r="C33" s="29" t="s">
        <v>92</v>
      </c>
      <c r="D33" s="22">
        <v>4</v>
      </c>
      <c r="E33" s="22">
        <v>4</v>
      </c>
      <c r="F33" s="22" t="s">
        <v>55</v>
      </c>
    </row>
    <row r="34" spans="2:6" ht="31" x14ac:dyDescent="0.2">
      <c r="B34" s="22" t="s">
        <v>79</v>
      </c>
      <c r="C34" s="29" t="s">
        <v>93</v>
      </c>
      <c r="D34" s="42">
        <f>347-E34</f>
        <v>165</v>
      </c>
      <c r="E34" s="42">
        <f>(DATE(1,5,31)-DATE(1,3,1)) +( DATE(1,12,31)-DATE(1,10,1))</f>
        <v>182</v>
      </c>
      <c r="F34" s="22" t="s">
        <v>75</v>
      </c>
    </row>
    <row r="35" spans="2:6" x14ac:dyDescent="0.2">
      <c r="B35" s="22" t="s">
        <v>73</v>
      </c>
      <c r="C35" s="29" t="s">
        <v>94</v>
      </c>
      <c r="D35">
        <v>0.95</v>
      </c>
      <c r="E35">
        <v>0.95</v>
      </c>
      <c r="F35" s="22" t="s">
        <v>75</v>
      </c>
    </row>
    <row r="37" spans="2:6" ht="24" customHeight="1" x14ac:dyDescent="0.2">
      <c r="B37" s="22" t="s">
        <v>76</v>
      </c>
      <c r="C37" s="95" t="s">
        <v>95</v>
      </c>
      <c r="D37" s="38">
        <f>ROUNDDOWN(D19*(1-D26-D27)*D28*D35,0)</f>
        <v>3254</v>
      </c>
      <c r="E37" s="38">
        <f>ROUNDDOWN(E19*(1-E26-E27)*E28*E35,0)</f>
        <v>2127</v>
      </c>
      <c r="F37" s="38">
        <f>D37+E37</f>
        <v>5381</v>
      </c>
    </row>
    <row r="38" spans="2:6" x14ac:dyDescent="0.2">
      <c r="B38" s="22" t="s">
        <v>77</v>
      </c>
      <c r="C38" s="95"/>
      <c r="D38" s="39">
        <f>ROUNDDOWN(D20*(1-D26-D27)*D28*D35,0)</f>
        <v>3635</v>
      </c>
      <c r="E38" s="39">
        <f>ROUNDDOWN(E20*(1-E26-E27)*E28*E35,0)</f>
        <v>5299</v>
      </c>
      <c r="F38" s="38">
        <f>D38+E38</f>
        <v>8934</v>
      </c>
    </row>
    <row r="39" spans="2:6" x14ac:dyDescent="0.2">
      <c r="D39" s="43">
        <f>SUM(D37:D38)</f>
        <v>6889</v>
      </c>
      <c r="E39" s="43">
        <f>SUM(E37:E38)</f>
        <v>7426</v>
      </c>
    </row>
    <row r="40" spans="2:6" x14ac:dyDescent="0.2">
      <c r="E40" s="24" t="s">
        <v>99</v>
      </c>
      <c r="F40" s="38">
        <f>F37+F38</f>
        <v>14315</v>
      </c>
    </row>
    <row r="42" spans="2:6" x14ac:dyDescent="0.2">
      <c r="F42" s="43"/>
    </row>
    <row r="43" spans="2:6" ht="17" x14ac:dyDescent="0.2">
      <c r="B43" s="61" t="s">
        <v>154</v>
      </c>
      <c r="C43" s="84" t="s">
        <v>155</v>
      </c>
    </row>
    <row r="44" spans="2:6" x14ac:dyDescent="0.2">
      <c r="B44" s="59" t="s">
        <v>185</v>
      </c>
      <c r="C44" s="85">
        <f>(F40*D69* (DATE(2023,12,14)-DATE(2023,8,1)+1)/365) +((F40/365)*16)</f>
        <v>2556.1261701026488</v>
      </c>
    </row>
    <row r="45" spans="2:6" x14ac:dyDescent="0.2">
      <c r="B45" s="60">
        <v>2024</v>
      </c>
      <c r="C45" s="86">
        <f>F40</f>
        <v>14315</v>
      </c>
    </row>
    <row r="46" spans="2:6" x14ac:dyDescent="0.2">
      <c r="B46" s="60">
        <v>2025</v>
      </c>
      <c r="C46" s="86">
        <f>C45</f>
        <v>14315</v>
      </c>
    </row>
    <row r="47" spans="2:6" x14ac:dyDescent="0.2">
      <c r="B47" s="60">
        <v>2026</v>
      </c>
      <c r="C47" s="86">
        <f t="shared" ref="C47:C48" si="0">C46</f>
        <v>14315</v>
      </c>
    </row>
    <row r="48" spans="2:6" x14ac:dyDescent="0.2">
      <c r="B48" s="60">
        <v>2027</v>
      </c>
      <c r="C48" s="86">
        <f t="shared" si="0"/>
        <v>14315</v>
      </c>
    </row>
    <row r="49" spans="2:9" x14ac:dyDescent="0.2">
      <c r="B49" s="59" t="s">
        <v>186</v>
      </c>
      <c r="C49" s="85">
        <f>F40*((DATE(2028,7,30)-DATE(2028,1,1)+1)/365)</f>
        <v>8314.4657534246562</v>
      </c>
    </row>
    <row r="50" spans="2:9" x14ac:dyDescent="0.2">
      <c r="B50" s="24" t="s">
        <v>123</v>
      </c>
      <c r="C50" s="87">
        <f>SUM(C44:C49)</f>
        <v>68130.591923527303</v>
      </c>
    </row>
    <row r="51" spans="2:9" x14ac:dyDescent="0.2">
      <c r="B51" s="24" t="s">
        <v>182</v>
      </c>
      <c r="C51" s="87">
        <f>C50/5</f>
        <v>13626.11838470546</v>
      </c>
    </row>
    <row r="53" spans="2:9" x14ac:dyDescent="0.2">
      <c r="B53" s="22" t="s">
        <v>169</v>
      </c>
    </row>
    <row r="54" spans="2:9" ht="17" x14ac:dyDescent="0.2">
      <c r="B54" s="72" t="s">
        <v>170</v>
      </c>
      <c r="C54" s="74" t="s">
        <v>171</v>
      </c>
      <c r="D54" s="74" t="s">
        <v>172</v>
      </c>
      <c r="E54" s="74"/>
      <c r="F54" s="72"/>
      <c r="G54" s="73"/>
      <c r="H54" s="74"/>
      <c r="I54" s="74"/>
    </row>
    <row r="55" spans="2:9" ht="17" x14ac:dyDescent="0.2">
      <c r="B55" s="72" t="s">
        <v>188</v>
      </c>
      <c r="C55" s="74" t="s">
        <v>196</v>
      </c>
      <c r="D55" s="74">
        <v>5639</v>
      </c>
      <c r="E55" s="74"/>
      <c r="F55" s="72"/>
      <c r="G55" s="73"/>
      <c r="H55" s="74"/>
      <c r="I55" s="74"/>
    </row>
    <row r="56" spans="2:9" ht="17" x14ac:dyDescent="0.2">
      <c r="B56" s="72">
        <v>3</v>
      </c>
      <c r="C56" s="74" t="s">
        <v>173</v>
      </c>
      <c r="D56" s="74">
        <v>1637</v>
      </c>
      <c r="E56" s="74"/>
      <c r="F56" s="72"/>
      <c r="G56" s="73"/>
      <c r="H56" s="74"/>
      <c r="I56" s="74"/>
    </row>
    <row r="57" spans="2:9" ht="17" x14ac:dyDescent="0.2">
      <c r="B57" s="72">
        <v>4</v>
      </c>
      <c r="C57" s="74" t="s">
        <v>174</v>
      </c>
      <c r="D57" s="74">
        <v>1130</v>
      </c>
      <c r="E57" s="74"/>
      <c r="F57" s="72"/>
      <c r="G57" s="73"/>
      <c r="H57" s="74"/>
      <c r="I57" s="74"/>
    </row>
    <row r="58" spans="2:9" ht="17" x14ac:dyDescent="0.2">
      <c r="B58" s="72">
        <v>5</v>
      </c>
      <c r="C58" s="74" t="s">
        <v>175</v>
      </c>
      <c r="D58" s="74">
        <v>1230</v>
      </c>
      <c r="E58" s="74"/>
      <c r="F58" s="72"/>
      <c r="G58" s="73"/>
      <c r="H58" s="74"/>
      <c r="I58" s="74"/>
    </row>
    <row r="59" spans="2:9" ht="17" x14ac:dyDescent="0.2">
      <c r="B59" s="72">
        <v>6</v>
      </c>
      <c r="C59" s="74" t="s">
        <v>176</v>
      </c>
      <c r="D59" s="74">
        <v>1107</v>
      </c>
      <c r="E59" s="74"/>
      <c r="F59" s="72"/>
      <c r="G59" s="73"/>
      <c r="H59" s="74"/>
      <c r="I59" s="74"/>
    </row>
    <row r="60" spans="2:9" ht="17" x14ac:dyDescent="0.2">
      <c r="B60" s="72">
        <v>7</v>
      </c>
      <c r="C60" s="74" t="s">
        <v>177</v>
      </c>
      <c r="D60" s="74">
        <v>1435</v>
      </c>
      <c r="E60" s="74"/>
      <c r="F60" s="72"/>
      <c r="G60" s="73"/>
      <c r="H60" s="74"/>
      <c r="I60" s="74"/>
    </row>
    <row r="61" spans="2:9" ht="17" x14ac:dyDescent="0.2">
      <c r="B61" s="72">
        <v>8</v>
      </c>
      <c r="C61" s="74" t="s">
        <v>178</v>
      </c>
      <c r="D61" s="74">
        <v>1735</v>
      </c>
      <c r="E61" s="74"/>
      <c r="F61" s="72"/>
      <c r="G61" s="73"/>
      <c r="H61" s="74"/>
      <c r="I61" s="74"/>
    </row>
    <row r="62" spans="2:9" ht="17" x14ac:dyDescent="0.2">
      <c r="B62" s="72">
        <v>9</v>
      </c>
      <c r="C62" s="74" t="s">
        <v>179</v>
      </c>
      <c r="D62" s="74">
        <v>1445</v>
      </c>
      <c r="E62" s="74"/>
      <c r="F62" s="72"/>
      <c r="G62" s="73"/>
      <c r="H62" s="74"/>
      <c r="I62" s="74"/>
    </row>
    <row r="63" spans="2:9" ht="17" x14ac:dyDescent="0.2">
      <c r="B63" s="72">
        <v>10</v>
      </c>
      <c r="C63" s="74" t="s">
        <v>187</v>
      </c>
      <c r="D63" s="74">
        <v>1955</v>
      </c>
      <c r="E63" s="74"/>
      <c r="F63" s="72"/>
      <c r="G63" s="73"/>
      <c r="H63" s="74"/>
      <c r="I63" s="74"/>
    </row>
    <row r="64" spans="2:9" ht="17" x14ac:dyDescent="0.2">
      <c r="B64" s="72"/>
      <c r="C64" s="74" t="s">
        <v>180</v>
      </c>
      <c r="D64" s="75">
        <f>SUM(D55:D63)</f>
        <v>17313</v>
      </c>
      <c r="E64" s="74"/>
      <c r="F64" s="72"/>
      <c r="G64" s="73"/>
      <c r="H64" s="74"/>
      <c r="I64" s="74"/>
    </row>
    <row r="66" spans="2:9" ht="17" x14ac:dyDescent="0.2">
      <c r="C66" s="40" t="s">
        <v>193</v>
      </c>
      <c r="D66" s="22">
        <f>ROUND(D29*D31,0)</f>
        <v>28543</v>
      </c>
    </row>
    <row r="67" spans="2:9" ht="17" x14ac:dyDescent="0.2">
      <c r="C67" s="40" t="s">
        <v>194</v>
      </c>
      <c r="D67" s="22">
        <f>ROUND(D30*D32,0)</f>
        <v>19338</v>
      </c>
    </row>
    <row r="68" spans="2:9" ht="17" x14ac:dyDescent="0.2">
      <c r="B68" s="72"/>
      <c r="C68" s="74" t="s">
        <v>189</v>
      </c>
      <c r="D68" s="88">
        <f>D66+D67</f>
        <v>47881</v>
      </c>
      <c r="E68" s="74"/>
      <c r="F68" s="72"/>
      <c r="G68" s="73"/>
      <c r="H68" s="74"/>
      <c r="I68" s="74"/>
    </row>
    <row r="69" spans="2:9" ht="17" x14ac:dyDescent="0.2">
      <c r="C69" s="40" t="s">
        <v>181</v>
      </c>
      <c r="D69" s="33">
        <f>D64/D68</f>
        <v>0.36158392681857104</v>
      </c>
    </row>
  </sheetData>
  <mergeCells count="5">
    <mergeCell ref="C37:C38"/>
    <mergeCell ref="C12:C13"/>
    <mergeCell ref="C14:C15"/>
    <mergeCell ref="C19:C20"/>
    <mergeCell ref="C17:C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2B4EB-4009-E440-BFB9-C7035D44BE1B}">
  <dimension ref="B2:M88"/>
  <sheetViews>
    <sheetView workbookViewId="0">
      <selection activeCell="C3" sqref="C3"/>
    </sheetView>
  </sheetViews>
  <sheetFormatPr baseColWidth="10" defaultRowHeight="15" x14ac:dyDescent="0.2"/>
  <cols>
    <col min="1" max="1" width="10.83203125" style="1"/>
    <col min="2" max="2" width="33.6640625" style="1" customWidth="1"/>
    <col min="3" max="3" width="21.33203125" style="1" customWidth="1"/>
    <col min="4" max="4" width="16.6640625" style="1" customWidth="1"/>
    <col min="5" max="5" width="21.1640625" style="1" customWidth="1"/>
    <col min="6" max="6" width="13.6640625" style="1" customWidth="1"/>
    <col min="7" max="7" width="21" style="1" customWidth="1"/>
    <col min="8" max="8" width="22" style="1" customWidth="1"/>
    <col min="9" max="9" width="19.33203125" style="1" customWidth="1"/>
    <col min="10" max="10" width="17.6640625" style="1" customWidth="1"/>
    <col min="11" max="11" width="26.1640625" style="1" customWidth="1"/>
    <col min="12" max="16384" width="10.83203125" style="1"/>
  </cols>
  <sheetData>
    <row r="2" spans="2:7" x14ac:dyDescent="0.2">
      <c r="B2" s="1" t="s">
        <v>156</v>
      </c>
      <c r="C2" s="1">
        <v>140</v>
      </c>
    </row>
    <row r="3" spans="2:7" ht="16" x14ac:dyDescent="0.2">
      <c r="B3" t="s">
        <v>157</v>
      </c>
      <c r="C3" s="71">
        <f>'ER Calculations'!D30</f>
        <v>4.1100000000000003</v>
      </c>
    </row>
    <row r="4" spans="2:7" x14ac:dyDescent="0.2">
      <c r="C4" s="67"/>
    </row>
    <row r="5" spans="2:7" ht="16" x14ac:dyDescent="0.2">
      <c r="B5" s="2" t="s">
        <v>5</v>
      </c>
      <c r="C5" s="3">
        <f>'[1]maji safi maisha bora'!W148/('[1]maji safi maisha bora'!V148+'[1]maji safi maisha bora'!W148)</f>
        <v>0.97857142857142854</v>
      </c>
      <c r="D5" s="2"/>
    </row>
    <row r="6" spans="2:7" x14ac:dyDescent="0.2">
      <c r="D6" s="12" t="s">
        <v>108</v>
      </c>
      <c r="E6" s="12" t="s">
        <v>109</v>
      </c>
    </row>
    <row r="7" spans="2:7" ht="16" x14ac:dyDescent="0.2">
      <c r="B7" s="2" t="s">
        <v>6</v>
      </c>
      <c r="C7" s="1" t="s">
        <v>7</v>
      </c>
      <c r="D7" s="4">
        <f>'[1]maji safi maisha bora'!AG148+'[1]maji safi maisha bora'!AG150</f>
        <v>126</v>
      </c>
      <c r="E7" s="45">
        <f>D7/$D$9</f>
        <v>0.91970802919708028</v>
      </c>
    </row>
    <row r="8" spans="2:7" ht="16" x14ac:dyDescent="0.2">
      <c r="C8" s="1" t="s">
        <v>8</v>
      </c>
      <c r="D8" s="4">
        <f>'[1]maji safi maisha bora'!AG149</f>
        <v>11</v>
      </c>
      <c r="E8" s="45">
        <f>D8/$D$9</f>
        <v>8.0291970802919707E-2</v>
      </c>
    </row>
    <row r="9" spans="2:7" x14ac:dyDescent="0.2">
      <c r="C9" s="12" t="s">
        <v>110</v>
      </c>
      <c r="D9" s="12">
        <f>D7+D8</f>
        <v>137</v>
      </c>
    </row>
    <row r="10" spans="2:7" ht="32" x14ac:dyDescent="0.2">
      <c r="D10" s="5" t="s">
        <v>9</v>
      </c>
      <c r="E10" s="5">
        <f>'[1]maji safi maisha bora'!AS148</f>
        <v>98</v>
      </c>
      <c r="F10" s="45">
        <f>E10/$C$2</f>
        <v>0.7</v>
      </c>
    </row>
    <row r="11" spans="2:7" ht="16" x14ac:dyDescent="0.2">
      <c r="D11" s="5"/>
      <c r="E11" s="5"/>
      <c r="F11" s="45"/>
    </row>
    <row r="12" spans="2:7" ht="16" x14ac:dyDescent="0.2">
      <c r="D12" s="1" t="s">
        <v>10</v>
      </c>
      <c r="F12" s="1">
        <f>'[1]maji safi maisha bora'!AU148</f>
        <v>119</v>
      </c>
      <c r="G12" s="11">
        <f>F12/$C$2</f>
        <v>0.85</v>
      </c>
    </row>
    <row r="13" spans="2:7" ht="16" x14ac:dyDescent="0.2">
      <c r="E13" s="1" t="s">
        <v>11</v>
      </c>
      <c r="F13" s="1">
        <f>'[1]maji safi maisha bora'!BK148</f>
        <v>117</v>
      </c>
      <c r="G13" s="11">
        <f>F13/C2</f>
        <v>0.83571428571428574</v>
      </c>
    </row>
    <row r="14" spans="2:7" ht="16" x14ac:dyDescent="0.2">
      <c r="E14" s="1" t="s">
        <v>158</v>
      </c>
      <c r="F14" s="1">
        <f>'[1]maji safi maisha bora'!BL148</f>
        <v>26</v>
      </c>
      <c r="G14" s="11">
        <f>F14/C2</f>
        <v>0.18571428571428572</v>
      </c>
    </row>
    <row r="15" spans="2:7" ht="16" x14ac:dyDescent="0.2">
      <c r="E15" s="1" t="s">
        <v>159</v>
      </c>
      <c r="F15" s="1">
        <f>'[1]maji safi maisha bora'!BM148</f>
        <v>12</v>
      </c>
      <c r="G15" s="11">
        <f>F15/C2</f>
        <v>8.5714285714285715E-2</v>
      </c>
    </row>
    <row r="16" spans="2:7" ht="16" x14ac:dyDescent="0.2">
      <c r="G16" s="11"/>
    </row>
    <row r="17" spans="2:13" ht="16" x14ac:dyDescent="0.2">
      <c r="G17" s="11"/>
    </row>
    <row r="18" spans="2:13" ht="16" x14ac:dyDescent="0.2">
      <c r="D18" s="1" t="s">
        <v>13</v>
      </c>
      <c r="E18" s="46"/>
      <c r="F18" s="1">
        <f>'[1]maji safi maisha bora'!AU149</f>
        <v>17</v>
      </c>
      <c r="G18" s="11">
        <f>F18/$C$2</f>
        <v>0.12142857142857143</v>
      </c>
      <c r="H18" s="6"/>
      <c r="I18" s="6"/>
      <c r="J18" s="6"/>
      <c r="K18" s="7" t="s">
        <v>12</v>
      </c>
      <c r="L18" s="7"/>
      <c r="M18" s="96" t="s">
        <v>15</v>
      </c>
    </row>
    <row r="19" spans="2:13" ht="16" x14ac:dyDescent="0.2">
      <c r="E19" s="1" t="s">
        <v>160</v>
      </c>
      <c r="F19" s="1">
        <f>'[1]maji safi maisha bora'!AW148</f>
        <v>5</v>
      </c>
      <c r="G19" s="11">
        <f>F19/$C$2</f>
        <v>3.5714285714285712E-2</v>
      </c>
      <c r="H19" s="8" t="s">
        <v>14</v>
      </c>
      <c r="I19" s="6" t="s">
        <v>15</v>
      </c>
      <c r="J19" s="6">
        <f>'[1]maji safi maisha bora'!BQ148-'[1]maji safi maisha bora'!BR150</f>
        <v>57</v>
      </c>
      <c r="K19" s="9">
        <f>J19/J24</f>
        <v>0.41007194244604317</v>
      </c>
      <c r="L19" s="9">
        <f>K19+(K20/2)</f>
        <v>0.51798561151079137</v>
      </c>
      <c r="M19" s="96"/>
    </row>
    <row r="20" spans="2:13" ht="32" x14ac:dyDescent="0.2">
      <c r="E20" s="5" t="s">
        <v>161</v>
      </c>
      <c r="F20" s="1">
        <f>'[1]maji safi maisha bora'!AX148</f>
        <v>3</v>
      </c>
      <c r="G20" s="11">
        <f t="shared" ref="G20:G23" si="0">F20/$C$2</f>
        <v>2.1428571428571429E-2</v>
      </c>
      <c r="H20" s="6"/>
      <c r="I20" s="10" t="s">
        <v>16</v>
      </c>
      <c r="J20" s="6">
        <f>'[1]maji safi maisha bora'!BR150</f>
        <v>30</v>
      </c>
      <c r="K20" s="9">
        <f>J20/J24</f>
        <v>0.21582733812949639</v>
      </c>
      <c r="L20" s="9"/>
      <c r="M20" s="47">
        <f>J20/2</f>
        <v>15</v>
      </c>
    </row>
    <row r="21" spans="2:13" ht="32" x14ac:dyDescent="0.2">
      <c r="E21" s="5" t="s">
        <v>18</v>
      </c>
      <c r="F21" s="1">
        <f>'[1]maji safi maisha bora'!AY148</f>
        <v>12</v>
      </c>
      <c r="G21" s="11">
        <f t="shared" si="0"/>
        <v>8.5714285714285715E-2</v>
      </c>
      <c r="H21" s="6"/>
      <c r="I21" s="10" t="s">
        <v>17</v>
      </c>
      <c r="J21" s="6">
        <f>'[1]maji safi maisha bora'!BR148-'[1]maji safi maisha bora'!BR150</f>
        <v>32</v>
      </c>
      <c r="K21" s="9">
        <f>J21/J24</f>
        <v>0.23021582733812951</v>
      </c>
      <c r="L21" s="9">
        <f>K21+(K20/2)</f>
        <v>0.33812949640287771</v>
      </c>
    </row>
    <row r="22" spans="2:13" ht="16" x14ac:dyDescent="0.2">
      <c r="E22" s="5"/>
      <c r="F22" s="68"/>
      <c r="G22" s="11"/>
      <c r="H22" s="6"/>
      <c r="I22" s="6" t="s">
        <v>111</v>
      </c>
      <c r="J22" s="69">
        <f>F18</f>
        <v>17</v>
      </c>
      <c r="K22" s="9">
        <f>J22/J24</f>
        <v>0.1223021582733813</v>
      </c>
      <c r="L22" s="9">
        <f>K22</f>
        <v>0.1223021582733813</v>
      </c>
    </row>
    <row r="23" spans="2:13" ht="48" x14ac:dyDescent="0.2">
      <c r="D23" s="5" t="s">
        <v>162</v>
      </c>
      <c r="E23" s="5" t="s">
        <v>20</v>
      </c>
      <c r="F23" s="1">
        <f>'[1]maji safi maisha bora'!BC148</f>
        <v>17</v>
      </c>
      <c r="G23" s="11">
        <f t="shared" si="0"/>
        <v>0.12142857142857143</v>
      </c>
      <c r="H23" s="6"/>
      <c r="I23" s="6" t="s">
        <v>19</v>
      </c>
      <c r="J23" s="6">
        <f>'[1]maji safi maisha bora'!V148</f>
        <v>3</v>
      </c>
      <c r="K23" s="9">
        <f>J23/J24</f>
        <v>2.1582733812949641E-2</v>
      </c>
      <c r="L23" s="9">
        <f>K23</f>
        <v>2.1582733812949641E-2</v>
      </c>
    </row>
    <row r="24" spans="2:13" ht="16" x14ac:dyDescent="0.2">
      <c r="B24" s="2" t="s">
        <v>21</v>
      </c>
      <c r="C24" s="2">
        <f>'[1]maji safi maisha bora'!BX148</f>
        <v>127</v>
      </c>
      <c r="D24" s="11">
        <f>C24/145</f>
        <v>0.87586206896551722</v>
      </c>
      <c r="H24" s="6"/>
      <c r="I24" s="6" t="s">
        <v>163</v>
      </c>
      <c r="J24" s="69">
        <f>J19+J20+J21+J22+J23</f>
        <v>139</v>
      </c>
      <c r="K24" s="9">
        <f>SUM(K19:K23)</f>
        <v>1</v>
      </c>
      <c r="L24" s="9"/>
    </row>
    <row r="25" spans="2:13" x14ac:dyDescent="0.2">
      <c r="B25" s="1" t="s">
        <v>112</v>
      </c>
      <c r="C25" s="1" t="s">
        <v>22</v>
      </c>
      <c r="D25" s="1">
        <f>'[1]maji safi maisha bora'!BY150</f>
        <v>8</v>
      </c>
      <c r="H25" s="6"/>
    </row>
    <row r="26" spans="2:13" ht="48" x14ac:dyDescent="0.2">
      <c r="C26" s="1" t="s">
        <v>23</v>
      </c>
      <c r="D26" s="1">
        <f>'[1]maji safi maisha bora'!BY151</f>
        <v>1</v>
      </c>
      <c r="J26" s="10" t="s">
        <v>104</v>
      </c>
      <c r="K26" s="69">
        <f>J19+M20+J22</f>
        <v>89</v>
      </c>
      <c r="L26" s="14">
        <f>K26/J24</f>
        <v>0.64028776978417268</v>
      </c>
    </row>
    <row r="27" spans="2:13" ht="32" x14ac:dyDescent="0.2">
      <c r="J27" s="10" t="s">
        <v>195</v>
      </c>
      <c r="K27" s="6">
        <f>J23+J21+J20/2</f>
        <v>50</v>
      </c>
      <c r="L27" s="14">
        <f>K27/J24</f>
        <v>0.35971223021582732</v>
      </c>
    </row>
    <row r="28" spans="2:13" ht="16" x14ac:dyDescent="0.2">
      <c r="D28" s="1" t="s">
        <v>24</v>
      </c>
      <c r="E28" s="1">
        <f>'[1]Fetching Water Sub-group'!CF135</f>
        <v>116</v>
      </c>
      <c r="F28" s="11">
        <f>E28/$C$2</f>
        <v>0.82857142857142863</v>
      </c>
    </row>
    <row r="29" spans="2:13" ht="16" x14ac:dyDescent="0.2">
      <c r="D29" s="1" t="s">
        <v>8</v>
      </c>
      <c r="E29" s="1">
        <f>'[1]Fetching Water Sub-group'!CE135</f>
        <v>11</v>
      </c>
      <c r="F29" s="11">
        <f t="shared" ref="F29:F30" si="1">E29/$C$2</f>
        <v>7.857142857142857E-2</v>
      </c>
    </row>
    <row r="30" spans="2:13" ht="16" x14ac:dyDescent="0.2">
      <c r="D30" s="1" t="s">
        <v>164</v>
      </c>
      <c r="E30" s="1">
        <v>1</v>
      </c>
      <c r="F30" s="11">
        <f t="shared" si="1"/>
        <v>7.1428571428571426E-3</v>
      </c>
    </row>
    <row r="31" spans="2:13" ht="16" x14ac:dyDescent="0.2">
      <c r="C31" s="1" t="s">
        <v>165</v>
      </c>
      <c r="F31" s="11"/>
    </row>
    <row r="32" spans="2:13" ht="16" x14ac:dyDescent="0.2">
      <c r="D32" s="1" t="s">
        <v>25</v>
      </c>
      <c r="E32" s="1">
        <f>'[1]Fetching Water Sub-group'!CS135-'[1]Fetching Water Sub-group'!CR137</f>
        <v>61</v>
      </c>
      <c r="F32" s="11">
        <f>E32/$C$2</f>
        <v>0.43571428571428572</v>
      </c>
    </row>
    <row r="33" spans="2:8" ht="16" x14ac:dyDescent="0.2">
      <c r="D33" s="1" t="s">
        <v>26</v>
      </c>
      <c r="E33" s="1">
        <f>'[1]Fetching Water Sub-group'!CR135-'[1]Fetching Water Sub-group'!CR137</f>
        <v>61</v>
      </c>
      <c r="F33" s="11">
        <f t="shared" ref="F33:F34" si="2">E33/$C$2</f>
        <v>0.43571428571428572</v>
      </c>
    </row>
    <row r="34" spans="2:8" ht="16" x14ac:dyDescent="0.2">
      <c r="D34" s="1" t="s">
        <v>27</v>
      </c>
      <c r="E34" s="1">
        <f>'[1]Fetching Water Sub-group'!CR137</f>
        <v>5</v>
      </c>
      <c r="F34" s="11">
        <f t="shared" si="2"/>
        <v>3.5714285714285712E-2</v>
      </c>
    </row>
    <row r="35" spans="2:8" ht="16" x14ac:dyDescent="0.2">
      <c r="E35" s="5" t="s">
        <v>28</v>
      </c>
      <c r="F35" s="1" t="s">
        <v>29</v>
      </c>
      <c r="G35" s="1">
        <f>'[1]Fetching Water Sub-group'!CV137</f>
        <v>47</v>
      </c>
      <c r="H35" s="11">
        <f>G35/$C$2</f>
        <v>0.33571428571428569</v>
      </c>
    </row>
    <row r="36" spans="2:8" ht="16" x14ac:dyDescent="0.2">
      <c r="F36" s="1" t="s">
        <v>30</v>
      </c>
      <c r="G36" s="1">
        <f>'[1]Fetching Water Sub-group'!CV138</f>
        <v>45</v>
      </c>
      <c r="H36" s="11">
        <f t="shared" ref="H36:H37" si="3">G36/$C$2</f>
        <v>0.32142857142857145</v>
      </c>
    </row>
    <row r="37" spans="2:8" ht="16" x14ac:dyDescent="0.2">
      <c r="F37" s="1" t="s">
        <v>31</v>
      </c>
      <c r="G37" s="1">
        <f>'[1]Fetching Water Sub-group'!CV139</f>
        <v>35</v>
      </c>
      <c r="H37" s="11">
        <f t="shared" si="3"/>
        <v>0.25</v>
      </c>
    </row>
    <row r="38" spans="2:8" ht="16" x14ac:dyDescent="0.2">
      <c r="H38" s="11"/>
    </row>
    <row r="39" spans="2:8" ht="16" x14ac:dyDescent="0.2">
      <c r="E39" s="1" t="s">
        <v>32</v>
      </c>
      <c r="F39" s="1" t="s">
        <v>33</v>
      </c>
      <c r="G39" s="1">
        <f>'[1]Fetching Water Sub-group'!CX135</f>
        <v>46</v>
      </c>
      <c r="H39" s="11">
        <f>G39/$C$2</f>
        <v>0.32857142857142857</v>
      </c>
    </row>
    <row r="40" spans="2:8" ht="16" x14ac:dyDescent="0.2">
      <c r="F40" s="1" t="s">
        <v>34</v>
      </c>
      <c r="G40" s="1">
        <f>'[1]Fetching Water Sub-group'!CX136</f>
        <v>7</v>
      </c>
      <c r="H40" s="11">
        <f t="shared" ref="H40:H42" si="4">G40/$C$2</f>
        <v>0.05</v>
      </c>
    </row>
    <row r="41" spans="2:8" ht="16" x14ac:dyDescent="0.2">
      <c r="F41" s="1" t="s">
        <v>35</v>
      </c>
      <c r="G41" s="1">
        <f>'[1]Fetching Water Sub-group'!CX137</f>
        <v>49</v>
      </c>
      <c r="H41" s="11">
        <f t="shared" si="4"/>
        <v>0.35</v>
      </c>
    </row>
    <row r="42" spans="2:8" ht="16" x14ac:dyDescent="0.2">
      <c r="B42" s="2" t="s">
        <v>37</v>
      </c>
      <c r="C42" s="2">
        <f>'[1]maji safi maisha bora'!DC149</f>
        <v>114</v>
      </c>
      <c r="D42" s="11">
        <f>C42/$C$2</f>
        <v>0.81428571428571428</v>
      </c>
      <c r="F42" s="1" t="s">
        <v>36</v>
      </c>
      <c r="G42" s="1">
        <f>'[1]Fetching Water Sub-group'!CX138</f>
        <v>25</v>
      </c>
      <c r="H42" s="11">
        <f t="shared" si="4"/>
        <v>0.17857142857142858</v>
      </c>
    </row>
    <row r="43" spans="2:8" ht="16" x14ac:dyDescent="0.2">
      <c r="B43" s="1" t="s">
        <v>38</v>
      </c>
      <c r="C43" s="1">
        <f>'[1]Cookstove Owners-subgroup'!DG124</f>
        <v>80</v>
      </c>
      <c r="D43" s="11">
        <f t="shared" ref="D43:D45" si="5">C43/$C$46</f>
        <v>0.70175438596491224</v>
      </c>
    </row>
    <row r="44" spans="2:8" ht="16" x14ac:dyDescent="0.2">
      <c r="B44" s="1" t="s">
        <v>39</v>
      </c>
      <c r="C44" s="1">
        <f>'[1]Cookstove Owners-subgroup'!DG125</f>
        <v>33</v>
      </c>
      <c r="D44" s="11">
        <f t="shared" si="5"/>
        <v>0.28947368421052633</v>
      </c>
    </row>
    <row r="45" spans="2:8" ht="16" x14ac:dyDescent="0.2">
      <c r="B45" s="1" t="s">
        <v>40</v>
      </c>
      <c r="C45" s="1">
        <f>'[1]Cookstove Owners-subgroup'!DG126</f>
        <v>1</v>
      </c>
      <c r="D45" s="11">
        <f t="shared" si="5"/>
        <v>8.771929824561403E-3</v>
      </c>
    </row>
    <row r="46" spans="2:8" ht="16" x14ac:dyDescent="0.2">
      <c r="B46" s="1" t="s">
        <v>163</v>
      </c>
      <c r="C46" s="1">
        <f>SUM(C43:C45)</f>
        <v>114</v>
      </c>
      <c r="D46" s="11"/>
    </row>
    <row r="47" spans="2:8" ht="23" customHeight="1" x14ac:dyDescent="0.2">
      <c r="B47" s="5"/>
    </row>
    <row r="48" spans="2:8" x14ac:dyDescent="0.2">
      <c r="B48" s="1" t="s">
        <v>139</v>
      </c>
      <c r="C48" s="1">
        <f>'[1]Cookstove Owners-subgroup'!DJ124-'[1]Cookstove Owners-subgroup'!DJ126</f>
        <v>39</v>
      </c>
      <c r="D48" s="51">
        <f>C48/$C$54</f>
        <v>0.34210526315789475</v>
      </c>
      <c r="E48" s="13" t="s">
        <v>41</v>
      </c>
      <c r="F48" s="70">
        <f>G54</f>
        <v>81</v>
      </c>
    </row>
    <row r="49" spans="2:12" ht="48" x14ac:dyDescent="0.2">
      <c r="B49" s="1" t="s">
        <v>140</v>
      </c>
      <c r="C49" s="1">
        <f>'[1]Cookstove Owners-subgroup'!DK124-'[1]Cookstove Owners-subgroup'!DJ126</f>
        <v>41</v>
      </c>
      <c r="D49" s="51">
        <f t="shared" ref="D49:D53" si="6">C49/$C$54</f>
        <v>0.35964912280701755</v>
      </c>
      <c r="E49" s="6" t="s">
        <v>113</v>
      </c>
      <c r="F49" s="7" t="s">
        <v>56</v>
      </c>
      <c r="G49" s="8" t="s">
        <v>151</v>
      </c>
      <c r="H49" s="8" t="s">
        <v>167</v>
      </c>
      <c r="I49" s="8" t="s">
        <v>149</v>
      </c>
      <c r="J49" s="8" t="s">
        <v>167</v>
      </c>
      <c r="K49" s="7" t="s">
        <v>152</v>
      </c>
      <c r="L49" s="7" t="s">
        <v>153</v>
      </c>
    </row>
    <row r="50" spans="2:12" ht="16" x14ac:dyDescent="0.2">
      <c r="B50" s="54" t="s">
        <v>148</v>
      </c>
      <c r="C50">
        <f>C49-C51</f>
        <v>29</v>
      </c>
      <c r="D50" s="51">
        <f t="shared" si="6"/>
        <v>0.25438596491228072</v>
      </c>
      <c r="E50" s="6" t="s">
        <v>114</v>
      </c>
      <c r="F50" s="17">
        <v>0.1</v>
      </c>
      <c r="G50" s="6">
        <f>'[1]Cookstove Owners-subgroup'!DW124-'[1]Cookstove Owners-subgroup'!DW126</f>
        <v>42</v>
      </c>
      <c r="H50" s="6">
        <f>'[1]Cookstove Owners-subgroup'!EC124-'[1]Cookstove Owners-subgroup'!EC126</f>
        <v>26</v>
      </c>
      <c r="I50" s="14">
        <f>G50/$F$60</f>
        <v>0.51851851851851849</v>
      </c>
      <c r="J50" s="14">
        <f>H50/$F$60</f>
        <v>0.32098765432098764</v>
      </c>
      <c r="K50" s="18">
        <f>(F50*G50+F51*G51+F52*G52+F53*G53)/G54</f>
        <v>0.12442035531466426</v>
      </c>
      <c r="L50" s="18">
        <f>(F50*H50+F51*H51+F52*H52+F53*H53)/H54</f>
        <v>0.13559771153267089</v>
      </c>
    </row>
    <row r="51" spans="2:12" ht="16" x14ac:dyDescent="0.2">
      <c r="B51" s="54" t="s">
        <v>143</v>
      </c>
      <c r="C51">
        <f>ROUND(C42*10.8%,0)</f>
        <v>12</v>
      </c>
      <c r="D51" s="51">
        <f t="shared" si="6"/>
        <v>0.10526315789473684</v>
      </c>
      <c r="E51" s="6" t="s">
        <v>44</v>
      </c>
      <c r="F51" s="17">
        <f>((C50*12%)+(C51*24.5%))/C49</f>
        <v>0.15658536585365854</v>
      </c>
      <c r="G51" s="6">
        <f>'[1]Cookstove Owners-subgroup'!DY124-'[1]Cookstove Owners-subgroup'!DW126</f>
        <v>24</v>
      </c>
      <c r="H51" s="6">
        <f>'[1]Cookstove Owners-subgroup'!EE124-'[1]Cookstove Owners-subgroup'!EC126-'[1]Cookstove Owners-subgroup'!ED124</f>
        <v>40</v>
      </c>
      <c r="I51" s="14">
        <f>G51/$F$60</f>
        <v>0.29629629629629628</v>
      </c>
      <c r="J51" s="14">
        <f t="shared" ref="J51:J53" si="7">H51/$F$60</f>
        <v>0.49382716049382713</v>
      </c>
    </row>
    <row r="52" spans="2:12" ht="16" x14ac:dyDescent="0.2">
      <c r="B52" s="1" t="s">
        <v>141</v>
      </c>
      <c r="C52" s="1">
        <f>C44</f>
        <v>33</v>
      </c>
      <c r="D52" s="51">
        <f t="shared" si="6"/>
        <v>0.28947368421052633</v>
      </c>
      <c r="E52" s="6" t="s">
        <v>45</v>
      </c>
      <c r="F52" s="17">
        <f>(10%+16%)/2</f>
        <v>0.13</v>
      </c>
      <c r="G52" s="6">
        <f>'[1]Cookstove Owners-subgroup'!DW126</f>
        <v>14</v>
      </c>
      <c r="H52" s="6">
        <f>'[1]Cookstove Owners-subgroup'!EC126</f>
        <v>14</v>
      </c>
      <c r="I52" s="14">
        <f>G52/$F$60</f>
        <v>0.1728395061728395</v>
      </c>
      <c r="J52" s="14">
        <f t="shared" si="7"/>
        <v>0.1728395061728395</v>
      </c>
    </row>
    <row r="53" spans="2:12" ht="16" x14ac:dyDescent="0.2">
      <c r="B53" s="1" t="s">
        <v>40</v>
      </c>
      <c r="C53" s="1">
        <v>1</v>
      </c>
      <c r="D53" s="51">
        <f t="shared" si="6"/>
        <v>8.771929824561403E-3</v>
      </c>
      <c r="E53" s="6" t="s">
        <v>46</v>
      </c>
      <c r="F53" s="17">
        <v>0.3</v>
      </c>
      <c r="G53" s="6">
        <f>'[1]Cookstove Owners-subgroup'!DX124</f>
        <v>1</v>
      </c>
      <c r="H53" s="6">
        <f>'[1]Cookstove Owners-subgroup'!ED124</f>
        <v>1</v>
      </c>
      <c r="I53" s="14">
        <f>G53/$F$60</f>
        <v>1.2345679012345678E-2</v>
      </c>
      <c r="J53" s="14">
        <f t="shared" si="7"/>
        <v>1.2345679012345678E-2</v>
      </c>
    </row>
    <row r="54" spans="2:12" x14ac:dyDescent="0.2">
      <c r="B54" s="1" t="s">
        <v>163</v>
      </c>
      <c r="C54" s="1">
        <f>C48+C49+C52+C53</f>
        <v>114</v>
      </c>
      <c r="D54" s="5"/>
      <c r="E54" s="6"/>
      <c r="F54" s="6"/>
      <c r="G54" s="6">
        <f>SUM(G50:G53)</f>
        <v>81</v>
      </c>
      <c r="H54" s="6">
        <f>SUM(H50:H53)</f>
        <v>81</v>
      </c>
      <c r="I54" s="6"/>
      <c r="J54" s="6"/>
    </row>
    <row r="55" spans="2:12" x14ac:dyDescent="0.2">
      <c r="D55" s="5"/>
      <c r="E55" s="6"/>
    </row>
    <row r="56" spans="2:12" x14ac:dyDescent="0.2">
      <c r="D56" s="5"/>
      <c r="E56" s="6" t="s">
        <v>47</v>
      </c>
      <c r="F56" s="8" t="s">
        <v>42</v>
      </c>
      <c r="G56" s="8" t="s">
        <v>43</v>
      </c>
      <c r="H56" s="8" t="s">
        <v>42</v>
      </c>
      <c r="I56" s="8" t="s">
        <v>43</v>
      </c>
    </row>
    <row r="57" spans="2:12" ht="16" x14ac:dyDescent="0.2">
      <c r="D57" s="5"/>
      <c r="E57" s="6" t="s">
        <v>48</v>
      </c>
      <c r="F57" s="6">
        <f>'[1]Cookstove Owners-subgroup'!EI124-'[1]Cookstove Owners-subgroup'!EI126</f>
        <v>43</v>
      </c>
      <c r="G57" s="6">
        <f>'[1]Cookstove Owners-subgroup'!EO124-'[1]Cookstove Owners-subgroup'!EO126</f>
        <v>27</v>
      </c>
      <c r="H57" s="14">
        <f>F57/$F$60</f>
        <v>0.53086419753086422</v>
      </c>
      <c r="I57" s="14">
        <f>G57/$F$60</f>
        <v>0.33333333333333331</v>
      </c>
    </row>
    <row r="58" spans="2:12" ht="16" x14ac:dyDescent="0.2">
      <c r="D58" s="5"/>
      <c r="E58" s="6" t="s">
        <v>49</v>
      </c>
      <c r="F58" s="6">
        <f>'[1]Cookstove Owners-subgroup'!EJ124-'[1]Cookstove Owners-subgroup'!EI126</f>
        <v>24</v>
      </c>
      <c r="G58" s="6">
        <f>'[1]Cookstove Owners-subgroup'!EP124-'[1]Cookstove Owners-subgroup'!EO126</f>
        <v>40</v>
      </c>
      <c r="H58" s="14">
        <f t="shared" ref="H58:H59" si="8">F58/$F$60</f>
        <v>0.29629629629629628</v>
      </c>
      <c r="I58" s="14">
        <f>G58/$F$60</f>
        <v>0.49382716049382713</v>
      </c>
    </row>
    <row r="59" spans="2:12" ht="16" x14ac:dyDescent="0.2">
      <c r="D59" s="5"/>
      <c r="E59" s="6" t="s">
        <v>50</v>
      </c>
      <c r="F59" s="6">
        <f>'[1]Cookstove Owners-subgroup'!EI126</f>
        <v>14</v>
      </c>
      <c r="G59" s="6">
        <f>'[1]Cookstove Owners-subgroup'!EO126</f>
        <v>14</v>
      </c>
      <c r="H59" s="14">
        <f t="shared" si="8"/>
        <v>0.1728395061728395</v>
      </c>
      <c r="I59" s="14">
        <f>G59/$F$60</f>
        <v>0.1728395061728395</v>
      </c>
    </row>
    <row r="60" spans="2:12" x14ac:dyDescent="0.2">
      <c r="D60" s="5"/>
      <c r="E60" s="6"/>
      <c r="F60" s="6">
        <f>SUM(F56:F59)</f>
        <v>81</v>
      </c>
      <c r="G60" s="6">
        <f>SUM(G56:G59)</f>
        <v>81</v>
      </c>
      <c r="H60" s="6"/>
      <c r="I60" s="6"/>
    </row>
    <row r="61" spans="2:12" x14ac:dyDescent="0.2">
      <c r="D61" s="5"/>
      <c r="E61" s="6"/>
      <c r="F61" s="6"/>
      <c r="G61" s="52"/>
      <c r="H61" s="55" t="s">
        <v>149</v>
      </c>
      <c r="I61" s="55" t="s">
        <v>150</v>
      </c>
    </row>
    <row r="62" spans="2:12" x14ac:dyDescent="0.2">
      <c r="D62" s="5"/>
      <c r="E62" s="6"/>
      <c r="F62" s="6"/>
      <c r="G62" s="52" t="s">
        <v>144</v>
      </c>
      <c r="H62" s="53">
        <f>H57+(H59/2)</f>
        <v>0.61728395061728403</v>
      </c>
      <c r="I62" s="53">
        <f>I57+(I59/2)</f>
        <v>0.41975308641975306</v>
      </c>
    </row>
    <row r="63" spans="2:12" x14ac:dyDescent="0.2">
      <c r="D63" s="5"/>
      <c r="E63" s="6"/>
      <c r="F63" s="6"/>
      <c r="G63" s="52" t="s">
        <v>145</v>
      </c>
      <c r="H63" s="53">
        <f>H58+(H59/2)</f>
        <v>0.38271604938271603</v>
      </c>
      <c r="I63" s="53">
        <f>I58+(I59/2)</f>
        <v>0.58024691358024683</v>
      </c>
    </row>
    <row r="64" spans="2:12" x14ac:dyDescent="0.2">
      <c r="D64" s="5"/>
      <c r="E64" s="6"/>
      <c r="F64" s="6"/>
      <c r="G64" s="6"/>
      <c r="H64" s="6"/>
      <c r="I64" s="6"/>
    </row>
    <row r="65" spans="2:11" x14ac:dyDescent="0.2">
      <c r="D65" s="5"/>
      <c r="E65" s="6"/>
      <c r="F65" s="6"/>
      <c r="G65" s="6"/>
      <c r="H65" s="6"/>
      <c r="I65" s="6"/>
    </row>
    <row r="66" spans="2:11" x14ac:dyDescent="0.2">
      <c r="D66" s="5"/>
    </row>
    <row r="67" spans="2:11" x14ac:dyDescent="0.2">
      <c r="B67" s="2" t="s">
        <v>115</v>
      </c>
    </row>
    <row r="68" spans="2:11" ht="16" x14ac:dyDescent="0.2">
      <c r="C68" s="1" t="s">
        <v>116</v>
      </c>
      <c r="D68" s="1">
        <f>'[1]maji safi maisha bora'!FP148-'[1]maji safi maisha bora'!FO150</f>
        <v>51</v>
      </c>
      <c r="E68" s="11">
        <f>D68/$D$71</f>
        <v>0.375</v>
      </c>
      <c r="F68" s="5"/>
    </row>
    <row r="69" spans="2:11" ht="16" x14ac:dyDescent="0.2">
      <c r="C69" s="1" t="s">
        <v>117</v>
      </c>
      <c r="D69" s="1">
        <f>'[1]maji safi maisha bora'!FO150</f>
        <v>20</v>
      </c>
      <c r="E69" s="11">
        <f t="shared" ref="E69:E70" si="9">D69/$D$71</f>
        <v>0.14705882352941177</v>
      </c>
    </row>
    <row r="70" spans="2:11" ht="16" x14ac:dyDescent="0.2">
      <c r="C70" s="1" t="s">
        <v>118</v>
      </c>
      <c r="D70" s="1">
        <f>'[1]maji safi maisha bora'!FO148-'[1]maji safi maisha bora'!FO150</f>
        <v>65</v>
      </c>
      <c r="E70" s="11">
        <f t="shared" si="9"/>
        <v>0.47794117647058826</v>
      </c>
    </row>
    <row r="71" spans="2:11" ht="16" x14ac:dyDescent="0.2">
      <c r="C71" s="1" t="s">
        <v>166</v>
      </c>
      <c r="D71" s="1">
        <f>D68+D69+D70</f>
        <v>136</v>
      </c>
      <c r="E71" s="11"/>
      <c r="I71" s="5"/>
    </row>
    <row r="72" spans="2:11" ht="16" x14ac:dyDescent="0.2">
      <c r="E72" s="2" t="s">
        <v>119</v>
      </c>
      <c r="F72" s="2">
        <f>D68+D69</f>
        <v>71</v>
      </c>
      <c r="G72" s="11"/>
      <c r="I72" s="5"/>
      <c r="K72" s="15"/>
    </row>
    <row r="73" spans="2:11" ht="16" x14ac:dyDescent="0.2">
      <c r="E73" s="1" t="s">
        <v>120</v>
      </c>
      <c r="F73" s="1">
        <f>'[1]maji safi maisha bora'!FY148-'[1]maji safi maisha bora'!FY150</f>
        <v>28</v>
      </c>
      <c r="G73" s="11">
        <f>F73/$F$72</f>
        <v>0.39436619718309857</v>
      </c>
      <c r="K73" s="5"/>
    </row>
    <row r="74" spans="2:11" ht="16" x14ac:dyDescent="0.2">
      <c r="E74" s="1" t="s">
        <v>121</v>
      </c>
      <c r="F74" s="1">
        <f>'[1]maji safi maisha bora'!FZ148-'[1]maji safi maisha bora'!FY150</f>
        <v>27</v>
      </c>
      <c r="G74" s="11">
        <f t="shared" ref="G74:G75" si="10">F74/$F$72</f>
        <v>0.38028169014084506</v>
      </c>
    </row>
    <row r="75" spans="2:11" ht="16" x14ac:dyDescent="0.2">
      <c r="E75" s="1" t="s">
        <v>122</v>
      </c>
      <c r="F75" s="1">
        <f>'[1]maji safi maisha bora'!FY150</f>
        <v>16</v>
      </c>
      <c r="G75" s="11">
        <f t="shared" si="10"/>
        <v>0.22535211267605634</v>
      </c>
    </row>
    <row r="79" spans="2:11" x14ac:dyDescent="0.2">
      <c r="E79" s="5"/>
    </row>
    <row r="80" spans="2:11" x14ac:dyDescent="0.2">
      <c r="F80" s="5"/>
    </row>
    <row r="81" spans="7:10" x14ac:dyDescent="0.2">
      <c r="G81" s="5"/>
    </row>
    <row r="82" spans="7:10" x14ac:dyDescent="0.2">
      <c r="G82" s="5"/>
    </row>
    <row r="83" spans="7:10" x14ac:dyDescent="0.2">
      <c r="G83" s="5"/>
      <c r="I83" s="16"/>
    </row>
    <row r="84" spans="7:10" x14ac:dyDescent="0.2">
      <c r="J84" s="16"/>
    </row>
    <row r="85" spans="7:10" x14ac:dyDescent="0.2">
      <c r="G85" s="5"/>
    </row>
    <row r="86" spans="7:10" x14ac:dyDescent="0.2">
      <c r="G86" s="5"/>
    </row>
    <row r="87" spans="7:10" x14ac:dyDescent="0.2">
      <c r="I87" s="16"/>
    </row>
    <row r="88" spans="7:10" x14ac:dyDescent="0.2">
      <c r="J88" s="16"/>
    </row>
  </sheetData>
  <mergeCells count="1">
    <mergeCell ref="M18:M19"/>
  </mergeCells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6A6C3-321E-2448-A10C-03D46CA0161C}">
  <dimension ref="B3:K25"/>
  <sheetViews>
    <sheetView topLeftCell="A14" zoomScale="101" workbookViewId="0">
      <selection activeCell="I19" sqref="I19"/>
    </sheetView>
  </sheetViews>
  <sheetFormatPr baseColWidth="10" defaultRowHeight="16" x14ac:dyDescent="0.2"/>
  <cols>
    <col min="2" max="2" width="23.6640625" customWidth="1"/>
    <col min="3" max="3" width="49.1640625" customWidth="1"/>
    <col min="4" max="4" width="16" customWidth="1"/>
    <col min="5" max="6" width="14" bestFit="1" customWidth="1"/>
    <col min="8" max="8" width="25.33203125" customWidth="1"/>
    <col min="9" max="9" width="32.5" customWidth="1"/>
    <col min="10" max="10" width="32" customWidth="1"/>
    <col min="11" max="11" width="36.6640625" customWidth="1"/>
  </cols>
  <sheetData>
    <row r="3" spans="2:11" x14ac:dyDescent="0.2">
      <c r="B3" s="48" t="s">
        <v>100</v>
      </c>
      <c r="C3" t="s">
        <v>59</v>
      </c>
    </row>
    <row r="4" spans="2:11" ht="34" x14ac:dyDescent="0.2">
      <c r="D4" s="49" t="s">
        <v>58</v>
      </c>
      <c r="E4" s="49" t="s">
        <v>57</v>
      </c>
      <c r="F4" s="48" t="s">
        <v>135</v>
      </c>
      <c r="H4" s="56"/>
      <c r="I4" s="57" t="s">
        <v>200</v>
      </c>
      <c r="J4" s="57" t="s">
        <v>201</v>
      </c>
      <c r="K4" s="57" t="s">
        <v>202</v>
      </c>
    </row>
    <row r="5" spans="2:11" x14ac:dyDescent="0.2">
      <c r="B5" s="22" t="s">
        <v>1</v>
      </c>
      <c r="C5" s="25" t="s">
        <v>2</v>
      </c>
      <c r="D5" s="20">
        <f>'ER Calculations'!D5</f>
        <v>2900.08816553727</v>
      </c>
      <c r="E5" s="20">
        <f>'ER Calculations'!E5</f>
        <v>2661.0331097885946</v>
      </c>
      <c r="H5" s="59" t="s">
        <v>185</v>
      </c>
      <c r="I5" s="63">
        <f>(F6*'ER Calculations'!D69* (DATE(2023,11,30)-DATE(2023,8,1)+1)/365) +((F6/365)*16)</f>
        <v>10658152.950411212</v>
      </c>
      <c r="J5" s="58">
        <f>(F10*'ER Calculations'!D69* (DATE(2023,11,30)-DATE(2023,8,1)+1)/365) +((F10/365)*16)</f>
        <v>1215.1453601901494</v>
      </c>
      <c r="K5" s="91">
        <f>(D19*'ER Calculations'!D69*(DATE(2023,11,30)-DATE(2023,8,1)+1)/365)+((F10/365)*16)</f>
        <v>9713.1730034384818</v>
      </c>
    </row>
    <row r="6" spans="2:11" ht="31" x14ac:dyDescent="0.2">
      <c r="B6" s="40" t="s">
        <v>72</v>
      </c>
      <c r="C6" s="29" t="s">
        <v>89</v>
      </c>
      <c r="D6" s="20">
        <f>'ER Calculations'!D28</f>
        <v>31600971.600000001</v>
      </c>
      <c r="E6" s="20">
        <f>'ER Calculations'!E28</f>
        <v>33113987.816</v>
      </c>
      <c r="F6" s="20">
        <f>D6+E6</f>
        <v>64714959.416000001</v>
      </c>
      <c r="H6" s="60">
        <v>2024</v>
      </c>
      <c r="I6" s="63">
        <f>F6</f>
        <v>64714959.416000001</v>
      </c>
      <c r="J6" s="58">
        <f>F10</f>
        <v>7378.2092483681445</v>
      </c>
      <c r="K6" s="90">
        <f>D19</f>
        <v>77692.25</v>
      </c>
    </row>
    <row r="7" spans="2:11" x14ac:dyDescent="0.2">
      <c r="B7" t="s">
        <v>106</v>
      </c>
      <c r="C7" t="s">
        <v>107</v>
      </c>
      <c r="D7" s="44">
        <f>1-'ER Calculations'!D26-'ER Calculations'!D27</f>
        <v>0.64028776978417268</v>
      </c>
      <c r="E7" s="44">
        <f>1-'ER Calculations'!E26-'ER Calculations'!E27</f>
        <v>0.64028776978417268</v>
      </c>
      <c r="H7" s="60">
        <v>2025</v>
      </c>
      <c r="I7" s="63">
        <f>I6</f>
        <v>64714959.416000001</v>
      </c>
      <c r="J7" s="58">
        <f>J6</f>
        <v>7378.2092483681445</v>
      </c>
      <c r="K7" s="90">
        <f>K6</f>
        <v>77692.25</v>
      </c>
    </row>
    <row r="8" spans="2:11" x14ac:dyDescent="0.2">
      <c r="C8" t="s">
        <v>101</v>
      </c>
      <c r="D8">
        <f>(D5*D6*D7)/1000000000</f>
        <v>58.679559239862627</v>
      </c>
      <c r="E8">
        <f>(E5*E6*E7)/1000000000</f>
        <v>56.420505034680417</v>
      </c>
      <c r="H8" s="60">
        <v>2026</v>
      </c>
      <c r="I8" s="63">
        <f t="shared" ref="I8:I9" si="0">I7</f>
        <v>64714959.416000001</v>
      </c>
      <c r="J8" s="58">
        <f t="shared" ref="J8:K9" si="1">J7</f>
        <v>7378.2092483681445</v>
      </c>
      <c r="K8" s="90">
        <f t="shared" si="1"/>
        <v>77692.25</v>
      </c>
    </row>
    <row r="9" spans="2:11" x14ac:dyDescent="0.2">
      <c r="B9" t="s">
        <v>102</v>
      </c>
      <c r="D9">
        <v>1.5599999999999999E-2</v>
      </c>
      <c r="E9">
        <v>1.5599999999999999E-2</v>
      </c>
      <c r="H9" s="60">
        <v>2027</v>
      </c>
      <c r="I9" s="63">
        <f t="shared" si="0"/>
        <v>64714959.416000001</v>
      </c>
      <c r="J9" s="58">
        <f t="shared" si="1"/>
        <v>7378.2092483681445</v>
      </c>
      <c r="K9" s="90">
        <f t="shared" si="1"/>
        <v>77692.25</v>
      </c>
    </row>
    <row r="10" spans="2:11" x14ac:dyDescent="0.2">
      <c r="B10" t="s">
        <v>103</v>
      </c>
      <c r="D10" s="21">
        <f>D8/D9</f>
        <v>3761.5102076835019</v>
      </c>
      <c r="E10" s="21">
        <f>E8/E9</f>
        <v>3616.6990406846421</v>
      </c>
      <c r="F10" s="21">
        <f>D10+E10</f>
        <v>7378.2092483681445</v>
      </c>
      <c r="H10" s="59" t="s">
        <v>186</v>
      </c>
      <c r="I10" s="63">
        <f>F6*((DATE(2028,7,30)-DATE(2028,1,1)+1)/365)</f>
        <v>37587866.838882186</v>
      </c>
      <c r="J10" s="58">
        <f>F10*((DATE(2028,7,30)-DATE(2028,1,1)+1)/365)</f>
        <v>4285.4256456275243</v>
      </c>
      <c r="K10" s="89">
        <f>D19*((DATE(2028,7,30)-DATE(2028,1,1)+1)/365)</f>
        <v>45125.361643835611</v>
      </c>
    </row>
    <row r="11" spans="2:11" x14ac:dyDescent="0.2">
      <c r="H11" t="s">
        <v>123</v>
      </c>
      <c r="I11" s="92">
        <f>SUM(I5:I10)</f>
        <v>307105857.45329344</v>
      </c>
      <c r="J11" s="64">
        <f>SUM(J5:J10)</f>
        <v>35013.407999290248</v>
      </c>
      <c r="K11" s="64">
        <f>SUM(K5:K10)</f>
        <v>365607.53464727412</v>
      </c>
    </row>
    <row r="12" spans="2:11" x14ac:dyDescent="0.2">
      <c r="E12" s="21"/>
      <c r="H12" t="s">
        <v>182</v>
      </c>
      <c r="I12" s="93">
        <f>I11/5</f>
        <v>61421171.490658686</v>
      </c>
      <c r="J12" s="76">
        <f>J11/5</f>
        <v>7002.6815998580496</v>
      </c>
      <c r="K12" s="76">
        <f>K11/5</f>
        <v>73121.50692945483</v>
      </c>
    </row>
    <row r="13" spans="2:11" x14ac:dyDescent="0.2">
      <c r="E13" s="21"/>
    </row>
    <row r="14" spans="2:11" x14ac:dyDescent="0.2">
      <c r="E14" s="21"/>
    </row>
    <row r="16" spans="2:11" x14ac:dyDescent="0.2">
      <c r="E16" s="48" t="s">
        <v>54</v>
      </c>
    </row>
    <row r="17" spans="2:5" ht="34" x14ac:dyDescent="0.2">
      <c r="B17" s="48" t="s">
        <v>126</v>
      </c>
      <c r="C17" s="19" t="s">
        <v>127</v>
      </c>
      <c r="D17" s="66">
        <f>F6/1000</f>
        <v>64714.959415999998</v>
      </c>
      <c r="E17" t="s">
        <v>133</v>
      </c>
    </row>
    <row r="18" spans="2:5" x14ac:dyDescent="0.2">
      <c r="B18" s="48"/>
      <c r="C18" s="19"/>
      <c r="D18" s="66"/>
    </row>
    <row r="19" spans="2:5" ht="17" x14ac:dyDescent="0.2">
      <c r="B19" s="48" t="s">
        <v>197</v>
      </c>
      <c r="C19" s="19" t="s">
        <v>199</v>
      </c>
      <c r="D19" s="66">
        <v>77692.25</v>
      </c>
      <c r="E19" t="s">
        <v>198</v>
      </c>
    </row>
    <row r="21" spans="2:5" ht="102" x14ac:dyDescent="0.2">
      <c r="B21" s="48" t="s">
        <v>128</v>
      </c>
      <c r="C21" s="19" t="s">
        <v>132</v>
      </c>
      <c r="D21" s="44">
        <v>0.95</v>
      </c>
      <c r="E21" s="19" t="s">
        <v>134</v>
      </c>
    </row>
    <row r="23" spans="2:5" ht="34" x14ac:dyDescent="0.2">
      <c r="B23" s="48" t="s">
        <v>129</v>
      </c>
      <c r="C23" s="19" t="s">
        <v>130</v>
      </c>
      <c r="D23" s="44">
        <v>0.95</v>
      </c>
      <c r="E23" t="s">
        <v>131</v>
      </c>
    </row>
    <row r="25" spans="2:5" ht="17" x14ac:dyDescent="0.2">
      <c r="B25" s="48" t="s">
        <v>136</v>
      </c>
      <c r="C25" s="50" t="s">
        <v>137</v>
      </c>
      <c r="D25">
        <v>25</v>
      </c>
      <c r="E25" t="s">
        <v>138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ER Calculations</vt:lpstr>
      <vt:lpstr>Results</vt:lpstr>
      <vt:lpstr>SDGs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Zeynep Pınar Öztürk</dc:creator>
  <cp:lastModifiedBy>Zeynep Pınar Öztürk</cp:lastModifiedBy>
  <dcterms:created xsi:type="dcterms:W3CDTF">2022-02-17T15:55:38Z</dcterms:created>
  <dcterms:modified xsi:type="dcterms:W3CDTF">2023-05-23T09:55:17Z</dcterms:modified>
</cp:coreProperties>
</file>