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Divij Varshney\Downloads\Final files\"/>
    </mc:Choice>
  </mc:AlternateContent>
  <xr:revisionPtr revIDLastSave="0" documentId="13_ncr:1_{E20DE4C2-295F-44B2-8A1C-7E73CDB284EC}" xr6:coauthVersionLast="47" xr6:coauthVersionMax="47" xr10:uidLastSave="{00000000-0000-0000-0000-000000000000}"/>
  <bookViews>
    <workbookView xWindow="20370" yWindow="-120" windowWidth="29040" windowHeight="15720" tabRatio="599" activeTab="3" xr2:uid="{00000000-000D-0000-FFFF-FFFF00000000}"/>
  </bookViews>
  <sheets>
    <sheet name="Index" sheetId="133" r:id="rId1"/>
    <sheet name="ER Estimation" sheetId="128" r:id="rId2"/>
    <sheet name="ER Comparisons" sheetId="134" r:id="rId3"/>
    <sheet name="Calibration" sheetId="131" r:id="rId4"/>
  </sheets>
  <definedNames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28" l="1"/>
  <c r="X7" i="128"/>
  <c r="X8" i="128"/>
  <c r="X9" i="128"/>
  <c r="X10" i="128"/>
  <c r="X11" i="128"/>
  <c r="X12" i="128"/>
  <c r="X13" i="128"/>
  <c r="X5" i="128"/>
  <c r="Y5" i="128"/>
  <c r="Y9" i="128"/>
  <c r="U14" i="128"/>
  <c r="S12" i="128"/>
  <c r="R12" i="128" l="1"/>
  <c r="Q12" i="128"/>
  <c r="S5" i="128"/>
  <c r="Q5" i="128"/>
  <c r="S13" i="128"/>
  <c r="R13" i="128"/>
  <c r="Q13" i="128"/>
  <c r="S11" i="128"/>
  <c r="U10" i="128"/>
  <c r="R11" i="128"/>
  <c r="Q11" i="128"/>
  <c r="R9" i="128" l="1"/>
  <c r="P6" i="128"/>
  <c r="P7" i="128"/>
  <c r="P8" i="128"/>
  <c r="Q8" i="128" s="1"/>
  <c r="P9" i="128"/>
  <c r="P10" i="128"/>
  <c r="P11" i="128"/>
  <c r="N6" i="128"/>
  <c r="N7" i="128"/>
  <c r="N8" i="128"/>
  <c r="N9" i="128"/>
  <c r="N10" i="128"/>
  <c r="N11" i="128"/>
  <c r="L6" i="128"/>
  <c r="L7" i="128"/>
  <c r="L8" i="128"/>
  <c r="L9" i="128"/>
  <c r="L10" i="128"/>
  <c r="L11" i="128"/>
  <c r="L5" i="128"/>
  <c r="J11" i="128"/>
  <c r="J10" i="128"/>
  <c r="J9" i="128"/>
  <c r="J8" i="128"/>
  <c r="J7" i="128"/>
  <c r="J6" i="128"/>
  <c r="J5" i="128"/>
  <c r="H11" i="128"/>
  <c r="H10" i="128"/>
  <c r="H9" i="128"/>
  <c r="H8" i="128"/>
  <c r="H7" i="128"/>
  <c r="H6" i="128"/>
  <c r="H5" i="128"/>
  <c r="F11" i="128"/>
  <c r="F10" i="128"/>
  <c r="F9" i="128"/>
  <c r="F8" i="128"/>
  <c r="F7" i="128"/>
  <c r="F6" i="128"/>
  <c r="F5" i="128"/>
  <c r="R10" i="128"/>
  <c r="R8" i="128"/>
  <c r="R7" i="128"/>
  <c r="R6" i="128"/>
  <c r="R5" i="128"/>
  <c r="Q10" i="128"/>
  <c r="P5" i="128"/>
  <c r="N5" i="128"/>
  <c r="S8" i="128" l="1"/>
  <c r="S10" i="128"/>
  <c r="Q6" i="128"/>
  <c r="Q9" i="128"/>
  <c r="Q7" i="128"/>
  <c r="U5" i="128" l="1"/>
  <c r="S9" i="128"/>
  <c r="S7" i="128"/>
  <c r="S6" i="128"/>
  <c r="Z5" i="128" s="1"/>
  <c r="B5" i="133"/>
  <c r="B7" i="134" s="1"/>
  <c r="B6" i="134" l="1"/>
  <c r="I14" i="128"/>
  <c r="J14" i="128"/>
  <c r="K14" i="128"/>
  <c r="L14" i="128"/>
  <c r="M14" i="128"/>
  <c r="N14" i="128"/>
  <c r="O14" i="128"/>
  <c r="P14" i="128"/>
  <c r="F14" i="128"/>
  <c r="G14" i="128"/>
  <c r="H14" i="128"/>
  <c r="W14" i="128" l="1"/>
  <c r="V14" i="128"/>
  <c r="E14" i="128"/>
  <c r="R14" i="128" l="1"/>
  <c r="Q14" i="128" l="1"/>
  <c r="U8" i="128" l="1"/>
  <c r="U7" i="128"/>
  <c r="U11" i="128" l="1"/>
  <c r="U13" i="128"/>
  <c r="X14" i="128" l="1"/>
  <c r="U9" i="128"/>
  <c r="Z9" i="128"/>
  <c r="Z14" i="128" s="1"/>
  <c r="U6" i="128"/>
  <c r="S14" i="128"/>
  <c r="B4" i="134" s="1"/>
  <c r="B9" i="134" s="1"/>
  <c r="U12" i="128"/>
  <c r="Y14" i="128" l="1"/>
  <c r="B5" i="134"/>
  <c r="B8" i="134" s="1"/>
</calcChain>
</file>

<file path=xl/sharedStrings.xml><?xml version="1.0" encoding="utf-8"?>
<sst xmlns="http://schemas.openxmlformats.org/spreadsheetml/2006/main" count="84" uniqueCount="67">
  <si>
    <t>Project ID</t>
  </si>
  <si>
    <t>GS 11402</t>
  </si>
  <si>
    <t>Project title</t>
  </si>
  <si>
    <t>Mandsaur Wind Power Project in Madhya Pradesh</t>
  </si>
  <si>
    <t>Monitoring Period Start Date</t>
  </si>
  <si>
    <t>Monitoring Period End Date</t>
  </si>
  <si>
    <t>No of Days</t>
  </si>
  <si>
    <t>Capacity: 36 MW</t>
  </si>
  <si>
    <t>Month</t>
  </si>
  <si>
    <t xml:space="preserve">Duration </t>
  </si>
  <si>
    <t>Export Feeder 1 (Daloda) without Error Factor (KWh)</t>
  </si>
  <si>
    <t>Export Feeder 1 (Daloda) with Error Factor (KWh)</t>
  </si>
  <si>
    <t>Export Feeder 2 (Daloda) without Error Factor (KWh)</t>
  </si>
  <si>
    <t>Export Feeder 2 (Daloda) with Error Factor (KWh)</t>
  </si>
  <si>
    <t>Export Feeder 3 (Malhargarh) without Error Factor(KWh)</t>
  </si>
  <si>
    <t>Export Feeder 3 (Malhargarh) with Error Factor(KWh)</t>
  </si>
  <si>
    <t>Import Daloda Feeder 1 without Error Factor (KWh)</t>
  </si>
  <si>
    <t>Import Daloda Feeder 1 with Error Factor (KWh)</t>
  </si>
  <si>
    <t>Import Daloda Feeder 2 without Error Factor(KWh)</t>
  </si>
  <si>
    <t>Import Daloda Feeder 2 with Error Factor(KWh)</t>
  </si>
  <si>
    <t>Import  Malhargarh Feeder 3 without Error Factor (KWh)</t>
  </si>
  <si>
    <t>Import  Malhargarh Feeder 3 with Error Factor (KWh)</t>
  </si>
  <si>
    <t>Net Electricity Generated (KWh)</t>
  </si>
  <si>
    <t>Net Electricity as per Invoice (KWh)</t>
  </si>
  <si>
    <t>Total Net Electricity Generated (MWh)</t>
  </si>
  <si>
    <t>Emission Factor</t>
  </si>
  <si>
    <t>Baseline Emission</t>
  </si>
  <si>
    <t>Project Emission
(tCO2e)</t>
  </si>
  <si>
    <t>Leakage Emission
(tCO2e)</t>
  </si>
  <si>
    <t xml:space="preserve"> Emission Reduction
(tCO2e)</t>
  </si>
  <si>
    <t>Vintage Wise GSVER Breakup (tCO2e)</t>
  </si>
  <si>
    <t>Vintage Wise Electricity Break UP(MWh)</t>
  </si>
  <si>
    <t>From</t>
  </si>
  <si>
    <t>To</t>
  </si>
  <si>
    <t>Total</t>
  </si>
  <si>
    <t>delay in calibration*</t>
  </si>
  <si>
    <t>Ex-ante annual emission reduction as per regd PDD</t>
  </si>
  <si>
    <t>Ex-ante net electricity generated as per regd PDD</t>
  </si>
  <si>
    <t>Actual  net electricity generated from this Monitoring</t>
  </si>
  <si>
    <t>Actual Emission Reductions from this Monitoring</t>
  </si>
  <si>
    <t xml:space="preserve">Estimated net electricity generated </t>
  </si>
  <si>
    <t xml:space="preserve">Estimated Emission Reduction </t>
  </si>
  <si>
    <t>% Difference between Actual and Estimated Emission Reduction (%)</t>
  </si>
  <si>
    <t>% Difference between Actual and Estimated net electricity generation (%)</t>
  </si>
  <si>
    <t>Meter Location</t>
  </si>
  <si>
    <t>Meter No.</t>
  </si>
  <si>
    <t>Meter Type</t>
  </si>
  <si>
    <t>Make</t>
  </si>
  <si>
    <t>Accuracy Class</t>
  </si>
  <si>
    <t>Date of Calibration</t>
  </si>
  <si>
    <t>Validity of Calibration</t>
  </si>
  <si>
    <t>Remarks</t>
  </si>
  <si>
    <t>Delay in Calibration</t>
  </si>
  <si>
    <t>Feeder 1
(Daloda)</t>
  </si>
  <si>
    <t>QO594045</t>
  </si>
  <si>
    <t>Main Meter</t>
  </si>
  <si>
    <t>SEMS</t>
  </si>
  <si>
    <t>Meter Replacement</t>
  </si>
  <si>
    <t>Sept,Oct,Nov,Dec 23        Jan,Feb,March 24</t>
  </si>
  <si>
    <t>QO594069</t>
  </si>
  <si>
    <t>Check Meter</t>
  </si>
  <si>
    <t>Feeder 2
(Daloda)</t>
  </si>
  <si>
    <t>QO603865</t>
  </si>
  <si>
    <t>QO603866</t>
  </si>
  <si>
    <t>Feeder 3
(Malhargarh)</t>
  </si>
  <si>
    <t>QO608738</t>
  </si>
  <si>
    <t>QO608739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</si>
</sst>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409]dd\-mmm\-yy;@"/>
    <numFmt numFmtId="166" formatCode="_-* #,##0.00_k_r_._-;\-* #,##0.00_k_r_._-;_-* &quot;-&quot;??_k_r_._-;_-@_-"/>
    <numFmt numFmtId="167" formatCode="[$-409]d\-mmm\-yy;@"/>
    <numFmt numFmtId="168" formatCode="[$-409]mmm/yy;@"/>
    <numFmt numFmtId="169" formatCode="0.000"/>
    <numFmt numFmtId="170" formatCode="0.0"/>
    <numFmt numFmtId="171" formatCode="[$-409]d\-mmm\-yyyy;@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30">
    <xf numFmtId="0" fontId="0" fillId="0" borderId="0"/>
    <xf numFmtId="164" fontId="6" fillId="0" borderId="0" applyFont="0" applyFill="0" applyBorder="0" applyAlignment="0" applyProtection="0"/>
    <xf numFmtId="165" fontId="6" fillId="0" borderId="0"/>
    <xf numFmtId="165" fontId="6" fillId="0" borderId="0"/>
    <xf numFmtId="165" fontId="6" fillId="0" borderId="0"/>
    <xf numFmtId="0" fontId="3" fillId="0" borderId="0"/>
    <xf numFmtId="165" fontId="4" fillId="0" borderId="0"/>
    <xf numFmtId="165" fontId="7" fillId="2" borderId="0" applyNumberFormat="0" applyBorder="0" applyAlignment="0" applyProtection="0"/>
    <xf numFmtId="165" fontId="7" fillId="3" borderId="0" applyNumberFormat="0" applyBorder="0" applyAlignment="0" applyProtection="0"/>
    <xf numFmtId="165" fontId="7" fillId="4" borderId="0" applyNumberFormat="0" applyBorder="0" applyAlignment="0" applyProtection="0"/>
    <xf numFmtId="165" fontId="7" fillId="5" borderId="0" applyNumberFormat="0" applyBorder="0" applyAlignment="0" applyProtection="0"/>
    <xf numFmtId="165" fontId="7" fillId="6" borderId="0" applyNumberFormat="0" applyBorder="0" applyAlignment="0" applyProtection="0"/>
    <xf numFmtId="165" fontId="7" fillId="7" borderId="0" applyNumberFormat="0" applyBorder="0" applyAlignment="0" applyProtection="0"/>
    <xf numFmtId="165" fontId="7" fillId="8" borderId="0" applyNumberFormat="0" applyBorder="0" applyAlignment="0" applyProtection="0"/>
    <xf numFmtId="165" fontId="7" fillId="9" borderId="0" applyNumberFormat="0" applyBorder="0" applyAlignment="0" applyProtection="0"/>
    <xf numFmtId="165" fontId="7" fillId="10" borderId="0" applyNumberFormat="0" applyBorder="0" applyAlignment="0" applyProtection="0"/>
    <xf numFmtId="165" fontId="7" fillId="5" borderId="0" applyNumberFormat="0" applyBorder="0" applyAlignment="0" applyProtection="0"/>
    <xf numFmtId="165" fontId="7" fillId="8" borderId="0" applyNumberFormat="0" applyBorder="0" applyAlignment="0" applyProtection="0"/>
    <xf numFmtId="165" fontId="7" fillId="11" borderId="0" applyNumberFormat="0" applyBorder="0" applyAlignment="0" applyProtection="0"/>
    <xf numFmtId="165" fontId="8" fillId="12" borderId="0" applyNumberFormat="0" applyBorder="0" applyAlignment="0" applyProtection="0"/>
    <xf numFmtId="165" fontId="8" fillId="9" borderId="0" applyNumberFormat="0" applyBorder="0" applyAlignment="0" applyProtection="0"/>
    <xf numFmtId="165" fontId="8" fillId="10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5" borderId="0" applyNumberFormat="0" applyBorder="0" applyAlignment="0" applyProtection="0"/>
    <xf numFmtId="165" fontId="8" fillId="16" borderId="0" applyNumberFormat="0" applyBorder="0" applyAlignment="0" applyProtection="0"/>
    <xf numFmtId="165" fontId="8" fillId="17" borderId="0" applyNumberFormat="0" applyBorder="0" applyAlignment="0" applyProtection="0"/>
    <xf numFmtId="165" fontId="8" fillId="18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9" borderId="0" applyNumberFormat="0" applyBorder="0" applyAlignment="0" applyProtection="0"/>
    <xf numFmtId="165" fontId="9" fillId="3" borderId="0" applyNumberFormat="0" applyBorder="0" applyAlignment="0" applyProtection="0"/>
    <xf numFmtId="165" fontId="10" fillId="20" borderId="1" applyNumberFormat="0" applyAlignment="0" applyProtection="0"/>
    <xf numFmtId="165" fontId="11" fillId="21" borderId="2" applyNumberFormat="0" applyAlignment="0" applyProtection="0"/>
    <xf numFmtId="165" fontId="12" fillId="0" borderId="0" applyNumberFormat="0" applyFill="0" applyBorder="0" applyAlignment="0" applyProtection="0"/>
    <xf numFmtId="165" fontId="13" fillId="4" borderId="0" applyNumberFormat="0" applyBorder="0" applyAlignment="0" applyProtection="0"/>
    <xf numFmtId="165" fontId="14" fillId="0" borderId="3" applyNumberFormat="0" applyFill="0" applyAlignment="0" applyProtection="0"/>
    <xf numFmtId="165" fontId="15" fillId="0" borderId="4" applyNumberFormat="0" applyFill="0" applyAlignment="0" applyProtection="0"/>
    <xf numFmtId="165" fontId="16" fillId="0" borderId="5" applyNumberFormat="0" applyFill="0" applyAlignment="0" applyProtection="0"/>
    <xf numFmtId="165" fontId="16" fillId="0" borderId="0" applyNumberFormat="0" applyFill="0" applyBorder="0" applyAlignment="0" applyProtection="0"/>
    <xf numFmtId="165" fontId="17" fillId="7" borderId="1" applyNumberFormat="0" applyAlignment="0" applyProtection="0"/>
    <xf numFmtId="165" fontId="18" fillId="0" borderId="6" applyNumberFormat="0" applyFill="0" applyAlignment="0" applyProtection="0"/>
    <xf numFmtId="165" fontId="19" fillId="22" borderId="0" applyNumberFormat="0" applyBorder="0" applyAlignment="0" applyProtection="0"/>
    <xf numFmtId="165" fontId="4" fillId="0" borderId="0"/>
    <xf numFmtId="165" fontId="4" fillId="23" borderId="7" applyNumberFormat="0" applyFont="0" applyAlignment="0" applyProtection="0"/>
    <xf numFmtId="165" fontId="20" fillId="20" borderId="8" applyNumberFormat="0" applyAlignment="0" applyProtection="0"/>
    <xf numFmtId="165" fontId="21" fillId="0" borderId="0" applyNumberFormat="0" applyFill="0" applyBorder="0" applyAlignment="0" applyProtection="0"/>
    <xf numFmtId="165" fontId="22" fillId="0" borderId="9" applyNumberFormat="0" applyFill="0" applyAlignment="0" applyProtection="0"/>
    <xf numFmtId="165" fontId="23" fillId="0" borderId="0" applyNumberFormat="0" applyFill="0" applyBorder="0" applyAlignment="0" applyProtection="0"/>
    <xf numFmtId="165" fontId="4" fillId="23" borderId="7" applyNumberFormat="0" applyFont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NumberFormat="0" applyFill="0" applyBorder="0" applyAlignment="0" applyProtection="0">
      <alignment vertical="top"/>
      <protection locked="0"/>
    </xf>
    <xf numFmtId="165" fontId="4" fillId="0" borderId="0"/>
    <xf numFmtId="165" fontId="4" fillId="0" borderId="0"/>
    <xf numFmtId="165" fontId="4" fillId="0" borderId="0"/>
    <xf numFmtId="166" fontId="4" fillId="0" borderId="0" applyFon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  <xf numFmtId="165" fontId="4" fillId="0" borderId="0"/>
    <xf numFmtId="165" fontId="7" fillId="2" borderId="0" applyNumberFormat="0" applyBorder="0" applyAlignment="0" applyProtection="0"/>
    <xf numFmtId="165" fontId="7" fillId="3" borderId="0" applyNumberFormat="0" applyBorder="0" applyAlignment="0" applyProtection="0"/>
    <xf numFmtId="165" fontId="7" fillId="4" borderId="0" applyNumberFormat="0" applyBorder="0" applyAlignment="0" applyProtection="0"/>
    <xf numFmtId="165" fontId="7" fillId="5" borderId="0" applyNumberFormat="0" applyBorder="0" applyAlignment="0" applyProtection="0"/>
    <xf numFmtId="165" fontId="7" fillId="6" borderId="0" applyNumberFormat="0" applyBorder="0" applyAlignment="0" applyProtection="0"/>
    <xf numFmtId="165" fontId="7" fillId="7" borderId="0" applyNumberFormat="0" applyBorder="0" applyAlignment="0" applyProtection="0"/>
    <xf numFmtId="165" fontId="7" fillId="8" borderId="0" applyNumberFormat="0" applyBorder="0" applyAlignment="0" applyProtection="0"/>
    <xf numFmtId="165" fontId="7" fillId="9" borderId="0" applyNumberFormat="0" applyBorder="0" applyAlignment="0" applyProtection="0"/>
    <xf numFmtId="165" fontId="7" fillId="10" borderId="0" applyNumberFormat="0" applyBorder="0" applyAlignment="0" applyProtection="0"/>
    <xf numFmtId="165" fontId="7" fillId="5" borderId="0" applyNumberFormat="0" applyBorder="0" applyAlignment="0" applyProtection="0"/>
    <xf numFmtId="165" fontId="7" fillId="8" borderId="0" applyNumberFormat="0" applyBorder="0" applyAlignment="0" applyProtection="0"/>
    <xf numFmtId="165" fontId="7" fillId="11" borderId="0" applyNumberFormat="0" applyBorder="0" applyAlignment="0" applyProtection="0"/>
    <xf numFmtId="165" fontId="8" fillId="12" borderId="0" applyNumberFormat="0" applyBorder="0" applyAlignment="0" applyProtection="0"/>
    <xf numFmtId="165" fontId="8" fillId="9" borderId="0" applyNumberFormat="0" applyBorder="0" applyAlignment="0" applyProtection="0"/>
    <xf numFmtId="165" fontId="8" fillId="10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5" borderId="0" applyNumberFormat="0" applyBorder="0" applyAlignment="0" applyProtection="0"/>
    <xf numFmtId="165" fontId="8" fillId="16" borderId="0" applyNumberFormat="0" applyBorder="0" applyAlignment="0" applyProtection="0"/>
    <xf numFmtId="165" fontId="8" fillId="17" borderId="0" applyNumberFormat="0" applyBorder="0" applyAlignment="0" applyProtection="0"/>
    <xf numFmtId="165" fontId="8" fillId="18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9" borderId="0" applyNumberFormat="0" applyBorder="0" applyAlignment="0" applyProtection="0"/>
    <xf numFmtId="165" fontId="9" fillId="3" borderId="0" applyNumberFormat="0" applyBorder="0" applyAlignment="0" applyProtection="0"/>
    <xf numFmtId="165" fontId="10" fillId="20" borderId="1" applyNumberFormat="0" applyAlignment="0" applyProtection="0"/>
    <xf numFmtId="165" fontId="11" fillId="21" borderId="2" applyNumberFormat="0" applyAlignment="0" applyProtection="0"/>
    <xf numFmtId="165" fontId="12" fillId="0" borderId="0" applyNumberFormat="0" applyFill="0" applyBorder="0" applyAlignment="0" applyProtection="0"/>
    <xf numFmtId="165" fontId="13" fillId="4" borderId="0" applyNumberFormat="0" applyBorder="0" applyAlignment="0" applyProtection="0"/>
    <xf numFmtId="165" fontId="14" fillId="0" borderId="3" applyNumberFormat="0" applyFill="0" applyAlignment="0" applyProtection="0"/>
    <xf numFmtId="165" fontId="15" fillId="0" borderId="4" applyNumberFormat="0" applyFill="0" applyAlignment="0" applyProtection="0"/>
    <xf numFmtId="165" fontId="16" fillId="0" borderId="5" applyNumberFormat="0" applyFill="0" applyAlignment="0" applyProtection="0"/>
    <xf numFmtId="165" fontId="16" fillId="0" borderId="0" applyNumberFormat="0" applyFill="0" applyBorder="0" applyAlignment="0" applyProtection="0"/>
    <xf numFmtId="165" fontId="17" fillId="7" borderId="1" applyNumberFormat="0" applyAlignment="0" applyProtection="0"/>
    <xf numFmtId="165" fontId="18" fillId="0" borderId="6" applyNumberFormat="0" applyFill="0" applyAlignment="0" applyProtection="0"/>
    <xf numFmtId="165" fontId="19" fillId="22" borderId="0" applyNumberFormat="0" applyBorder="0" applyAlignment="0" applyProtection="0"/>
    <xf numFmtId="165" fontId="4" fillId="23" borderId="7" applyNumberFormat="0" applyFont="0" applyAlignment="0" applyProtection="0"/>
    <xf numFmtId="165" fontId="20" fillId="20" borderId="8" applyNumberFormat="0" applyAlignment="0" applyProtection="0"/>
    <xf numFmtId="165" fontId="21" fillId="0" borderId="0" applyNumberFormat="0" applyFill="0" applyBorder="0" applyAlignment="0" applyProtection="0"/>
    <xf numFmtId="165" fontId="22" fillId="0" borderId="9" applyNumberFormat="0" applyFill="0" applyAlignment="0" applyProtection="0"/>
    <xf numFmtId="165" fontId="23" fillId="0" borderId="0" applyNumberFormat="0" applyFill="0" applyBorder="0" applyAlignment="0" applyProtection="0"/>
    <xf numFmtId="165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5" fontId="4" fillId="0" borderId="0"/>
    <xf numFmtId="167" fontId="7" fillId="2" borderId="0" applyNumberFormat="0" applyBorder="0" applyAlignment="0" applyProtection="0"/>
    <xf numFmtId="167" fontId="7" fillId="3" borderId="0" applyNumberFormat="0" applyBorder="0" applyAlignment="0" applyProtection="0"/>
    <xf numFmtId="167" fontId="7" fillId="4" borderId="0" applyNumberFormat="0" applyBorder="0" applyAlignment="0" applyProtection="0"/>
    <xf numFmtId="167" fontId="7" fillId="5" borderId="0" applyNumberFormat="0" applyBorder="0" applyAlignment="0" applyProtection="0"/>
    <xf numFmtId="167" fontId="7" fillId="6" borderId="0" applyNumberFormat="0" applyBorder="0" applyAlignment="0" applyProtection="0"/>
    <xf numFmtId="167" fontId="7" fillId="7" borderId="0" applyNumberFormat="0" applyBorder="0" applyAlignment="0" applyProtection="0"/>
    <xf numFmtId="167" fontId="7" fillId="8" borderId="0" applyNumberFormat="0" applyBorder="0" applyAlignment="0" applyProtection="0"/>
    <xf numFmtId="167" fontId="7" fillId="9" borderId="0" applyNumberFormat="0" applyBorder="0" applyAlignment="0" applyProtection="0"/>
    <xf numFmtId="167" fontId="7" fillId="10" borderId="0" applyNumberFormat="0" applyBorder="0" applyAlignment="0" applyProtection="0"/>
    <xf numFmtId="167" fontId="7" fillId="5" borderId="0" applyNumberFormat="0" applyBorder="0" applyAlignment="0" applyProtection="0"/>
    <xf numFmtId="167" fontId="7" fillId="8" borderId="0" applyNumberFormat="0" applyBorder="0" applyAlignment="0" applyProtection="0"/>
    <xf numFmtId="167" fontId="7" fillId="11" borderId="0" applyNumberFormat="0" applyBorder="0" applyAlignment="0" applyProtection="0"/>
    <xf numFmtId="167" fontId="8" fillId="12" borderId="0" applyNumberFormat="0" applyBorder="0" applyAlignment="0" applyProtection="0"/>
    <xf numFmtId="167" fontId="8" fillId="9" borderId="0" applyNumberFormat="0" applyBorder="0" applyAlignment="0" applyProtection="0"/>
    <xf numFmtId="167" fontId="8" fillId="10" borderId="0" applyNumberFormat="0" applyBorder="0" applyAlignment="0" applyProtection="0"/>
    <xf numFmtId="167" fontId="8" fillId="13" borderId="0" applyNumberFormat="0" applyBorder="0" applyAlignment="0" applyProtection="0"/>
    <xf numFmtId="167" fontId="8" fillId="14" borderId="0" applyNumberFormat="0" applyBorder="0" applyAlignment="0" applyProtection="0"/>
    <xf numFmtId="167" fontId="8" fillId="15" borderId="0" applyNumberFormat="0" applyBorder="0" applyAlignment="0" applyProtection="0"/>
    <xf numFmtId="167" fontId="8" fillId="16" borderId="0" applyNumberFormat="0" applyBorder="0" applyAlignment="0" applyProtection="0"/>
    <xf numFmtId="167" fontId="8" fillId="17" borderId="0" applyNumberFormat="0" applyBorder="0" applyAlignment="0" applyProtection="0"/>
    <xf numFmtId="167" fontId="8" fillId="18" borderId="0" applyNumberFormat="0" applyBorder="0" applyAlignment="0" applyProtection="0"/>
    <xf numFmtId="167" fontId="8" fillId="13" borderId="0" applyNumberFormat="0" applyBorder="0" applyAlignment="0" applyProtection="0"/>
    <xf numFmtId="167" fontId="8" fillId="14" borderId="0" applyNumberFormat="0" applyBorder="0" applyAlignment="0" applyProtection="0"/>
    <xf numFmtId="167" fontId="8" fillId="19" borderId="0" applyNumberFormat="0" applyBorder="0" applyAlignment="0" applyProtection="0"/>
    <xf numFmtId="167" fontId="9" fillId="3" borderId="0" applyNumberFormat="0" applyBorder="0" applyAlignment="0" applyProtection="0"/>
    <xf numFmtId="167" fontId="10" fillId="20" borderId="1" applyNumberFormat="0" applyAlignment="0" applyProtection="0"/>
    <xf numFmtId="167" fontId="11" fillId="21" borderId="2" applyNumberFormat="0" applyAlignment="0" applyProtection="0"/>
    <xf numFmtId="166" fontId="4" fillId="0" borderId="0" applyFont="0" applyFill="0" applyBorder="0" applyAlignment="0" applyProtection="0"/>
    <xf numFmtId="167" fontId="12" fillId="0" borderId="0" applyNumberFormat="0" applyFill="0" applyBorder="0" applyAlignment="0" applyProtection="0"/>
    <xf numFmtId="167" fontId="13" fillId="4" borderId="0" applyNumberFormat="0" applyBorder="0" applyAlignment="0" applyProtection="0"/>
    <xf numFmtId="167" fontId="14" fillId="0" borderId="3" applyNumberFormat="0" applyFill="0" applyAlignment="0" applyProtection="0"/>
    <xf numFmtId="167" fontId="15" fillId="0" borderId="4" applyNumberFormat="0" applyFill="0" applyAlignment="0" applyProtection="0"/>
    <xf numFmtId="167" fontId="16" fillId="0" borderId="5" applyNumberFormat="0" applyFill="0" applyAlignment="0" applyProtection="0"/>
    <xf numFmtId="167" fontId="16" fillId="0" borderId="0" applyNumberFormat="0" applyFill="0" applyBorder="0" applyAlignment="0" applyProtection="0"/>
    <xf numFmtId="167" fontId="17" fillId="7" borderId="1" applyNumberFormat="0" applyAlignment="0" applyProtection="0"/>
    <xf numFmtId="167" fontId="18" fillId="0" borderId="6" applyNumberFormat="0" applyFill="0" applyAlignment="0" applyProtection="0"/>
    <xf numFmtId="167" fontId="19" fillId="22" borderId="0" applyNumberFormat="0" applyBorder="0" applyAlignment="0" applyProtection="0"/>
    <xf numFmtId="167" fontId="4" fillId="0" borderId="0"/>
    <xf numFmtId="167" fontId="4" fillId="0" borderId="0"/>
    <xf numFmtId="167" fontId="4" fillId="0" borderId="0"/>
    <xf numFmtId="167" fontId="4" fillId="23" borderId="7" applyNumberFormat="0" applyFont="0" applyAlignment="0" applyProtection="0"/>
    <xf numFmtId="167" fontId="20" fillId="20" borderId="8" applyNumberFormat="0" applyAlignment="0" applyProtection="0"/>
    <xf numFmtId="167" fontId="21" fillId="0" borderId="0" applyNumberFormat="0" applyFill="0" applyBorder="0" applyAlignment="0" applyProtection="0"/>
    <xf numFmtId="167" fontId="22" fillId="0" borderId="9" applyNumberFormat="0" applyFill="0" applyAlignment="0" applyProtection="0"/>
    <xf numFmtId="167" fontId="2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5" fontId="4" fillId="0" borderId="0"/>
    <xf numFmtId="165" fontId="7" fillId="2" borderId="0" applyNumberFormat="0" applyBorder="0" applyAlignment="0" applyProtection="0"/>
    <xf numFmtId="165" fontId="7" fillId="3" borderId="0" applyNumberFormat="0" applyBorder="0" applyAlignment="0" applyProtection="0"/>
    <xf numFmtId="165" fontId="7" fillId="4" borderId="0" applyNumberFormat="0" applyBorder="0" applyAlignment="0" applyProtection="0"/>
    <xf numFmtId="165" fontId="7" fillId="5" borderId="0" applyNumberFormat="0" applyBorder="0" applyAlignment="0" applyProtection="0"/>
    <xf numFmtId="165" fontId="7" fillId="6" borderId="0" applyNumberFormat="0" applyBorder="0" applyAlignment="0" applyProtection="0"/>
    <xf numFmtId="165" fontId="7" fillId="7" borderId="0" applyNumberFormat="0" applyBorder="0" applyAlignment="0" applyProtection="0"/>
    <xf numFmtId="165" fontId="7" fillId="8" borderId="0" applyNumberFormat="0" applyBorder="0" applyAlignment="0" applyProtection="0"/>
    <xf numFmtId="165" fontId="7" fillId="9" borderId="0" applyNumberFormat="0" applyBorder="0" applyAlignment="0" applyProtection="0"/>
    <xf numFmtId="165" fontId="7" fillId="10" borderId="0" applyNumberFormat="0" applyBorder="0" applyAlignment="0" applyProtection="0"/>
    <xf numFmtId="165" fontId="7" fillId="5" borderId="0" applyNumberFormat="0" applyBorder="0" applyAlignment="0" applyProtection="0"/>
    <xf numFmtId="165" fontId="7" fillId="8" borderId="0" applyNumberFormat="0" applyBorder="0" applyAlignment="0" applyProtection="0"/>
    <xf numFmtId="165" fontId="7" fillId="11" borderId="0" applyNumberFormat="0" applyBorder="0" applyAlignment="0" applyProtection="0"/>
    <xf numFmtId="165" fontId="8" fillId="12" borderId="0" applyNumberFormat="0" applyBorder="0" applyAlignment="0" applyProtection="0"/>
    <xf numFmtId="165" fontId="8" fillId="9" borderId="0" applyNumberFormat="0" applyBorder="0" applyAlignment="0" applyProtection="0"/>
    <xf numFmtId="165" fontId="8" fillId="10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5" borderId="0" applyNumberFormat="0" applyBorder="0" applyAlignment="0" applyProtection="0"/>
    <xf numFmtId="165" fontId="8" fillId="16" borderId="0" applyNumberFormat="0" applyBorder="0" applyAlignment="0" applyProtection="0"/>
    <xf numFmtId="165" fontId="8" fillId="17" borderId="0" applyNumberFormat="0" applyBorder="0" applyAlignment="0" applyProtection="0"/>
    <xf numFmtId="165" fontId="8" fillId="18" borderId="0" applyNumberFormat="0" applyBorder="0" applyAlignment="0" applyProtection="0"/>
    <xf numFmtId="165" fontId="8" fillId="13" borderId="0" applyNumberFormat="0" applyBorder="0" applyAlignment="0" applyProtection="0"/>
    <xf numFmtId="165" fontId="8" fillId="14" borderId="0" applyNumberFormat="0" applyBorder="0" applyAlignment="0" applyProtection="0"/>
    <xf numFmtId="165" fontId="8" fillId="19" borderId="0" applyNumberFormat="0" applyBorder="0" applyAlignment="0" applyProtection="0"/>
    <xf numFmtId="165" fontId="9" fillId="3" borderId="0" applyNumberFormat="0" applyBorder="0" applyAlignment="0" applyProtection="0"/>
    <xf numFmtId="165" fontId="10" fillId="20" borderId="1" applyNumberFormat="0" applyAlignment="0" applyProtection="0"/>
    <xf numFmtId="165" fontId="11" fillId="21" borderId="2" applyNumberFormat="0" applyAlignment="0" applyProtection="0"/>
    <xf numFmtId="165" fontId="12" fillId="0" borderId="0" applyNumberFormat="0" applyFill="0" applyBorder="0" applyAlignment="0" applyProtection="0"/>
    <xf numFmtId="165" fontId="13" fillId="4" borderId="0" applyNumberFormat="0" applyBorder="0" applyAlignment="0" applyProtection="0"/>
    <xf numFmtId="165" fontId="14" fillId="0" borderId="3" applyNumberFormat="0" applyFill="0" applyAlignment="0" applyProtection="0"/>
    <xf numFmtId="165" fontId="15" fillId="0" borderId="4" applyNumberFormat="0" applyFill="0" applyAlignment="0" applyProtection="0"/>
    <xf numFmtId="165" fontId="16" fillId="0" borderId="5" applyNumberFormat="0" applyFill="0" applyAlignment="0" applyProtection="0"/>
    <xf numFmtId="165" fontId="16" fillId="0" borderId="0" applyNumberFormat="0" applyFill="0" applyBorder="0" applyAlignment="0" applyProtection="0"/>
    <xf numFmtId="165" fontId="17" fillId="7" borderId="1" applyNumberFormat="0" applyAlignment="0" applyProtection="0"/>
    <xf numFmtId="165" fontId="18" fillId="0" borderId="6" applyNumberFormat="0" applyFill="0" applyAlignment="0" applyProtection="0"/>
    <xf numFmtId="165" fontId="19" fillId="22" borderId="0" applyNumberFormat="0" applyBorder="0" applyAlignment="0" applyProtection="0"/>
    <xf numFmtId="165" fontId="4" fillId="23" borderId="7" applyNumberFormat="0" applyFont="0" applyAlignment="0" applyProtection="0"/>
    <xf numFmtId="165" fontId="20" fillId="20" borderId="8" applyNumberFormat="0" applyAlignment="0" applyProtection="0"/>
    <xf numFmtId="165" fontId="21" fillId="0" borderId="0" applyNumberFormat="0" applyFill="0" applyBorder="0" applyAlignment="0" applyProtection="0"/>
    <xf numFmtId="165" fontId="22" fillId="0" borderId="9" applyNumberFormat="0" applyFill="0" applyAlignment="0" applyProtection="0"/>
    <xf numFmtId="165" fontId="2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5" fontId="4" fillId="0" borderId="0"/>
    <xf numFmtId="0" fontId="3" fillId="0" borderId="0"/>
    <xf numFmtId="9" fontId="4" fillId="0" borderId="0" applyFont="0" applyFill="0" applyBorder="0" applyAlignment="0" applyProtection="0"/>
    <xf numFmtId="165" fontId="4" fillId="0" borderId="0"/>
    <xf numFmtId="0" fontId="3" fillId="0" borderId="0"/>
    <xf numFmtId="0" fontId="3" fillId="0" borderId="0"/>
    <xf numFmtId="0" fontId="3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7" fillId="0" borderId="0"/>
    <xf numFmtId="9" fontId="4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0" borderId="14" xfId="0" applyBorder="1"/>
    <xf numFmtId="0" fontId="4" fillId="0" borderId="13" xfId="0" applyFont="1" applyBorder="1"/>
    <xf numFmtId="0" fontId="4" fillId="0" borderId="20" xfId="0" applyFont="1" applyBorder="1"/>
    <xf numFmtId="0" fontId="0" fillId="0" borderId="10" xfId="0" applyBorder="1"/>
    <xf numFmtId="0" fontId="4" fillId="0" borderId="1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69" fontId="0" fillId="0" borderId="10" xfId="0" applyNumberFormat="1" applyBorder="1"/>
    <xf numFmtId="0" fontId="0" fillId="24" borderId="0" xfId="0" applyFill="1" applyAlignment="1">
      <alignment horizontal="center" vertical="center"/>
    </xf>
    <xf numFmtId="1" fontId="4" fillId="24" borderId="0" xfId="0" applyNumberFormat="1" applyFont="1" applyFill="1" applyAlignment="1">
      <alignment horizontal="left" vertical="center"/>
    </xf>
    <xf numFmtId="0" fontId="0" fillId="0" borderId="10" xfId="0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27" fillId="24" borderId="0" xfId="0" applyFont="1" applyFill="1" applyAlignment="1">
      <alignment horizontal="left"/>
    </xf>
    <xf numFmtId="0" fontId="0" fillId="24" borderId="0" xfId="0" applyFill="1"/>
    <xf numFmtId="0" fontId="0" fillId="24" borderId="23" xfId="0" applyFill="1" applyBorder="1"/>
    <xf numFmtId="0" fontId="0" fillId="24" borderId="24" xfId="0" applyFill="1" applyBorder="1"/>
    <xf numFmtId="0" fontId="26" fillId="24" borderId="21" xfId="0" applyFont="1" applyFill="1" applyBorder="1" applyAlignment="1">
      <alignment horizontal="center" vertical="center"/>
    </xf>
    <xf numFmtId="0" fontId="26" fillId="24" borderId="28" xfId="0" applyFont="1" applyFill="1" applyBorder="1" applyAlignment="1">
      <alignment horizontal="center" vertical="center"/>
    </xf>
    <xf numFmtId="168" fontId="0" fillId="24" borderId="13" xfId="0" applyNumberFormat="1" applyFill="1" applyBorder="1" applyAlignment="1">
      <alignment horizontal="center"/>
    </xf>
    <xf numFmtId="14" fontId="4" fillId="24" borderId="18" xfId="0" applyNumberFormat="1" applyFont="1" applyFill="1" applyBorder="1" applyAlignment="1">
      <alignment horizontal="center"/>
    </xf>
    <xf numFmtId="14" fontId="0" fillId="24" borderId="26" xfId="0" applyNumberFormat="1" applyFill="1" applyBorder="1" applyAlignment="1">
      <alignment horizontal="center"/>
    </xf>
    <xf numFmtId="1" fontId="0" fillId="24" borderId="10" xfId="0" applyNumberForma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169" fontId="0" fillId="24" borderId="10" xfId="0" applyNumberFormat="1" applyFill="1" applyBorder="1" applyAlignment="1">
      <alignment horizontal="center"/>
    </xf>
    <xf numFmtId="1" fontId="26" fillId="24" borderId="15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/>
    <xf numFmtId="2" fontId="26" fillId="24" borderId="33" xfId="0" applyNumberFormat="1" applyFont="1" applyFill="1" applyBorder="1" applyAlignment="1">
      <alignment horizontal="center"/>
    </xf>
    <xf numFmtId="2" fontId="26" fillId="24" borderId="15" xfId="0" applyNumberFormat="1" applyFont="1" applyFill="1" applyBorder="1" applyAlignment="1">
      <alignment horizontal="center"/>
    </xf>
    <xf numFmtId="2" fontId="0" fillId="24" borderId="10" xfId="0" applyNumberFormat="1" applyFill="1" applyBorder="1"/>
    <xf numFmtId="1" fontId="0" fillId="24" borderId="10" xfId="0" applyNumberFormat="1" applyFill="1" applyBorder="1"/>
    <xf numFmtId="2" fontId="0" fillId="24" borderId="10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14" fontId="4" fillId="24" borderId="35" xfId="0" applyNumberFormat="1" applyFont="1" applyFill="1" applyBorder="1" applyAlignment="1">
      <alignment horizontal="left" vertical="center"/>
    </xf>
    <xf numFmtId="14" fontId="0" fillId="24" borderId="34" xfId="0" applyNumberFormat="1" applyFill="1" applyBorder="1" applyAlignment="1">
      <alignment horizontal="left" vertical="center"/>
    </xf>
    <xf numFmtId="2" fontId="0" fillId="24" borderId="13" xfId="0" applyNumberFormat="1" applyFill="1" applyBorder="1" applyAlignment="1">
      <alignment horizontal="center" vertical="center"/>
    </xf>
    <xf numFmtId="168" fontId="0" fillId="0" borderId="13" xfId="0" applyNumberFormat="1" applyBorder="1" applyAlignment="1">
      <alignment horizontal="center"/>
    </xf>
    <xf numFmtId="14" fontId="4" fillId="0" borderId="18" xfId="0" applyNumberFormat="1" applyFon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2" fontId="0" fillId="0" borderId="1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9" fontId="0" fillId="0" borderId="10" xfId="0" applyNumberFormat="1" applyBorder="1" applyAlignment="1">
      <alignment horizontal="center"/>
    </xf>
    <xf numFmtId="2" fontId="0" fillId="25" borderId="13" xfId="0" applyNumberFormat="1" applyFill="1" applyBorder="1" applyAlignment="1">
      <alignment horizontal="center" vertical="center"/>
    </xf>
    <xf numFmtId="2" fontId="0" fillId="25" borderId="10" xfId="0" applyNumberFormat="1" applyFill="1" applyBorder="1" applyAlignment="1">
      <alignment horizontal="center" vertical="center"/>
    </xf>
    <xf numFmtId="0" fontId="0" fillId="25" borderId="0" xfId="0" applyFill="1"/>
    <xf numFmtId="0" fontId="0" fillId="0" borderId="34" xfId="0" applyBorder="1" applyAlignment="1">
      <alignment horizontal="center"/>
    </xf>
    <xf numFmtId="1" fontId="26" fillId="24" borderId="36" xfId="0" applyNumberFormat="1" applyFont="1" applyFill="1" applyBorder="1" applyAlignment="1">
      <alignment horizontal="center"/>
    </xf>
    <xf numFmtId="2" fontId="0" fillId="0" borderId="10" xfId="0" applyNumberFormat="1" applyBorder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1" fontId="26" fillId="0" borderId="15" xfId="0" applyNumberFormat="1" applyFont="1" applyBorder="1" applyAlignment="1">
      <alignment horizontal="center"/>
    </xf>
    <xf numFmtId="170" fontId="4" fillId="0" borderId="26" xfId="0" applyNumberFormat="1" applyFont="1" applyBorder="1" applyAlignment="1">
      <alignment horizontal="center"/>
    </xf>
    <xf numFmtId="171" fontId="0" fillId="0" borderId="34" xfId="0" applyNumberFormat="1" applyBorder="1" applyAlignment="1">
      <alignment horizontal="center" vertical="center"/>
    </xf>
    <xf numFmtId="0" fontId="27" fillId="24" borderId="19" xfId="0" applyFont="1" applyFill="1" applyBorder="1" applyAlignment="1">
      <alignment horizontal="center" wrapText="1"/>
    </xf>
    <xf numFmtId="0" fontId="27" fillId="24" borderId="14" xfId="0" applyFont="1" applyFill="1" applyBorder="1" applyAlignment="1">
      <alignment horizontal="center" wrapText="1"/>
    </xf>
    <xf numFmtId="0" fontId="27" fillId="24" borderId="22" xfId="0" applyFont="1" applyFill="1" applyBorder="1" applyAlignment="1">
      <alignment horizontal="left"/>
    </xf>
    <xf numFmtId="0" fontId="27" fillId="24" borderId="23" xfId="0" applyFont="1" applyFill="1" applyBorder="1" applyAlignment="1">
      <alignment horizontal="left"/>
    </xf>
    <xf numFmtId="0" fontId="26" fillId="24" borderId="22" xfId="0" applyFont="1" applyFill="1" applyBorder="1" applyAlignment="1">
      <alignment horizontal="center"/>
    </xf>
    <xf numFmtId="0" fontId="26" fillId="24" borderId="23" xfId="0" applyFont="1" applyFill="1" applyBorder="1" applyAlignment="1">
      <alignment horizontal="center"/>
    </xf>
    <xf numFmtId="0" fontId="26" fillId="24" borderId="24" xfId="0" applyFont="1" applyFill="1" applyBorder="1" applyAlignment="1">
      <alignment horizontal="center"/>
    </xf>
    <xf numFmtId="0" fontId="26" fillId="24" borderId="11" xfId="0" applyFont="1" applyFill="1" applyBorder="1" applyAlignment="1">
      <alignment horizontal="center" vertical="center"/>
    </xf>
    <xf numFmtId="0" fontId="26" fillId="24" borderId="20" xfId="0" applyFont="1" applyFill="1" applyBorder="1" applyAlignment="1">
      <alignment horizontal="center" vertical="center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27" xfId="0" applyFont="1" applyFill="1" applyBorder="1" applyAlignment="1">
      <alignment horizontal="center" vertical="center" wrapText="1"/>
    </xf>
    <xf numFmtId="0" fontId="26" fillId="24" borderId="32" xfId="0" applyFont="1" applyFill="1" applyBorder="1" applyAlignment="1">
      <alignment horizontal="center" vertical="center" wrapText="1"/>
    </xf>
    <xf numFmtId="0" fontId="26" fillId="24" borderId="25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center" vertical="center" wrapText="1"/>
    </xf>
    <xf numFmtId="0" fontId="26" fillId="24" borderId="31" xfId="0" applyFont="1" applyFill="1" applyBorder="1" applyAlignment="1">
      <alignment horizontal="center" vertical="center" wrapText="1"/>
    </xf>
    <xf numFmtId="0" fontId="26" fillId="24" borderId="3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/>
    </xf>
    <xf numFmtId="0" fontId="26" fillId="24" borderId="16" xfId="0" applyFont="1" applyFill="1" applyBorder="1" applyAlignment="1">
      <alignment horizontal="center"/>
    </xf>
    <xf numFmtId="0" fontId="26" fillId="24" borderId="17" xfId="0" applyFont="1" applyFill="1" applyBorder="1" applyAlignment="1">
      <alignment horizontal="center"/>
    </xf>
    <xf numFmtId="1" fontId="0" fillId="24" borderId="34" xfId="0" applyNumberFormat="1" applyFill="1" applyBorder="1" applyAlignment="1">
      <alignment horizontal="center" vertical="center"/>
    </xf>
    <xf numFmtId="2" fontId="0" fillId="24" borderId="37" xfId="0" applyNumberFormat="1" applyFill="1" applyBorder="1" applyAlignment="1">
      <alignment horizontal="center" vertical="center"/>
    </xf>
    <xf numFmtId="2" fontId="0" fillId="24" borderId="38" xfId="0" applyNumberFormat="1" applyFill="1" applyBorder="1" applyAlignment="1">
      <alignment horizontal="center" vertical="center"/>
    </xf>
    <xf numFmtId="2" fontId="0" fillId="24" borderId="39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30">
    <cellStyle name="20% - Accent1 2" xfId="60" xr:uid="{00000000-0005-0000-0000-000000000000}"/>
    <cellStyle name="20% - Accent1 3" xfId="104" xr:uid="{00000000-0005-0000-0000-000001000000}"/>
    <cellStyle name="20% - Accent1 4" xfId="152" xr:uid="{00000000-0005-0000-0000-000002000000}"/>
    <cellStyle name="20% - Accent1 5" xfId="7" xr:uid="{00000000-0005-0000-0000-000003000000}"/>
    <cellStyle name="20% - Accent2 2" xfId="61" xr:uid="{00000000-0005-0000-0000-000004000000}"/>
    <cellStyle name="20% - Accent2 3" xfId="105" xr:uid="{00000000-0005-0000-0000-000005000000}"/>
    <cellStyle name="20% - Accent2 4" xfId="153" xr:uid="{00000000-0005-0000-0000-000006000000}"/>
    <cellStyle name="20% - Accent2 5" xfId="8" xr:uid="{00000000-0005-0000-0000-000007000000}"/>
    <cellStyle name="20% - Accent3 2" xfId="62" xr:uid="{00000000-0005-0000-0000-000008000000}"/>
    <cellStyle name="20% - Accent3 3" xfId="106" xr:uid="{00000000-0005-0000-0000-000009000000}"/>
    <cellStyle name="20% - Accent3 4" xfId="154" xr:uid="{00000000-0005-0000-0000-00000A000000}"/>
    <cellStyle name="20% - Accent3 5" xfId="9" xr:uid="{00000000-0005-0000-0000-00000B000000}"/>
    <cellStyle name="20% - Accent4 2" xfId="63" xr:uid="{00000000-0005-0000-0000-00000C000000}"/>
    <cellStyle name="20% - Accent4 3" xfId="107" xr:uid="{00000000-0005-0000-0000-00000D000000}"/>
    <cellStyle name="20% - Accent4 4" xfId="155" xr:uid="{00000000-0005-0000-0000-00000E000000}"/>
    <cellStyle name="20% - Accent4 5" xfId="10" xr:uid="{00000000-0005-0000-0000-00000F000000}"/>
    <cellStyle name="20% - Accent5 2" xfId="64" xr:uid="{00000000-0005-0000-0000-000010000000}"/>
    <cellStyle name="20% - Accent5 3" xfId="108" xr:uid="{00000000-0005-0000-0000-000011000000}"/>
    <cellStyle name="20% - Accent5 4" xfId="156" xr:uid="{00000000-0005-0000-0000-000012000000}"/>
    <cellStyle name="20% - Accent5 5" xfId="11" xr:uid="{00000000-0005-0000-0000-000013000000}"/>
    <cellStyle name="20% - Accent6 2" xfId="65" xr:uid="{00000000-0005-0000-0000-000014000000}"/>
    <cellStyle name="20% - Accent6 3" xfId="109" xr:uid="{00000000-0005-0000-0000-000015000000}"/>
    <cellStyle name="20% - Accent6 4" xfId="157" xr:uid="{00000000-0005-0000-0000-000016000000}"/>
    <cellStyle name="20% - Accent6 5" xfId="12" xr:uid="{00000000-0005-0000-0000-000017000000}"/>
    <cellStyle name="40% - Accent1 2" xfId="66" xr:uid="{00000000-0005-0000-0000-000018000000}"/>
    <cellStyle name="40% - Accent1 3" xfId="110" xr:uid="{00000000-0005-0000-0000-000019000000}"/>
    <cellStyle name="40% - Accent1 4" xfId="158" xr:uid="{00000000-0005-0000-0000-00001A000000}"/>
    <cellStyle name="40% - Accent1 5" xfId="13" xr:uid="{00000000-0005-0000-0000-00001B000000}"/>
    <cellStyle name="40% - Accent2 2" xfId="67" xr:uid="{00000000-0005-0000-0000-00001C000000}"/>
    <cellStyle name="40% - Accent2 3" xfId="111" xr:uid="{00000000-0005-0000-0000-00001D000000}"/>
    <cellStyle name="40% - Accent2 4" xfId="159" xr:uid="{00000000-0005-0000-0000-00001E000000}"/>
    <cellStyle name="40% - Accent2 5" xfId="14" xr:uid="{00000000-0005-0000-0000-00001F000000}"/>
    <cellStyle name="40% - Accent3 2" xfId="68" xr:uid="{00000000-0005-0000-0000-000020000000}"/>
    <cellStyle name="40% - Accent3 3" xfId="112" xr:uid="{00000000-0005-0000-0000-000021000000}"/>
    <cellStyle name="40% - Accent3 4" xfId="160" xr:uid="{00000000-0005-0000-0000-000022000000}"/>
    <cellStyle name="40% - Accent3 5" xfId="15" xr:uid="{00000000-0005-0000-0000-000023000000}"/>
    <cellStyle name="40% - Accent4 2" xfId="69" xr:uid="{00000000-0005-0000-0000-000024000000}"/>
    <cellStyle name="40% - Accent4 3" xfId="113" xr:uid="{00000000-0005-0000-0000-000025000000}"/>
    <cellStyle name="40% - Accent4 4" xfId="161" xr:uid="{00000000-0005-0000-0000-000026000000}"/>
    <cellStyle name="40% - Accent4 5" xfId="16" xr:uid="{00000000-0005-0000-0000-000027000000}"/>
    <cellStyle name="40% - Accent5 2" xfId="70" xr:uid="{00000000-0005-0000-0000-000028000000}"/>
    <cellStyle name="40% - Accent5 3" xfId="114" xr:uid="{00000000-0005-0000-0000-000029000000}"/>
    <cellStyle name="40% - Accent5 4" xfId="162" xr:uid="{00000000-0005-0000-0000-00002A000000}"/>
    <cellStyle name="40% - Accent5 5" xfId="17" xr:uid="{00000000-0005-0000-0000-00002B000000}"/>
    <cellStyle name="40% - Accent6 2" xfId="71" xr:uid="{00000000-0005-0000-0000-00002C000000}"/>
    <cellStyle name="40% - Accent6 3" xfId="115" xr:uid="{00000000-0005-0000-0000-00002D000000}"/>
    <cellStyle name="40% - Accent6 4" xfId="163" xr:uid="{00000000-0005-0000-0000-00002E000000}"/>
    <cellStyle name="40% - Accent6 5" xfId="18" xr:uid="{00000000-0005-0000-0000-00002F000000}"/>
    <cellStyle name="60% - Accent1 2" xfId="72" xr:uid="{00000000-0005-0000-0000-000030000000}"/>
    <cellStyle name="60% - Accent1 3" xfId="116" xr:uid="{00000000-0005-0000-0000-000031000000}"/>
    <cellStyle name="60% - Accent1 4" xfId="164" xr:uid="{00000000-0005-0000-0000-000032000000}"/>
    <cellStyle name="60% - Accent1 5" xfId="19" xr:uid="{00000000-0005-0000-0000-000033000000}"/>
    <cellStyle name="60% - Accent2 2" xfId="73" xr:uid="{00000000-0005-0000-0000-000034000000}"/>
    <cellStyle name="60% - Accent2 3" xfId="117" xr:uid="{00000000-0005-0000-0000-000035000000}"/>
    <cellStyle name="60% - Accent2 4" xfId="165" xr:uid="{00000000-0005-0000-0000-000036000000}"/>
    <cellStyle name="60% - Accent2 5" xfId="20" xr:uid="{00000000-0005-0000-0000-000037000000}"/>
    <cellStyle name="60% - Accent3 2" xfId="74" xr:uid="{00000000-0005-0000-0000-000038000000}"/>
    <cellStyle name="60% - Accent3 3" xfId="118" xr:uid="{00000000-0005-0000-0000-000039000000}"/>
    <cellStyle name="60% - Accent3 4" xfId="166" xr:uid="{00000000-0005-0000-0000-00003A000000}"/>
    <cellStyle name="60% - Accent3 5" xfId="21" xr:uid="{00000000-0005-0000-0000-00003B000000}"/>
    <cellStyle name="60% - Accent4 2" xfId="75" xr:uid="{00000000-0005-0000-0000-00003C000000}"/>
    <cellStyle name="60% - Accent4 3" xfId="119" xr:uid="{00000000-0005-0000-0000-00003D000000}"/>
    <cellStyle name="60% - Accent4 4" xfId="167" xr:uid="{00000000-0005-0000-0000-00003E000000}"/>
    <cellStyle name="60% - Accent4 5" xfId="22" xr:uid="{00000000-0005-0000-0000-00003F000000}"/>
    <cellStyle name="60% - Accent5 2" xfId="76" xr:uid="{00000000-0005-0000-0000-000040000000}"/>
    <cellStyle name="60% - Accent5 3" xfId="120" xr:uid="{00000000-0005-0000-0000-000041000000}"/>
    <cellStyle name="60% - Accent5 4" xfId="168" xr:uid="{00000000-0005-0000-0000-000042000000}"/>
    <cellStyle name="60% - Accent5 5" xfId="23" xr:uid="{00000000-0005-0000-0000-000043000000}"/>
    <cellStyle name="60% - Accent6 2" xfId="77" xr:uid="{00000000-0005-0000-0000-000044000000}"/>
    <cellStyle name="60% - Accent6 3" xfId="121" xr:uid="{00000000-0005-0000-0000-000045000000}"/>
    <cellStyle name="60% - Accent6 4" xfId="169" xr:uid="{00000000-0005-0000-0000-000046000000}"/>
    <cellStyle name="60% - Accent6 5" xfId="24" xr:uid="{00000000-0005-0000-0000-000047000000}"/>
    <cellStyle name="Accent1 2" xfId="78" xr:uid="{00000000-0005-0000-0000-000048000000}"/>
    <cellStyle name="Accent1 3" xfId="122" xr:uid="{00000000-0005-0000-0000-000049000000}"/>
    <cellStyle name="Accent1 4" xfId="170" xr:uid="{00000000-0005-0000-0000-00004A000000}"/>
    <cellStyle name="Accent1 5" xfId="25" xr:uid="{00000000-0005-0000-0000-00004B000000}"/>
    <cellStyle name="Accent2 2" xfId="79" xr:uid="{00000000-0005-0000-0000-00004C000000}"/>
    <cellStyle name="Accent2 3" xfId="123" xr:uid="{00000000-0005-0000-0000-00004D000000}"/>
    <cellStyle name="Accent2 4" xfId="171" xr:uid="{00000000-0005-0000-0000-00004E000000}"/>
    <cellStyle name="Accent2 5" xfId="26" xr:uid="{00000000-0005-0000-0000-00004F000000}"/>
    <cellStyle name="Accent3 2" xfId="80" xr:uid="{00000000-0005-0000-0000-000050000000}"/>
    <cellStyle name="Accent3 3" xfId="124" xr:uid="{00000000-0005-0000-0000-000051000000}"/>
    <cellStyle name="Accent3 4" xfId="172" xr:uid="{00000000-0005-0000-0000-000052000000}"/>
    <cellStyle name="Accent3 5" xfId="27" xr:uid="{00000000-0005-0000-0000-000053000000}"/>
    <cellStyle name="Accent4 2" xfId="81" xr:uid="{00000000-0005-0000-0000-000054000000}"/>
    <cellStyle name="Accent4 3" xfId="125" xr:uid="{00000000-0005-0000-0000-000055000000}"/>
    <cellStyle name="Accent4 4" xfId="173" xr:uid="{00000000-0005-0000-0000-000056000000}"/>
    <cellStyle name="Accent4 5" xfId="28" xr:uid="{00000000-0005-0000-0000-000057000000}"/>
    <cellStyle name="Accent5 2" xfId="82" xr:uid="{00000000-0005-0000-0000-000058000000}"/>
    <cellStyle name="Accent5 3" xfId="126" xr:uid="{00000000-0005-0000-0000-000059000000}"/>
    <cellStyle name="Accent5 4" xfId="174" xr:uid="{00000000-0005-0000-0000-00005A000000}"/>
    <cellStyle name="Accent5 5" xfId="29" xr:uid="{00000000-0005-0000-0000-00005B000000}"/>
    <cellStyle name="Accent6 2" xfId="83" xr:uid="{00000000-0005-0000-0000-00005C000000}"/>
    <cellStyle name="Accent6 3" xfId="127" xr:uid="{00000000-0005-0000-0000-00005D000000}"/>
    <cellStyle name="Accent6 4" xfId="175" xr:uid="{00000000-0005-0000-0000-00005E000000}"/>
    <cellStyle name="Accent6 5" xfId="30" xr:uid="{00000000-0005-0000-0000-00005F000000}"/>
    <cellStyle name="Bad 2" xfId="84" xr:uid="{00000000-0005-0000-0000-000060000000}"/>
    <cellStyle name="Bad 3" xfId="128" xr:uid="{00000000-0005-0000-0000-000061000000}"/>
    <cellStyle name="Bad 4" xfId="176" xr:uid="{00000000-0005-0000-0000-000062000000}"/>
    <cellStyle name="Bad 5" xfId="31" xr:uid="{00000000-0005-0000-0000-000063000000}"/>
    <cellStyle name="Calculation 2" xfId="85" xr:uid="{00000000-0005-0000-0000-000064000000}"/>
    <cellStyle name="Calculation 3" xfId="129" xr:uid="{00000000-0005-0000-0000-000065000000}"/>
    <cellStyle name="Calculation 4" xfId="177" xr:uid="{00000000-0005-0000-0000-000066000000}"/>
    <cellStyle name="Calculation 5" xfId="32" xr:uid="{00000000-0005-0000-0000-000067000000}"/>
    <cellStyle name="Check Cell 2" xfId="86" xr:uid="{00000000-0005-0000-0000-000068000000}"/>
    <cellStyle name="Check Cell 3" xfId="130" xr:uid="{00000000-0005-0000-0000-000069000000}"/>
    <cellStyle name="Check Cell 4" xfId="178" xr:uid="{00000000-0005-0000-0000-00006A000000}"/>
    <cellStyle name="Check Cell 5" xfId="33" xr:uid="{00000000-0005-0000-0000-00006B000000}"/>
    <cellStyle name="Comma 2" xfId="1" xr:uid="{00000000-0005-0000-0000-00006D000000}"/>
    <cellStyle name="Comma 2 2" xfId="51" xr:uid="{00000000-0005-0000-0000-00006E000000}"/>
    <cellStyle name="Comma 3" xfId="102" xr:uid="{00000000-0005-0000-0000-00006F000000}"/>
    <cellStyle name="Comma 4" xfId="131" xr:uid="{00000000-0005-0000-0000-000070000000}"/>
    <cellStyle name="Comma 5" xfId="193" xr:uid="{00000000-0005-0000-0000-000071000000}"/>
    <cellStyle name="Comma 6" xfId="56" xr:uid="{00000000-0005-0000-0000-000072000000}"/>
    <cellStyle name="Explanatory Text 2" xfId="87" xr:uid="{00000000-0005-0000-0000-000073000000}"/>
    <cellStyle name="Explanatory Text 3" xfId="132" xr:uid="{00000000-0005-0000-0000-000074000000}"/>
    <cellStyle name="Explanatory Text 4" xfId="179" xr:uid="{00000000-0005-0000-0000-000075000000}"/>
    <cellStyle name="Explanatory Text 5" xfId="34" xr:uid="{00000000-0005-0000-0000-000076000000}"/>
    <cellStyle name="Followed Hyperlink" xfId="209" builtinId="9" hidden="1"/>
    <cellStyle name="Followed Hyperlink" xfId="204" builtinId="9" hidden="1"/>
    <cellStyle name="Followed Hyperlink" xfId="202" builtinId="9" hidden="1"/>
    <cellStyle name="Followed Hyperlink" xfId="203" builtinId="9" hidden="1"/>
    <cellStyle name="Followed Hyperlink" xfId="201" builtinId="9" hidden="1"/>
    <cellStyle name="Followed Hyperlink" xfId="215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10" builtinId="9" hidden="1"/>
    <cellStyle name="Followed Hyperlink" xfId="208" builtinId="9" hidden="1"/>
    <cellStyle name="Followed Hyperlink" xfId="214" builtinId="9" hidden="1"/>
    <cellStyle name="Followed Hyperlink" xfId="212" builtinId="9" hidden="1"/>
    <cellStyle name="Followed Hyperlink" xfId="213" builtinId="9" hidden="1"/>
    <cellStyle name="Followed Hyperlink" xfId="211" builtinId="9" hidden="1"/>
    <cellStyle name="Good 2" xfId="88" xr:uid="{00000000-0005-0000-0000-000086000000}"/>
    <cellStyle name="Good 3" xfId="133" xr:uid="{00000000-0005-0000-0000-000087000000}"/>
    <cellStyle name="Good 4" xfId="180" xr:uid="{00000000-0005-0000-0000-000088000000}"/>
    <cellStyle name="Good 5" xfId="35" xr:uid="{00000000-0005-0000-0000-000089000000}"/>
    <cellStyle name="Heading 1 2" xfId="89" xr:uid="{00000000-0005-0000-0000-00008A000000}"/>
    <cellStyle name="Heading 1 3" xfId="134" xr:uid="{00000000-0005-0000-0000-00008B000000}"/>
    <cellStyle name="Heading 1 4" xfId="181" xr:uid="{00000000-0005-0000-0000-00008C000000}"/>
    <cellStyle name="Heading 1 5" xfId="36" xr:uid="{00000000-0005-0000-0000-00008D000000}"/>
    <cellStyle name="Heading 2 2" xfId="90" xr:uid="{00000000-0005-0000-0000-00008E000000}"/>
    <cellStyle name="Heading 2 3" xfId="135" xr:uid="{00000000-0005-0000-0000-00008F000000}"/>
    <cellStyle name="Heading 2 4" xfId="182" xr:uid="{00000000-0005-0000-0000-000090000000}"/>
    <cellStyle name="Heading 2 5" xfId="37" xr:uid="{00000000-0005-0000-0000-000091000000}"/>
    <cellStyle name="Heading 3 2" xfId="91" xr:uid="{00000000-0005-0000-0000-000092000000}"/>
    <cellStyle name="Heading 3 3" xfId="136" xr:uid="{00000000-0005-0000-0000-000093000000}"/>
    <cellStyle name="Heading 3 4" xfId="183" xr:uid="{00000000-0005-0000-0000-000094000000}"/>
    <cellStyle name="Heading 3 5" xfId="38" xr:uid="{00000000-0005-0000-0000-000095000000}"/>
    <cellStyle name="Heading 4 2" xfId="92" xr:uid="{00000000-0005-0000-0000-000096000000}"/>
    <cellStyle name="Heading 4 3" xfId="137" xr:uid="{00000000-0005-0000-0000-000097000000}"/>
    <cellStyle name="Heading 4 4" xfId="184" xr:uid="{00000000-0005-0000-0000-000098000000}"/>
    <cellStyle name="Heading 4 5" xfId="39" xr:uid="{00000000-0005-0000-0000-000099000000}"/>
    <cellStyle name="Hyperlink 2" xfId="101" xr:uid="{00000000-0005-0000-0000-00009A000000}"/>
    <cellStyle name="Hyperlink 3" xfId="58" xr:uid="{00000000-0005-0000-0000-00009B000000}"/>
    <cellStyle name="Hyperlink 4" xfId="52" xr:uid="{00000000-0005-0000-0000-00009C000000}"/>
    <cellStyle name="Input 2" xfId="93" xr:uid="{00000000-0005-0000-0000-00009D000000}"/>
    <cellStyle name="Input 3" xfId="138" xr:uid="{00000000-0005-0000-0000-00009E000000}"/>
    <cellStyle name="Input 4" xfId="185" xr:uid="{00000000-0005-0000-0000-00009F000000}"/>
    <cellStyle name="Input 5" xfId="40" xr:uid="{00000000-0005-0000-0000-0000A0000000}"/>
    <cellStyle name="Linked Cell 2" xfId="94" xr:uid="{00000000-0005-0000-0000-0000A1000000}"/>
    <cellStyle name="Linked Cell 3" xfId="139" xr:uid="{00000000-0005-0000-0000-0000A2000000}"/>
    <cellStyle name="Linked Cell 4" xfId="186" xr:uid="{00000000-0005-0000-0000-0000A3000000}"/>
    <cellStyle name="Linked Cell 5" xfId="41" xr:uid="{00000000-0005-0000-0000-0000A4000000}"/>
    <cellStyle name="Neutral 2" xfId="95" xr:uid="{00000000-0005-0000-0000-0000A5000000}"/>
    <cellStyle name="Neutral 3" xfId="140" xr:uid="{00000000-0005-0000-0000-0000A6000000}"/>
    <cellStyle name="Neutral 4" xfId="187" xr:uid="{00000000-0005-0000-0000-0000A7000000}"/>
    <cellStyle name="Neutral 5" xfId="42" xr:uid="{00000000-0005-0000-0000-0000A8000000}"/>
    <cellStyle name="Normal" xfId="0" builtinId="0"/>
    <cellStyle name="Normal 10" xfId="197" xr:uid="{00000000-0005-0000-0000-0000AA000000}"/>
    <cellStyle name="Normal 11" xfId="150" xr:uid="{00000000-0005-0000-0000-0000AB000000}"/>
    <cellStyle name="Normal 11 2" xfId="199" xr:uid="{00000000-0005-0000-0000-0000AC000000}"/>
    <cellStyle name="Normal 11 2 2" xfId="225" xr:uid="{00000000-0005-0000-0000-0000AD000000}"/>
    <cellStyle name="Normal 11 3" xfId="222" xr:uid="{00000000-0005-0000-0000-0000AE000000}"/>
    <cellStyle name="Normal 12" xfId="6" xr:uid="{00000000-0005-0000-0000-0000AF000000}"/>
    <cellStyle name="Normal 13" xfId="5" xr:uid="{00000000-0005-0000-0000-0000B0000000}"/>
    <cellStyle name="Normal 13 2" xfId="220" xr:uid="{00000000-0005-0000-0000-0000B1000000}"/>
    <cellStyle name="Normal 14" xfId="216" xr:uid="{00000000-0005-0000-0000-0000B2000000}"/>
    <cellStyle name="Normal 14 2" xfId="227" xr:uid="{00000000-0005-0000-0000-0000B3000000}"/>
    <cellStyle name="Normal 16" xfId="218" xr:uid="{00000000-0005-0000-0000-0000B4000000}"/>
    <cellStyle name="Normal 17" xfId="229" xr:uid="{00000000-0005-0000-0000-0000B5000000}"/>
    <cellStyle name="Normal 2" xfId="2" xr:uid="{00000000-0005-0000-0000-0000B6000000}"/>
    <cellStyle name="Normal 2 2" xfId="3" xr:uid="{00000000-0005-0000-0000-0000B7000000}"/>
    <cellStyle name="Normal 2 2 2" xfId="103" xr:uid="{00000000-0005-0000-0000-0000B8000000}"/>
    <cellStyle name="Normal 2 3" xfId="43" xr:uid="{00000000-0005-0000-0000-0000B9000000}"/>
    <cellStyle name="Normal 2_Invest" xfId="141" xr:uid="{00000000-0005-0000-0000-0000BA000000}"/>
    <cellStyle name="Normal 3" xfId="54" xr:uid="{00000000-0005-0000-0000-0000BB000000}"/>
    <cellStyle name="Normal 4" xfId="53" xr:uid="{00000000-0005-0000-0000-0000BC000000}"/>
    <cellStyle name="Normal 4 2" xfId="4" xr:uid="{00000000-0005-0000-0000-0000BD000000}"/>
    <cellStyle name="Normal 4 2 2" xfId="55" xr:uid="{00000000-0005-0000-0000-0000BE000000}"/>
    <cellStyle name="Normal 4_Invest" xfId="142" xr:uid="{00000000-0005-0000-0000-0000BF000000}"/>
    <cellStyle name="Normal 5" xfId="59" xr:uid="{00000000-0005-0000-0000-0000C0000000}"/>
    <cellStyle name="Normal 6" xfId="57" xr:uid="{00000000-0005-0000-0000-0000C1000000}"/>
    <cellStyle name="Normal 6 2" xfId="195" xr:uid="{00000000-0005-0000-0000-0000C2000000}"/>
    <cellStyle name="Normal 6 2 2" xfId="200" xr:uid="{00000000-0005-0000-0000-0000C3000000}"/>
    <cellStyle name="Normal 6 2 2 2" xfId="226" xr:uid="{00000000-0005-0000-0000-0000C4000000}"/>
    <cellStyle name="Normal 6 2 3" xfId="223" xr:uid="{00000000-0005-0000-0000-0000C5000000}"/>
    <cellStyle name="Normal 6 3" xfId="198" xr:uid="{00000000-0005-0000-0000-0000C6000000}"/>
    <cellStyle name="Normal 6 3 2" xfId="224" xr:uid="{00000000-0005-0000-0000-0000C7000000}"/>
    <cellStyle name="Normal 6 4" xfId="221" xr:uid="{00000000-0005-0000-0000-0000C8000000}"/>
    <cellStyle name="Normal 7" xfId="143" xr:uid="{00000000-0005-0000-0000-0000C9000000}"/>
    <cellStyle name="Normal 8" xfId="151" xr:uid="{00000000-0005-0000-0000-0000CA000000}"/>
    <cellStyle name="Normal 9" xfId="194" xr:uid="{00000000-0005-0000-0000-0000CB000000}"/>
    <cellStyle name="Note 2" xfId="49" xr:uid="{00000000-0005-0000-0000-0000CC000000}"/>
    <cellStyle name="Note 3" xfId="96" xr:uid="{00000000-0005-0000-0000-0000CD000000}"/>
    <cellStyle name="Note 4" xfId="144" xr:uid="{00000000-0005-0000-0000-0000CE000000}"/>
    <cellStyle name="Note 5" xfId="188" xr:uid="{00000000-0005-0000-0000-0000CF000000}"/>
    <cellStyle name="Note 6" xfId="44" xr:uid="{00000000-0005-0000-0000-0000D0000000}"/>
    <cellStyle name="Output 2" xfId="97" xr:uid="{00000000-0005-0000-0000-0000D1000000}"/>
    <cellStyle name="Output 3" xfId="145" xr:uid="{00000000-0005-0000-0000-0000D2000000}"/>
    <cellStyle name="Output 4" xfId="189" xr:uid="{00000000-0005-0000-0000-0000D3000000}"/>
    <cellStyle name="Output 5" xfId="45" xr:uid="{00000000-0005-0000-0000-0000D4000000}"/>
    <cellStyle name="Percent 2" xfId="50" xr:uid="{00000000-0005-0000-0000-0000D5000000}"/>
    <cellStyle name="Percent 3" xfId="196" xr:uid="{00000000-0005-0000-0000-0000D6000000}"/>
    <cellStyle name="Percent 4" xfId="149" xr:uid="{00000000-0005-0000-0000-0000D7000000}"/>
    <cellStyle name="Percent 5" xfId="217" xr:uid="{00000000-0005-0000-0000-0000D8000000}"/>
    <cellStyle name="Percent 5 2" xfId="228" xr:uid="{00000000-0005-0000-0000-0000D9000000}"/>
    <cellStyle name="Percent 6" xfId="219" xr:uid="{00000000-0005-0000-0000-0000DA000000}"/>
    <cellStyle name="Title 2" xfId="98" xr:uid="{00000000-0005-0000-0000-0000DB000000}"/>
    <cellStyle name="Title 3" xfId="146" xr:uid="{00000000-0005-0000-0000-0000DC000000}"/>
    <cellStyle name="Title 4" xfId="190" xr:uid="{00000000-0005-0000-0000-0000DD000000}"/>
    <cellStyle name="Title 5" xfId="46" xr:uid="{00000000-0005-0000-0000-0000DE000000}"/>
    <cellStyle name="Total 2" xfId="99" xr:uid="{00000000-0005-0000-0000-0000DF000000}"/>
    <cellStyle name="Total 3" xfId="147" xr:uid="{00000000-0005-0000-0000-0000E0000000}"/>
    <cellStyle name="Total 4" xfId="191" xr:uid="{00000000-0005-0000-0000-0000E1000000}"/>
    <cellStyle name="Total 5" xfId="47" xr:uid="{00000000-0005-0000-0000-0000E2000000}"/>
    <cellStyle name="Warning Text 2" xfId="100" xr:uid="{00000000-0005-0000-0000-0000E3000000}"/>
    <cellStyle name="Warning Text 3" xfId="148" xr:uid="{00000000-0005-0000-0000-0000E4000000}"/>
    <cellStyle name="Warning Text 4" xfId="192" xr:uid="{00000000-0005-0000-0000-0000E5000000}"/>
    <cellStyle name="Warning Text 5" xfId="48" xr:uid="{00000000-0005-0000-0000-0000E6000000}"/>
  </cellStyles>
  <dxfs count="0"/>
  <tableStyles count="0" defaultTableStyle="TableStyleMedium9" defaultPivotStyle="PivotStyleLight16"/>
  <colors>
    <mruColors>
      <color rgb="FFFFCCFF"/>
      <color rgb="FFFDE6D3"/>
      <color rgb="FFCCFFCC"/>
      <color rgb="FFFFFF99"/>
      <color rgb="FFBDF0F1"/>
      <color rgb="FFFFCCCC"/>
      <color rgb="FFFFFFCC"/>
      <color rgb="FFFF7C80"/>
      <color rgb="FFCC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7333-3CFB-4166-AF0B-57425D8391CD}">
  <dimension ref="A1:D5"/>
  <sheetViews>
    <sheetView workbookViewId="0">
      <selection activeCell="B22" sqref="B22:B25"/>
    </sheetView>
  </sheetViews>
  <sheetFormatPr defaultRowHeight="12.75" x14ac:dyDescent="0.2"/>
  <cols>
    <col min="1" max="1" width="17.42578125" customWidth="1"/>
    <col min="2" max="2" width="25.5703125" customWidth="1"/>
    <col min="4" max="4" width="10.140625" bestFit="1" customWidth="1"/>
  </cols>
  <sheetData>
    <row r="1" spans="1:4" x14ac:dyDescent="0.2">
      <c r="A1" s="10" t="s">
        <v>0</v>
      </c>
      <c r="B1" s="11" t="s">
        <v>1</v>
      </c>
    </row>
    <row r="2" spans="1:4" ht="25.5" x14ac:dyDescent="0.2">
      <c r="A2" s="10" t="s">
        <v>2</v>
      </c>
      <c r="B2" s="10" t="s">
        <v>3</v>
      </c>
    </row>
    <row r="3" spans="1:4" ht="25.5" x14ac:dyDescent="0.2">
      <c r="A3" s="10" t="s">
        <v>4</v>
      </c>
      <c r="B3" s="34">
        <v>45170</v>
      </c>
      <c r="D3" s="26"/>
    </row>
    <row r="4" spans="1:4" ht="25.5" x14ac:dyDescent="0.2">
      <c r="A4" s="32" t="s">
        <v>5</v>
      </c>
      <c r="B4" s="35">
        <v>45443</v>
      </c>
    </row>
    <row r="5" spans="1:4" ht="15" customHeight="1" x14ac:dyDescent="0.2">
      <c r="A5" s="10" t="s">
        <v>6</v>
      </c>
      <c r="B5" s="33">
        <f>(B4-B3)+1</f>
        <v>274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18"/>
  <sheetViews>
    <sheetView zoomScale="96" zoomScaleNormal="139" workbookViewId="0">
      <pane xSplit="1" ySplit="4" topLeftCell="P5" activePane="bottomRight" state="frozen"/>
      <selection pane="topRight" activeCell="B1" sqref="B1"/>
      <selection pane="bottomLeft" activeCell="A5" sqref="A5"/>
      <selection pane="bottomRight" activeCell="AA22" sqref="AA22"/>
    </sheetView>
  </sheetViews>
  <sheetFormatPr defaultColWidth="9.140625" defaultRowHeight="12.75" x14ac:dyDescent="0.2"/>
  <cols>
    <col min="1" max="1" width="6.140625" customWidth="1"/>
    <col min="2" max="2" width="9.5703125" customWidth="1"/>
    <col min="3" max="4" width="11.28515625" bestFit="1" customWidth="1"/>
    <col min="5" max="6" width="19.5703125" customWidth="1"/>
    <col min="7" max="8" width="17.42578125" customWidth="1"/>
    <col min="9" max="10" width="16.28515625" customWidth="1"/>
    <col min="11" max="12" width="16" customWidth="1"/>
    <col min="13" max="14" width="12.5703125" customWidth="1"/>
    <col min="15" max="16" width="12.42578125" customWidth="1"/>
    <col min="17" max="17" width="17.140625" customWidth="1"/>
    <col min="18" max="18" width="18.140625" customWidth="1"/>
    <col min="19" max="19" width="19.140625" customWidth="1"/>
    <col min="20" max="20" width="9.140625" customWidth="1"/>
    <col min="21" max="21" width="11.5703125" customWidth="1"/>
    <col min="22" max="24" width="12.140625" customWidth="1"/>
    <col min="25" max="25" width="11.5703125" customWidth="1"/>
    <col min="26" max="26" width="12.5703125" customWidth="1"/>
    <col min="28" max="28" width="10.5703125" bestFit="1" customWidth="1"/>
    <col min="29" max="29" width="10" bestFit="1" customWidth="1"/>
    <col min="31" max="31" width="9.5703125" bestFit="1" customWidth="1"/>
    <col min="32" max="32" width="12.7109375" bestFit="1" customWidth="1"/>
  </cols>
  <sheetData>
    <row r="1" spans="2:32" ht="13.5" thickBot="1" x14ac:dyDescent="0.25">
      <c r="B1" s="59" t="s">
        <v>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2"/>
      <c r="O1" s="12"/>
      <c r="P1" s="12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2:32" ht="15.75" thickBot="1" x14ac:dyDescent="0.3">
      <c r="B2" s="61"/>
      <c r="C2" s="62"/>
      <c r="D2" s="63"/>
      <c r="E2" s="61" t="s">
        <v>7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/>
      <c r="S2" s="14"/>
      <c r="T2" s="14"/>
      <c r="U2" s="14"/>
      <c r="V2" s="14"/>
      <c r="W2" s="14"/>
      <c r="X2" s="14"/>
      <c r="Y2" s="14"/>
      <c r="Z2" s="15"/>
    </row>
    <row r="3" spans="2:32" ht="15" customHeight="1" x14ac:dyDescent="0.2">
      <c r="B3" s="64" t="s">
        <v>8</v>
      </c>
      <c r="C3" s="66" t="s">
        <v>9</v>
      </c>
      <c r="D3" s="67"/>
      <c r="E3" s="68" t="s">
        <v>10</v>
      </c>
      <c r="F3" s="68" t="s">
        <v>11</v>
      </c>
      <c r="G3" s="66" t="s">
        <v>12</v>
      </c>
      <c r="H3" s="66" t="s">
        <v>13</v>
      </c>
      <c r="I3" s="66" t="s">
        <v>14</v>
      </c>
      <c r="J3" s="66" t="s">
        <v>15</v>
      </c>
      <c r="K3" s="66" t="s">
        <v>16</v>
      </c>
      <c r="L3" s="66" t="s">
        <v>17</v>
      </c>
      <c r="M3" s="66" t="s">
        <v>18</v>
      </c>
      <c r="N3" s="66" t="s">
        <v>19</v>
      </c>
      <c r="O3" s="66" t="s">
        <v>20</v>
      </c>
      <c r="P3" s="66" t="s">
        <v>21</v>
      </c>
      <c r="Q3" s="66" t="s">
        <v>22</v>
      </c>
      <c r="R3" s="66" t="s">
        <v>23</v>
      </c>
      <c r="S3" s="66" t="s">
        <v>24</v>
      </c>
      <c r="T3" s="66" t="s">
        <v>25</v>
      </c>
      <c r="U3" s="66" t="s">
        <v>26</v>
      </c>
      <c r="V3" s="72" t="s">
        <v>27</v>
      </c>
      <c r="W3" s="72" t="s">
        <v>28</v>
      </c>
      <c r="X3" s="72" t="s">
        <v>29</v>
      </c>
      <c r="Y3" s="66" t="s">
        <v>30</v>
      </c>
      <c r="Z3" s="57" t="s">
        <v>31</v>
      </c>
    </row>
    <row r="4" spans="2:32" ht="60.75" customHeight="1" thickBot="1" x14ac:dyDescent="0.25">
      <c r="B4" s="65"/>
      <c r="C4" s="16" t="s">
        <v>32</v>
      </c>
      <c r="D4" s="17" t="s">
        <v>33</v>
      </c>
      <c r="E4" s="69"/>
      <c r="F4" s="6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3"/>
      <c r="W4" s="73"/>
      <c r="X4" s="73"/>
      <c r="Y4" s="71"/>
      <c r="Z4" s="58"/>
      <c r="AB4" s="53"/>
      <c r="AC4" s="53"/>
    </row>
    <row r="5" spans="2:32" ht="13.5" customHeight="1" x14ac:dyDescent="0.2">
      <c r="B5" s="37">
        <v>45170</v>
      </c>
      <c r="C5" s="38">
        <v>45170</v>
      </c>
      <c r="D5" s="39">
        <v>45199</v>
      </c>
      <c r="E5" s="40">
        <v>2069100.55</v>
      </c>
      <c r="F5" s="45">
        <f>2069100.55*(1-0.2%)</f>
        <v>2064962.3489000001</v>
      </c>
      <c r="G5" s="41">
        <v>1960300.54</v>
      </c>
      <c r="H5" s="46">
        <f>1960300.54*(1-0.2%)</f>
        <v>1956379.9389200001</v>
      </c>
      <c r="I5" s="41">
        <v>904599.56</v>
      </c>
      <c r="J5" s="46">
        <f>904599.56*(1-0.2%)</f>
        <v>902790.36088000005</v>
      </c>
      <c r="K5" s="41">
        <v>1500</v>
      </c>
      <c r="L5" s="46">
        <f>K5*(1+0.2%)</f>
        <v>1503</v>
      </c>
      <c r="M5" s="41">
        <v>1300</v>
      </c>
      <c r="N5" s="46">
        <f>M5*(1+0.2%)</f>
        <v>1302.5999999999999</v>
      </c>
      <c r="O5" s="41">
        <v>700</v>
      </c>
      <c r="P5" s="46">
        <f>O5*(1+0.2%)</f>
        <v>701.4</v>
      </c>
      <c r="Q5" s="42">
        <f>(F5+H5+J5)-(L5+N5+P5)</f>
        <v>4920625.6487000007</v>
      </c>
      <c r="R5" s="25">
        <f>4029401+904599.56</f>
        <v>4934000.5600000005</v>
      </c>
      <c r="S5" s="43">
        <f>Q5/1000</f>
        <v>4920.625648700001</v>
      </c>
      <c r="T5" s="25">
        <v>0.93049999999999999</v>
      </c>
      <c r="U5" s="44">
        <f>S5*T5</f>
        <v>4578.6421661153508</v>
      </c>
      <c r="V5" s="44">
        <v>0</v>
      </c>
      <c r="W5" s="44">
        <v>0</v>
      </c>
      <c r="X5" s="55">
        <f>ROUNDDOWN(U5,0)</f>
        <v>4578</v>
      </c>
      <c r="Y5" s="77">
        <f>ROUNDDOWN(SUM(X5:X8),0)</f>
        <v>11699</v>
      </c>
      <c r="Z5" s="78">
        <f>SUM(S5:S8)</f>
        <v>12575.466552099999</v>
      </c>
      <c r="AB5" s="52"/>
      <c r="AC5" s="52"/>
      <c r="AD5" s="51"/>
      <c r="AE5" s="51"/>
      <c r="AF5" s="51"/>
    </row>
    <row r="6" spans="2:32" ht="12.6" customHeight="1" x14ac:dyDescent="0.2">
      <c r="B6" s="37">
        <v>45200</v>
      </c>
      <c r="C6" s="38">
        <v>45200</v>
      </c>
      <c r="D6" s="39">
        <v>45230</v>
      </c>
      <c r="E6" s="40">
        <v>1318299.6499999999</v>
      </c>
      <c r="F6" s="45">
        <f>1318299.65*(1-0.2%)</f>
        <v>1315663.0506999998</v>
      </c>
      <c r="G6" s="41">
        <v>1314101.25</v>
      </c>
      <c r="H6" s="46">
        <f>1314101.25*(1-0.2%)</f>
        <v>1311473.0475000001</v>
      </c>
      <c r="I6" s="41">
        <v>603400.18999999994</v>
      </c>
      <c r="J6" s="46">
        <f>603400.19*(1-0.2%)</f>
        <v>602193.38961999991</v>
      </c>
      <c r="K6" s="41">
        <v>3700</v>
      </c>
      <c r="L6" s="46">
        <f t="shared" ref="L6:L11" si="0">K6*(1+0.2%)</f>
        <v>3707.4</v>
      </c>
      <c r="M6" s="41">
        <v>3600</v>
      </c>
      <c r="N6" s="46">
        <f t="shared" ref="N6:N11" si="1">M6*(1+0.2%)</f>
        <v>3607.2</v>
      </c>
      <c r="O6" s="41">
        <v>2400</v>
      </c>
      <c r="P6" s="46">
        <f t="shared" ref="P6:P11" si="2">O6*(1+0.2%)</f>
        <v>2404.8000000000002</v>
      </c>
      <c r="Q6" s="42">
        <f>(F6+H6+J6)-(L6+N6+P6)</f>
        <v>3219610.08782</v>
      </c>
      <c r="R6" s="25">
        <f>2632401+603400.19</f>
        <v>3235801.19</v>
      </c>
      <c r="S6" s="43">
        <f t="shared" ref="S6:S10" si="3">Q6/1000</f>
        <v>3219.61008782</v>
      </c>
      <c r="T6" s="25">
        <v>0.93049999999999999</v>
      </c>
      <c r="U6" s="44">
        <f t="shared" ref="U6:U13" si="4">S6*T6</f>
        <v>2995.8471867165099</v>
      </c>
      <c r="V6" s="44">
        <v>0</v>
      </c>
      <c r="W6" s="44">
        <v>0</v>
      </c>
      <c r="X6" s="55">
        <f t="shared" ref="X6:X13" si="5">ROUNDDOWN(U6,0)</f>
        <v>2995</v>
      </c>
      <c r="Y6" s="77"/>
      <c r="Z6" s="79"/>
      <c r="AB6" s="52"/>
      <c r="AC6" s="52"/>
      <c r="AD6" s="51"/>
      <c r="AE6" s="51"/>
      <c r="AF6" s="51"/>
    </row>
    <row r="7" spans="2:32" ht="12.6" customHeight="1" x14ac:dyDescent="0.2">
      <c r="B7" s="37">
        <v>45231</v>
      </c>
      <c r="C7" s="38">
        <v>45231</v>
      </c>
      <c r="D7" s="39">
        <v>45260</v>
      </c>
      <c r="E7" s="40">
        <v>676800.51</v>
      </c>
      <c r="F7" s="45">
        <f>676800.51*(1-0.2%)</f>
        <v>675446.90898000007</v>
      </c>
      <c r="G7" s="41">
        <v>626698.23999999999</v>
      </c>
      <c r="H7" s="46">
        <f>626698.24*(1-0.2%)</f>
        <v>625444.84351999999</v>
      </c>
      <c r="I7" s="41">
        <v>351699.97</v>
      </c>
      <c r="J7" s="46">
        <f>351699.27*(1-0.2%)</f>
        <v>350995.87145999999</v>
      </c>
      <c r="K7" s="41">
        <v>5800</v>
      </c>
      <c r="L7" s="46">
        <f t="shared" si="0"/>
        <v>5811.6</v>
      </c>
      <c r="M7" s="41">
        <v>6000</v>
      </c>
      <c r="N7" s="46">
        <f t="shared" si="1"/>
        <v>6012</v>
      </c>
      <c r="O7" s="41">
        <v>3600</v>
      </c>
      <c r="P7" s="46">
        <f t="shared" si="2"/>
        <v>3607.2</v>
      </c>
      <c r="Q7" s="42">
        <f t="shared" ref="Q7:Q10" si="6">(F7+H7+J7)-(L7+N7+P7)</f>
        <v>1636456.82396</v>
      </c>
      <c r="R7" s="42">
        <f>1303499+351699.97</f>
        <v>1655198.97</v>
      </c>
      <c r="S7" s="43">
        <f t="shared" si="3"/>
        <v>1636.4568239599998</v>
      </c>
      <c r="T7" s="25">
        <v>0.93049999999999999</v>
      </c>
      <c r="U7" s="44">
        <f t="shared" si="4"/>
        <v>1522.7230746947798</v>
      </c>
      <c r="V7" s="44">
        <v>0</v>
      </c>
      <c r="W7" s="44">
        <v>0</v>
      </c>
      <c r="X7" s="55">
        <f t="shared" si="5"/>
        <v>1522</v>
      </c>
      <c r="Y7" s="77"/>
      <c r="Z7" s="79"/>
      <c r="AB7" s="52"/>
      <c r="AC7" s="52"/>
      <c r="AD7" s="51"/>
      <c r="AE7" s="51"/>
      <c r="AF7" s="51"/>
    </row>
    <row r="8" spans="2:32" ht="12.6" customHeight="1" x14ac:dyDescent="0.2">
      <c r="B8" s="18">
        <v>45261</v>
      </c>
      <c r="C8" s="19">
        <v>45261</v>
      </c>
      <c r="D8" s="20">
        <v>45291</v>
      </c>
      <c r="E8" s="36">
        <v>1151098.8799999999</v>
      </c>
      <c r="F8" s="45">
        <f>1151098.88*(1-0.2%)</f>
        <v>1148796.68224</v>
      </c>
      <c r="G8" s="31">
        <v>1077499.8999999999</v>
      </c>
      <c r="H8" s="46">
        <f>1077499.9*(1-0.2%)</f>
        <v>1075344.9001999998</v>
      </c>
      <c r="I8" s="31">
        <v>579900.41</v>
      </c>
      <c r="J8" s="46">
        <f>579900.41*(1-0.2%)</f>
        <v>578740.60918000003</v>
      </c>
      <c r="K8" s="31">
        <v>1700</v>
      </c>
      <c r="L8" s="46">
        <f t="shared" si="0"/>
        <v>1703.4</v>
      </c>
      <c r="M8" s="31">
        <v>1600</v>
      </c>
      <c r="N8" s="46">
        <f t="shared" si="1"/>
        <v>1603.2</v>
      </c>
      <c r="O8" s="31">
        <v>800</v>
      </c>
      <c r="P8" s="46">
        <f t="shared" si="2"/>
        <v>801.6</v>
      </c>
      <c r="Q8" s="21">
        <f t="shared" si="6"/>
        <v>2798773.99162</v>
      </c>
      <c r="R8" s="21">
        <f>2228599.15+579900.41</f>
        <v>2808499.56</v>
      </c>
      <c r="S8" s="43">
        <f t="shared" si="3"/>
        <v>2798.7739916199998</v>
      </c>
      <c r="T8" s="22">
        <v>0.93049999999999999</v>
      </c>
      <c r="U8" s="23">
        <f t="shared" si="4"/>
        <v>2604.2591992024099</v>
      </c>
      <c r="V8" s="23">
        <v>0</v>
      </c>
      <c r="W8" s="23">
        <v>0</v>
      </c>
      <c r="X8" s="55">
        <f t="shared" si="5"/>
        <v>2604</v>
      </c>
      <c r="Y8" s="77"/>
      <c r="Z8" s="80"/>
      <c r="AB8" s="52"/>
      <c r="AC8" s="52"/>
      <c r="AD8" s="51"/>
      <c r="AE8" s="51"/>
      <c r="AF8" s="51"/>
    </row>
    <row r="9" spans="2:32" ht="12.6" customHeight="1" x14ac:dyDescent="0.2">
      <c r="B9" s="18">
        <v>45292</v>
      </c>
      <c r="C9" s="19">
        <v>45292</v>
      </c>
      <c r="D9" s="20">
        <v>45322</v>
      </c>
      <c r="E9" s="36">
        <v>795600.89</v>
      </c>
      <c r="F9" s="45">
        <f>795600.89*(1-0.2%)</f>
        <v>794009.68822000001</v>
      </c>
      <c r="G9" s="31">
        <v>759801.86</v>
      </c>
      <c r="H9" s="46">
        <f>759801.86*(1-0.2%)</f>
        <v>758282.25627999997</v>
      </c>
      <c r="I9" s="31">
        <v>418199.55</v>
      </c>
      <c r="J9" s="46">
        <f>418199.55*(1-0.2%)</f>
        <v>417363.15090000001</v>
      </c>
      <c r="K9" s="31">
        <v>2200</v>
      </c>
      <c r="L9" s="46">
        <f t="shared" si="0"/>
        <v>2204.4</v>
      </c>
      <c r="M9" s="31">
        <v>2000</v>
      </c>
      <c r="N9" s="46">
        <f t="shared" si="1"/>
        <v>2004</v>
      </c>
      <c r="O9" s="31">
        <v>1100</v>
      </c>
      <c r="P9" s="46">
        <f t="shared" si="2"/>
        <v>1102.2</v>
      </c>
      <c r="Q9" s="21">
        <f t="shared" si="6"/>
        <v>1964344.4953999999</v>
      </c>
      <c r="R9" s="42">
        <f>1555403+418199.55</f>
        <v>1973602.55</v>
      </c>
      <c r="S9" s="43">
        <f t="shared" si="3"/>
        <v>1964.3444953999999</v>
      </c>
      <c r="T9" s="22">
        <v>0.93049999999999999</v>
      </c>
      <c r="U9" s="23">
        <f t="shared" si="4"/>
        <v>1827.8225529696999</v>
      </c>
      <c r="V9" s="23">
        <v>0</v>
      </c>
      <c r="W9" s="23">
        <v>0</v>
      </c>
      <c r="X9" s="55">
        <f t="shared" si="5"/>
        <v>1827</v>
      </c>
      <c r="Y9" s="77">
        <f>ROUNDDOWN(SUM(X9:X13),0)</f>
        <v>21060</v>
      </c>
      <c r="Z9" s="78">
        <f>SUM(S9:S13)</f>
        <v>22635.635118140002</v>
      </c>
      <c r="AB9" s="52"/>
      <c r="AC9" s="52"/>
      <c r="AD9" s="51"/>
      <c r="AE9" s="51"/>
      <c r="AF9" s="51"/>
    </row>
    <row r="10" spans="2:32" ht="12.6" customHeight="1" x14ac:dyDescent="0.2">
      <c r="B10" s="18">
        <v>45323</v>
      </c>
      <c r="C10" s="19">
        <v>45323</v>
      </c>
      <c r="D10" s="20">
        <v>45351</v>
      </c>
      <c r="E10" s="36">
        <v>1794299.91</v>
      </c>
      <c r="F10" s="45">
        <f>1794299.91*(1-0.2%)</f>
        <v>1790711.31018</v>
      </c>
      <c r="G10" s="31">
        <v>1689098.24</v>
      </c>
      <c r="H10" s="46">
        <f>1689098.24*(1-0.2%)</f>
        <v>1685720.0435200001</v>
      </c>
      <c r="I10" s="31">
        <v>897300.47999999998</v>
      </c>
      <c r="J10" s="46">
        <f>897300.48*(1-0.2%)</f>
        <v>895505.87904000003</v>
      </c>
      <c r="K10" s="31">
        <v>1300</v>
      </c>
      <c r="L10" s="46">
        <f t="shared" si="0"/>
        <v>1302.5999999999999</v>
      </c>
      <c r="M10" s="31">
        <v>1200</v>
      </c>
      <c r="N10" s="46">
        <f t="shared" si="1"/>
        <v>1202.4000000000001</v>
      </c>
      <c r="O10" s="31">
        <v>700</v>
      </c>
      <c r="P10" s="46">
        <f t="shared" si="2"/>
        <v>701.4</v>
      </c>
      <c r="Q10" s="21">
        <f t="shared" si="6"/>
        <v>4368730.8327399995</v>
      </c>
      <c r="R10" s="21">
        <f>3483398+897300.48</f>
        <v>4380698.4800000004</v>
      </c>
      <c r="S10" s="43">
        <f t="shared" si="3"/>
        <v>4368.7308327399996</v>
      </c>
      <c r="T10" s="22">
        <v>0.93049999999999999</v>
      </c>
      <c r="U10" s="23">
        <f>S10*T10</f>
        <v>4065.1040398645696</v>
      </c>
      <c r="V10" s="23">
        <v>0</v>
      </c>
      <c r="W10" s="23">
        <v>0</v>
      </c>
      <c r="X10" s="55">
        <f t="shared" si="5"/>
        <v>4065</v>
      </c>
      <c r="Y10" s="77"/>
      <c r="Z10" s="79"/>
      <c r="AB10" s="52"/>
      <c r="AC10" s="52"/>
      <c r="AD10" s="51"/>
      <c r="AE10" s="51"/>
      <c r="AF10" s="51"/>
    </row>
    <row r="11" spans="2:32" x14ac:dyDescent="0.2">
      <c r="B11" s="18">
        <v>45352</v>
      </c>
      <c r="C11" s="19">
        <v>45352</v>
      </c>
      <c r="D11" s="20">
        <v>45382</v>
      </c>
      <c r="E11" s="36">
        <v>1735999.49</v>
      </c>
      <c r="F11" s="45">
        <f>1735999.49*(1-0.2%)</f>
        <v>1732527.4910200001</v>
      </c>
      <c r="G11" s="31">
        <v>1699000.3200000001</v>
      </c>
      <c r="H11" s="46">
        <f>1699000.32*(1-0.2%)</f>
        <v>1695602.3193600001</v>
      </c>
      <c r="I11" s="31">
        <v>881800.19</v>
      </c>
      <c r="J11" s="46">
        <f>881800.19*(1-0.2%)</f>
        <v>880036.58961999998</v>
      </c>
      <c r="K11" s="31">
        <v>800</v>
      </c>
      <c r="L11" s="46">
        <f t="shared" si="0"/>
        <v>801.6</v>
      </c>
      <c r="M11" s="31">
        <v>600</v>
      </c>
      <c r="N11" s="46">
        <f t="shared" si="1"/>
        <v>601.20000000000005</v>
      </c>
      <c r="O11" s="31">
        <v>500</v>
      </c>
      <c r="P11" s="46">
        <f t="shared" si="2"/>
        <v>501</v>
      </c>
      <c r="Q11" s="21">
        <f>(F11+H11+J11)-(L11+N11+P11)</f>
        <v>4306262.6000000006</v>
      </c>
      <c r="R11" s="21">
        <f>3435000+881800.19</f>
        <v>4316800.1899999995</v>
      </c>
      <c r="S11" s="43">
        <f>Q11/1000</f>
        <v>4306.2626000000009</v>
      </c>
      <c r="T11" s="22">
        <v>0.93049999999999999</v>
      </c>
      <c r="U11" s="23">
        <f t="shared" si="4"/>
        <v>4006.9773493000007</v>
      </c>
      <c r="V11" s="23">
        <v>0</v>
      </c>
      <c r="W11" s="23">
        <v>0</v>
      </c>
      <c r="X11" s="55">
        <f t="shared" si="5"/>
        <v>4006</v>
      </c>
      <c r="Y11" s="77"/>
      <c r="Z11" s="79"/>
      <c r="AB11" s="52"/>
      <c r="AC11" s="52"/>
      <c r="AD11" s="51"/>
      <c r="AE11" s="51"/>
      <c r="AF11" s="51"/>
    </row>
    <row r="12" spans="2:32" ht="12.6" customHeight="1" x14ac:dyDescent="0.2">
      <c r="B12" s="18">
        <v>45383</v>
      </c>
      <c r="C12" s="19">
        <v>45383</v>
      </c>
      <c r="D12" s="20">
        <v>45412</v>
      </c>
      <c r="E12" s="36">
        <v>2046300.1599999999</v>
      </c>
      <c r="F12" s="36">
        <v>2046300.1599999999</v>
      </c>
      <c r="G12" s="31">
        <v>1957799.94</v>
      </c>
      <c r="H12" s="31">
        <v>1957799.94</v>
      </c>
      <c r="I12" s="31">
        <v>946399.23</v>
      </c>
      <c r="J12" s="31">
        <v>946399.23</v>
      </c>
      <c r="K12" s="31">
        <v>1000</v>
      </c>
      <c r="L12" s="31">
        <v>1000</v>
      </c>
      <c r="M12" s="31">
        <v>700</v>
      </c>
      <c r="N12" s="31">
        <v>700</v>
      </c>
      <c r="O12" s="31">
        <v>400</v>
      </c>
      <c r="P12" s="31">
        <v>400</v>
      </c>
      <c r="Q12" s="42">
        <f>(F12+H12+J12)-(L12+N12+P12)</f>
        <v>4948399.33</v>
      </c>
      <c r="R12" s="42">
        <f>4004100+946399.23</f>
        <v>4950499.2300000004</v>
      </c>
      <c r="S12" s="43">
        <f>Q12/1000</f>
        <v>4948.3993300000002</v>
      </c>
      <c r="T12" s="22">
        <v>0.93049999999999999</v>
      </c>
      <c r="U12" s="23">
        <f t="shared" si="4"/>
        <v>4604.485576565</v>
      </c>
      <c r="V12" s="23">
        <v>0</v>
      </c>
      <c r="W12" s="23">
        <v>0</v>
      </c>
      <c r="X12" s="55">
        <f t="shared" si="5"/>
        <v>4604</v>
      </c>
      <c r="Y12" s="77"/>
      <c r="Z12" s="79"/>
      <c r="AB12" s="52"/>
      <c r="AC12" s="52"/>
      <c r="AE12" s="51"/>
      <c r="AF12" s="51"/>
    </row>
    <row r="13" spans="2:32" ht="12.6" customHeight="1" thickBot="1" x14ac:dyDescent="0.25">
      <c r="B13" s="18">
        <v>45413</v>
      </c>
      <c r="C13" s="19">
        <v>45413</v>
      </c>
      <c r="D13" s="20">
        <v>45443</v>
      </c>
      <c r="E13" s="36">
        <v>2862698.5</v>
      </c>
      <c r="F13" s="36">
        <v>2862698.5</v>
      </c>
      <c r="G13" s="31">
        <v>2852399.1</v>
      </c>
      <c r="H13" s="31">
        <v>2852399.1</v>
      </c>
      <c r="I13" s="31">
        <v>1336800.26</v>
      </c>
      <c r="J13" s="31">
        <v>1336800.26</v>
      </c>
      <c r="K13" s="31">
        <v>1900</v>
      </c>
      <c r="L13" s="31">
        <v>1900</v>
      </c>
      <c r="M13" s="31">
        <v>1200</v>
      </c>
      <c r="N13" s="31">
        <v>1200</v>
      </c>
      <c r="O13" s="31">
        <v>900</v>
      </c>
      <c r="P13" s="31">
        <v>900</v>
      </c>
      <c r="Q13" s="42">
        <f>(F13+H13+J13)-(L13+N13+P13)</f>
        <v>7047897.8599999994</v>
      </c>
      <c r="R13" s="42">
        <f>5715097.6+1336800.26</f>
        <v>7051897.8599999994</v>
      </c>
      <c r="S13" s="43">
        <f>Q13/1000</f>
        <v>7047.8978599999991</v>
      </c>
      <c r="T13" s="22">
        <v>0.93049999999999999</v>
      </c>
      <c r="U13" s="23">
        <f t="shared" si="4"/>
        <v>6558.0689587299994</v>
      </c>
      <c r="V13" s="23">
        <v>0</v>
      </c>
      <c r="W13" s="23">
        <v>0</v>
      </c>
      <c r="X13" s="55">
        <f t="shared" si="5"/>
        <v>6558</v>
      </c>
      <c r="Y13" s="77"/>
      <c r="Z13" s="80"/>
      <c r="AB13" s="52"/>
      <c r="AC13" s="52"/>
    </row>
    <row r="14" spans="2:32" ht="15.75" thickBot="1" x14ac:dyDescent="0.3">
      <c r="B14" s="74" t="s">
        <v>34</v>
      </c>
      <c r="C14" s="75"/>
      <c r="D14" s="76"/>
      <c r="E14" s="24">
        <f t="shared" ref="E14:S14" si="7">SUM(E5:E13)</f>
        <v>14450198.539999999</v>
      </c>
      <c r="F14" s="24">
        <f t="shared" si="7"/>
        <v>14431116.140240001</v>
      </c>
      <c r="G14" s="24">
        <f t="shared" si="7"/>
        <v>13936699.389999999</v>
      </c>
      <c r="H14" s="24">
        <f t="shared" si="7"/>
        <v>13918446.3893</v>
      </c>
      <c r="I14" s="24">
        <f t="shared" si="7"/>
        <v>6920099.8399999999</v>
      </c>
      <c r="J14" s="24">
        <f t="shared" si="7"/>
        <v>6910825.3407000005</v>
      </c>
      <c r="K14" s="24">
        <f t="shared" si="7"/>
        <v>19900</v>
      </c>
      <c r="L14" s="24">
        <f t="shared" si="7"/>
        <v>19934</v>
      </c>
      <c r="M14" s="24">
        <f t="shared" si="7"/>
        <v>18200</v>
      </c>
      <c r="N14" s="24">
        <f t="shared" si="7"/>
        <v>18232.599999999999</v>
      </c>
      <c r="O14" s="24">
        <f t="shared" si="7"/>
        <v>11100</v>
      </c>
      <c r="P14" s="24">
        <f t="shared" si="7"/>
        <v>11119.6</v>
      </c>
      <c r="Q14" s="54">
        <f t="shared" si="7"/>
        <v>35211101.67024</v>
      </c>
      <c r="R14" s="54">
        <f t="shared" si="7"/>
        <v>35306998.590000004</v>
      </c>
      <c r="S14" s="28">
        <f t="shared" si="7"/>
        <v>35211.101670240001</v>
      </c>
      <c r="T14" s="24"/>
      <c r="U14" s="24">
        <f>SUM(U5:U13)</f>
        <v>32763.930104158317</v>
      </c>
      <c r="V14" s="24">
        <f t="shared" ref="V14:Z14" si="8">SUM(V5:V13)</f>
        <v>0</v>
      </c>
      <c r="W14" s="24">
        <f t="shared" si="8"/>
        <v>0</v>
      </c>
      <c r="X14" s="24">
        <f>SUM(X5:X13)</f>
        <v>32759</v>
      </c>
      <c r="Y14" s="49">
        <f t="shared" si="8"/>
        <v>32759</v>
      </c>
      <c r="Z14" s="27">
        <f t="shared" si="8"/>
        <v>35211.101670240001</v>
      </c>
    </row>
    <row r="16" spans="2:32" x14ac:dyDescent="0.2">
      <c r="E16" s="47"/>
      <c r="F16" t="s">
        <v>35</v>
      </c>
    </row>
    <row r="17" spans="3:14" x14ac:dyDescent="0.2">
      <c r="C17" s="8"/>
      <c r="D17" s="9"/>
      <c r="G17" s="51"/>
      <c r="H17" s="51"/>
      <c r="N17" s="51"/>
    </row>
    <row r="18" spans="3:14" x14ac:dyDescent="0.2">
      <c r="H18" s="51"/>
    </row>
  </sheetData>
  <mergeCells count="32">
    <mergeCell ref="B14:D14"/>
    <mergeCell ref="Y5:Y8"/>
    <mergeCell ref="Y9:Y13"/>
    <mergeCell ref="Z5:Z8"/>
    <mergeCell ref="Z9:Z13"/>
    <mergeCell ref="R3:R4"/>
    <mergeCell ref="S3:S4"/>
    <mergeCell ref="T3:T4"/>
    <mergeCell ref="U3:U4"/>
    <mergeCell ref="O3:O4"/>
    <mergeCell ref="I3:I4"/>
    <mergeCell ref="K3:K4"/>
    <mergeCell ref="M3:M4"/>
    <mergeCell ref="P3:P4"/>
    <mergeCell ref="L3:L4"/>
    <mergeCell ref="N3:N4"/>
    <mergeCell ref="Z3:Z4"/>
    <mergeCell ref="B1:M1"/>
    <mergeCell ref="B2:D2"/>
    <mergeCell ref="E2:R2"/>
    <mergeCell ref="B3:B4"/>
    <mergeCell ref="C3:D3"/>
    <mergeCell ref="E3:E4"/>
    <mergeCell ref="G3:G4"/>
    <mergeCell ref="Q3:Q4"/>
    <mergeCell ref="Y3:Y4"/>
    <mergeCell ref="V3:V4"/>
    <mergeCell ref="W3:W4"/>
    <mergeCell ref="X3:X4"/>
    <mergeCell ref="F3:F4"/>
    <mergeCell ref="H3:H4"/>
    <mergeCell ref="J3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210A-8EC4-415B-9C4D-EC9D36827EB9}">
  <dimension ref="A2:B9"/>
  <sheetViews>
    <sheetView zoomScale="108" workbookViewId="0">
      <selection activeCell="B5" sqref="B5"/>
    </sheetView>
  </sheetViews>
  <sheetFormatPr defaultRowHeight="12.75" x14ac:dyDescent="0.2"/>
  <cols>
    <col min="1" max="1" width="60.140625" customWidth="1"/>
    <col min="2" max="2" width="8.85546875" customWidth="1"/>
  </cols>
  <sheetData>
    <row r="2" spans="1:2" x14ac:dyDescent="0.2">
      <c r="A2" s="2" t="s">
        <v>36</v>
      </c>
      <c r="B2" s="1">
        <v>55160</v>
      </c>
    </row>
    <row r="3" spans="1:2" x14ac:dyDescent="0.2">
      <c r="A3" s="2" t="s">
        <v>37</v>
      </c>
      <c r="B3" s="4">
        <v>59280</v>
      </c>
    </row>
    <row r="4" spans="1:2" x14ac:dyDescent="0.2">
      <c r="A4" s="5" t="s">
        <v>38</v>
      </c>
      <c r="B4" s="29">
        <f>'ER Estimation'!S14</f>
        <v>35211.101670240001</v>
      </c>
    </row>
    <row r="5" spans="1:2" x14ac:dyDescent="0.2">
      <c r="A5" s="5" t="s">
        <v>39</v>
      </c>
      <c r="B5" s="30">
        <f>'ER Estimation'!X14</f>
        <v>32759</v>
      </c>
    </row>
    <row r="6" spans="1:2" ht="13.5" thickBot="1" x14ac:dyDescent="0.25">
      <c r="A6" s="3" t="s">
        <v>40</v>
      </c>
      <c r="B6" s="50">
        <f>B3/365*Index!B5</f>
        <v>44500.602739726026</v>
      </c>
    </row>
    <row r="7" spans="1:2" ht="13.5" thickBot="1" x14ac:dyDescent="0.25">
      <c r="A7" s="3" t="s">
        <v>41</v>
      </c>
      <c r="B7" s="4">
        <f>ROUNDDOWN((B2/365*Index!B5),0)</f>
        <v>41407</v>
      </c>
    </row>
    <row r="8" spans="1:2" ht="13.5" thickBot="1" x14ac:dyDescent="0.25">
      <c r="A8" s="6" t="s">
        <v>42</v>
      </c>
      <c r="B8" s="7">
        <f>(B5-B7)/B7*100</f>
        <v>-20.885357548240634</v>
      </c>
    </row>
    <row r="9" spans="1:2" ht="13.5" thickBot="1" x14ac:dyDescent="0.25">
      <c r="A9" s="6" t="s">
        <v>43</v>
      </c>
      <c r="B9" s="7">
        <f>(B4-B6)/B6*100</f>
        <v>-20.875000556325539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7055-A46A-4DC8-A183-6CAD0A2ECA44}">
  <dimension ref="F6:N20"/>
  <sheetViews>
    <sheetView tabSelected="1" topLeftCell="C1" zoomScaleNormal="100" workbookViewId="0">
      <selection activeCell="F28" sqref="F28"/>
    </sheetView>
  </sheetViews>
  <sheetFormatPr defaultRowHeight="12.75" customHeight="1" x14ac:dyDescent="0.2"/>
  <cols>
    <col min="6" max="6" width="13.140625" bestFit="1" customWidth="1"/>
    <col min="7" max="7" width="10.42578125" customWidth="1"/>
    <col min="8" max="8" width="11.42578125" bestFit="1" customWidth="1"/>
    <col min="10" max="10" width="14.42578125" customWidth="1"/>
    <col min="11" max="11" width="16.140625" bestFit="1" customWidth="1"/>
    <col min="12" max="12" width="18.42578125" bestFit="1" customWidth="1"/>
    <col min="13" max="13" width="18.42578125" customWidth="1"/>
    <col min="14" max="14" width="21.85546875" bestFit="1" customWidth="1"/>
  </cols>
  <sheetData>
    <row r="6" spans="6:14" x14ac:dyDescent="0.2">
      <c r="F6" s="48" t="s">
        <v>44</v>
      </c>
      <c r="G6" s="48" t="s">
        <v>45</v>
      </c>
      <c r="H6" s="48" t="s">
        <v>46</v>
      </c>
      <c r="I6" s="48" t="s">
        <v>47</v>
      </c>
      <c r="J6" s="48" t="s">
        <v>48</v>
      </c>
      <c r="K6" s="48" t="s">
        <v>49</v>
      </c>
      <c r="L6" s="48" t="s">
        <v>50</v>
      </c>
      <c r="M6" s="48" t="s">
        <v>51</v>
      </c>
      <c r="N6" s="48" t="s">
        <v>52</v>
      </c>
    </row>
    <row r="7" spans="6:14" x14ac:dyDescent="0.2">
      <c r="F7" s="81" t="s">
        <v>53</v>
      </c>
      <c r="G7" s="82" t="s">
        <v>54</v>
      </c>
      <c r="H7" s="83" t="s">
        <v>55</v>
      </c>
      <c r="I7" s="83" t="s">
        <v>56</v>
      </c>
      <c r="J7" s="83">
        <v>0.2</v>
      </c>
      <c r="K7" s="56">
        <v>44813</v>
      </c>
      <c r="L7" s="56">
        <v>45177</v>
      </c>
      <c r="M7" s="56" t="s">
        <v>57</v>
      </c>
      <c r="N7" s="81" t="s">
        <v>58</v>
      </c>
    </row>
    <row r="8" spans="6:14" ht="21.75" customHeight="1" x14ac:dyDescent="0.2">
      <c r="F8" s="81"/>
      <c r="G8" s="82"/>
      <c r="H8" s="83"/>
      <c r="I8" s="83"/>
      <c r="J8" s="83"/>
      <c r="K8" s="56">
        <v>45374</v>
      </c>
      <c r="L8" s="56">
        <v>45738</v>
      </c>
      <c r="M8" s="56"/>
      <c r="N8" s="81"/>
    </row>
    <row r="9" spans="6:14" ht="21.75" customHeight="1" x14ac:dyDescent="0.2">
      <c r="F9" s="81"/>
      <c r="G9" s="82" t="s">
        <v>59</v>
      </c>
      <c r="H9" s="83" t="s">
        <v>60</v>
      </c>
      <c r="I9" s="83" t="s">
        <v>56</v>
      </c>
      <c r="J9" s="83">
        <v>0.2</v>
      </c>
      <c r="K9" s="56">
        <v>44813</v>
      </c>
      <c r="L9" s="56">
        <v>45177</v>
      </c>
      <c r="M9" s="56" t="s">
        <v>57</v>
      </c>
      <c r="N9" s="81"/>
    </row>
    <row r="10" spans="6:14" ht="21" customHeight="1" x14ac:dyDescent="0.2">
      <c r="F10" s="81"/>
      <c r="G10" s="82"/>
      <c r="H10" s="83"/>
      <c r="I10" s="83"/>
      <c r="J10" s="83"/>
      <c r="K10" s="56">
        <v>45374</v>
      </c>
      <c r="L10" s="56">
        <v>45738</v>
      </c>
      <c r="M10" s="56"/>
      <c r="N10" s="81"/>
    </row>
    <row r="11" spans="6:14" ht="21" customHeight="1" x14ac:dyDescent="0.2">
      <c r="F11" s="81" t="s">
        <v>61</v>
      </c>
      <c r="G11" s="82" t="s">
        <v>62</v>
      </c>
      <c r="H11" s="83" t="s">
        <v>55</v>
      </c>
      <c r="I11" s="83" t="s">
        <v>56</v>
      </c>
      <c r="J11" s="83">
        <v>0.2</v>
      </c>
      <c r="K11" s="56">
        <v>44813</v>
      </c>
      <c r="L11" s="56">
        <v>45177</v>
      </c>
      <c r="M11" s="56" t="s">
        <v>57</v>
      </c>
      <c r="N11" s="81" t="s">
        <v>58</v>
      </c>
    </row>
    <row r="12" spans="6:14" ht="24" customHeight="1" x14ac:dyDescent="0.2">
      <c r="F12" s="81"/>
      <c r="G12" s="82"/>
      <c r="H12" s="83"/>
      <c r="I12" s="83"/>
      <c r="J12" s="83"/>
      <c r="K12" s="56">
        <v>45374</v>
      </c>
      <c r="L12" s="56">
        <v>45738</v>
      </c>
      <c r="M12" s="56"/>
      <c r="N12" s="81"/>
    </row>
    <row r="13" spans="6:14" ht="24" customHeight="1" x14ac:dyDescent="0.2">
      <c r="F13" s="81"/>
      <c r="G13" s="82" t="s">
        <v>63</v>
      </c>
      <c r="H13" s="83" t="s">
        <v>60</v>
      </c>
      <c r="I13" s="83" t="s">
        <v>56</v>
      </c>
      <c r="J13" s="83">
        <v>0.2</v>
      </c>
      <c r="K13" s="56">
        <v>44813</v>
      </c>
      <c r="L13" s="56">
        <v>45177</v>
      </c>
      <c r="M13" s="56" t="s">
        <v>57</v>
      </c>
      <c r="N13" s="81"/>
    </row>
    <row r="14" spans="6:14" ht="21.75" customHeight="1" x14ac:dyDescent="0.2">
      <c r="F14" s="81"/>
      <c r="G14" s="82"/>
      <c r="H14" s="83"/>
      <c r="I14" s="83"/>
      <c r="J14" s="83"/>
      <c r="K14" s="56">
        <v>45374</v>
      </c>
      <c r="L14" s="56">
        <v>45738</v>
      </c>
      <c r="M14" s="56"/>
      <c r="N14" s="81"/>
    </row>
    <row r="15" spans="6:14" ht="21.75" customHeight="1" x14ac:dyDescent="0.2">
      <c r="F15" s="81" t="s">
        <v>64</v>
      </c>
      <c r="G15" s="82" t="s">
        <v>65</v>
      </c>
      <c r="H15" s="83" t="s">
        <v>55</v>
      </c>
      <c r="I15" s="83" t="s">
        <v>56</v>
      </c>
      <c r="J15" s="83">
        <v>0.2</v>
      </c>
      <c r="K15" s="56">
        <v>44813</v>
      </c>
      <c r="L15" s="56">
        <v>45177</v>
      </c>
      <c r="M15" s="56" t="s">
        <v>57</v>
      </c>
      <c r="N15" s="81" t="s">
        <v>58</v>
      </c>
    </row>
    <row r="16" spans="6:14" ht="24" customHeight="1" x14ac:dyDescent="0.2">
      <c r="F16" s="81"/>
      <c r="G16" s="82"/>
      <c r="H16" s="83"/>
      <c r="I16" s="83"/>
      <c r="J16" s="83"/>
      <c r="K16" s="56">
        <v>45374</v>
      </c>
      <c r="L16" s="56">
        <v>45738</v>
      </c>
      <c r="M16" s="56"/>
      <c r="N16" s="81"/>
    </row>
    <row r="17" spans="6:14" ht="24" customHeight="1" x14ac:dyDescent="0.2">
      <c r="F17" s="81"/>
      <c r="G17" s="82" t="s">
        <v>66</v>
      </c>
      <c r="H17" s="83" t="s">
        <v>60</v>
      </c>
      <c r="I17" s="83" t="s">
        <v>56</v>
      </c>
      <c r="J17" s="83">
        <v>0.2</v>
      </c>
      <c r="K17" s="56">
        <v>44813</v>
      </c>
      <c r="L17" s="56">
        <v>45177</v>
      </c>
      <c r="M17" s="56" t="s">
        <v>57</v>
      </c>
      <c r="N17" s="81"/>
    </row>
    <row r="18" spans="6:14" x14ac:dyDescent="0.2">
      <c r="F18" s="81"/>
      <c r="G18" s="82"/>
      <c r="H18" s="83"/>
      <c r="I18" s="83"/>
      <c r="J18" s="83"/>
      <c r="K18" s="56">
        <v>45374</v>
      </c>
      <c r="L18" s="56">
        <v>45738</v>
      </c>
      <c r="M18" s="56"/>
      <c r="N18" s="81"/>
    </row>
    <row r="19" spans="6:14" x14ac:dyDescent="0.2"/>
    <row r="20" spans="6:14" x14ac:dyDescent="0.2"/>
  </sheetData>
  <mergeCells count="30">
    <mergeCell ref="H17:H18"/>
    <mergeCell ref="I17:I18"/>
    <mergeCell ref="J17:J18"/>
    <mergeCell ref="N15:N18"/>
    <mergeCell ref="F11:F14"/>
    <mergeCell ref="N11:N14"/>
    <mergeCell ref="J15:J16"/>
    <mergeCell ref="I15:I16"/>
    <mergeCell ref="H15:H16"/>
    <mergeCell ref="G15:G16"/>
    <mergeCell ref="F15:F18"/>
    <mergeCell ref="I11:I12"/>
    <mergeCell ref="H11:H12"/>
    <mergeCell ref="G11:G12"/>
    <mergeCell ref="J11:J12"/>
    <mergeCell ref="J13:J14"/>
    <mergeCell ref="I13:I14"/>
    <mergeCell ref="H13:H14"/>
    <mergeCell ref="G13:G14"/>
    <mergeCell ref="G17:G18"/>
    <mergeCell ref="N7:N10"/>
    <mergeCell ref="F7:F10"/>
    <mergeCell ref="G7:G8"/>
    <mergeCell ref="H7:H8"/>
    <mergeCell ref="I7:I8"/>
    <mergeCell ref="J7:J8"/>
    <mergeCell ref="J9:J10"/>
    <mergeCell ref="I9:I10"/>
    <mergeCell ref="H9:H10"/>
    <mergeCell ref="G9:G10"/>
  </mergeCells>
  <pageMargins left="0.7" right="0.7" top="0.75" bottom="0.75" header="0.3" footer="0.3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63e7606-a24a-4e3b-93c2-355076243b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DB613FD7598408980E07AD56102CB" ma:contentTypeVersion="14" ma:contentTypeDescription="Create a new document." ma:contentTypeScope="" ma:versionID="109fdf02b3bf1708f4465d7352e4431a">
  <xsd:schema xmlns:xsd="http://www.w3.org/2001/XMLSchema" xmlns:xs="http://www.w3.org/2001/XMLSchema" xmlns:p="http://schemas.microsoft.com/office/2006/metadata/properties" xmlns:ns3="663e7606-a24a-4e3b-93c2-355076243b6e" xmlns:ns4="fd752ea9-1ff0-4e96-b11f-b94098ff0a43" targetNamespace="http://schemas.microsoft.com/office/2006/metadata/properties" ma:root="true" ma:fieldsID="55bc07964b1c373a13e2ca87992988dc" ns3:_="" ns4:_="">
    <xsd:import namespace="663e7606-a24a-4e3b-93c2-355076243b6e"/>
    <xsd:import namespace="fd752ea9-1ff0-4e96-b11f-b94098ff0a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7606-a24a-4e3b-93c2-355076243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52ea9-1ff0-4e96-b11f-b94098ff0a4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24F0D-7254-46CE-B640-F22611339225}">
  <ds:schemaRefs>
    <ds:schemaRef ds:uri="http://schemas.microsoft.com/office/2006/metadata/properties"/>
    <ds:schemaRef ds:uri="http://schemas.microsoft.com/office/infopath/2007/PartnerControls"/>
    <ds:schemaRef ds:uri="663e7606-a24a-4e3b-93c2-355076243b6e"/>
  </ds:schemaRefs>
</ds:datastoreItem>
</file>

<file path=customXml/itemProps2.xml><?xml version="1.0" encoding="utf-8"?>
<ds:datastoreItem xmlns:ds="http://schemas.openxmlformats.org/officeDocument/2006/customXml" ds:itemID="{16E47D97-54E7-45AD-A40D-243FCA0BD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EA4783-BC8F-438E-9DE0-EE4110B70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3e7606-a24a-4e3b-93c2-355076243b6e"/>
    <ds:schemaRef ds:uri="fd752ea9-1ff0-4e96-b11f-b94098ff0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ER Estimation</vt:lpstr>
      <vt:lpstr>ER Comparisons</vt:lpstr>
      <vt:lpstr>Calibration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 Electricity Authority</dc:creator>
  <cp:keywords/>
  <dc:description/>
  <cp:lastModifiedBy>Divij Varshney</cp:lastModifiedBy>
  <cp:revision/>
  <dcterms:created xsi:type="dcterms:W3CDTF">2006-01-30T07:38:59Z</dcterms:created>
  <dcterms:modified xsi:type="dcterms:W3CDTF">2024-09-11T12:11:49Z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0x010100D74DB613FD7598408980E07AD56102CB</vt:lpwstr>
  </property>
</Properties>
</file>