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2120" windowHeight="8700"/>
  </bookViews>
  <sheets>
    <sheet name="SHP Maracana" sheetId="3585" r:id="rId1"/>
    <sheet name="EF" sheetId="756" r:id="rId2"/>
  </sheets>
  <calcPr calcId="125725"/>
</workbook>
</file>

<file path=xl/calcChain.xml><?xml version="1.0" encoding="utf-8"?>
<calcChain xmlns="http://schemas.openxmlformats.org/spreadsheetml/2006/main">
  <c r="D25" i="3585"/>
  <c r="D26"/>
  <c r="D27"/>
  <c r="F27" s="1"/>
  <c r="D28"/>
  <c r="D29"/>
  <c r="D24"/>
  <c r="F24" s="1"/>
  <c r="D23"/>
  <c r="F23" s="1"/>
  <c r="F25"/>
  <c r="F26"/>
  <c r="F28"/>
  <c r="F29"/>
  <c r="R3"/>
  <c r="S3" s="1"/>
  <c r="R4"/>
  <c r="S4" s="1"/>
  <c r="R5"/>
  <c r="S5" s="1"/>
  <c r="R6"/>
  <c r="S6" s="1"/>
  <c r="R7"/>
  <c r="S7" s="1"/>
  <c r="S8"/>
  <c r="R8"/>
  <c r="R9"/>
  <c r="S9" s="1"/>
  <c r="R10"/>
  <c r="S10" s="1"/>
  <c r="R11"/>
  <c r="S11" s="1"/>
  <c r="S12"/>
  <c r="R12"/>
  <c r="R13"/>
  <c r="S13" s="1"/>
  <c r="R14"/>
  <c r="S14"/>
  <c r="N30"/>
  <c r="M30"/>
  <c r="D16"/>
  <c r="F16" s="1"/>
  <c r="E16"/>
  <c r="G16"/>
  <c r="D30" l="1"/>
  <c r="F30" s="1"/>
  <c r="S16"/>
  <c r="L8" s="1"/>
  <c r="E26"/>
  <c r="E25"/>
  <c r="E30"/>
  <c r="E28"/>
  <c r="E23"/>
  <c r="E24"/>
  <c r="E27"/>
  <c r="E29"/>
  <c r="D31" l="1"/>
  <c r="D32" s="1"/>
  <c r="E31"/>
  <c r="E32" s="1"/>
  <c r="G28"/>
  <c r="G26"/>
  <c r="G27"/>
  <c r="G29"/>
  <c r="G24"/>
  <c r="G23"/>
  <c r="G30"/>
  <c r="G25"/>
  <c r="F31" l="1"/>
  <c r="F32" s="1"/>
  <c r="G31"/>
  <c r="G32" s="1"/>
</calcChain>
</file>

<file path=xl/comments1.xml><?xml version="1.0" encoding="utf-8"?>
<comments xmlns="http://schemas.openxmlformats.org/spreadsheetml/2006/main">
  <authors>
    <author>Arthur</author>
  </authors>
  <commentList>
    <comment ref="R2" authorId="0">
      <text>
        <r>
          <rPr>
            <sz val="9"/>
            <color indexed="81"/>
            <rFont val="Tahoma"/>
            <charset val="1"/>
          </rPr>
          <t xml:space="preserve">
2018</t>
        </r>
      </text>
    </comment>
  </commentList>
</comments>
</file>

<file path=xl/comments2.xml><?xml version="1.0" encoding="utf-8"?>
<comments xmlns="http://schemas.openxmlformats.org/spreadsheetml/2006/main">
  <authors>
    <author>Arthur</author>
  </authors>
  <commentList>
    <comment ref="Q10" authorId="0">
      <text>
        <r>
          <rPr>
            <sz val="9"/>
            <color indexed="81"/>
            <rFont val="Tahoma"/>
            <charset val="1"/>
          </rPr>
          <t xml:space="preserve">
2018</t>
        </r>
      </text>
    </comment>
  </commentList>
</comments>
</file>

<file path=xl/sharedStrings.xml><?xml version="1.0" encoding="utf-8"?>
<sst xmlns="http://schemas.openxmlformats.org/spreadsheetml/2006/main" count="90" uniqueCount="71">
  <si>
    <t>h/year</t>
  </si>
  <si>
    <t>Inst. Power</t>
  </si>
  <si>
    <t>MW</t>
  </si>
  <si>
    <t>Name:</t>
  </si>
  <si>
    <t>Net Power</t>
  </si>
  <si>
    <t>Date:</t>
  </si>
  <si>
    <t>Project:</t>
  </si>
  <si>
    <t>Sectorial Scope:</t>
  </si>
  <si>
    <t>Small Hydro</t>
  </si>
  <si>
    <t>Metodology:</t>
  </si>
  <si>
    <t>Formulas</t>
  </si>
  <si>
    <t>Baseline:</t>
  </si>
  <si>
    <t>7 years</t>
  </si>
  <si>
    <r>
      <t>ER = BE</t>
    </r>
    <r>
      <rPr>
        <b/>
        <vertAlign val="subscript"/>
        <sz val="10"/>
        <rFont val="Times New Roman"/>
        <family val="1"/>
      </rPr>
      <t>electricity,y</t>
    </r>
    <r>
      <rPr>
        <b/>
        <sz val="10"/>
        <rFont val="Times New Roman"/>
        <family val="1"/>
      </rPr>
      <t xml:space="preserve"> – (L</t>
    </r>
    <r>
      <rPr>
        <b/>
        <vertAlign val="subscript"/>
        <sz val="10"/>
        <rFont val="Times New Roman"/>
        <family val="1"/>
      </rPr>
      <t>y</t>
    </r>
    <r>
      <rPr>
        <b/>
        <sz val="10"/>
        <rFont val="Times New Roman"/>
        <family val="1"/>
      </rPr>
      <t xml:space="preserve"> + PE</t>
    </r>
    <r>
      <rPr>
        <b/>
        <vertAlign val="subscript"/>
        <sz val="10"/>
        <rFont val="Times New Roman"/>
        <family val="1"/>
      </rPr>
      <t>y</t>
    </r>
    <r>
      <rPr>
        <b/>
        <sz val="10"/>
        <rFont val="Times New Roman"/>
        <family val="1"/>
      </rPr>
      <t>)</t>
    </r>
  </si>
  <si>
    <r>
      <t xml:space="preserve">To this project Ly = 0 and </t>
    </r>
    <r>
      <rPr>
        <b/>
        <i/>
        <sz val="10"/>
        <rFont val="Times New Roman"/>
        <family val="1"/>
      </rPr>
      <t xml:space="preserve">PEy </t>
    </r>
    <r>
      <rPr>
        <b/>
        <sz val="10"/>
        <rFont val="Times New Roman"/>
        <family val="1"/>
      </rPr>
      <t xml:space="preserve">= 0 </t>
    </r>
  </si>
  <si>
    <t>Year</t>
  </si>
  <si>
    <t>MWh</t>
  </si>
  <si>
    <t>CERs</t>
  </si>
  <si>
    <t xml:space="preserve">EGy = Net Power x CF x h </t>
  </si>
  <si>
    <t>Obs: ER = CER</t>
  </si>
  <si>
    <t>Total</t>
  </si>
  <si>
    <t>Annual Average</t>
  </si>
  <si>
    <t>Source:</t>
  </si>
  <si>
    <t>MCT</t>
  </si>
  <si>
    <t>estimative</t>
  </si>
  <si>
    <t>EFom</t>
  </si>
  <si>
    <t>EFbm</t>
  </si>
  <si>
    <r>
      <t xml:space="preserve">EF </t>
    </r>
    <r>
      <rPr>
        <b/>
        <sz val="8"/>
        <rFont val="Arial"/>
        <family val="2"/>
      </rPr>
      <t>electricity</t>
    </r>
  </si>
  <si>
    <t>Reservoir area</t>
  </si>
  <si>
    <t>PE</t>
  </si>
  <si>
    <t>Power density (W/m2)</t>
  </si>
  <si>
    <t>km2</t>
  </si>
  <si>
    <t>BE</t>
  </si>
  <si>
    <t>IPCC</t>
  </si>
  <si>
    <t>Power (MW)</t>
  </si>
  <si>
    <t>Source</t>
  </si>
  <si>
    <t>Unit</t>
  </si>
  <si>
    <t>MWmed</t>
  </si>
  <si>
    <t>ANEEL</t>
  </si>
  <si>
    <t>EF</t>
  </si>
  <si>
    <t>CIMGC</t>
  </si>
  <si>
    <t>Net Power (Mwmed)</t>
  </si>
  <si>
    <t>tCO2/MWh</t>
  </si>
  <si>
    <t>PE = TEGy*90/1000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</si>
  <si>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</si>
  <si>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</si>
  <si>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</si>
  <si>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</si>
  <si>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</si>
  <si>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</si>
  <si>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</si>
  <si>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</si>
  <si>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</si>
  <si>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</si>
  <si>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</si>
  <si>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</si>
  <si>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Monthly Emission Factor (tCO2/MWh)</t>
  </si>
  <si>
    <t>Average Emission Factor (tCO2/MWh) - ANUAL</t>
  </si>
  <si>
    <t>National Interconnected Grid</t>
  </si>
  <si>
    <t>Arthur Moraes</t>
  </si>
  <si>
    <t>http://www.mctic.gov.br/mctic/opencms/ciencia/SEPED/clima/textogeral/emissao_despacho.html</t>
  </si>
  <si>
    <t>Tech. Specif.</t>
  </si>
  <si>
    <t>Maracanã</t>
  </si>
  <si>
    <t>JUN1192</t>
  </si>
  <si>
    <t>AMS I.D.</t>
  </si>
  <si>
    <t>2019 Dec</t>
  </si>
  <si>
    <t>2026 Dec</t>
  </si>
  <si>
    <t>days</t>
  </si>
  <si>
    <t>hours</t>
  </si>
  <si>
    <r>
      <t>BE</t>
    </r>
    <r>
      <rPr>
        <b/>
        <vertAlign val="subscript"/>
        <sz val="10"/>
        <rFont val="Times New Roman"/>
        <family val="1"/>
      </rPr>
      <t xml:space="preserve">electricity,y </t>
    </r>
    <r>
      <rPr>
        <b/>
        <sz val="10"/>
        <rFont val="Times New Roman"/>
        <family val="1"/>
      </rPr>
      <t xml:space="preserve">= </t>
    </r>
    <r>
      <rPr>
        <b/>
        <i/>
        <sz val="10"/>
        <rFont val="Times New Roman"/>
        <family val="1"/>
      </rPr>
      <t>EF</t>
    </r>
    <r>
      <rPr>
        <b/>
        <i/>
        <vertAlign val="subscript"/>
        <sz val="10"/>
        <rFont val="Times New Roman"/>
        <family val="1"/>
      </rPr>
      <t>electricity,y</t>
    </r>
    <r>
      <rPr>
        <b/>
        <sz val="10"/>
        <rFont val="Times New Roman"/>
        <family val="1"/>
      </rPr>
      <t xml:space="preserve"> . EG</t>
    </r>
    <r>
      <rPr>
        <b/>
        <vertAlign val="subscript"/>
        <sz val="10"/>
        <rFont val="Times New Roman"/>
        <family val="1"/>
      </rPr>
      <t>y</t>
    </r>
  </si>
  <si>
    <r>
      <t>EF</t>
    </r>
    <r>
      <rPr>
        <sz val="8"/>
        <rFont val="Arial"/>
        <family val="2"/>
      </rPr>
      <t>2019</t>
    </r>
  </si>
</sst>
</file>

<file path=xl/styles.xml><?xml version="1.0" encoding="utf-8"?>
<styleSheet xmlns="http://schemas.openxmlformats.org/spreadsheetml/2006/main">
  <numFmts count="5">
    <numFmt numFmtId="164" formatCode="_(&quot;R$ &quot;* #,##0.00_);_(&quot;R$ &quot;* \(#,##0.00\);_(&quot;R$ &quot;* &quot;-&quot;??_);_(@_)"/>
    <numFmt numFmtId="165" formatCode="0.000"/>
    <numFmt numFmtId="166" formatCode="0.0000"/>
    <numFmt numFmtId="167" formatCode="#,##0.00\ [$€-1]"/>
    <numFmt numFmtId="168" formatCode="0.00000"/>
  </numFmts>
  <fonts count="16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i/>
      <sz val="10"/>
      <name val="Times New Roman"/>
      <family val="1"/>
    </font>
    <font>
      <b/>
      <i/>
      <vertAlign val="subscript"/>
      <sz val="10"/>
      <name val="Times New Roman"/>
      <family val="1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0" xfId="0" applyFont="1" applyFill="1" applyBorder="1"/>
    <xf numFmtId="0" fontId="0" fillId="0" borderId="0" xfId="0" applyAlignment="1">
      <alignment horizontal="center"/>
    </xf>
    <xf numFmtId="0" fontId="3" fillId="0" borderId="4" xfId="0" applyFont="1" applyBorder="1"/>
    <xf numFmtId="0" fontId="2" fillId="0" borderId="0" xfId="0" applyFont="1" applyFill="1" applyBorder="1"/>
    <xf numFmtId="0" fontId="0" fillId="0" borderId="0" xfId="0" applyFill="1" applyBorder="1"/>
    <xf numFmtId="0" fontId="0" fillId="3" borderId="8" xfId="0" applyFill="1" applyBorder="1"/>
    <xf numFmtId="0" fontId="2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4" fontId="0" fillId="0" borderId="0" xfId="2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164" fontId="0" fillId="0" borderId="0" xfId="2" applyFont="1" applyBorder="1"/>
    <xf numFmtId="0" fontId="5" fillId="0" borderId="6" xfId="0" applyFont="1" applyBorder="1"/>
    <xf numFmtId="3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4" fontId="0" fillId="0" borderId="18" xfId="0" applyNumberFormat="1" applyBorder="1" applyAlignment="1">
      <alignment horizontal="center"/>
    </xf>
    <xf numFmtId="164" fontId="0" fillId="0" borderId="18" xfId="0" applyNumberFormat="1" applyBorder="1"/>
    <xf numFmtId="0" fontId="0" fillId="0" borderId="19" xfId="0" applyBorder="1"/>
    <xf numFmtId="166" fontId="0" fillId="0" borderId="0" xfId="0" applyNumberFormat="1"/>
    <xf numFmtId="0" fontId="0" fillId="5" borderId="2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9" fillId="0" borderId="0" xfId="0" applyFont="1"/>
    <xf numFmtId="166" fontId="9" fillId="6" borderId="6" xfId="0" applyNumberFormat="1" applyFont="1" applyFill="1" applyBorder="1" applyAlignment="1">
      <alignment horizontal="center"/>
    </xf>
    <xf numFmtId="166" fontId="9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66" fontId="0" fillId="2" borderId="6" xfId="0" applyNumberFormat="1" applyFill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0" fillId="3" borderId="12" xfId="0" applyFill="1" applyBorder="1"/>
    <xf numFmtId="0" fontId="9" fillId="0" borderId="0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166" fontId="9" fillId="0" borderId="25" xfId="0" applyNumberFormat="1" applyFont="1" applyBorder="1" applyAlignment="1">
      <alignment horizontal="center"/>
    </xf>
    <xf numFmtId="0" fontId="2" fillId="0" borderId="6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0" xfId="1" applyAlignment="1" applyProtection="1"/>
    <xf numFmtId="0" fontId="0" fillId="0" borderId="6" xfId="0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9" fillId="6" borderId="0" xfId="0" applyNumberFormat="1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4" fillId="0" borderId="18" xfId="0" applyFont="1" applyBorder="1"/>
    <xf numFmtId="2" fontId="0" fillId="0" borderId="0" xfId="0" applyNumberFormat="1" applyBorder="1" applyAlignment="1">
      <alignment horizontal="center"/>
    </xf>
    <xf numFmtId="14" fontId="0" fillId="0" borderId="0" xfId="0" applyNumberFormat="1"/>
    <xf numFmtId="168" fontId="0" fillId="2" borderId="6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4" fontId="9" fillId="2" borderId="0" xfId="0" applyNumberFormat="1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</cellXfs>
  <cellStyles count="3">
    <cellStyle name="Hyperlink" xfId="1" builtinId="8"/>
    <cellStyle name="Mo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114300</xdr:colOff>
      <xdr:row>5</xdr:row>
      <xdr:rowOff>85725</xdr:rowOff>
    </xdr:to>
    <xdr:pic>
      <xdr:nvPicPr>
        <xdr:cNvPr id="8260" name="Picture 1" descr="C:\Documents and Settings\Arthur\My Documents\My Pictures\logo_carbo_sit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342900"/>
          <a:ext cx="14763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ctic.gov.br/mctic/opencms/ciencia/SEPED/clima/textogeral/emissao_despacho.html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48"/>
  <sheetViews>
    <sheetView showGridLines="0" tabSelected="1" zoomScale="80" zoomScaleNormal="80" workbookViewId="0">
      <selection activeCell="D7" sqref="D7:H7"/>
    </sheetView>
  </sheetViews>
  <sheetFormatPr defaultRowHeight="12.75"/>
  <cols>
    <col min="1" max="1" width="3.140625" customWidth="1"/>
    <col min="2" max="2" width="3.5703125" customWidth="1"/>
    <col min="3" max="3" width="20.42578125" customWidth="1"/>
    <col min="4" max="4" width="11.28515625" bestFit="1" customWidth="1"/>
    <col min="5" max="5" width="18.5703125" bestFit="1" customWidth="1"/>
    <col min="6" max="6" width="20.28515625" customWidth="1"/>
    <col min="7" max="7" width="10.28515625" customWidth="1"/>
    <col min="8" max="8" width="5.140625" customWidth="1"/>
    <col min="9" max="9" width="3.5703125" customWidth="1"/>
    <col min="10" max="10" width="3.7109375" customWidth="1"/>
    <col min="11" max="11" width="20.140625" customWidth="1"/>
    <col min="12" max="12" width="13.140625" customWidth="1"/>
    <col min="13" max="13" width="10.85546875" bestFit="1" customWidth="1"/>
    <col min="14" max="14" width="24.42578125" bestFit="1" customWidth="1"/>
    <col min="15" max="15" width="3.7109375" customWidth="1"/>
    <col min="16" max="17" width="10.5703125" bestFit="1" customWidth="1"/>
    <col min="19" max="19" width="14" bestFit="1" customWidth="1"/>
    <col min="20" max="20" width="4.140625" customWidth="1"/>
  </cols>
  <sheetData>
    <row r="1" spans="2:19" ht="13.5" thickBot="1"/>
    <row r="2" spans="2:19" ht="13.5" thickTop="1">
      <c r="B2" s="1"/>
      <c r="C2" s="2"/>
      <c r="D2" s="2"/>
      <c r="E2" s="2"/>
      <c r="F2" s="2"/>
      <c r="G2" s="2"/>
      <c r="H2" s="2"/>
      <c r="I2" s="3"/>
      <c r="P2" s="7">
        <v>2019</v>
      </c>
      <c r="Q2" s="7" t="s">
        <v>25</v>
      </c>
      <c r="R2" s="7" t="s">
        <v>26</v>
      </c>
      <c r="S2" s="50" t="s">
        <v>27</v>
      </c>
    </row>
    <row r="3" spans="2:19">
      <c r="B3" s="4"/>
      <c r="C3" s="5"/>
      <c r="D3" s="5"/>
      <c r="E3" s="5"/>
      <c r="F3" s="5"/>
      <c r="G3" s="5"/>
      <c r="H3" s="5"/>
      <c r="I3" s="6"/>
      <c r="K3" s="7" t="s">
        <v>62</v>
      </c>
      <c r="L3" s="8"/>
      <c r="M3" s="80" t="s">
        <v>36</v>
      </c>
      <c r="N3" s="55" t="s">
        <v>35</v>
      </c>
      <c r="P3" s="48" t="s">
        <v>44</v>
      </c>
      <c r="Q3" s="49">
        <v>0.35399999999999998</v>
      </c>
      <c r="R3" s="49">
        <f>EF!$Q$10</f>
        <v>0.13700000000000001</v>
      </c>
      <c r="S3" s="51">
        <f>0.25*Q3+0.75*R3</f>
        <v>0.19125</v>
      </c>
    </row>
    <row r="4" spans="2:19">
      <c r="B4" s="4"/>
      <c r="C4" s="5"/>
      <c r="D4" s="5"/>
      <c r="E4" s="5"/>
      <c r="F4" s="5"/>
      <c r="G4" s="5"/>
      <c r="H4" s="5"/>
      <c r="I4" s="6"/>
      <c r="K4" s="9" t="s">
        <v>0</v>
      </c>
      <c r="L4" s="9">
        <v>8760</v>
      </c>
      <c r="M4" s="78"/>
      <c r="N4" s="78"/>
      <c r="P4" s="48" t="s">
        <v>45</v>
      </c>
      <c r="Q4" s="49">
        <v>0.55730000000000002</v>
      </c>
      <c r="R4" s="49">
        <f>EF!$Q$10</f>
        <v>0.13700000000000001</v>
      </c>
      <c r="S4" s="51">
        <f t="shared" ref="S4:S14" si="0">0.25*Q4+0.75*R4</f>
        <v>0.24207500000000001</v>
      </c>
    </row>
    <row r="5" spans="2:19">
      <c r="B5" s="4"/>
      <c r="C5" s="5"/>
      <c r="D5" s="5"/>
      <c r="E5" s="5"/>
      <c r="F5" s="5"/>
      <c r="G5" s="5"/>
      <c r="H5" s="5"/>
      <c r="I5" s="6"/>
      <c r="K5" s="9" t="s">
        <v>1</v>
      </c>
      <c r="L5" s="87">
        <v>10.656000000000001</v>
      </c>
      <c r="M5" s="9" t="s">
        <v>2</v>
      </c>
      <c r="N5" s="78" t="s">
        <v>61</v>
      </c>
      <c r="P5" s="48" t="s">
        <v>46</v>
      </c>
      <c r="Q5" s="49">
        <v>0.50749999999999995</v>
      </c>
      <c r="R5" s="49">
        <f>EF!$Q$10</f>
        <v>0.13700000000000001</v>
      </c>
      <c r="S5" s="51">
        <f t="shared" si="0"/>
        <v>0.229625</v>
      </c>
    </row>
    <row r="6" spans="2:19">
      <c r="B6" s="4"/>
      <c r="C6" s="5"/>
      <c r="D6" s="5"/>
      <c r="E6" s="5"/>
      <c r="F6" s="5"/>
      <c r="G6" s="5"/>
      <c r="H6" s="5"/>
      <c r="I6" s="6"/>
      <c r="K6" s="9" t="s">
        <v>4</v>
      </c>
      <c r="L6" s="79">
        <v>6.96</v>
      </c>
      <c r="M6" s="78" t="s">
        <v>37</v>
      </c>
      <c r="N6" s="78" t="s">
        <v>38</v>
      </c>
      <c r="P6" s="48" t="s">
        <v>47</v>
      </c>
      <c r="Q6" s="49">
        <v>0.50949999999999995</v>
      </c>
      <c r="R6" s="49">
        <f>EF!$Q$10</f>
        <v>0.13700000000000001</v>
      </c>
      <c r="S6" s="51">
        <f t="shared" si="0"/>
        <v>0.230125</v>
      </c>
    </row>
    <row r="7" spans="2:19">
      <c r="B7" s="4"/>
      <c r="C7" s="10" t="s">
        <v>6</v>
      </c>
      <c r="D7" s="98">
        <v>8474</v>
      </c>
      <c r="E7" s="96"/>
      <c r="F7" s="96"/>
      <c r="G7" s="96"/>
      <c r="H7" s="96"/>
      <c r="I7" s="6"/>
      <c r="K7" s="9" t="s">
        <v>28</v>
      </c>
      <c r="L7" s="84">
        <v>0.318</v>
      </c>
      <c r="M7" s="9" t="s">
        <v>31</v>
      </c>
      <c r="N7" s="78" t="s">
        <v>38</v>
      </c>
      <c r="P7" s="48" t="s">
        <v>48</v>
      </c>
      <c r="Q7" s="49">
        <v>0.47939999999999999</v>
      </c>
      <c r="R7" s="49">
        <f>EF!$Q$10</f>
        <v>0.13700000000000001</v>
      </c>
      <c r="S7" s="51">
        <f t="shared" si="0"/>
        <v>0.22260000000000002</v>
      </c>
    </row>
    <row r="8" spans="2:19">
      <c r="B8" s="4"/>
      <c r="C8" s="10" t="s">
        <v>3</v>
      </c>
      <c r="D8" s="98" t="s">
        <v>59</v>
      </c>
      <c r="E8" s="96"/>
      <c r="F8" s="96"/>
      <c r="G8" s="96"/>
      <c r="H8" s="96"/>
      <c r="I8" s="6"/>
      <c r="K8" s="82" t="s">
        <v>39</v>
      </c>
      <c r="L8" s="85">
        <f>S16</f>
        <v>0.23227291666666669</v>
      </c>
      <c r="M8" s="78" t="s">
        <v>42</v>
      </c>
      <c r="N8" s="78" t="s">
        <v>40</v>
      </c>
      <c r="P8" s="48" t="s">
        <v>49</v>
      </c>
      <c r="Q8" s="49">
        <v>0.41749999999999998</v>
      </c>
      <c r="R8" s="49">
        <f>EF!$Q$10</f>
        <v>0.13700000000000001</v>
      </c>
      <c r="S8" s="51">
        <f t="shared" si="0"/>
        <v>0.207125</v>
      </c>
    </row>
    <row r="9" spans="2:19">
      <c r="B9" s="4"/>
      <c r="C9" s="10" t="s">
        <v>5</v>
      </c>
      <c r="D9" s="99">
        <v>44067</v>
      </c>
      <c r="E9" s="98"/>
      <c r="F9" s="98"/>
      <c r="G9" s="98"/>
      <c r="H9" s="98"/>
      <c r="I9" s="6"/>
      <c r="K9" s="82"/>
      <c r="L9" s="85"/>
      <c r="M9" s="78"/>
      <c r="N9" s="78"/>
      <c r="P9" s="48" t="s">
        <v>50</v>
      </c>
      <c r="Q9" s="49">
        <v>0.59140000000000004</v>
      </c>
      <c r="R9" s="49">
        <f>EF!$Q$10</f>
        <v>0.13700000000000001</v>
      </c>
      <c r="S9" s="51">
        <f t="shared" si="0"/>
        <v>0.25060000000000004</v>
      </c>
    </row>
    <row r="10" spans="2:19">
      <c r="B10" s="4"/>
      <c r="C10" s="10" t="s">
        <v>6</v>
      </c>
      <c r="D10" s="96" t="s">
        <v>63</v>
      </c>
      <c r="E10" s="96"/>
      <c r="F10" s="96"/>
      <c r="G10" s="96"/>
      <c r="H10" s="96"/>
      <c r="I10" s="6"/>
      <c r="K10" s="71"/>
      <c r="L10" s="93"/>
      <c r="M10" s="71"/>
      <c r="N10" s="5"/>
      <c r="P10" s="48" t="s">
        <v>51</v>
      </c>
      <c r="Q10" s="49">
        <v>0.53120000000000001</v>
      </c>
      <c r="R10" s="49">
        <f>EF!$Q$10</f>
        <v>0.13700000000000001</v>
      </c>
      <c r="S10" s="51">
        <f t="shared" si="0"/>
        <v>0.23555000000000001</v>
      </c>
    </row>
    <row r="11" spans="2:19" ht="12.75" customHeight="1">
      <c r="B11" s="12"/>
      <c r="C11" s="10" t="s">
        <v>7</v>
      </c>
      <c r="D11" s="96">
        <v>1</v>
      </c>
      <c r="E11" s="96"/>
      <c r="F11" s="96"/>
      <c r="G11" s="96"/>
      <c r="H11" s="96"/>
      <c r="I11" s="6"/>
      <c r="P11" s="48" t="s">
        <v>52</v>
      </c>
      <c r="Q11" s="49">
        <v>0.56059999999999999</v>
      </c>
      <c r="R11" s="49">
        <f>EF!$Q$10</f>
        <v>0.13700000000000001</v>
      </c>
      <c r="S11" s="51">
        <f t="shared" si="0"/>
        <v>0.2429</v>
      </c>
    </row>
    <row r="12" spans="2:19">
      <c r="B12" s="4"/>
      <c r="C12" s="10" t="s">
        <v>9</v>
      </c>
      <c r="D12" s="96" t="s">
        <v>64</v>
      </c>
      <c r="E12" s="96"/>
      <c r="F12" s="96"/>
      <c r="G12" s="96"/>
      <c r="H12" s="96"/>
      <c r="I12" s="6"/>
      <c r="P12" s="48" t="s">
        <v>53</v>
      </c>
      <c r="Q12" s="49">
        <v>0.53700000000000003</v>
      </c>
      <c r="R12" s="49">
        <f>EF!$Q$10</f>
        <v>0.13700000000000001</v>
      </c>
      <c r="S12" s="51">
        <f t="shared" si="0"/>
        <v>0.23700000000000002</v>
      </c>
    </row>
    <row r="13" spans="2:19">
      <c r="B13" s="4"/>
      <c r="C13" s="13"/>
      <c r="D13" s="14"/>
      <c r="E13" s="14"/>
      <c r="F13" s="14"/>
      <c r="G13" s="5"/>
      <c r="H13" s="5"/>
      <c r="I13" s="6"/>
      <c r="K13" s="61"/>
      <c r="L13" s="62"/>
      <c r="M13" s="62"/>
      <c r="N13" s="62"/>
      <c r="P13" s="48" t="s">
        <v>54</v>
      </c>
      <c r="Q13" s="49">
        <v>0.57199999999999995</v>
      </c>
      <c r="R13" s="49">
        <f>EF!$Q$10</f>
        <v>0.13700000000000001</v>
      </c>
      <c r="S13" s="51">
        <f t="shared" si="0"/>
        <v>0.24575</v>
      </c>
    </row>
    <row r="14" spans="2:19">
      <c r="B14" s="4"/>
      <c r="C14" s="15"/>
      <c r="D14" s="97"/>
      <c r="E14" s="97"/>
      <c r="F14" s="56"/>
      <c r="G14" s="56"/>
      <c r="H14" s="16"/>
      <c r="I14" s="6"/>
      <c r="K14" s="63"/>
      <c r="L14" s="64"/>
      <c r="M14" s="62"/>
      <c r="N14" s="62"/>
      <c r="P14" s="48" t="s">
        <v>55</v>
      </c>
      <c r="Q14" s="49">
        <v>0.59970000000000001</v>
      </c>
      <c r="R14" s="49">
        <f>EF!$Q$10</f>
        <v>0.13700000000000001</v>
      </c>
      <c r="S14" s="51">
        <f t="shared" si="0"/>
        <v>0.25267499999999998</v>
      </c>
    </row>
    <row r="15" spans="2:19">
      <c r="B15" s="4"/>
      <c r="C15" s="17" t="s">
        <v>8</v>
      </c>
      <c r="D15" s="18" t="s">
        <v>34</v>
      </c>
      <c r="E15" s="18" t="s">
        <v>41</v>
      </c>
      <c r="F15" s="18" t="s">
        <v>30</v>
      </c>
      <c r="G15" s="18" t="s">
        <v>0</v>
      </c>
      <c r="H15" s="19"/>
      <c r="I15" s="6"/>
      <c r="K15" s="22" t="s">
        <v>10</v>
      </c>
      <c r="P15" s="47"/>
      <c r="Q15" s="47"/>
      <c r="R15" s="47"/>
      <c r="S15" s="41"/>
    </row>
    <row r="16" spans="2:19" ht="14.25">
      <c r="B16" s="4"/>
      <c r="C16" s="60" t="s">
        <v>62</v>
      </c>
      <c r="D16" s="88">
        <f>L5</f>
        <v>10.656000000000001</v>
      </c>
      <c r="E16" s="83">
        <f>L6</f>
        <v>6.96</v>
      </c>
      <c r="F16" s="89">
        <f>D16/L7</f>
        <v>33.509433962264154</v>
      </c>
      <c r="G16" s="20">
        <f>L4</f>
        <v>8760</v>
      </c>
      <c r="H16" s="54"/>
      <c r="I16" s="6"/>
      <c r="K16" s="25" t="s">
        <v>13</v>
      </c>
      <c r="L16" s="26"/>
      <c r="M16" s="27"/>
      <c r="N16" s="59"/>
      <c r="P16" s="86" t="s">
        <v>70</v>
      </c>
      <c r="S16" s="95">
        <f>(SUM(S3:S14)/12)</f>
        <v>0.23227291666666669</v>
      </c>
    </row>
    <row r="17" spans="2:16" ht="13.5">
      <c r="B17" s="4"/>
      <c r="C17" s="67"/>
      <c r="D17" s="65"/>
      <c r="E17" s="65"/>
      <c r="F17" s="65"/>
      <c r="G17" s="65"/>
      <c r="H17" s="21"/>
      <c r="I17" s="6"/>
      <c r="K17" s="25" t="s">
        <v>14</v>
      </c>
      <c r="L17" s="26"/>
      <c r="M17" s="27"/>
      <c r="N17" s="59"/>
    </row>
    <row r="18" spans="2:16" ht="14.25">
      <c r="B18" s="4"/>
      <c r="I18" s="6"/>
      <c r="K18" s="25" t="s">
        <v>69</v>
      </c>
      <c r="L18" s="26"/>
      <c r="M18" s="76" t="s">
        <v>24</v>
      </c>
      <c r="N18" s="58"/>
    </row>
    <row r="19" spans="2:16">
      <c r="B19" s="4"/>
      <c r="C19" s="5"/>
      <c r="D19" s="5"/>
      <c r="E19" s="5"/>
      <c r="F19" s="5"/>
      <c r="G19" s="5"/>
      <c r="H19" s="5"/>
      <c r="I19" s="6"/>
      <c r="K19" s="31" t="s">
        <v>18</v>
      </c>
      <c r="L19" s="26"/>
      <c r="M19" s="27"/>
      <c r="N19" s="59"/>
    </row>
    <row r="20" spans="2:16">
      <c r="B20" s="4"/>
      <c r="C20" s="5" t="s">
        <v>11</v>
      </c>
      <c r="D20" s="5" t="s">
        <v>12</v>
      </c>
      <c r="E20" s="23"/>
      <c r="F20" s="23"/>
      <c r="G20" s="68"/>
      <c r="H20" s="5"/>
      <c r="I20" s="6"/>
    </row>
    <row r="21" spans="2:16">
      <c r="B21" s="4"/>
      <c r="E21" s="24"/>
      <c r="F21" s="24"/>
      <c r="G21" s="28"/>
      <c r="H21" s="5"/>
      <c r="I21" s="6"/>
      <c r="K21" s="33" t="s">
        <v>19</v>
      </c>
      <c r="N21" s="77"/>
    </row>
    <row r="22" spans="2:16">
      <c r="B22" s="4"/>
      <c r="C22" s="7" t="s">
        <v>15</v>
      </c>
      <c r="D22" s="7" t="s">
        <v>16</v>
      </c>
      <c r="E22" s="7" t="s">
        <v>29</v>
      </c>
      <c r="F22" s="7" t="s">
        <v>32</v>
      </c>
      <c r="G22" s="57" t="s">
        <v>17</v>
      </c>
      <c r="H22" s="46"/>
      <c r="I22" s="6"/>
      <c r="N22" s="75"/>
      <c r="O22" s="5"/>
      <c r="P22" s="5"/>
    </row>
    <row r="23" spans="2:16">
      <c r="B23" s="4"/>
      <c r="C23" s="9" t="s">
        <v>65</v>
      </c>
      <c r="D23" s="29">
        <f>INT($E$16*N30)*11/12</f>
        <v>3828</v>
      </c>
      <c r="E23" s="29">
        <f t="shared" ref="E23:E30" si="1">IF($F$16&lt;10, (D23+$L$10)*90/1000, 0)</f>
        <v>0</v>
      </c>
      <c r="F23" s="30">
        <f>INT(D23*$L$8)</f>
        <v>889</v>
      </c>
      <c r="G23" s="29">
        <f>F23-E23</f>
        <v>889</v>
      </c>
      <c r="I23" s="6"/>
      <c r="K23" s="73" t="s">
        <v>43</v>
      </c>
      <c r="L23" s="74"/>
      <c r="M23" s="77" t="s">
        <v>35</v>
      </c>
      <c r="N23" s="75"/>
      <c r="O23" s="5"/>
      <c r="P23" s="5"/>
    </row>
    <row r="24" spans="2:16">
      <c r="B24" s="4"/>
      <c r="C24" s="9">
        <v>2020</v>
      </c>
      <c r="D24" s="29">
        <f>INT($E$16*$G$16)</f>
        <v>60969</v>
      </c>
      <c r="E24" s="29">
        <f t="shared" si="1"/>
        <v>0</v>
      </c>
      <c r="F24" s="30">
        <f t="shared" ref="F24:F30" si="2">INT(D24*$L$8)</f>
        <v>14161</v>
      </c>
      <c r="G24" s="29">
        <f t="shared" ref="G24:G29" si="3">F24-E24</f>
        <v>14161</v>
      </c>
      <c r="H24" s="46"/>
      <c r="I24" s="6"/>
      <c r="L24" s="74">
        <v>90</v>
      </c>
      <c r="M24" s="75" t="s">
        <v>33</v>
      </c>
      <c r="O24" s="58"/>
      <c r="P24" s="5"/>
    </row>
    <row r="25" spans="2:16">
      <c r="B25" s="4"/>
      <c r="C25" s="9">
        <v>2021</v>
      </c>
      <c r="D25" s="29">
        <f t="shared" ref="D25:D29" si="4">INT($E$16*$G$16)</f>
        <v>60969</v>
      </c>
      <c r="E25" s="29">
        <f t="shared" si="1"/>
        <v>0</v>
      </c>
      <c r="F25" s="30">
        <f t="shared" si="2"/>
        <v>14161</v>
      </c>
      <c r="G25" s="29">
        <f t="shared" si="3"/>
        <v>14161</v>
      </c>
      <c r="H25" s="32"/>
      <c r="I25" s="6"/>
      <c r="L25" s="74">
        <v>1000</v>
      </c>
      <c r="M25" s="75" t="s">
        <v>33</v>
      </c>
      <c r="O25" s="58"/>
      <c r="P25" s="5"/>
    </row>
    <row r="26" spans="2:16">
      <c r="B26" s="4"/>
      <c r="C26" s="9">
        <v>2022</v>
      </c>
      <c r="D26" s="29">
        <f t="shared" si="4"/>
        <v>60969</v>
      </c>
      <c r="E26" s="29">
        <f t="shared" si="1"/>
        <v>0</v>
      </c>
      <c r="F26" s="30">
        <f t="shared" si="2"/>
        <v>14161</v>
      </c>
      <c r="G26" s="29">
        <f t="shared" si="3"/>
        <v>14161</v>
      </c>
      <c r="H26" s="23"/>
      <c r="I26" s="6"/>
      <c r="O26" s="5"/>
      <c r="P26" s="5"/>
    </row>
    <row r="27" spans="2:16">
      <c r="B27" s="4"/>
      <c r="C27" s="9">
        <v>2023</v>
      </c>
      <c r="D27" s="29">
        <f t="shared" si="4"/>
        <v>60969</v>
      </c>
      <c r="E27" s="29">
        <f t="shared" si="1"/>
        <v>0</v>
      </c>
      <c r="F27" s="30">
        <f t="shared" si="2"/>
        <v>14161</v>
      </c>
      <c r="G27" s="29">
        <f t="shared" si="3"/>
        <v>14161</v>
      </c>
      <c r="H27" s="5"/>
      <c r="I27" s="6"/>
      <c r="O27" s="59"/>
      <c r="P27" s="5"/>
    </row>
    <row r="28" spans="2:16">
      <c r="B28" s="4"/>
      <c r="C28" s="9">
        <v>2024</v>
      </c>
      <c r="D28" s="29">
        <f t="shared" si="4"/>
        <v>60969</v>
      </c>
      <c r="E28" s="29">
        <f t="shared" si="1"/>
        <v>0</v>
      </c>
      <c r="F28" s="30">
        <f t="shared" si="2"/>
        <v>14161</v>
      </c>
      <c r="G28" s="29">
        <f t="shared" si="3"/>
        <v>14161</v>
      </c>
      <c r="H28" s="5"/>
      <c r="I28" s="6"/>
    </row>
    <row r="29" spans="2:16">
      <c r="B29" s="4"/>
      <c r="C29" s="9">
        <v>2025</v>
      </c>
      <c r="D29" s="29">
        <f t="shared" si="4"/>
        <v>60969</v>
      </c>
      <c r="E29" s="29">
        <f t="shared" si="1"/>
        <v>0</v>
      </c>
      <c r="F29" s="30">
        <f t="shared" si="2"/>
        <v>14161</v>
      </c>
      <c r="G29" s="29">
        <f t="shared" si="3"/>
        <v>14161</v>
      </c>
      <c r="H29" s="5"/>
      <c r="I29" s="6"/>
      <c r="M29" s="11" t="s">
        <v>67</v>
      </c>
      <c r="N29" t="s">
        <v>68</v>
      </c>
    </row>
    <row r="30" spans="2:16">
      <c r="B30" s="4"/>
      <c r="C30" s="9" t="s">
        <v>66</v>
      </c>
      <c r="D30" s="29">
        <f>D29-D23</f>
        <v>57141</v>
      </c>
      <c r="E30" s="29">
        <f t="shared" si="1"/>
        <v>0</v>
      </c>
      <c r="F30" s="30">
        <f t="shared" si="2"/>
        <v>13272</v>
      </c>
      <c r="G30" s="29">
        <f>F30-E30</f>
        <v>13272</v>
      </c>
      <c r="H30" s="5"/>
      <c r="I30" s="6"/>
      <c r="K30" s="94">
        <v>43806</v>
      </c>
      <c r="L30" s="94">
        <v>43830</v>
      </c>
      <c r="M30" s="11">
        <f>(L30-K30)+1</f>
        <v>25</v>
      </c>
      <c r="N30" s="75">
        <f>M30*24</f>
        <v>600</v>
      </c>
    </row>
    <row r="31" spans="2:16">
      <c r="B31" s="4"/>
      <c r="C31" s="7" t="s">
        <v>20</v>
      </c>
      <c r="D31" s="34">
        <f>SUM(D23:D30)</f>
        <v>426783</v>
      </c>
      <c r="E31" s="34">
        <f>SUM(E23:E30)</f>
        <v>0</v>
      </c>
      <c r="F31" s="34">
        <f>SUM(F23:F30)</f>
        <v>99127</v>
      </c>
      <c r="G31" s="34">
        <f>SUM(G23:G30)</f>
        <v>99127</v>
      </c>
      <c r="H31" s="5"/>
      <c r="I31" s="6"/>
      <c r="K31" s="94"/>
      <c r="L31" s="94"/>
    </row>
    <row r="32" spans="2:16">
      <c r="B32" s="4"/>
      <c r="C32" s="35" t="s">
        <v>21</v>
      </c>
      <c r="D32" s="34">
        <f>D31/7</f>
        <v>60969</v>
      </c>
      <c r="E32" s="34">
        <f>E31/7</f>
        <v>0</v>
      </c>
      <c r="F32" s="34">
        <f>F31/7</f>
        <v>14161</v>
      </c>
      <c r="G32" s="34">
        <f>G31/7</f>
        <v>14161</v>
      </c>
      <c r="H32" s="5"/>
      <c r="I32" s="6"/>
    </row>
    <row r="33" spans="2:12">
      <c r="B33" s="4"/>
      <c r="C33" s="90"/>
      <c r="D33" s="91"/>
      <c r="E33" s="91"/>
      <c r="F33" s="91"/>
      <c r="G33" s="91"/>
      <c r="H33" s="5"/>
      <c r="I33" s="6"/>
    </row>
    <row r="34" spans="2:12" ht="13.5" thickBot="1">
      <c r="B34" s="36"/>
      <c r="C34" s="92"/>
      <c r="D34" s="38"/>
      <c r="E34" s="39"/>
      <c r="F34" s="39"/>
      <c r="G34" s="39"/>
      <c r="H34" s="37"/>
      <c r="I34" s="40"/>
    </row>
    <row r="35" spans="2:12" ht="13.5" thickTop="1"/>
    <row r="36" spans="2:12">
      <c r="K36" s="5"/>
      <c r="L36" s="5"/>
    </row>
    <row r="37" spans="2:12">
      <c r="K37" s="5"/>
      <c r="L37" s="5"/>
    </row>
    <row r="38" spans="2:12">
      <c r="G38" s="66"/>
      <c r="H38" s="47"/>
      <c r="K38" s="69"/>
      <c r="L38" s="5"/>
    </row>
    <row r="39" spans="2:12">
      <c r="G39" s="66"/>
      <c r="H39" s="47"/>
      <c r="K39" s="69"/>
      <c r="L39" s="5"/>
    </row>
    <row r="40" spans="2:12">
      <c r="K40" s="69"/>
      <c r="L40" s="5"/>
    </row>
    <row r="41" spans="2:12">
      <c r="K41" s="69"/>
      <c r="L41" s="5"/>
    </row>
    <row r="42" spans="2:12">
      <c r="K42" s="69"/>
      <c r="L42" s="5"/>
    </row>
    <row r="43" spans="2:12">
      <c r="K43" s="69"/>
      <c r="L43" s="5"/>
    </row>
    <row r="44" spans="2:12">
      <c r="K44" s="69"/>
      <c r="L44" s="5"/>
    </row>
    <row r="45" spans="2:12">
      <c r="K45" s="69"/>
      <c r="L45" s="5"/>
    </row>
    <row r="46" spans="2:12">
      <c r="K46" s="69"/>
      <c r="L46" s="5"/>
    </row>
    <row r="47" spans="2:12">
      <c r="K47" s="5"/>
      <c r="L47" s="5"/>
    </row>
    <row r="48" spans="2:12">
      <c r="K48" s="5"/>
      <c r="L48" s="5"/>
    </row>
  </sheetData>
  <mergeCells count="7">
    <mergeCell ref="D11:H11"/>
    <mergeCell ref="D12:H12"/>
    <mergeCell ref="D14:E14"/>
    <mergeCell ref="D7:H7"/>
    <mergeCell ref="D8:H8"/>
    <mergeCell ref="D9:H9"/>
    <mergeCell ref="D10:H10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Q11"/>
  <sheetViews>
    <sheetView showGridLines="0" zoomScale="75" workbookViewId="0">
      <selection activeCell="R16" sqref="R16"/>
    </sheetView>
  </sheetViews>
  <sheetFormatPr defaultRowHeight="12.75"/>
  <cols>
    <col min="17" max="17" width="17.7109375" customWidth="1"/>
  </cols>
  <sheetData>
    <row r="2" spans="2:17">
      <c r="B2" t="s">
        <v>22</v>
      </c>
      <c r="C2" t="s">
        <v>23</v>
      </c>
    </row>
    <row r="3" spans="2:17">
      <c r="C3" s="81" t="s">
        <v>60</v>
      </c>
    </row>
    <row r="5" spans="2:17" ht="15.75">
      <c r="B5" s="100" t="s">
        <v>58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Q5" s="70"/>
    </row>
    <row r="6" spans="2:17" ht="13.5" thickBot="1">
      <c r="B6" s="11"/>
      <c r="C6" s="1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Q6" s="71"/>
    </row>
    <row r="7" spans="2:17" ht="13.5" thickBot="1">
      <c r="B7" s="103" t="s">
        <v>56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Q7" s="108" t="s">
        <v>57</v>
      </c>
    </row>
    <row r="8" spans="2:17">
      <c r="B8" s="106" t="s">
        <v>15</v>
      </c>
      <c r="C8" s="107"/>
      <c r="D8" s="110">
        <v>2019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  <c r="Q8" s="109"/>
    </row>
    <row r="9" spans="2:17">
      <c r="B9" s="42"/>
      <c r="C9" s="43"/>
      <c r="D9" s="48" t="s">
        <v>44</v>
      </c>
      <c r="E9" s="48" t="s">
        <v>45</v>
      </c>
      <c r="F9" s="48" t="s">
        <v>46</v>
      </c>
      <c r="G9" s="48" t="s">
        <v>47</v>
      </c>
      <c r="H9" s="48" t="s">
        <v>48</v>
      </c>
      <c r="I9" s="48" t="s">
        <v>49</v>
      </c>
      <c r="J9" s="48" t="s">
        <v>50</v>
      </c>
      <c r="K9" s="48" t="s">
        <v>51</v>
      </c>
      <c r="L9" s="48" t="s">
        <v>52</v>
      </c>
      <c r="M9" s="48" t="s">
        <v>53</v>
      </c>
      <c r="N9" s="48" t="s">
        <v>54</v>
      </c>
      <c r="O9" s="48" t="s">
        <v>55</v>
      </c>
      <c r="Q9" s="109"/>
    </row>
    <row r="10" spans="2:17" ht="13.5" thickBot="1">
      <c r="B10" s="44"/>
      <c r="C10" s="45"/>
      <c r="D10" s="52">
        <v>0.35399999999999998</v>
      </c>
      <c r="E10" s="52">
        <v>0.55730000000000002</v>
      </c>
      <c r="F10" s="52">
        <v>0.50749999999999995</v>
      </c>
      <c r="G10" s="52">
        <v>0.50949999999999995</v>
      </c>
      <c r="H10" s="52">
        <v>0.47939999999999999</v>
      </c>
      <c r="I10" s="52">
        <v>0.41749999999999998</v>
      </c>
      <c r="J10" s="52">
        <v>0.59140000000000004</v>
      </c>
      <c r="K10" s="52">
        <v>0.53120000000000001</v>
      </c>
      <c r="L10" s="52">
        <v>0.56059999999999999</v>
      </c>
      <c r="M10" s="52">
        <v>0.53700000000000003</v>
      </c>
      <c r="N10" s="52">
        <v>0.57199999999999995</v>
      </c>
      <c r="O10" s="53">
        <v>0.59970000000000001</v>
      </c>
      <c r="Q10" s="72">
        <v>0.13700000000000001</v>
      </c>
    </row>
    <row r="11" spans="2:17">
      <c r="B11" s="11"/>
      <c r="C11" s="1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Q11" s="55"/>
    </row>
  </sheetData>
  <mergeCells count="5">
    <mergeCell ref="B5:O5"/>
    <mergeCell ref="B7:O7"/>
    <mergeCell ref="B8:C8"/>
    <mergeCell ref="Q7:Q9"/>
    <mergeCell ref="D8:O8"/>
  </mergeCells>
  <phoneticPr fontId="0" type="noConversion"/>
  <hyperlinks>
    <hyperlink ref="C3" r:id="rId1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SHP Maracana</vt:lpstr>
      <vt:lpstr>EF</vt:lpstr>
    </vt:vector>
  </TitlesOfParts>
  <Company>Carbotrader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Carbotrader</dc:creator>
  <cp:lastModifiedBy>Arthur</cp:lastModifiedBy>
  <dcterms:created xsi:type="dcterms:W3CDTF">2007-04-27T16:58:20Z</dcterms:created>
  <dcterms:modified xsi:type="dcterms:W3CDTF">2020-08-24T16:45:10Z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