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firstclimateag.sharepoint.com/sites/FirstClimate-intern/FCPD/04_PDE_Projects/PDE-2024-0157 Aben biogas NL/Onsite audit - Verification 2022/#2 Monitoring/5 MR 22/#2 Verification/2 Houbensteyn/An VERRA/Accuracy Review/2nd round/"/>
    </mc:Choice>
  </mc:AlternateContent>
  <xr:revisionPtr revIDLastSave="132" documentId="8_{E7A22D2F-E59E-48F8-A231-89200AF6FFB8}" xr6:coauthVersionLast="47" xr6:coauthVersionMax="47" xr10:uidLastSave="{4416B464-A9A0-4957-9BB4-D69DC7FD49E2}"/>
  <bookViews>
    <workbookView xWindow="57480" yWindow="-120" windowWidth="29040" windowHeight="15720" tabRatio="792" xr2:uid="{00000000-000D-0000-FFFF-FFFF00000000}"/>
  </bookViews>
  <sheets>
    <sheet name="Overview " sheetId="16" r:id="rId1"/>
    <sheet name="BE Manure - AMS-III D" sheetId="14" r:id="rId2"/>
    <sheet name="BE Heat - AMS-I C" sheetId="19" r:id="rId3"/>
    <sheet name="PE - Physical leakage" sheetId="17" r:id="rId4"/>
    <sheet name="Biogas production" sheetId="21" r:id="rId5"/>
    <sheet name="Co-Substrates" sheetId="22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6" l="1"/>
  <c r="F33" i="21"/>
  <c r="E35" i="21" s="1"/>
  <c r="E33" i="21"/>
  <c r="F31" i="21"/>
  <c r="F32" i="21"/>
  <c r="E32" i="21"/>
  <c r="E31" i="21"/>
  <c r="F28" i="21"/>
  <c r="E28" i="21"/>
  <c r="F27" i="21"/>
  <c r="E27" i="21"/>
  <c r="D15" i="21"/>
  <c r="C15" i="21"/>
  <c r="D14" i="21"/>
  <c r="D13" i="21"/>
  <c r="F26" i="21" l="1"/>
  <c r="E26" i="21"/>
  <c r="F24" i="21"/>
  <c r="E24" i="21"/>
  <c r="E22" i="21"/>
  <c r="E6" i="14" l="1"/>
  <c r="D32" i="19" l="1"/>
  <c r="D6" i="14" l="1"/>
  <c r="D40" i="19" s="1"/>
  <c r="D25" i="14"/>
  <c r="D26" i="19"/>
  <c r="D30" i="19" l="1"/>
  <c r="D45" i="19"/>
  <c r="C5" i="22" l="1"/>
  <c r="E6" i="21" l="1"/>
  <c r="D6" i="21" l="1"/>
  <c r="B36" i="21"/>
  <c r="C7" i="21"/>
  <c r="C74" i="14" l="1"/>
  <c r="D15" i="14" s="1"/>
  <c r="B74" i="14"/>
  <c r="D12" i="14" s="1"/>
  <c r="F6" i="21" l="1"/>
  <c r="D31" i="19"/>
  <c r="E9" i="14"/>
  <c r="E18" i="14"/>
  <c r="E20" i="14"/>
  <c r="E21" i="14"/>
  <c r="E22" i="14"/>
  <c r="D7" i="21"/>
  <c r="D10" i="19" l="1"/>
  <c r="E7" i="21"/>
  <c r="F7" i="21"/>
  <c r="D49" i="19"/>
  <c r="D52" i="19" s="1"/>
  <c r="D57" i="19" s="1"/>
  <c r="E12" i="14"/>
  <c r="D13" i="19" l="1"/>
  <c r="E15" i="14"/>
  <c r="E25" i="14"/>
  <c r="D7" i="16" l="1"/>
  <c r="D28" i="14"/>
  <c r="D31" i="14" s="1"/>
  <c r="D34" i="14" s="1"/>
  <c r="D36" i="14" s="1"/>
  <c r="E28" i="14"/>
  <c r="E31" i="14" s="1"/>
  <c r="E34" i="14" s="1"/>
  <c r="E36" i="14" s="1"/>
  <c r="D37" i="14" l="1"/>
  <c r="C7" i="16" s="1"/>
  <c r="D9" i="17" l="1"/>
  <c r="D11" i="17" l="1"/>
  <c r="E7" i="16" s="1"/>
  <c r="F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tc={5B8958BD-7D51-441D-BEFF-672646BD4D48}</author>
  </authors>
  <commentList>
    <comment ref="B12" authorId="0" shapeId="0" xr:uid="{5B8958BD-7D51-441D-BEFF-672646BD4D4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Assurance report S.3</t>
      </text>
    </comment>
  </commentList>
</comments>
</file>

<file path=xl/sharedStrings.xml><?xml version="1.0" encoding="utf-8"?>
<sst xmlns="http://schemas.openxmlformats.org/spreadsheetml/2006/main" count="285" uniqueCount="213">
  <si>
    <t>Methane Recovery Project - Houbensteyn Ysselsteyn</t>
  </si>
  <si>
    <t xml:space="preserve">Calculation of Net Emission Reductions for the period 01.01.2022 - 31.12.2022 </t>
  </si>
  <si>
    <t xml:space="preserve">BASELINE EMISSIONS </t>
  </si>
  <si>
    <r>
      <t>CH</t>
    </r>
    <r>
      <rPr>
        <b/>
        <vertAlign val="subscript"/>
        <sz val="11"/>
        <color indexed="8"/>
        <rFont val="Calibri"/>
        <family val="2"/>
      </rPr>
      <t>4</t>
    </r>
    <r>
      <rPr>
        <b/>
        <sz val="11"/>
        <color indexed="8"/>
        <rFont val="Calibri"/>
        <family val="2"/>
      </rPr>
      <t xml:space="preserve"> emission from manure management 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</si>
  <si>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 from thermal energy production</t>
    </r>
  </si>
  <si>
    <t xml:space="preserve">Project emissions -                     Physical leakage </t>
  </si>
  <si>
    <t>Net GHG Emission Reductions</t>
  </si>
  <si>
    <t>Unit</t>
  </si>
  <si>
    <r>
      <t>t CO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e</t>
    </r>
  </si>
  <si>
    <r>
      <t>t CO</t>
    </r>
    <r>
      <rPr>
        <vertAlign val="subscript"/>
        <sz val="10"/>
        <rFont val="Calibri"/>
        <family val="2"/>
      </rPr>
      <t>2</t>
    </r>
  </si>
  <si>
    <t>Calculation of ex-post baseline emissions according to AMS-III.D</t>
  </si>
  <si>
    <t>Parameter</t>
  </si>
  <si>
    <t>Description</t>
  </si>
  <si>
    <t>Manure inputs 2022</t>
  </si>
  <si>
    <t>Datasource/Comments</t>
  </si>
  <si>
    <t>Houbensteyn</t>
  </si>
  <si>
    <t>External suppliers</t>
  </si>
  <si>
    <r>
      <t>Q</t>
    </r>
    <r>
      <rPr>
        <b/>
        <vertAlign val="subscript"/>
        <sz val="10"/>
        <rFont val="Calibri"/>
        <family val="2"/>
      </rPr>
      <t>fm,j,LT,y</t>
    </r>
  </si>
  <si>
    <t>Fresh manure</t>
  </si>
  <si>
    <t>Liquid pig manure</t>
  </si>
  <si>
    <t>t/y</t>
  </si>
  <si>
    <t xml:space="preserve">Project data </t>
  </si>
  <si>
    <r>
      <t>Bo</t>
    </r>
    <r>
      <rPr>
        <b/>
        <vertAlign val="subscript"/>
        <sz val="10"/>
        <rFont val="Calibri"/>
        <family val="2"/>
      </rPr>
      <t>LT</t>
    </r>
  </si>
  <si>
    <r>
      <t>CH</t>
    </r>
    <r>
      <rPr>
        <vertAlign val="subscript"/>
        <sz val="10"/>
        <rFont val="Calibri"/>
        <family val="2"/>
      </rPr>
      <t>4</t>
    </r>
    <r>
      <rPr>
        <sz val="10"/>
        <rFont val="Calibri"/>
        <family val="2"/>
      </rPr>
      <t xml:space="preserve"> capacity</t>
    </r>
  </si>
  <si>
    <r>
      <t>m³ CH</t>
    </r>
    <r>
      <rPr>
        <vertAlign val="subscript"/>
        <sz val="10"/>
        <rFont val="Calibri"/>
        <family val="2"/>
      </rPr>
      <t>4</t>
    </r>
    <r>
      <rPr>
        <sz val="10"/>
        <rFont val="Calibri"/>
        <family val="2"/>
      </rPr>
      <t>/kg odm</t>
    </r>
  </si>
  <si>
    <t>National Inventory Report 2021 - Annex 7 Van der Zee (2021) - Methodology for estimating emission from agriculture in the Netherlands - Section 4.2.3, p. 54</t>
  </si>
  <si>
    <r>
      <t>dm</t>
    </r>
    <r>
      <rPr>
        <b/>
        <vertAlign val="subscript"/>
        <sz val="10"/>
        <rFont val="Calibri"/>
        <family val="2"/>
      </rPr>
      <t>j,LT</t>
    </r>
  </si>
  <si>
    <t>Average dry matter content</t>
  </si>
  <si>
    <t>dm/fm</t>
  </si>
  <si>
    <t>Project data /dm values for "manure external" are calculated : dm (own manure) x 90%</t>
  </si>
  <si>
    <r>
      <t>SVS</t>
    </r>
    <r>
      <rPr>
        <b/>
        <vertAlign val="subscript"/>
        <sz val="10"/>
        <rFont val="Calibri"/>
        <family val="2"/>
      </rPr>
      <t>j,LT</t>
    </r>
  </si>
  <si>
    <t>Average organic dry matter content</t>
  </si>
  <si>
    <t>svs/dm</t>
  </si>
  <si>
    <t>Project data /SVS values for "manure external" are calculated : SVS (own manure) x 90%</t>
  </si>
  <si>
    <r>
      <t>MCF</t>
    </r>
    <r>
      <rPr>
        <b/>
        <vertAlign val="subscript"/>
        <sz val="10"/>
        <rFont val="Calibri"/>
        <family val="2"/>
      </rPr>
      <t>j</t>
    </r>
  </si>
  <si>
    <t>Methane conversion factor</t>
  </si>
  <si>
    <t>%</t>
  </si>
  <si>
    <r>
      <t>Uf</t>
    </r>
    <r>
      <rPr>
        <b/>
        <vertAlign val="subscript"/>
        <sz val="10"/>
        <rFont val="Calibri"/>
        <family val="2"/>
      </rPr>
      <t>b</t>
    </r>
  </si>
  <si>
    <t>Model correction factor to account for model uncertainties</t>
  </si>
  <si>
    <t>#</t>
  </si>
  <si>
    <t>AMS-III.D, Subsidiary Body for Scientific and Technological advice, FCCC/SBSTA/2003/10/Add.2, page 25</t>
  </si>
  <si>
    <r>
      <t>D</t>
    </r>
    <r>
      <rPr>
        <b/>
        <vertAlign val="subscript"/>
        <sz val="10"/>
        <rFont val="Calibri"/>
        <family val="2"/>
      </rPr>
      <t>CH4</t>
    </r>
  </si>
  <si>
    <t xml:space="preserve">Density of methane </t>
  </si>
  <si>
    <t>t/Nm³</t>
  </si>
  <si>
    <t>IPCC Good Practice Guidance and Uncertainty management in National Greenhouse Gas Inventories, page 4.36</t>
  </si>
  <si>
    <r>
      <t>GWP</t>
    </r>
    <r>
      <rPr>
        <b/>
        <vertAlign val="subscript"/>
        <sz val="10"/>
        <rFont val="Calibri"/>
        <family val="2"/>
      </rPr>
      <t>CH4</t>
    </r>
  </si>
  <si>
    <t>Global warming potential of methane</t>
  </si>
  <si>
    <t>IPCC Fifth Assessment Report 2014, chapter 8, table 8.7, page 714</t>
  </si>
  <si>
    <r>
      <t>Q</t>
    </r>
    <r>
      <rPr>
        <b/>
        <vertAlign val="subscript"/>
        <sz val="10"/>
        <rFont val="Calibri"/>
        <family val="2"/>
      </rPr>
      <t>manure,j,LT,y</t>
    </r>
  </si>
  <si>
    <t>Dry matter</t>
  </si>
  <si>
    <t>t dm/y</t>
  </si>
  <si>
    <t>Calculated</t>
  </si>
  <si>
    <r>
      <t>odm</t>
    </r>
    <r>
      <rPr>
        <b/>
        <vertAlign val="subscript"/>
        <sz val="10"/>
        <rFont val="Calibri"/>
        <family val="2"/>
      </rPr>
      <t>LT</t>
    </r>
    <r>
      <rPr>
        <b/>
        <sz val="10"/>
        <rFont val="Calibri"/>
        <family val="2"/>
      </rPr>
      <t>,</t>
    </r>
    <r>
      <rPr>
        <b/>
        <vertAlign val="subscript"/>
        <sz val="10"/>
        <rFont val="Calibri"/>
        <family val="2"/>
      </rPr>
      <t>y</t>
    </r>
  </si>
  <si>
    <t>Organic dry matter</t>
  </si>
  <si>
    <t>t odm/y</t>
  </si>
  <si>
    <r>
      <t>EF</t>
    </r>
    <r>
      <rPr>
        <b/>
        <vertAlign val="subscript"/>
        <sz val="10"/>
        <rFont val="Calibri"/>
        <family val="2"/>
      </rPr>
      <t>LT,y</t>
    </r>
  </si>
  <si>
    <t>Methane potential</t>
  </si>
  <si>
    <r>
      <t>m³ CH</t>
    </r>
    <r>
      <rPr>
        <vertAlign val="subscript"/>
        <sz val="10"/>
        <rFont val="Calibri"/>
        <family val="2"/>
      </rPr>
      <t>4</t>
    </r>
    <r>
      <rPr>
        <sz val="10"/>
        <rFont val="Calibri"/>
        <family val="2"/>
      </rPr>
      <t xml:space="preserve"> /y</t>
    </r>
  </si>
  <si>
    <r>
      <t>BE</t>
    </r>
    <r>
      <rPr>
        <b/>
        <vertAlign val="subscript"/>
        <sz val="10"/>
        <rFont val="Calibri"/>
        <family val="2"/>
      </rPr>
      <t>LM,y</t>
    </r>
  </si>
  <si>
    <t>Baseline Emissions Manure</t>
  </si>
  <si>
    <r>
      <t>t CO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e /y</t>
    </r>
  </si>
  <si>
    <r>
      <t>BE</t>
    </r>
    <r>
      <rPr>
        <b/>
        <vertAlign val="subscript"/>
        <sz val="10"/>
        <rFont val="Calibri"/>
        <family val="2"/>
      </rPr>
      <t>Y,ex-post</t>
    </r>
  </si>
  <si>
    <r>
      <t>t CO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>e /y</t>
    </r>
  </si>
  <si>
    <t xml:space="preserve">Total Baseline Emissions AMS-III.D </t>
  </si>
  <si>
    <t>PIG MANURE</t>
  </si>
  <si>
    <t>DRY MATTER</t>
  </si>
  <si>
    <t>ORGANIC DRY MATTER</t>
  </si>
  <si>
    <t>kg dm/kg</t>
  </si>
  <si>
    <t>odm/dm</t>
  </si>
  <si>
    <t>Calculation of ex-post baseline emissions from fuel energy consumption</t>
  </si>
  <si>
    <t>1. For space heating and pre-heating the piglet food</t>
  </si>
  <si>
    <t xml:space="preserve">2. For hygienization </t>
  </si>
  <si>
    <t>1. Calculation of ex-post baseline emissions from space heating and pre-heating piglet food</t>
  </si>
  <si>
    <t>SPACE HEATING AND PRE-HEATING PIGLET FOOD</t>
  </si>
  <si>
    <r>
      <t>Formula to calculate baseline emissions</t>
    </r>
    <r>
      <rPr>
        <b/>
        <u/>
        <sz val="10"/>
        <rFont val="Calibri"/>
        <family val="2"/>
      </rPr>
      <t xml:space="preserve"> from heating with fossil fuels </t>
    </r>
  </si>
  <si>
    <t>Sources / Comments</t>
  </si>
  <si>
    <t>Thermal energy use from space heating and pre-heating piglet food</t>
  </si>
  <si>
    <r>
      <t>EG</t>
    </r>
    <r>
      <rPr>
        <vertAlign val="subscript"/>
        <sz val="10.5"/>
        <rFont val="Calibri"/>
        <family val="2"/>
      </rPr>
      <t>thermal,CO2,SH,PF,y</t>
    </r>
  </si>
  <si>
    <t>TJ</t>
  </si>
  <si>
    <t xml:space="preserve">Calculated in the sub-steps in the table below </t>
  </si>
  <si>
    <t>Country specific emission factor for natural gas</t>
  </si>
  <si>
    <r>
      <t>EF</t>
    </r>
    <r>
      <rPr>
        <vertAlign val="subscript"/>
        <sz val="10.5"/>
        <rFont val="Calibri"/>
        <family val="2"/>
      </rPr>
      <t>FF,CO2</t>
    </r>
  </si>
  <si>
    <r>
      <t>t CO</t>
    </r>
    <r>
      <rPr>
        <vertAlign val="sub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>/TJ</t>
    </r>
  </si>
  <si>
    <t>The Netherlands: list of fuels and standard CO2 emission factors version of January 2022, Netherlands Enterprise Agency, p. 4, https://english.rvo.nl/sites/default/files/2022/05/The%20Netherlands%20list%20of%20fuels%20and%20standard%20CO2%20emission%20factors%20January%202022.pdf</t>
  </si>
  <si>
    <t>Efficiency of the plants using natural gas</t>
  </si>
  <si>
    <r>
      <t>η</t>
    </r>
    <r>
      <rPr>
        <vertAlign val="subscript"/>
        <sz val="10.5"/>
        <color indexed="63"/>
        <rFont val="Calibri"/>
        <family val="2"/>
      </rPr>
      <t>BL,thermal</t>
    </r>
  </si>
  <si>
    <t>Default value, AMS-I.C, paragrah 42. c)</t>
  </si>
  <si>
    <t>+</t>
  </si>
  <si>
    <t>Baseline emissions from heating pig stalls and drying potatoes</t>
  </si>
  <si>
    <r>
      <t>BE</t>
    </r>
    <r>
      <rPr>
        <b/>
        <vertAlign val="subscript"/>
        <sz val="11"/>
        <rFont val="Calibri"/>
        <family val="2"/>
      </rPr>
      <t>thermal,CO2,SH,PF,y</t>
    </r>
  </si>
  <si>
    <r>
      <t>t CO</t>
    </r>
    <r>
      <rPr>
        <b/>
        <vertAlign val="subscript"/>
        <sz val="11"/>
        <color indexed="8"/>
        <rFont val="Calibri"/>
        <family val="2"/>
      </rPr>
      <t>2</t>
    </r>
  </si>
  <si>
    <t>kWh</t>
  </si>
  <si>
    <t>Tj</t>
  </si>
  <si>
    <t>Gj</t>
  </si>
  <si>
    <t>Sub-steps for calcualtion of ex-post baseline emissions from from space heating and pre-heating piglet food</t>
  </si>
  <si>
    <t>CALCULATION HEAT USE - HYGIENISATION UNIT</t>
  </si>
  <si>
    <t>Formula to calculate the thermal energy use from hygienisation in the project scenario</t>
  </si>
  <si>
    <t>Quantity of digestate from project activity</t>
  </si>
  <si>
    <t>Digestate</t>
  </si>
  <si>
    <t xml:space="preserve">kg </t>
  </si>
  <si>
    <t>Specific heat capacity of digestate</t>
  </si>
  <si>
    <r>
      <t>Cap</t>
    </r>
    <r>
      <rPr>
        <vertAlign val="subscript"/>
        <sz val="10"/>
        <rFont val="Calibri"/>
        <family val="2"/>
      </rPr>
      <t>heat,PR</t>
    </r>
  </si>
  <si>
    <t>kWh/t</t>
  </si>
  <si>
    <t>“Biogashandbuch Bayern, 17.05.2007 (Trad: Biogas manual Bavaria), Section 1.7.8, p. 22., https://energypedia.info/images/6/65/Biogashandbuch_Bayern.pdf</t>
  </si>
  <si>
    <t>Inlet temperature of digestate</t>
  </si>
  <si>
    <r>
      <t>T</t>
    </r>
    <r>
      <rPr>
        <vertAlign val="subscript"/>
        <sz val="10"/>
        <color indexed="8"/>
        <rFont val="Calibri"/>
        <family val="2"/>
      </rPr>
      <t>inlet,PR</t>
    </r>
  </si>
  <si>
    <t>°C</t>
  </si>
  <si>
    <t xml:space="preserve">Outlet temperature of digestate </t>
  </si>
  <si>
    <r>
      <t>T</t>
    </r>
    <r>
      <rPr>
        <vertAlign val="subscript"/>
        <sz val="10"/>
        <color indexed="8"/>
        <rFont val="Calibri"/>
        <family val="2"/>
      </rPr>
      <t>Hyg</t>
    </r>
  </si>
  <si>
    <t xml:space="preserve">Efficiency heat exchanger </t>
  </si>
  <si>
    <r>
      <t>Eff</t>
    </r>
    <r>
      <rPr>
        <vertAlign val="subscript"/>
        <sz val="10"/>
        <color indexed="8"/>
        <rFont val="Calibri"/>
        <family val="2"/>
      </rPr>
      <t>ex.PR</t>
    </r>
  </si>
  <si>
    <t>Default value, AMS-I.C, Appendix 1</t>
  </si>
  <si>
    <t xml:space="preserve">Thermal energy use from digestate hygienisation unit </t>
  </si>
  <si>
    <r>
      <t>Heat</t>
    </r>
    <r>
      <rPr>
        <b/>
        <vertAlign val="subscript"/>
        <sz val="10"/>
        <rFont val="Calibri"/>
        <family val="2"/>
      </rPr>
      <t>HYG,y</t>
    </r>
  </si>
  <si>
    <t>kWh/y</t>
  </si>
  <si>
    <t>Formula to calculate the thermal energy used from space heating and preheating piglet food</t>
  </si>
  <si>
    <t xml:space="preserve">Total external thermal energy use </t>
  </si>
  <si>
    <r>
      <t>Heat</t>
    </r>
    <r>
      <rPr>
        <vertAlign val="subscript"/>
        <sz val="10"/>
        <rFont val="Calibri"/>
        <family val="2"/>
      </rPr>
      <t>tot,y</t>
    </r>
  </si>
  <si>
    <t xml:space="preserve">Thermal energy use from digestate hygienisation </t>
  </si>
  <si>
    <r>
      <t>Heat</t>
    </r>
    <r>
      <rPr>
        <vertAlign val="subscript"/>
        <sz val="10"/>
        <rFont val="Calibri"/>
        <family val="2"/>
      </rPr>
      <t>HYG,y</t>
    </r>
  </si>
  <si>
    <t>Calculated in the table above</t>
  </si>
  <si>
    <r>
      <t>EG</t>
    </r>
    <r>
      <rPr>
        <b/>
        <vertAlign val="subscript"/>
        <sz val="10"/>
        <rFont val="Calibri"/>
        <family val="2"/>
      </rPr>
      <t>thermal,CO2,SH,PF,y</t>
    </r>
  </si>
  <si>
    <t>2. Calculation of baseline emissions from manure hygienization</t>
  </si>
  <si>
    <t>HYGIENIZATION (Step 1)</t>
  </si>
  <si>
    <t>Formula to calculate the thermal energy use from hygienisation in the baseline scenario</t>
  </si>
  <si>
    <t>Quantity of fresh manure treated</t>
  </si>
  <si>
    <r>
      <t>Q</t>
    </r>
    <r>
      <rPr>
        <vertAlign val="subscript"/>
        <sz val="10"/>
        <rFont val="Calibri"/>
        <family val="2"/>
      </rPr>
      <t>fm,j,LT,y</t>
    </r>
  </si>
  <si>
    <t>kg</t>
  </si>
  <si>
    <t xml:space="preserve">Specific heat capacity of manure </t>
  </si>
  <si>
    <r>
      <t>Cap</t>
    </r>
    <r>
      <rPr>
        <vertAlign val="subscript"/>
        <sz val="10"/>
        <color indexed="8"/>
        <rFont val="Calibri"/>
        <family val="2"/>
      </rPr>
      <t>Heat,BE</t>
    </r>
  </si>
  <si>
    <t>KJ/kg K</t>
  </si>
  <si>
    <t>Wikipedia</t>
  </si>
  <si>
    <t>Inlet temperature of manure</t>
  </si>
  <si>
    <r>
      <t>T</t>
    </r>
    <r>
      <rPr>
        <vertAlign val="subscript"/>
        <sz val="10"/>
        <color indexed="8"/>
        <rFont val="Calibri"/>
        <family val="2"/>
      </rPr>
      <t>inlet,BE</t>
    </r>
  </si>
  <si>
    <t>World Weather Online, 
https://www.worldweatheronline.com/lang/es/wanroij-weather
averages/north-brabant/nl.aspx</t>
  </si>
  <si>
    <t>Outlet temperature of manure</t>
  </si>
  <si>
    <r>
      <t>Eff</t>
    </r>
    <r>
      <rPr>
        <vertAlign val="subscript"/>
        <sz val="10"/>
        <color indexed="8"/>
        <rFont val="Calibri"/>
        <family val="2"/>
      </rPr>
      <t>Hex</t>
    </r>
  </si>
  <si>
    <t xml:space="preserve">Baseline consumption of fossil energy for hygienization </t>
  </si>
  <si>
    <r>
      <t>EG</t>
    </r>
    <r>
      <rPr>
        <b/>
        <vertAlign val="subscript"/>
        <sz val="10"/>
        <rFont val="Calibri"/>
        <family val="2"/>
      </rPr>
      <t>thermal,CO2,HYG,y</t>
    </r>
  </si>
  <si>
    <t>HYGIENIZATION (Step 2)</t>
  </si>
  <si>
    <t>Consumption of natural gas in hygienization system</t>
  </si>
  <si>
    <r>
      <t>EG</t>
    </r>
    <r>
      <rPr>
        <vertAlign val="subscript"/>
        <sz val="10"/>
        <rFont val="Calibri"/>
        <family val="2"/>
      </rPr>
      <t>thermal,CO2,HYG,y</t>
    </r>
  </si>
  <si>
    <t>Calculated in excel table above</t>
  </si>
  <si>
    <r>
      <t>EF</t>
    </r>
    <r>
      <rPr>
        <vertAlign val="subscript"/>
        <sz val="10"/>
        <rFont val="Calibri"/>
        <family val="2"/>
      </rPr>
      <t>FF,CO2</t>
    </r>
  </si>
  <si>
    <r>
      <t>t CO</t>
    </r>
    <r>
      <rPr>
        <vertAlign val="sub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/TJ</t>
    </r>
  </si>
  <si>
    <t>The Netherlands: list of fuels and standard CO2 emission factors version of January 2021, Netherlands Enterprise Agency, p. 4, https://english.rvo.nl/sites/default/files/2021/05/the%20Netherlands%20list%20of%20fuels%20version%20January%202021.pdf</t>
  </si>
  <si>
    <t xml:space="preserve">Efficiency of the plant using fossil fuel </t>
  </si>
  <si>
    <r>
      <t>η</t>
    </r>
    <r>
      <rPr>
        <vertAlign val="subscript"/>
        <sz val="10"/>
        <color indexed="63"/>
        <rFont val="Calibri"/>
        <family val="2"/>
      </rPr>
      <t>BL,thermal</t>
    </r>
  </si>
  <si>
    <t xml:space="preserve">AMS-I.C, Appendix 1 "Default baseline efficiency values", p. 38 </t>
  </si>
  <si>
    <t>Baseline emissions from hygienization</t>
  </si>
  <si>
    <r>
      <t>BE</t>
    </r>
    <r>
      <rPr>
        <b/>
        <vertAlign val="subscript"/>
        <sz val="10"/>
        <rFont val="Calibri"/>
        <family val="2"/>
      </rPr>
      <t>thermal,CO2,HYG,y</t>
    </r>
  </si>
  <si>
    <r>
      <t>t CO</t>
    </r>
    <r>
      <rPr>
        <b/>
        <vertAlign val="subscript"/>
        <sz val="10"/>
        <color indexed="8"/>
        <rFont val="Calibri"/>
        <family val="2"/>
      </rPr>
      <t>2</t>
    </r>
  </si>
  <si>
    <t>TOTAL BASELINE EMISSIONS FROM THERMAL ENERGY CONSUMPTION</t>
  </si>
  <si>
    <t>Formula to calculate the total baseline emissions from thermal energy use</t>
  </si>
  <si>
    <t>Total baseline emissions from thermal energy consumption</t>
  </si>
  <si>
    <r>
      <t>BE</t>
    </r>
    <r>
      <rPr>
        <b/>
        <vertAlign val="subscript"/>
        <sz val="10"/>
        <rFont val="Calibri"/>
        <family val="2"/>
      </rPr>
      <t>thermal,CO2,tot,y</t>
    </r>
  </si>
  <si>
    <t>*Heat measurements in the Meetrapport 2022 (page 2)</t>
  </si>
  <si>
    <t>GJ</t>
  </si>
  <si>
    <t>Project emissions from physical leakage of biogas plant</t>
  </si>
  <si>
    <r>
      <t>Formula for calculation of project</t>
    </r>
    <r>
      <rPr>
        <b/>
        <vertAlign val="subscript"/>
        <sz val="14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emissions from physical leakage</t>
    </r>
  </si>
  <si>
    <t xml:space="preserve">Sources </t>
  </si>
  <si>
    <t>BE Manure - AMS-III.D</t>
  </si>
  <si>
    <r>
      <t>BE</t>
    </r>
    <r>
      <rPr>
        <vertAlign val="subscript"/>
        <sz val="11"/>
        <rFont val="Calibri"/>
        <family val="2"/>
      </rPr>
      <t>y</t>
    </r>
  </si>
  <si>
    <r>
      <t>t CO</t>
    </r>
    <r>
      <rPr>
        <vertAlign val="sub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>e</t>
    </r>
  </si>
  <si>
    <t>Calculated under "BE Manure - AMS-III.D"</t>
  </si>
  <si>
    <t>Factor for project emission from physical leakage</t>
  </si>
  <si>
    <t>AMS-III.D, p. 11</t>
  </si>
  <si>
    <t>Project emissions from physical leakage</t>
  </si>
  <si>
    <r>
      <t>PE</t>
    </r>
    <r>
      <rPr>
        <b/>
        <vertAlign val="subscript"/>
        <sz val="11"/>
        <rFont val="Calibri"/>
        <family val="2"/>
      </rPr>
      <t>PL,y</t>
    </r>
  </si>
  <si>
    <r>
      <t>t 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>e</t>
    </r>
  </si>
  <si>
    <t>Biogas and electricity production during the monitoring period 2022</t>
  </si>
  <si>
    <t>Year</t>
  </si>
  <si>
    <t>Electricity produced              [kWh]</t>
  </si>
  <si>
    <t>Biogas produced                                [m³]</t>
  </si>
  <si>
    <t>Weighted average Methane content [%]</t>
  </si>
  <si>
    <t>CHP efficiency</t>
  </si>
  <si>
    <t>Formula for the calculation of biogas production</t>
  </si>
  <si>
    <t>EEP</t>
  </si>
  <si>
    <t>BGP</t>
  </si>
  <si>
    <r>
      <t>x</t>
    </r>
    <r>
      <rPr>
        <b/>
        <vertAlign val="subscript"/>
        <sz val="11"/>
        <rFont val="Calibri"/>
        <family val="2"/>
        <scheme val="minor"/>
      </rPr>
      <t>CH4</t>
    </r>
  </si>
  <si>
    <r>
      <t>ETA</t>
    </r>
    <r>
      <rPr>
        <i/>
        <vertAlign val="subscript"/>
        <sz val="11"/>
        <color indexed="8"/>
        <rFont val="Calibri"/>
        <family val="2"/>
        <scheme val="minor"/>
      </rPr>
      <t>CHP-el</t>
    </r>
  </si>
  <si>
    <t xml:space="preserve">Total </t>
  </si>
  <si>
    <t>Biogas production in m³/year  (Source: "Meetrapport 2022 Houbensteyn")</t>
  </si>
  <si>
    <t>Where:</t>
  </si>
  <si>
    <t>Biogas produced [m³]</t>
  </si>
  <si>
    <t>Electricity energy produced [kWh]</t>
  </si>
  <si>
    <r>
      <t>ETA</t>
    </r>
    <r>
      <rPr>
        <vertAlign val="subscript"/>
        <sz val="11"/>
        <color indexed="8"/>
        <rFont val="Calibri"/>
        <family val="2"/>
        <scheme val="minor"/>
      </rPr>
      <t>CHP-el</t>
    </r>
  </si>
  <si>
    <t xml:space="preserve">Electric efficiency of the CHP engines </t>
  </si>
  <si>
    <r>
      <t>HV</t>
    </r>
    <r>
      <rPr>
        <vertAlign val="subscript"/>
        <sz val="11"/>
        <color indexed="8"/>
        <rFont val="Calibri"/>
        <family val="2"/>
        <scheme val="minor"/>
      </rPr>
      <t>Biogas</t>
    </r>
  </si>
  <si>
    <t>Caloric value biogas [kWh/m³]</t>
  </si>
  <si>
    <r>
      <t>x</t>
    </r>
    <r>
      <rPr>
        <vertAlign val="subscript"/>
        <sz val="11"/>
        <color indexed="8"/>
        <rFont val="Calibri"/>
        <family val="2"/>
        <scheme val="minor"/>
      </rPr>
      <t>CH4</t>
    </r>
  </si>
  <si>
    <r>
      <t>CH</t>
    </r>
    <r>
      <rPr>
        <vertAlign val="subscript"/>
        <sz val="11"/>
        <color indexed="8"/>
        <rFont val="Calibri"/>
        <family val="2"/>
        <scheme val="minor"/>
      </rPr>
      <t>4</t>
    </r>
    <r>
      <rPr>
        <sz val="10"/>
        <rFont val="Calibri"/>
        <family val="2"/>
        <scheme val="minor"/>
      </rPr>
      <t xml:space="preserve"> volume content of biogas flow [%]</t>
    </r>
  </si>
  <si>
    <t>-</t>
  </si>
  <si>
    <t>Co-substrate input during the monitoring period 2022</t>
  </si>
  <si>
    <t>Co-substrate input [t/a]</t>
  </si>
  <si>
    <r>
      <t>B</t>
    </r>
    <r>
      <rPr>
        <b/>
        <vertAlign val="subscript"/>
        <sz val="11"/>
        <color indexed="8"/>
        <rFont val="Calibri"/>
        <family val="2"/>
      </rPr>
      <t>Biomass,y</t>
    </r>
  </si>
  <si>
    <t>App B - 5, App B - 1a, page 3</t>
  </si>
  <si>
    <t>App B - 1a, page 3</t>
  </si>
  <si>
    <t>App B - 3 - 2022 UITGAANDE MEST HYS</t>
  </si>
  <si>
    <t>App B - 5 (External suppliers), App B - 1a, page 4 (co-substrates) and App B - 3 (digestate)</t>
  </si>
  <si>
    <t>t pig manure in 2022</t>
  </si>
  <si>
    <t>m³ biogas/t pig manure</t>
  </si>
  <si>
    <t>m³ biogas from manure</t>
  </si>
  <si>
    <t xml:space="preserve">Electricity production </t>
  </si>
  <si>
    <t>Conversion factor</t>
  </si>
  <si>
    <t>Conversion factor from biogas to electricity production</t>
  </si>
  <si>
    <t>kWh electricity production</t>
  </si>
  <si>
    <t>Density of methane</t>
  </si>
  <si>
    <t>GWP of methane</t>
  </si>
  <si>
    <t>NCV of methane</t>
  </si>
  <si>
    <t>t CO2e</t>
  </si>
  <si>
    <t xml:space="preserve">t CO2e in total </t>
  </si>
  <si>
    <t>Energy conversion efficiency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</si>
</sst>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-* #,##0.00\ _€_-;\-* #,##0.00\ _€_-;_-* &quot;-&quot;??\ _€_-;_-@_-"/>
    <numFmt numFmtId="166" formatCode="_-* #,##0.00\ _€_-;\-* #,##0.00\ _€_-;_-* \-??\ _€_-;_-@_-"/>
    <numFmt numFmtId="167" formatCode="_-* #,##0\ _€_-;\-* #,##0\ _€_-;_-* \-??\ _€_-;_-@_-"/>
    <numFmt numFmtId="168" formatCode="0.000"/>
    <numFmt numFmtId="169" formatCode="#,##0.0"/>
    <numFmt numFmtId="170" formatCode="0.0"/>
    <numFmt numFmtId="171" formatCode="_ * #,##0_ ;_ * \-#,##0_ ;_ * &quot;-&quot;??_ ;_ @_ "/>
    <numFmt numFmtId="172" formatCode="_-* #,##0\ _€_-;\-* #,##0\ _€_-;_-* &quot;-&quot;??\ _€_-;_-@_-"/>
    <numFmt numFmtId="173" formatCode="_-* #,##0.0\ _€_-;\-* #,##0.0\ _€_-;_-* \-??\ _€_-;_-@_-"/>
    <numFmt numFmtId="174" formatCode="_-* #,##0.000\ _€_-;\-* #,##0.000\ _€_-;_-* &quot;-&quot;??\ _€_-;_-@_-"/>
    <numFmt numFmtId="175" formatCode="#,##0.000"/>
    <numFmt numFmtId="176" formatCode="_-* #,##0.000\ _€_-;\-* #,##0.000\ _€_-;_-* \-??\ _€_-;_-@_-"/>
    <numFmt numFmtId="178" formatCode="_-* #,##0.00000\ _€_-;\-* #,##0.00000\ _€_-;_-* \-??\ _€_-;_-@_-"/>
  </numFmts>
  <fonts count="6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i/>
      <sz val="8"/>
      <name val="Calibri"/>
      <family val="2"/>
    </font>
    <font>
      <sz val="10"/>
      <name val="Arial"/>
      <family val="2"/>
    </font>
    <font>
      <sz val="8"/>
      <name val="Arial"/>
      <family val="2"/>
    </font>
    <font>
      <vertAlign val="subscript"/>
      <sz val="10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vertAlign val="subscript"/>
      <sz val="11"/>
      <name val="Calibri"/>
      <family val="2"/>
    </font>
    <font>
      <b/>
      <vertAlign val="subscript"/>
      <sz val="11"/>
      <name val="Calibri"/>
      <family val="2"/>
    </font>
    <font>
      <vertAlign val="subscript"/>
      <sz val="11"/>
      <color indexed="8"/>
      <name val="Calibri"/>
      <family val="2"/>
    </font>
    <font>
      <sz val="10.5"/>
      <name val="Arial"/>
      <family val="2"/>
    </font>
    <font>
      <b/>
      <sz val="10"/>
      <name val="Calibri"/>
      <family val="2"/>
    </font>
    <font>
      <b/>
      <vertAlign val="subscript"/>
      <sz val="10"/>
      <name val="Calibri"/>
      <family val="2"/>
    </font>
    <font>
      <sz val="10"/>
      <color indexed="8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vertAlign val="subscript"/>
      <sz val="10.5"/>
      <name val="Calibri"/>
      <family val="2"/>
    </font>
    <font>
      <vertAlign val="subscript"/>
      <sz val="10.5"/>
      <color indexed="63"/>
      <name val="Calibri"/>
      <family val="2"/>
    </font>
    <font>
      <vertAlign val="subscript"/>
      <sz val="10"/>
      <color indexed="8"/>
      <name val="Calibri"/>
      <family val="2"/>
    </font>
    <font>
      <vertAlign val="subscript"/>
      <sz val="10"/>
      <color indexed="63"/>
      <name val="Calibri"/>
      <family val="2"/>
    </font>
    <font>
      <b/>
      <vertAlign val="subscript"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4"/>
      <name val="Calibri"/>
      <family val="2"/>
    </font>
    <font>
      <sz val="8"/>
      <color theme="4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</font>
    <font>
      <sz val="8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.5"/>
      <color rgb="FF000000"/>
      <name val="Franklin Gothic Book"/>
      <family val="2"/>
    </font>
    <font>
      <b/>
      <vertAlign val="subscript"/>
      <sz val="11"/>
      <name val="Calibri"/>
      <family val="2"/>
      <scheme val="minor"/>
    </font>
    <font>
      <i/>
      <vertAlign val="subscript"/>
      <sz val="11"/>
      <color indexed="8"/>
      <name val="Calibri"/>
      <family val="2"/>
      <scheme val="minor"/>
    </font>
    <font>
      <vertAlign val="subscript"/>
      <sz val="11"/>
      <color indexed="8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name val="Calibri"/>
      <family val="2"/>
    </font>
    <font>
      <b/>
      <sz val="14"/>
      <name val="Calibri"/>
      <family val="2"/>
      <scheme val="minor"/>
    </font>
    <font>
      <sz val="10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6" fontId="7" fillId="0" borderId="0" applyFill="0" applyBorder="0" applyAlignment="0" applyProtection="0"/>
    <xf numFmtId="0" fontId="7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2" fillId="0" borderId="0"/>
    <xf numFmtId="0" fontId="2" fillId="0" borderId="0"/>
    <xf numFmtId="0" fontId="3" fillId="0" borderId="0"/>
  </cellStyleXfs>
  <cellXfs count="342">
    <xf numFmtId="0" fontId="0" fillId="0" borderId="0" xfId="0"/>
    <xf numFmtId="0" fontId="4" fillId="0" borderId="0" xfId="0" applyFont="1"/>
    <xf numFmtId="0" fontId="30" fillId="0" borderId="0" xfId="0" applyFont="1"/>
    <xf numFmtId="15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/>
    <xf numFmtId="170" fontId="31" fillId="0" borderId="0" xfId="0" applyNumberFormat="1" applyFont="1"/>
    <xf numFmtId="0" fontId="32" fillId="0" borderId="0" xfId="0" applyFont="1"/>
    <xf numFmtId="0" fontId="33" fillId="0" borderId="0" xfId="0" applyFont="1"/>
    <xf numFmtId="0" fontId="29" fillId="0" borderId="0" xfId="0" applyFont="1"/>
    <xf numFmtId="0" fontId="29" fillId="2" borderId="1" xfId="0" applyFont="1" applyFill="1" applyBorder="1" applyAlignment="1">
      <alignment horizontal="center"/>
    </xf>
    <xf numFmtId="166" fontId="28" fillId="0" borderId="0" xfId="1" applyFont="1" applyFill="1" applyBorder="1"/>
    <xf numFmtId="172" fontId="34" fillId="0" borderId="0" xfId="1" applyNumberFormat="1" applyFont="1" applyBorder="1" applyAlignment="1">
      <alignment vertical="center"/>
    </xf>
    <xf numFmtId="0" fontId="28" fillId="0" borderId="0" xfId="0" applyFont="1"/>
    <xf numFmtId="172" fontId="34" fillId="0" borderId="0" xfId="1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174" fontId="34" fillId="0" borderId="0" xfId="0" applyNumberFormat="1" applyFont="1" applyAlignment="1">
      <alignment horizontal="left" vertical="center" indent="1"/>
    </xf>
    <xf numFmtId="172" fontId="34" fillId="0" borderId="0" xfId="1" applyNumberFormat="1" applyFont="1" applyFill="1" applyBorder="1" applyAlignment="1">
      <alignment horizontal="left" vertical="center" indent="1"/>
    </xf>
    <xf numFmtId="0" fontId="29" fillId="2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165" fontId="34" fillId="0" borderId="0" xfId="0" applyNumberFormat="1" applyFont="1" applyAlignment="1">
      <alignment horizontal="left" vertical="center" indent="1"/>
    </xf>
    <xf numFmtId="165" fontId="34" fillId="0" borderId="0" xfId="1" applyNumberFormat="1" applyFont="1" applyFill="1" applyBorder="1" applyAlignment="1">
      <alignment horizontal="center" vertical="center"/>
    </xf>
    <xf numFmtId="172" fontId="36" fillId="0" borderId="0" xfId="1" applyNumberFormat="1" applyFont="1" applyFill="1" applyBorder="1" applyAlignment="1">
      <alignment horizontal="center" vertical="center"/>
    </xf>
    <xf numFmtId="165" fontId="30" fillId="0" borderId="0" xfId="0" applyNumberFormat="1" applyFont="1"/>
    <xf numFmtId="172" fontId="30" fillId="0" borderId="0" xfId="1" applyNumberFormat="1" applyFont="1"/>
    <xf numFmtId="172" fontId="30" fillId="0" borderId="0" xfId="1" applyNumberFormat="1" applyFont="1" applyFill="1" applyBorder="1"/>
    <xf numFmtId="172" fontId="30" fillId="0" borderId="0" xfId="0" applyNumberFormat="1" applyFont="1"/>
    <xf numFmtId="172" fontId="30" fillId="0" borderId="0" xfId="1" applyNumberFormat="1" applyFont="1" applyAlignment="1"/>
    <xf numFmtId="166" fontId="30" fillId="0" borderId="0" xfId="1" applyFont="1"/>
    <xf numFmtId="0" fontId="30" fillId="0" borderId="0" xfId="0" applyFont="1" applyAlignment="1">
      <alignment vertical="center"/>
    </xf>
    <xf numFmtId="0" fontId="37" fillId="0" borderId="0" xfId="0" applyFont="1"/>
    <xf numFmtId="0" fontId="30" fillId="0" borderId="0" xfId="0" applyFont="1" applyAlignment="1">
      <alignment horizontal="right"/>
    </xf>
    <xf numFmtId="0" fontId="34" fillId="0" borderId="0" xfId="0" applyFont="1"/>
    <xf numFmtId="0" fontId="30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0" fillId="0" borderId="2" xfId="0" applyFont="1" applyBorder="1" applyAlignment="1">
      <alignment horizontal="left"/>
    </xf>
    <xf numFmtId="0" fontId="29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8" fillId="0" borderId="0" xfId="0" applyFont="1"/>
    <xf numFmtId="0" fontId="36" fillId="0" borderId="1" xfId="0" applyFont="1" applyBorder="1" applyAlignment="1">
      <alignment horizontal="center" vertical="center"/>
    </xf>
    <xf numFmtId="3" fontId="29" fillId="0" borderId="1" xfId="1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/>
    </xf>
    <xf numFmtId="4" fontId="30" fillId="0" borderId="3" xfId="1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0" fontId="30" fillId="0" borderId="3" xfId="0" applyFont="1" applyBorder="1" applyAlignment="1">
      <alignment horizontal="left"/>
    </xf>
    <xf numFmtId="4" fontId="30" fillId="0" borderId="2" xfId="1" applyNumberFormat="1" applyFont="1" applyBorder="1" applyAlignment="1">
      <alignment horizontal="center"/>
    </xf>
    <xf numFmtId="3" fontId="30" fillId="0" borderId="2" xfId="1" applyNumberFormat="1" applyFont="1" applyBorder="1" applyAlignment="1">
      <alignment horizontal="center"/>
    </xf>
    <xf numFmtId="3" fontId="30" fillId="0" borderId="2" xfId="1" applyNumberFormat="1" applyFont="1" applyFill="1" applyBorder="1" applyAlignment="1">
      <alignment horizontal="center"/>
    </xf>
    <xf numFmtId="0" fontId="30" fillId="0" borderId="2" xfId="0" applyFont="1" applyBorder="1"/>
    <xf numFmtId="0" fontId="29" fillId="0" borderId="1" xfId="0" applyFont="1" applyBorder="1" applyAlignment="1">
      <alignment horizontal="left" vertical="center"/>
    </xf>
    <xf numFmtId="0" fontId="30" fillId="0" borderId="1" xfId="0" applyFont="1" applyBorder="1"/>
    <xf numFmtId="0" fontId="39" fillId="0" borderId="0" xfId="0" applyFont="1"/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vertical="center"/>
    </xf>
    <xf numFmtId="0" fontId="30" fillId="0" borderId="0" xfId="0" applyFont="1" applyAlignment="1">
      <alignment horizontal="left"/>
    </xf>
    <xf numFmtId="0" fontId="37" fillId="0" borderId="2" xfId="0" applyFont="1" applyBorder="1"/>
    <xf numFmtId="0" fontId="29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3" fontId="29" fillId="0" borderId="0" xfId="1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2" xfId="0" applyFont="1" applyBorder="1" applyAlignment="1">
      <alignment horizontal="left" vertical="center" wrapText="1"/>
    </xf>
    <xf numFmtId="166" fontId="34" fillId="0" borderId="0" xfId="1" applyFont="1" applyFill="1" applyBorder="1" applyAlignment="1">
      <alignment horizontal="right" indent="1"/>
    </xf>
    <xf numFmtId="0" fontId="30" fillId="0" borderId="3" xfId="0" applyFont="1" applyBorder="1" applyAlignment="1">
      <alignment horizontal="left" vertical="center"/>
    </xf>
    <xf numFmtId="0" fontId="29" fillId="2" borderId="2" xfId="0" applyFont="1" applyFill="1" applyBorder="1" applyAlignment="1">
      <alignment horizontal="center" vertical="center"/>
    </xf>
    <xf numFmtId="3" fontId="34" fillId="0" borderId="2" xfId="0" applyNumberFormat="1" applyFont="1" applyBorder="1" applyAlignment="1">
      <alignment horizontal="center" vertical="center"/>
    </xf>
    <xf numFmtId="9" fontId="30" fillId="0" borderId="0" xfId="3" applyFont="1"/>
    <xf numFmtId="171" fontId="30" fillId="0" borderId="0" xfId="0" applyNumberFormat="1" applyFont="1"/>
    <xf numFmtId="9" fontId="34" fillId="0" borderId="3" xfId="0" applyNumberFormat="1" applyFont="1" applyBorder="1" applyAlignment="1">
      <alignment horizontal="center" vertical="center"/>
    </xf>
    <xf numFmtId="3" fontId="30" fillId="0" borderId="2" xfId="1" applyNumberFormat="1" applyFont="1" applyBorder="1" applyAlignment="1">
      <alignment horizontal="center" vertical="center"/>
    </xf>
    <xf numFmtId="15" fontId="30" fillId="0" borderId="0" xfId="0" applyNumberFormat="1" applyFont="1" applyAlignment="1">
      <alignment horizontal="left"/>
    </xf>
    <xf numFmtId="15" fontId="29" fillId="2" borderId="9" xfId="0" applyNumberFormat="1" applyFont="1" applyFill="1" applyBorder="1" applyAlignment="1">
      <alignment horizontal="center" vertical="center" wrapText="1"/>
    </xf>
    <xf numFmtId="15" fontId="30" fillId="0" borderId="0" xfId="0" applyNumberFormat="1" applyFont="1"/>
    <xf numFmtId="2" fontId="30" fillId="0" borderId="0" xfId="0" applyNumberFormat="1" applyFont="1"/>
    <xf numFmtId="4" fontId="29" fillId="0" borderId="0" xfId="1" applyNumberFormat="1" applyFont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3" fontId="30" fillId="0" borderId="3" xfId="1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167" fontId="30" fillId="0" borderId="0" xfId="0" applyNumberFormat="1" applyFont="1"/>
    <xf numFmtId="0" fontId="40" fillId="0" borderId="0" xfId="0" applyFont="1"/>
    <xf numFmtId="0" fontId="17" fillId="0" borderId="0" xfId="0" applyFont="1" applyAlignment="1">
      <alignment horizontal="left" vertical="center" indent="12"/>
    </xf>
    <xf numFmtId="169" fontId="30" fillId="0" borderId="2" xfId="1" applyNumberFormat="1" applyFont="1" applyBorder="1" applyAlignment="1">
      <alignment horizontal="center"/>
    </xf>
    <xf numFmtId="0" fontId="31" fillId="0" borderId="0" xfId="8" applyFont="1" applyAlignment="1">
      <alignment horizontal="left" vertical="top"/>
    </xf>
    <xf numFmtId="0" fontId="31" fillId="0" borderId="0" xfId="0" applyFont="1"/>
    <xf numFmtId="15" fontId="41" fillId="0" borderId="0" xfId="0" applyNumberFormat="1" applyFont="1"/>
    <xf numFmtId="15" fontId="42" fillId="0" borderId="0" xfId="0" applyNumberFormat="1" applyFont="1"/>
    <xf numFmtId="15" fontId="42" fillId="0" borderId="0" xfId="0" applyNumberFormat="1" applyFont="1" applyAlignment="1">
      <alignment horizontal="center"/>
    </xf>
    <xf numFmtId="167" fontId="6" fillId="0" borderId="0" xfId="0" applyNumberFormat="1" applyFont="1"/>
    <xf numFmtId="173" fontId="6" fillId="0" borderId="0" xfId="0" applyNumberFormat="1" applyFont="1"/>
    <xf numFmtId="9" fontId="6" fillId="0" borderId="0" xfId="0" applyNumberFormat="1" applyFont="1"/>
    <xf numFmtId="2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/>
    </xf>
    <xf numFmtId="15" fontId="4" fillId="0" borderId="0" xfId="1" applyNumberFormat="1" applyFont="1" applyFill="1" applyBorder="1" applyAlignment="1" applyProtection="1">
      <alignment horizontal="left"/>
    </xf>
    <xf numFmtId="0" fontId="4" fillId="2" borderId="12" xfId="0" applyFont="1" applyFill="1" applyBorder="1"/>
    <xf numFmtId="0" fontId="11" fillId="0" borderId="0" xfId="0" applyFont="1"/>
    <xf numFmtId="167" fontId="11" fillId="0" borderId="0" xfId="1" applyNumberFormat="1" applyFont="1" applyFill="1" applyBorder="1" applyAlignment="1" applyProtection="1">
      <alignment horizontal="center"/>
    </xf>
    <xf numFmtId="9" fontId="11" fillId="0" borderId="0" xfId="3" applyFont="1" applyFill="1" applyBorder="1" applyAlignment="1" applyProtection="1">
      <alignment horizontal="center"/>
    </xf>
    <xf numFmtId="0" fontId="21" fillId="0" borderId="0" xfId="0" applyFont="1" applyAlignment="1">
      <alignment horizontal="left" vertical="center"/>
    </xf>
    <xf numFmtId="4" fontId="21" fillId="0" borderId="0" xfId="1" applyNumberFormat="1" applyFont="1" applyFill="1" applyBorder="1" applyAlignment="1" applyProtection="1">
      <alignment horizontal="center"/>
    </xf>
    <xf numFmtId="0" fontId="22" fillId="0" borderId="0" xfId="0" applyFont="1"/>
    <xf numFmtId="167" fontId="22" fillId="0" borderId="0" xfId="0" applyNumberFormat="1" applyFont="1"/>
    <xf numFmtId="0" fontId="20" fillId="0" borderId="13" xfId="0" applyFont="1" applyBorder="1"/>
    <xf numFmtId="167" fontId="11" fillId="0" borderId="13" xfId="1" applyNumberFormat="1" applyFont="1" applyFill="1" applyBorder="1" applyAlignment="1" applyProtection="1">
      <alignment horizontal="center"/>
    </xf>
    <xf numFmtId="0" fontId="18" fillId="0" borderId="14" xfId="0" applyFont="1" applyBorder="1"/>
    <xf numFmtId="0" fontId="11" fillId="0" borderId="11" xfId="0" applyFont="1" applyBorder="1"/>
    <xf numFmtId="0" fontId="11" fillId="0" borderId="11" xfId="0" applyFont="1" applyBorder="1" applyAlignment="1">
      <alignment horizontal="center" vertical="center"/>
    </xf>
    <xf numFmtId="15" fontId="32" fillId="0" borderId="0" xfId="0" applyNumberFormat="1" applyFont="1"/>
    <xf numFmtId="15" fontId="4" fillId="0" borderId="0" xfId="0" applyNumberFormat="1" applyFont="1" applyAlignment="1">
      <alignment horizontal="center"/>
    </xf>
    <xf numFmtId="0" fontId="18" fillId="2" borderId="17" xfId="0" applyFont="1" applyFill="1" applyBorder="1" applyAlignment="1">
      <alignment horizontal="center" vertical="center" wrapText="1"/>
    </xf>
    <xf numFmtId="167" fontId="11" fillId="0" borderId="11" xfId="1" applyNumberFormat="1" applyFont="1" applyFill="1" applyBorder="1" applyAlignment="1" applyProtection="1">
      <alignment horizontal="center"/>
    </xf>
    <xf numFmtId="9" fontId="11" fillId="0" borderId="11" xfId="3" applyFont="1" applyFill="1" applyBorder="1" applyAlignment="1" applyProtection="1">
      <alignment horizontal="center"/>
    </xf>
    <xf numFmtId="167" fontId="11" fillId="0" borderId="18" xfId="1" applyNumberFormat="1" applyFont="1" applyFill="1" applyBorder="1" applyAlignment="1" applyProtection="1">
      <alignment horizontal="center"/>
    </xf>
    <xf numFmtId="0" fontId="43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5" fontId="29" fillId="0" borderId="0" xfId="0" applyNumberFormat="1" applyFont="1" applyAlignment="1">
      <alignment horizontal="left" vertical="center"/>
    </xf>
    <xf numFmtId="15" fontId="36" fillId="0" borderId="0" xfId="0" applyNumberFormat="1" applyFont="1" applyAlignment="1">
      <alignment horizontal="center" vertical="center"/>
    </xf>
    <xf numFmtId="15" fontId="29" fillId="0" borderId="0" xfId="1" applyNumberFormat="1" applyFont="1" applyBorder="1" applyAlignment="1">
      <alignment horizontal="center"/>
    </xf>
    <xf numFmtId="15" fontId="29" fillId="0" borderId="0" xfId="0" applyNumberFormat="1" applyFont="1" applyAlignment="1">
      <alignment horizontal="center"/>
    </xf>
    <xf numFmtId="15" fontId="28" fillId="0" borderId="0" xfId="0" applyNumberFormat="1" applyFont="1"/>
    <xf numFmtId="0" fontId="37" fillId="0" borderId="0" xfId="0" applyFont="1" applyAlignment="1">
      <alignment horizontal="left" vertical="center"/>
    </xf>
    <xf numFmtId="168" fontId="4" fillId="0" borderId="0" xfId="1" applyNumberFormat="1" applyFont="1" applyFill="1" applyBorder="1" applyAlignment="1" applyProtection="1">
      <alignment horizontal="center"/>
    </xf>
    <xf numFmtId="168" fontId="45" fillId="0" borderId="0" xfId="1" applyNumberFormat="1" applyFont="1" applyFill="1" applyBorder="1" applyAlignment="1" applyProtection="1">
      <alignment horizontal="center"/>
    </xf>
    <xf numFmtId="0" fontId="46" fillId="0" borderId="0" xfId="0" applyFont="1"/>
    <xf numFmtId="0" fontId="11" fillId="0" borderId="15" xfId="0" applyFont="1" applyBorder="1"/>
    <xf numFmtId="0" fontId="0" fillId="0" borderId="15" xfId="0" applyBorder="1"/>
    <xf numFmtId="0" fontId="11" fillId="0" borderId="16" xfId="0" applyFont="1" applyBorder="1"/>
    <xf numFmtId="0" fontId="11" fillId="0" borderId="1" xfId="0" applyFont="1" applyBorder="1"/>
    <xf numFmtId="0" fontId="18" fillId="0" borderId="10" xfId="0" applyFont="1" applyBorder="1" applyAlignment="1">
      <alignment horizontal="center" vertical="center"/>
    </xf>
    <xf numFmtId="0" fontId="11" fillId="0" borderId="19" xfId="0" applyFont="1" applyBorder="1"/>
    <xf numFmtId="3" fontId="18" fillId="0" borderId="20" xfId="1" applyNumberFormat="1" applyFont="1" applyFill="1" applyBorder="1" applyAlignment="1" applyProtection="1">
      <alignment horizontal="center"/>
    </xf>
    <xf numFmtId="3" fontId="18" fillId="0" borderId="19" xfId="1" applyNumberFormat="1" applyFont="1" applyFill="1" applyBorder="1" applyAlignment="1" applyProtection="1">
      <alignment horizontal="center"/>
    </xf>
    <xf numFmtId="0" fontId="18" fillId="0" borderId="20" xfId="0" applyFont="1" applyBorder="1" applyAlignment="1">
      <alignment horizontal="center" vertical="center"/>
    </xf>
    <xf numFmtId="167" fontId="11" fillId="0" borderId="21" xfId="0" applyNumberFormat="1" applyFont="1" applyBorder="1"/>
    <xf numFmtId="15" fontId="21" fillId="0" borderId="0" xfId="0" applyNumberFormat="1" applyFont="1" applyAlignment="1">
      <alignment wrapText="1"/>
    </xf>
    <xf numFmtId="15" fontId="5" fillId="0" borderId="0" xfId="0" applyNumberFormat="1" applyFont="1"/>
    <xf numFmtId="15" fontId="18" fillId="0" borderId="11" xfId="0" applyNumberFormat="1" applyFont="1" applyBorder="1"/>
    <xf numFmtId="15" fontId="18" fillId="0" borderId="18" xfId="0" applyNumberFormat="1" applyFont="1" applyBorder="1"/>
    <xf numFmtId="15" fontId="18" fillId="0" borderId="20" xfId="0" applyNumberFormat="1" applyFont="1" applyBorder="1"/>
    <xf numFmtId="15" fontId="18" fillId="0" borderId="10" xfId="0" applyNumberFormat="1" applyFont="1" applyBorder="1"/>
    <xf numFmtId="0" fontId="4" fillId="0" borderId="23" xfId="0" applyFont="1" applyBorder="1"/>
    <xf numFmtId="9" fontId="45" fillId="0" borderId="0" xfId="0" applyNumberFormat="1" applyFont="1"/>
    <xf numFmtId="0" fontId="4" fillId="0" borderId="11" xfId="0" applyFont="1" applyBorder="1"/>
    <xf numFmtId="15" fontId="33" fillId="0" borderId="0" xfId="0" applyNumberFormat="1" applyFont="1"/>
    <xf numFmtId="3" fontId="30" fillId="0" borderId="0" xfId="0" applyNumberFormat="1" applyFont="1"/>
    <xf numFmtId="3" fontId="30" fillId="0" borderId="0" xfId="1" applyNumberFormat="1" applyFont="1" applyFill="1" applyBorder="1" applyAlignment="1">
      <alignment horizontal="center"/>
    </xf>
    <xf numFmtId="0" fontId="44" fillId="2" borderId="1" xfId="0" applyFont="1" applyFill="1" applyBorder="1" applyAlignment="1">
      <alignment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3" fontId="44" fillId="0" borderId="1" xfId="1" applyNumberFormat="1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7" fillId="0" borderId="1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0" fontId="44" fillId="2" borderId="2" xfId="0" applyFont="1" applyFill="1" applyBorder="1" applyAlignment="1">
      <alignment vertical="center" wrapText="1"/>
    </xf>
    <xf numFmtId="0" fontId="44" fillId="2" borderId="2" xfId="0" applyFont="1" applyFill="1" applyBorder="1" applyAlignment="1">
      <alignment horizontal="center" vertical="center" wrapText="1"/>
    </xf>
    <xf numFmtId="3" fontId="47" fillId="0" borderId="3" xfId="1" applyNumberFormat="1" applyFont="1" applyFill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3" fontId="37" fillId="0" borderId="2" xfId="1" applyNumberFormat="1" applyFont="1" applyBorder="1" applyAlignment="1">
      <alignment horizontal="center" vertical="center"/>
    </xf>
    <xf numFmtId="0" fontId="47" fillId="0" borderId="2" xfId="0" applyFont="1" applyBorder="1" applyAlignment="1">
      <alignment horizontal="center"/>
    </xf>
    <xf numFmtId="0" fontId="44" fillId="0" borderId="1" xfId="0" applyFont="1" applyBorder="1" applyAlignment="1">
      <alignment horizontal="left" vertical="center" wrapText="1"/>
    </xf>
    <xf numFmtId="0" fontId="4" fillId="2" borderId="0" xfId="0" applyFont="1" applyFill="1"/>
    <xf numFmtId="0" fontId="18" fillId="2" borderId="2" xfId="0" applyFont="1" applyFill="1" applyBorder="1" applyAlignment="1">
      <alignment horizontal="center" vertical="center" wrapText="1"/>
    </xf>
    <xf numFmtId="15" fontId="18" fillId="3" borderId="11" xfId="0" applyNumberFormat="1" applyFont="1" applyFill="1" applyBorder="1"/>
    <xf numFmtId="0" fontId="11" fillId="3" borderId="0" xfId="0" applyFont="1" applyFill="1"/>
    <xf numFmtId="0" fontId="11" fillId="3" borderId="11" xfId="1" applyNumberFormat="1" applyFont="1" applyFill="1" applyBorder="1" applyAlignment="1" applyProtection="1">
      <alignment horizontal="center"/>
    </xf>
    <xf numFmtId="0" fontId="11" fillId="3" borderId="0" xfId="1" applyNumberFormat="1" applyFont="1" applyFill="1" applyBorder="1" applyAlignment="1" applyProtection="1">
      <alignment horizontal="center"/>
    </xf>
    <xf numFmtId="15" fontId="18" fillId="4" borderId="11" xfId="0" applyNumberFormat="1" applyFont="1" applyFill="1" applyBorder="1"/>
    <xf numFmtId="0" fontId="11" fillId="4" borderId="0" xfId="0" applyFont="1" applyFill="1"/>
    <xf numFmtId="3" fontId="11" fillId="4" borderId="11" xfId="0" applyNumberFormat="1" applyFont="1" applyFill="1" applyBorder="1" applyAlignment="1">
      <alignment horizontal="center"/>
    </xf>
    <xf numFmtId="3" fontId="11" fillId="4" borderId="0" xfId="0" applyNumberFormat="1" applyFont="1" applyFill="1" applyAlignment="1">
      <alignment horizontal="center"/>
    </xf>
    <xf numFmtId="15" fontId="11" fillId="4" borderId="11" xfId="0" applyNumberFormat="1" applyFont="1" applyFill="1" applyBorder="1"/>
    <xf numFmtId="167" fontId="11" fillId="4" borderId="11" xfId="1" applyNumberFormat="1" applyFont="1" applyFill="1" applyBorder="1" applyAlignment="1" applyProtection="1">
      <alignment horizontal="center"/>
    </xf>
    <xf numFmtId="167" fontId="11" fillId="4" borderId="0" xfId="1" applyNumberFormat="1" applyFont="1" applyFill="1" applyBorder="1" applyAlignment="1" applyProtection="1">
      <alignment horizontal="center"/>
    </xf>
    <xf numFmtId="15" fontId="18" fillId="5" borderId="11" xfId="0" applyNumberFormat="1" applyFont="1" applyFill="1" applyBorder="1"/>
    <xf numFmtId="0" fontId="11" fillId="5" borderId="0" xfId="0" applyFont="1" applyFill="1"/>
    <xf numFmtId="3" fontId="11" fillId="5" borderId="11" xfId="1" applyNumberFormat="1" applyFont="1" applyFill="1" applyBorder="1" applyAlignment="1" applyProtection="1">
      <alignment horizontal="center"/>
    </xf>
    <xf numFmtId="3" fontId="11" fillId="5" borderId="0" xfId="1" applyNumberFormat="1" applyFont="1" applyFill="1" applyBorder="1" applyAlignment="1" applyProtection="1">
      <alignment horizontal="center"/>
    </xf>
    <xf numFmtId="15" fontId="11" fillId="5" borderId="11" xfId="0" applyNumberFormat="1" applyFont="1" applyFill="1" applyBorder="1"/>
    <xf numFmtId="167" fontId="11" fillId="5" borderId="11" xfId="1" applyNumberFormat="1" applyFont="1" applyFill="1" applyBorder="1" applyAlignment="1" applyProtection="1">
      <alignment horizontal="center"/>
    </xf>
    <xf numFmtId="167" fontId="11" fillId="5" borderId="0" xfId="1" applyNumberFormat="1" applyFont="1" applyFill="1" applyBorder="1" applyAlignment="1" applyProtection="1">
      <alignment horizontal="center"/>
    </xf>
    <xf numFmtId="2" fontId="11" fillId="5" borderId="11" xfId="0" applyNumberFormat="1" applyFont="1" applyFill="1" applyBorder="1" applyAlignment="1">
      <alignment horizontal="center"/>
    </xf>
    <xf numFmtId="2" fontId="11" fillId="5" borderId="0" xfId="0" applyNumberFormat="1" applyFont="1" applyFill="1" applyAlignment="1">
      <alignment horizontal="center"/>
    </xf>
    <xf numFmtId="168" fontId="11" fillId="5" borderId="11" xfId="1" applyNumberFormat="1" applyFont="1" applyFill="1" applyBorder="1" applyAlignment="1" applyProtection="1">
      <alignment horizontal="center"/>
    </xf>
    <xf numFmtId="168" fontId="11" fillId="5" borderId="0" xfId="1" applyNumberFormat="1" applyFont="1" applyFill="1" applyBorder="1" applyAlignment="1" applyProtection="1">
      <alignment horizontal="center"/>
    </xf>
    <xf numFmtId="9" fontId="43" fillId="5" borderId="11" xfId="3" applyFont="1" applyFill="1" applyBorder="1" applyAlignment="1" applyProtection="1">
      <alignment horizontal="center"/>
    </xf>
    <xf numFmtId="9" fontId="43" fillId="5" borderId="0" xfId="3" applyFont="1" applyFill="1" applyBorder="1" applyAlignment="1" applyProtection="1">
      <alignment horizontal="center"/>
    </xf>
    <xf numFmtId="0" fontId="29" fillId="0" borderId="1" xfId="0" applyFont="1" applyBorder="1" applyAlignment="1">
      <alignment horizontal="left"/>
    </xf>
    <xf numFmtId="4" fontId="30" fillId="0" borderId="2" xfId="1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1" xfId="0" applyFont="1" applyBorder="1"/>
    <xf numFmtId="0" fontId="36" fillId="0" borderId="0" xfId="0" applyFont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168" fontId="30" fillId="0" borderId="15" xfId="0" applyNumberFormat="1" applyFont="1" applyBorder="1" applyAlignment="1">
      <alignment horizontal="center"/>
    </xf>
    <xf numFmtId="2" fontId="30" fillId="0" borderId="15" xfId="0" applyNumberFormat="1" applyFont="1" applyBorder="1" applyAlignment="1">
      <alignment horizontal="center"/>
    </xf>
    <xf numFmtId="168" fontId="30" fillId="0" borderId="0" xfId="0" applyNumberFormat="1" applyFont="1" applyAlignment="1">
      <alignment horizontal="center"/>
    </xf>
    <xf numFmtId="167" fontId="30" fillId="0" borderId="0" xfId="1" applyNumberFormat="1" applyFont="1" applyFill="1" applyBorder="1" applyAlignment="1">
      <alignment horizontal="left" vertical="center"/>
    </xf>
    <xf numFmtId="167" fontId="30" fillId="0" borderId="0" xfId="1" applyNumberFormat="1" applyFont="1" applyFill="1" applyBorder="1" applyAlignment="1">
      <alignment horizontal="center"/>
    </xf>
    <xf numFmtId="167" fontId="30" fillId="0" borderId="0" xfId="1" applyNumberFormat="1" applyFont="1"/>
    <xf numFmtId="167" fontId="30" fillId="0" borderId="0" xfId="1" applyNumberFormat="1" applyFont="1" applyFill="1" applyBorder="1"/>
    <xf numFmtId="2" fontId="29" fillId="2" borderId="8" xfId="0" applyNumberFormat="1" applyFont="1" applyFill="1" applyBorder="1" applyAlignment="1">
      <alignment horizontal="center" vertical="center" wrapText="1"/>
    </xf>
    <xf numFmtId="2" fontId="36" fillId="2" borderId="8" xfId="0" applyNumberFormat="1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/>
    </xf>
    <xf numFmtId="172" fontId="29" fillId="0" borderId="0" xfId="1" applyNumberFormat="1" applyFont="1" applyFill="1" applyBorder="1" applyAlignment="1">
      <alignment horizontal="center" vertical="center"/>
    </xf>
    <xf numFmtId="172" fontId="29" fillId="0" borderId="0" xfId="1" applyNumberFormat="1" applyFont="1" applyFill="1" applyBorder="1"/>
    <xf numFmtId="3" fontId="29" fillId="0" borderId="0" xfId="0" applyNumberFormat="1" applyFont="1"/>
    <xf numFmtId="172" fontId="34" fillId="0" borderId="0" xfId="1" applyNumberFormat="1" applyFont="1" applyFill="1" applyBorder="1"/>
    <xf numFmtId="172" fontId="29" fillId="0" borderId="26" xfId="1" applyNumberFormat="1" applyFont="1" applyBorder="1" applyAlignment="1">
      <alignment horizontal="center"/>
    </xf>
    <xf numFmtId="2" fontId="36" fillId="0" borderId="0" xfId="0" applyNumberFormat="1" applyFont="1" applyAlignment="1">
      <alignment horizontal="right" indent="1"/>
    </xf>
    <xf numFmtId="168" fontId="36" fillId="0" borderId="0" xfId="0" applyNumberFormat="1" applyFont="1" applyAlignment="1">
      <alignment horizontal="right" indent="1"/>
    </xf>
    <xf numFmtId="172" fontId="29" fillId="0" borderId="0" xfId="1" applyNumberFormat="1" applyFont="1" applyBorder="1"/>
    <xf numFmtId="172" fontId="29" fillId="0" borderId="0" xfId="1" applyNumberFormat="1" applyFont="1" applyBorder="1" applyAlignment="1">
      <alignment horizontal="center"/>
    </xf>
    <xf numFmtId="15" fontId="36" fillId="0" borderId="0" xfId="0" applyNumberFormat="1" applyFont="1" applyAlignment="1">
      <alignment horizontal="right" indent="1"/>
    </xf>
    <xf numFmtId="15" fontId="29" fillId="0" borderId="0" xfId="1" applyNumberFormat="1" applyFont="1" applyBorder="1"/>
    <xf numFmtId="0" fontId="51" fillId="0" borderId="0" xfId="0" applyFont="1"/>
    <xf numFmtId="0" fontId="52" fillId="0" borderId="0" xfId="0" applyFont="1"/>
    <xf numFmtId="172" fontId="52" fillId="0" borderId="0" xfId="1" applyNumberFormat="1" applyFont="1" applyFill="1" applyBorder="1"/>
    <xf numFmtId="3" fontId="52" fillId="0" borderId="0" xfId="0" applyNumberFormat="1" applyFont="1"/>
    <xf numFmtId="0" fontId="53" fillId="0" borderId="0" xfId="0" applyFont="1"/>
    <xf numFmtId="0" fontId="30" fillId="0" borderId="0" xfId="0" applyFont="1" applyAlignment="1">
      <alignment horizontal="justify"/>
    </xf>
    <xf numFmtId="0" fontId="30" fillId="0" borderId="26" xfId="0" applyFont="1" applyBorder="1"/>
    <xf numFmtId="166" fontId="30" fillId="0" borderId="0" xfId="1" applyFont="1" applyFill="1" applyBorder="1"/>
    <xf numFmtId="172" fontId="30" fillId="0" borderId="0" xfId="1" applyNumberFormat="1" applyFont="1" applyBorder="1"/>
    <xf numFmtId="0" fontId="36" fillId="2" borderId="8" xfId="0" applyFont="1" applyFill="1" applyBorder="1" applyAlignment="1">
      <alignment horizontal="center" vertical="center" wrapText="1"/>
    </xf>
    <xf numFmtId="3" fontId="34" fillId="0" borderId="2" xfId="1" applyNumberFormat="1" applyFont="1" applyBorder="1" applyAlignment="1">
      <alignment horizontal="center"/>
    </xf>
    <xf numFmtId="0" fontId="29" fillId="2" borderId="2" xfId="0" applyFont="1" applyFill="1" applyBorder="1" applyAlignment="1">
      <alignment horizontal="left" vertical="center"/>
    </xf>
    <xf numFmtId="0" fontId="40" fillId="2" borderId="2" xfId="0" applyFont="1" applyFill="1" applyBorder="1" applyAlignment="1">
      <alignment horizontal="left" vertical="center"/>
    </xf>
    <xf numFmtId="2" fontId="29" fillId="0" borderId="0" xfId="0" applyNumberFormat="1" applyFont="1" applyAlignment="1">
      <alignment horizontal="center" vertical="center" wrapText="1"/>
    </xf>
    <xf numFmtId="172" fontId="30" fillId="0" borderId="0" xfId="1" applyNumberFormat="1" applyFont="1" applyFill="1" applyBorder="1" applyAlignment="1">
      <alignment horizontal="center"/>
    </xf>
    <xf numFmtId="15" fontId="50" fillId="0" borderId="0" xfId="0" applyNumberFormat="1" applyFont="1"/>
    <xf numFmtId="0" fontId="50" fillId="0" borderId="0" xfId="0" applyFont="1"/>
    <xf numFmtId="165" fontId="50" fillId="0" borderId="0" xfId="1" applyNumberFormat="1" applyFont="1"/>
    <xf numFmtId="0" fontId="48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4" fontId="50" fillId="0" borderId="0" xfId="1" applyNumberFormat="1" applyFont="1" applyFill="1" applyBorder="1" applyAlignment="1">
      <alignment horizontal="center" vertical="center"/>
    </xf>
    <xf numFmtId="167" fontId="50" fillId="0" borderId="0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3" fontId="48" fillId="0" borderId="0" xfId="1" applyNumberFormat="1" applyFont="1" applyFill="1" applyBorder="1" applyAlignment="1">
      <alignment horizontal="center"/>
    </xf>
    <xf numFmtId="0" fontId="49" fillId="0" borderId="0" xfId="0" applyFont="1" applyAlignment="1">
      <alignment horizontal="left" vertical="center"/>
    </xf>
    <xf numFmtId="15" fontId="49" fillId="0" borderId="0" xfId="0" applyNumberFormat="1" applyFont="1" applyAlignment="1">
      <alignment horizontal="left" vertical="center"/>
    </xf>
    <xf numFmtId="15" fontId="48" fillId="0" borderId="0" xfId="0" applyNumberFormat="1" applyFont="1" applyAlignment="1">
      <alignment horizontal="center" vertical="center"/>
    </xf>
    <xf numFmtId="15" fontId="48" fillId="0" borderId="0" xfId="1" applyNumberFormat="1" applyFont="1" applyFill="1" applyBorder="1" applyAlignment="1">
      <alignment horizontal="center"/>
    </xf>
    <xf numFmtId="3" fontId="48" fillId="0" borderId="0" xfId="1" applyNumberFormat="1" applyFont="1" applyBorder="1" applyAlignment="1">
      <alignment horizontal="center"/>
    </xf>
    <xf numFmtId="165" fontId="50" fillId="0" borderId="0" xfId="0" applyNumberFormat="1" applyFont="1"/>
    <xf numFmtId="0" fontId="49" fillId="0" borderId="0" xfId="0" applyFont="1"/>
    <xf numFmtId="166" fontId="50" fillId="0" borderId="0" xfId="1" applyFont="1" applyBorder="1"/>
    <xf numFmtId="172" fontId="54" fillId="0" borderId="0" xfId="1" applyNumberFormat="1" applyFont="1" applyFill="1" applyBorder="1" applyAlignment="1">
      <alignment vertical="center"/>
    </xf>
    <xf numFmtId="172" fontId="50" fillId="0" borderId="0" xfId="1" applyNumberFormat="1" applyFont="1" applyFill="1" applyBorder="1" applyAlignment="1">
      <alignment vertical="center"/>
    </xf>
    <xf numFmtId="172" fontId="50" fillId="0" borderId="0" xfId="1" applyNumberFormat="1" applyFont="1" applyFill="1" applyBorder="1"/>
    <xf numFmtId="167" fontId="7" fillId="0" borderId="0" xfId="1" applyNumberFormat="1" applyFill="1"/>
    <xf numFmtId="0" fontId="37" fillId="0" borderId="22" xfId="0" applyFont="1" applyBorder="1"/>
    <xf numFmtId="15" fontId="36" fillId="0" borderId="0" xfId="0" applyNumberFormat="1" applyFont="1" applyAlignment="1">
      <alignment horizontal="left" indent="1"/>
    </xf>
    <xf numFmtId="0" fontId="1" fillId="0" borderId="0" xfId="0" applyFont="1"/>
    <xf numFmtId="167" fontId="30" fillId="0" borderId="0" xfId="1" applyNumberFormat="1" applyFont="1" applyBorder="1"/>
    <xf numFmtId="167" fontId="30" fillId="0" borderId="0" xfId="1" applyNumberFormat="1" applyFont="1" applyBorder="1" applyAlignment="1">
      <alignment horizontal="right" indent="1"/>
    </xf>
    <xf numFmtId="172" fontId="1" fillId="0" borderId="0" xfId="1" applyNumberFormat="1" applyFont="1" applyFill="1" applyBorder="1" applyAlignment="1">
      <alignment horizontal="center" vertical="center"/>
    </xf>
    <xf numFmtId="0" fontId="59" fillId="0" borderId="0" xfId="0" applyFont="1"/>
    <xf numFmtId="0" fontId="37" fillId="0" borderId="0" xfId="0" applyFont="1" applyAlignment="1">
      <alignment vertical="center"/>
    </xf>
    <xf numFmtId="0" fontId="59" fillId="0" borderId="0" xfId="0" applyFont="1" applyAlignment="1">
      <alignment horizontal="left" vertical="center"/>
    </xf>
    <xf numFmtId="15" fontId="61" fillId="0" borderId="0" xfId="0" applyNumberFormat="1" applyFont="1"/>
    <xf numFmtId="15" fontId="18" fillId="0" borderId="0" xfId="0" applyNumberFormat="1" applyFont="1"/>
    <xf numFmtId="2" fontId="30" fillId="0" borderId="8" xfId="0" applyNumberFormat="1" applyFont="1" applyBorder="1" applyAlignment="1">
      <alignment horizontal="center"/>
    </xf>
    <xf numFmtId="168" fontId="30" fillId="0" borderId="16" xfId="0" applyNumberFormat="1" applyFon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8" fontId="30" fillId="0" borderId="1" xfId="0" applyNumberFormat="1" applyFont="1" applyBorder="1" applyAlignment="1">
      <alignment horizontal="center"/>
    </xf>
    <xf numFmtId="166" fontId="7" fillId="0" borderId="0" xfId="1" applyAlignment="1">
      <alignment horizontal="right" indent="1"/>
    </xf>
    <xf numFmtId="10" fontId="7" fillId="0" borderId="0" xfId="3" applyNumberFormat="1" applyFill="1" applyBorder="1"/>
    <xf numFmtId="0" fontId="55" fillId="0" borderId="0" xfId="0" applyFont="1" applyAlignment="1">
      <alignment horizontal="center" vertical="center" wrapText="1"/>
    </xf>
    <xf numFmtId="9" fontId="7" fillId="0" borderId="0" xfId="3" applyFill="1" applyBorder="1"/>
    <xf numFmtId="0" fontId="34" fillId="0" borderId="0" xfId="0" applyFont="1" applyAlignment="1">
      <alignment horizontal="left" vertical="center"/>
    </xf>
    <xf numFmtId="3" fontId="30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4" fontId="1" fillId="0" borderId="0" xfId="1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34" fillId="2" borderId="2" xfId="0" applyNumberFormat="1" applyFont="1" applyFill="1" applyBorder="1" applyAlignment="1">
      <alignment horizontal="right" indent="1"/>
    </xf>
    <xf numFmtId="167" fontId="30" fillId="0" borderId="15" xfId="1" applyNumberFormat="1" applyFont="1" applyBorder="1"/>
    <xf numFmtId="15" fontId="30" fillId="0" borderId="16" xfId="1" applyNumberFormat="1" applyFont="1" applyBorder="1"/>
    <xf numFmtId="167" fontId="37" fillId="0" borderId="1" xfId="1" applyNumberFormat="1" applyFont="1" applyBorder="1"/>
    <xf numFmtId="167" fontId="30" fillId="0" borderId="0" xfId="1" applyNumberFormat="1" applyFont="1" applyBorder="1" applyAlignment="1">
      <alignment horizontal="center"/>
    </xf>
    <xf numFmtId="1" fontId="34" fillId="0" borderId="0" xfId="0" applyNumberFormat="1" applyFont="1" applyAlignment="1">
      <alignment horizontal="right" indent="1"/>
    </xf>
    <xf numFmtId="0" fontId="37" fillId="0" borderId="6" xfId="0" applyFont="1" applyBorder="1" applyAlignment="1">
      <alignment horizontal="left"/>
    </xf>
    <xf numFmtId="3" fontId="37" fillId="0" borderId="7" xfId="1" applyNumberFormat="1" applyFont="1" applyFill="1" applyBorder="1" applyAlignment="1">
      <alignment horizontal="center"/>
    </xf>
    <xf numFmtId="3" fontId="37" fillId="0" borderId="32" xfId="1" applyNumberFormat="1" applyFont="1" applyFill="1" applyBorder="1" applyAlignment="1">
      <alignment horizontal="center"/>
    </xf>
    <xf numFmtId="3" fontId="37" fillId="0" borderId="31" xfId="1" applyNumberFormat="1" applyFont="1" applyFill="1" applyBorder="1" applyAlignment="1">
      <alignment horizontal="center"/>
    </xf>
    <xf numFmtId="49" fontId="30" fillId="2" borderId="2" xfId="1" applyNumberFormat="1" applyFont="1" applyFill="1" applyBorder="1" applyAlignment="1">
      <alignment horizontal="center"/>
    </xf>
    <xf numFmtId="0" fontId="30" fillId="2" borderId="33" xfId="0" applyFont="1" applyFill="1" applyBorder="1"/>
    <xf numFmtId="15" fontId="30" fillId="2" borderId="34" xfId="1" applyNumberFormat="1" applyFont="1" applyFill="1" applyBorder="1" applyAlignment="1">
      <alignment horizontal="center"/>
    </xf>
    <xf numFmtId="164" fontId="30" fillId="0" borderId="0" xfId="0" applyNumberFormat="1" applyFont="1"/>
    <xf numFmtId="3" fontId="62" fillId="0" borderId="0" xfId="1" applyNumberFormat="1" applyFont="1" applyBorder="1" applyAlignment="1">
      <alignment horizontal="center" vertical="center"/>
    </xf>
    <xf numFmtId="14" fontId="36" fillId="0" borderId="0" xfId="0" applyNumberFormat="1" applyFont="1" applyAlignment="1">
      <alignment horizontal="right"/>
    </xf>
    <xf numFmtId="3" fontId="34" fillId="0" borderId="2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/>
    </xf>
    <xf numFmtId="3" fontId="29" fillId="0" borderId="25" xfId="1" applyNumberFormat="1" applyFont="1" applyBorder="1" applyAlignment="1">
      <alignment horizontal="center"/>
    </xf>
    <xf numFmtId="4" fontId="34" fillId="0" borderId="2" xfId="1" applyNumberFormat="1" applyFont="1" applyBorder="1" applyAlignment="1">
      <alignment horizontal="center" vertical="center"/>
    </xf>
    <xf numFmtId="4" fontId="36" fillId="0" borderId="24" xfId="0" applyNumberFormat="1" applyFont="1" applyBorder="1" applyAlignment="1">
      <alignment horizontal="center"/>
    </xf>
    <xf numFmtId="175" fontId="34" fillId="0" borderId="2" xfId="1" applyNumberFormat="1" applyFont="1" applyBorder="1" applyAlignment="1">
      <alignment horizontal="center" vertical="center"/>
    </xf>
    <xf numFmtId="175" fontId="36" fillId="0" borderId="24" xfId="0" applyNumberFormat="1" applyFont="1" applyBorder="1" applyAlignment="1">
      <alignment horizontal="center"/>
    </xf>
    <xf numFmtId="3" fontId="11" fillId="5" borderId="0" xfId="0" applyNumberFormat="1" applyFont="1" applyFill="1" applyAlignment="1">
      <alignment horizontal="center"/>
    </xf>
    <xf numFmtId="175" fontId="11" fillId="5" borderId="0" xfId="0" applyNumberFormat="1" applyFont="1" applyFill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3" fontId="18" fillId="0" borderId="10" xfId="1" applyNumberFormat="1" applyFont="1" applyFill="1" applyBorder="1" applyAlignment="1" applyProtection="1">
      <alignment horizontal="center" vertical="center"/>
    </xf>
    <xf numFmtId="3" fontId="18" fillId="0" borderId="14" xfId="1" applyNumberFormat="1" applyFont="1" applyFill="1" applyBorder="1" applyAlignment="1" applyProtection="1">
      <alignment horizontal="center" vertical="center"/>
    </xf>
    <xf numFmtId="15" fontId="18" fillId="2" borderId="17" xfId="0" applyNumberFormat="1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/>
    </xf>
    <xf numFmtId="0" fontId="40" fillId="3" borderId="29" xfId="0" applyFont="1" applyFill="1" applyBorder="1" applyAlignment="1">
      <alignment horizontal="center"/>
    </xf>
    <xf numFmtId="0" fontId="40" fillId="3" borderId="30" xfId="0" applyFont="1" applyFill="1" applyBorder="1" applyAlignment="1">
      <alignment horizontal="center"/>
    </xf>
    <xf numFmtId="166" fontId="7" fillId="0" borderId="0" xfId="1" applyBorder="1"/>
    <xf numFmtId="178" fontId="7" fillId="0" borderId="0" xfId="1" applyNumberFormat="1" applyBorder="1"/>
    <xf numFmtId="167" fontId="30" fillId="0" borderId="0" xfId="1" applyNumberFormat="1" applyFont="1" applyBorder="1" applyAlignment="1">
      <alignment horizontal="left" indent="1"/>
    </xf>
    <xf numFmtId="167" fontId="30" fillId="0" borderId="1" xfId="1" applyNumberFormat="1" applyFont="1" applyBorder="1"/>
    <xf numFmtId="0" fontId="18" fillId="2" borderId="27" xfId="0" applyFont="1" applyFill="1" applyBorder="1" applyAlignment="1">
      <alignment horizontal="center" vertical="center" wrapText="1"/>
    </xf>
    <xf numFmtId="0" fontId="30" fillId="0" borderId="15" xfId="0" applyFont="1" applyBorder="1"/>
    <xf numFmtId="176" fontId="30" fillId="0" borderId="0" xfId="1" applyNumberFormat="1" applyFont="1" applyBorder="1" applyAlignment="1">
      <alignment horizontal="right" indent="1"/>
    </xf>
    <xf numFmtId="167" fontId="30" fillId="0" borderId="0" xfId="1" applyNumberFormat="1" applyFont="1" applyBorder="1" applyAlignment="1">
      <alignment horizontal="left"/>
    </xf>
    <xf numFmtId="167" fontId="30" fillId="0" borderId="11" xfId="1" applyNumberFormat="1" applyFont="1" applyBorder="1"/>
    <xf numFmtId="176" fontId="30" fillId="0" borderId="11" xfId="1" applyNumberFormat="1" applyFont="1" applyBorder="1"/>
    <xf numFmtId="167" fontId="30" fillId="0" borderId="11" xfId="1" applyNumberFormat="1" applyFont="1" applyBorder="1" applyAlignment="1">
      <alignment horizontal="right" indent="1"/>
    </xf>
    <xf numFmtId="0" fontId="30" fillId="2" borderId="17" xfId="0" applyFont="1" applyFill="1" applyBorder="1"/>
    <xf numFmtId="1" fontId="34" fillId="0" borderId="0" xfId="0" applyNumberFormat="1" applyFont="1" applyBorder="1" applyAlignment="1">
      <alignment horizontal="right" indent="1"/>
    </xf>
    <xf numFmtId="178" fontId="30" fillId="0" borderId="0" xfId="1" applyNumberFormat="1" applyFont="1" applyBorder="1" applyAlignment="1">
      <alignment horizontal="right" indent="1"/>
    </xf>
    <xf numFmtId="167" fontId="30" fillId="0" borderId="18" xfId="1" applyNumberFormat="1" applyFont="1" applyBorder="1" applyAlignment="1">
      <alignment horizontal="right" indent="1"/>
    </xf>
    <xf numFmtId="167" fontId="30" fillId="0" borderId="13" xfId="1" applyNumberFormat="1" applyFont="1" applyBorder="1" applyAlignment="1">
      <alignment horizontal="right" indent="1"/>
    </xf>
    <xf numFmtId="9" fontId="30" fillId="0" borderId="0" xfId="0" applyNumberFormat="1" applyFont="1"/>
  </cellXfs>
  <cellStyles count="9">
    <cellStyle name="Komma" xfId="1" builtinId="3"/>
    <cellStyle name="Normal_Dr Uwe Freitag" xfId="2" xr:uid="{00000000-0005-0000-0000-000002000000}"/>
    <cellStyle name="Prozent" xfId="3" builtinId="5"/>
    <cellStyle name="Prozent 2" xfId="4" xr:uid="{00000000-0005-0000-0000-000004000000}"/>
    <cellStyle name="Standard" xfId="0" builtinId="0"/>
    <cellStyle name="Standard 2" xfId="5" xr:uid="{00000000-0005-0000-0000-000006000000}"/>
    <cellStyle name="Standard 3" xfId="6" xr:uid="{00000000-0005-0000-0000-000007000000}"/>
    <cellStyle name="Standard 3 2" xfId="7" xr:uid="{00000000-0005-0000-0000-000008000000}"/>
    <cellStyle name="Standard 4" xfId="8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0909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173355</xdr:colOff>
      <xdr:row>35</xdr:row>
      <xdr:rowOff>38100</xdr:rowOff>
    </xdr:from>
    <xdr:to>
      <xdr:col>6</xdr:col>
      <xdr:colOff>5173345</xdr:colOff>
      <xdr:row>36</xdr:row>
      <xdr:rowOff>152400</xdr:rowOff>
    </xdr:to>
    <xdr:pic>
      <xdr:nvPicPr>
        <xdr:cNvPr id="16052" name="out_img" descr="vdhe">
          <a:extLst>
            <a:ext uri="{FF2B5EF4-FFF2-40B4-BE49-F238E27FC236}">
              <a16:creationId xmlns:a16="http://schemas.microsoft.com/office/drawing/2014/main" id="{00000000-0008-0000-0100-0000B4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880" y="6524625"/>
          <a:ext cx="499999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1473200</xdr:colOff>
      <xdr:row>8</xdr:row>
      <xdr:rowOff>190500</xdr:rowOff>
    </xdr:from>
    <xdr:to>
      <xdr:col>11</xdr:col>
      <xdr:colOff>0</xdr:colOff>
      <xdr:row>11</xdr:row>
      <xdr:rowOff>0</xdr:rowOff>
    </xdr:to>
    <xdr:pic>
      <xdr:nvPicPr>
        <xdr:cNvPr id="34237" name="Grafik 5">
          <a:extLst>
            <a:ext uri="{FF2B5EF4-FFF2-40B4-BE49-F238E27FC236}">
              <a16:creationId xmlns:a16="http://schemas.microsoft.com/office/drawing/2014/main" id="{00000000-0008-0000-0200-0000BD8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3200" y="1981200"/>
          <a:ext cx="335280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63500</xdr:colOff>
      <xdr:row>39</xdr:row>
      <xdr:rowOff>25400</xdr:rowOff>
    </xdr:from>
    <xdr:to>
      <xdr:col>12</xdr:col>
      <xdr:colOff>24130</xdr:colOff>
      <xdr:row>40</xdr:row>
      <xdr:rowOff>24130</xdr:rowOff>
    </xdr:to>
    <xdr:pic>
      <xdr:nvPicPr>
        <xdr:cNvPr id="34238" name="Grafik 12">
          <a:extLst>
            <a:ext uri="{FF2B5EF4-FFF2-40B4-BE49-F238E27FC236}">
              <a16:creationId xmlns:a16="http://schemas.microsoft.com/office/drawing/2014/main" id="{00000000-0008-0000-0200-0000BE8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6700" y="7759700"/>
          <a:ext cx="480060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12</xdr:col>
      <xdr:colOff>0</xdr:colOff>
      <xdr:row>57</xdr:row>
      <xdr:rowOff>0</xdr:rowOff>
    </xdr:to>
    <xdr:pic>
      <xdr:nvPicPr>
        <xdr:cNvPr id="34239" name="Grafik 6">
          <a:extLst>
            <a:ext uri="{FF2B5EF4-FFF2-40B4-BE49-F238E27FC236}">
              <a16:creationId xmlns:a16="http://schemas.microsoft.com/office/drawing/2014/main" id="{00000000-0008-0000-0200-0000BF8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3200" y="10985500"/>
          <a:ext cx="4832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50800</xdr:colOff>
      <xdr:row>29</xdr:row>
      <xdr:rowOff>69850</xdr:rowOff>
    </xdr:from>
    <xdr:to>
      <xdr:col>11</xdr:col>
      <xdr:colOff>96520</xdr:colOff>
      <xdr:row>30</xdr:row>
      <xdr:rowOff>24130</xdr:rowOff>
    </xdr:to>
    <xdr:pic>
      <xdr:nvPicPr>
        <xdr:cNvPr id="34240" name="out_img">
          <a:extLst>
            <a:ext uri="{FF2B5EF4-FFF2-40B4-BE49-F238E27FC236}">
              <a16:creationId xmlns:a16="http://schemas.microsoft.com/office/drawing/2014/main" id="{00000000-0008-0000-0200-0000C08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0" y="5930900"/>
          <a:ext cx="3397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12</xdr:col>
      <xdr:colOff>516890</xdr:colOff>
      <xdr:row>21</xdr:row>
      <xdr:rowOff>22860</xdr:rowOff>
    </xdr:to>
    <xdr:pic>
      <xdr:nvPicPr>
        <xdr:cNvPr id="34241" name="Grafik 6">
          <a:extLst>
            <a:ext uri="{FF2B5EF4-FFF2-40B4-BE49-F238E27FC236}">
              <a16:creationId xmlns:a16="http://schemas.microsoft.com/office/drawing/2014/main" id="{00000000-0008-0000-0200-0000C18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3200" y="4133850"/>
          <a:ext cx="53340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254000</xdr:rowOff>
    </xdr:from>
    <xdr:to>
      <xdr:col>4</xdr:col>
      <xdr:colOff>130810</xdr:colOff>
      <xdr:row>6</xdr:row>
      <xdr:rowOff>0</xdr:rowOff>
    </xdr:to>
    <xdr:pic>
      <xdr:nvPicPr>
        <xdr:cNvPr id="26889" name="out_img">
          <a:extLst>
            <a:ext uri="{FF2B5EF4-FFF2-40B4-BE49-F238E27FC236}">
              <a16:creationId xmlns:a16="http://schemas.microsoft.com/office/drawing/2014/main" id="{00000000-0008-0000-0300-0000096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90600"/>
          <a:ext cx="52451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6</xdr:row>
          <xdr:rowOff>21771</xdr:rowOff>
        </xdr:from>
        <xdr:to>
          <xdr:col>9</xdr:col>
          <xdr:colOff>1240971</xdr:colOff>
          <xdr:row>10</xdr:row>
          <xdr:rowOff>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4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303439</xdr:colOff>
      <xdr:row>19</xdr:row>
      <xdr:rowOff>46265</xdr:rowOff>
    </xdr:from>
    <xdr:to>
      <xdr:col>14</xdr:col>
      <xdr:colOff>40807</xdr:colOff>
      <xdr:row>29</xdr:row>
      <xdr:rowOff>47143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206EB98-7920-4110-864F-1C0BD9B74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1139" y="3875315"/>
          <a:ext cx="4852293" cy="1869146"/>
        </a:xfrm>
        <a:prstGeom prst="rect">
          <a:avLst/>
        </a:prstGeom>
      </xdr:spPr>
    </xdr:pic>
    <xdr:clientData/>
  </xdr:twoCellAnchor>
  <xdr:twoCellAnchor editAs="oneCell">
    <xdr:from>
      <xdr:col>4</xdr:col>
      <xdr:colOff>625929</xdr:colOff>
      <xdr:row>15</xdr:row>
      <xdr:rowOff>198665</xdr:rowOff>
    </xdr:from>
    <xdr:to>
      <xdr:col>6</xdr:col>
      <xdr:colOff>106424</xdr:colOff>
      <xdr:row>19</xdr:row>
      <xdr:rowOff>35379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472D071-EF6A-409E-AF3A-62B735E8C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6054" y="3208565"/>
          <a:ext cx="2849622" cy="6558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d Moosmann" id="{533125DC-0DCC-4851-8CF5-803B471B2279}" userId="S::david.moosmann@firstclimate.com::ee37bdbe-7584-4fb5-86f1-255f109e946f" providerId="AD"/>
</personList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3-10-06T06:16:06.00" personId="{533125DC-0DCC-4851-8CF5-803B471B2279}" id="{5B8958BD-7D51-441D-BEFF-672646BD4D48}">
    <text>Aus Assurance report S.3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image" Target="../media/image8.wmf"/><Relationship Id="rId4" Type="http://schemas.openxmlformats.org/officeDocument/2006/relationships/oleObject" Target="../embeddings/oleObject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1"/>
  <sheetViews>
    <sheetView tabSelected="1" topLeftCell="A2" workbookViewId="0">
      <selection activeCell="C7" sqref="C7:D7"/>
    </sheetView>
  </sheetViews>
  <sheetFormatPr baseColWidth="10" defaultColWidth="10.84375" defaultRowHeight="12.9" x14ac:dyDescent="0.35"/>
  <cols>
    <col min="1" max="1" width="4.15234375" style="2" customWidth="1"/>
    <col min="2" max="5" width="27.69140625" style="2" customWidth="1"/>
    <col min="6" max="6" width="27.69140625" style="74" customWidth="1"/>
    <col min="7" max="16384" width="10.84375" style="2"/>
  </cols>
  <sheetData>
    <row r="2" spans="1:15" ht="20.6" x14ac:dyDescent="0.55000000000000004">
      <c r="A2" s="54" t="s">
        <v>0</v>
      </c>
      <c r="D2" s="7"/>
      <c r="F2" s="302">
        <v>45645</v>
      </c>
      <c r="G2" s="57"/>
    </row>
    <row r="3" spans="1:15" ht="18.45" x14ac:dyDescent="0.5">
      <c r="A3" s="7" t="s">
        <v>1</v>
      </c>
      <c r="E3" s="57"/>
      <c r="F3" s="72"/>
      <c r="G3" s="57"/>
    </row>
    <row r="4" spans="1:15" ht="15" thickBot="1" x14ac:dyDescent="0.45">
      <c r="B4" s="9"/>
      <c r="E4" s="57"/>
      <c r="F4" s="72"/>
      <c r="G4" s="57"/>
    </row>
    <row r="5" spans="1:15" ht="31.75" x14ac:dyDescent="0.35">
      <c r="B5" s="56" t="s">
        <v>2</v>
      </c>
      <c r="C5" s="55" t="s">
        <v>3</v>
      </c>
      <c r="D5" s="55" t="s">
        <v>4</v>
      </c>
      <c r="E5" s="55" t="s">
        <v>5</v>
      </c>
      <c r="F5" s="73" t="s">
        <v>6</v>
      </c>
      <c r="G5" s="57"/>
    </row>
    <row r="6" spans="1:15" ht="14.6" x14ac:dyDescent="0.45">
      <c r="B6" s="298" t="s">
        <v>7</v>
      </c>
      <c r="C6" s="297" t="s">
        <v>8</v>
      </c>
      <c r="D6" s="297" t="s">
        <v>9</v>
      </c>
      <c r="E6" s="297" t="s">
        <v>8</v>
      </c>
      <c r="F6" s="299" t="s">
        <v>8</v>
      </c>
      <c r="G6" s="57"/>
    </row>
    <row r="7" spans="1:15" ht="15" thickBot="1" x14ac:dyDescent="0.4">
      <c r="B7" s="293">
        <v>2022</v>
      </c>
      <c r="C7" s="294">
        <f>'BE Manure - AMS-III D'!$D$37</f>
        <v>14291.117910502584</v>
      </c>
      <c r="D7" s="295">
        <f>'BE Heat - AMS-I C'!D57</f>
        <v>2338.8270041856003</v>
      </c>
      <c r="E7" s="295">
        <f>'PE - Physical leakage'!D11</f>
        <v>1429.1117910502585</v>
      </c>
      <c r="F7" s="296">
        <f>C7+D7-E7</f>
        <v>15200.833123637927</v>
      </c>
      <c r="G7" s="281"/>
      <c r="H7" s="260"/>
      <c r="I7" s="281"/>
      <c r="J7" s="277"/>
      <c r="L7" s="278"/>
      <c r="M7" s="149"/>
      <c r="N7" s="149"/>
      <c r="O7" s="279"/>
    </row>
    <row r="8" spans="1:15" x14ac:dyDescent="0.35">
      <c r="C8" s="26"/>
      <c r="E8" s="57"/>
      <c r="F8" s="72"/>
      <c r="G8" s="281"/>
      <c r="H8" s="260"/>
    </row>
    <row r="9" spans="1:15" x14ac:dyDescent="0.35">
      <c r="C9" s="26"/>
      <c r="D9" s="75"/>
      <c r="E9" s="75"/>
      <c r="F9" s="26"/>
      <c r="H9" s="300"/>
    </row>
    <row r="10" spans="1:15" x14ac:dyDescent="0.35">
      <c r="C10" s="26">
        <f>C7-E7</f>
        <v>12862.006119452326</v>
      </c>
      <c r="D10" s="75"/>
      <c r="E10" s="75"/>
      <c r="F10" s="23"/>
      <c r="H10" s="300"/>
    </row>
    <row r="11" spans="1:15" x14ac:dyDescent="0.35">
      <c r="C11" s="26"/>
      <c r="D11" s="26"/>
      <c r="E11" s="26"/>
      <c r="F11" s="2"/>
    </row>
    <row r="12" spans="1:15" x14ac:dyDescent="0.35">
      <c r="C12" s="26"/>
      <c r="D12" s="26"/>
      <c r="E12" s="26"/>
    </row>
    <row r="13" spans="1:15" x14ac:dyDescent="0.35">
      <c r="D13" s="149"/>
      <c r="E13" s="149"/>
      <c r="F13" s="150"/>
      <c r="H13" s="149"/>
    </row>
    <row r="14" spans="1:15" x14ac:dyDescent="0.35">
      <c r="C14" s="149"/>
      <c r="D14" s="149"/>
      <c r="E14" s="149"/>
      <c r="F14" s="150"/>
    </row>
    <row r="15" spans="1:15" x14ac:dyDescent="0.35">
      <c r="D15" s="149"/>
      <c r="E15" s="149"/>
      <c r="F15" s="150"/>
    </row>
    <row r="16" spans="1:15" x14ac:dyDescent="0.35">
      <c r="D16" s="149"/>
      <c r="E16" s="149"/>
      <c r="F16" s="150"/>
    </row>
    <row r="17" spans="4:6" x14ac:dyDescent="0.35">
      <c r="D17" s="149"/>
      <c r="E17" s="149"/>
      <c r="F17" s="150"/>
    </row>
    <row r="18" spans="4:6" x14ac:dyDescent="0.35">
      <c r="D18" s="149"/>
      <c r="E18" s="149"/>
      <c r="F18" s="150"/>
    </row>
    <row r="19" spans="4:6" x14ac:dyDescent="0.35">
      <c r="D19" s="149"/>
      <c r="E19" s="149"/>
      <c r="F19" s="150"/>
    </row>
    <row r="20" spans="4:6" x14ac:dyDescent="0.35">
      <c r="D20" s="149"/>
      <c r="E20" s="149"/>
      <c r="F20" s="150"/>
    </row>
    <row r="21" spans="4:6" x14ac:dyDescent="0.35">
      <c r="D21" s="149"/>
      <c r="E21" s="149"/>
      <c r="F21" s="150"/>
    </row>
    <row r="22" spans="4:6" x14ac:dyDescent="0.35">
      <c r="D22" s="149"/>
      <c r="E22" s="149"/>
      <c r="F22" s="150"/>
    </row>
    <row r="23" spans="4:6" x14ac:dyDescent="0.35">
      <c r="D23" s="149"/>
      <c r="E23" s="149"/>
      <c r="F23" s="150"/>
    </row>
    <row r="24" spans="4:6" x14ac:dyDescent="0.35">
      <c r="D24" s="149"/>
      <c r="E24" s="149"/>
      <c r="F24" s="26"/>
    </row>
    <row r="25" spans="4:6" x14ac:dyDescent="0.35">
      <c r="D25" s="149"/>
      <c r="E25" s="149"/>
      <c r="F25" s="26"/>
    </row>
    <row r="26" spans="4:6" x14ac:dyDescent="0.35">
      <c r="D26" s="149"/>
      <c r="E26" s="149"/>
    </row>
    <row r="27" spans="4:6" x14ac:dyDescent="0.35">
      <c r="D27" s="149"/>
      <c r="E27" s="149"/>
    </row>
    <row r="28" spans="4:6" x14ac:dyDescent="0.35">
      <c r="E28" s="149"/>
    </row>
    <row r="50" spans="3:5" x14ac:dyDescent="0.35">
      <c r="C50" s="26"/>
      <c r="D50" s="26"/>
      <c r="E50" s="26"/>
    </row>
    <row r="51" spans="3:5" x14ac:dyDescent="0.35">
      <c r="C51" s="26"/>
      <c r="D51" s="26"/>
      <c r="E51" s="26"/>
    </row>
    <row r="52" spans="3:5" x14ac:dyDescent="0.35">
      <c r="C52" s="26"/>
      <c r="D52" s="26"/>
      <c r="E52" s="26"/>
    </row>
    <row r="53" spans="3:5" x14ac:dyDescent="0.35">
      <c r="C53" s="26"/>
      <c r="D53" s="26"/>
      <c r="E53" s="26"/>
    </row>
    <row r="54" spans="3:5" x14ac:dyDescent="0.35">
      <c r="C54" s="26"/>
      <c r="D54" s="26"/>
      <c r="E54" s="26"/>
    </row>
    <row r="55" spans="3:5" x14ac:dyDescent="0.35">
      <c r="C55" s="26"/>
      <c r="D55" s="26"/>
      <c r="E55" s="26"/>
    </row>
    <row r="56" spans="3:5" x14ac:dyDescent="0.35">
      <c r="C56" s="26"/>
      <c r="E56" s="26"/>
    </row>
    <row r="57" spans="3:5" x14ac:dyDescent="0.35">
      <c r="C57" s="26"/>
      <c r="E57" s="26"/>
    </row>
    <row r="58" spans="3:5" x14ac:dyDescent="0.35">
      <c r="C58" s="26"/>
      <c r="E58" s="26"/>
    </row>
    <row r="59" spans="3:5" x14ac:dyDescent="0.35">
      <c r="C59" s="26"/>
      <c r="E59" s="26"/>
    </row>
    <row r="60" spans="3:5" x14ac:dyDescent="0.35">
      <c r="C60" s="26"/>
      <c r="E60" s="26"/>
    </row>
    <row r="61" spans="3:5" x14ac:dyDescent="0.35">
      <c r="C61" s="26"/>
      <c r="E61" s="2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5"/>
  <sheetViews>
    <sheetView zoomScaleNormal="100" workbookViewId="0">
      <pane xSplit="3" topLeftCell="D1" activePane="topRight" state="frozen"/>
      <selection activeCell="A3" sqref="A3"/>
      <selection pane="topRight" activeCell="D4" sqref="D4:E4"/>
    </sheetView>
  </sheetViews>
  <sheetFormatPr baseColWidth="10" defaultColWidth="11.4609375" defaultRowHeight="10.75" x14ac:dyDescent="0.3"/>
  <cols>
    <col min="1" max="1" width="4.15234375" style="1" customWidth="1"/>
    <col min="2" max="2" width="22.23046875" style="140" customWidth="1"/>
    <col min="3" max="3" width="22.53515625" style="1" customWidth="1"/>
    <col min="4" max="5" width="14.84375" style="4" customWidth="1"/>
    <col min="6" max="6" width="15.69140625" style="1" customWidth="1"/>
    <col min="7" max="7" width="123" style="1" bestFit="1" customWidth="1"/>
    <col min="8" max="8" width="17.53515625" style="1" customWidth="1"/>
    <col min="9" max="16384" width="11.4609375" style="1"/>
  </cols>
  <sheetData>
    <row r="1" spans="1:18" s="3" customFormat="1" ht="18.45" x14ac:dyDescent="0.5">
      <c r="A1" s="112" t="s">
        <v>10</v>
      </c>
      <c r="D1" s="113"/>
      <c r="E1" s="113"/>
      <c r="F1" s="113"/>
    </row>
    <row r="2" spans="1:18" s="89" customFormat="1" x14ac:dyDescent="0.3">
      <c r="B2" s="88"/>
      <c r="D2" s="90"/>
      <c r="E2" s="90"/>
      <c r="G2" s="98"/>
      <c r="H2" s="3"/>
    </row>
    <row r="3" spans="1:18" s="99" customFormat="1" ht="13" customHeight="1" x14ac:dyDescent="0.3">
      <c r="A3" s="145"/>
      <c r="B3" s="318" t="s">
        <v>11</v>
      </c>
      <c r="C3" s="319" t="s">
        <v>12</v>
      </c>
      <c r="D3" s="320" t="s">
        <v>13</v>
      </c>
      <c r="E3" s="321"/>
      <c r="F3" s="312" t="s">
        <v>7</v>
      </c>
      <c r="G3" s="314" t="s">
        <v>14</v>
      </c>
      <c r="H3" s="147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168" customFormat="1" ht="12.9" x14ac:dyDescent="0.3">
      <c r="A4" s="145"/>
      <c r="B4" s="318"/>
      <c r="C4" s="319"/>
      <c r="D4" s="169" t="s">
        <v>15</v>
      </c>
      <c r="E4" s="114" t="s">
        <v>16</v>
      </c>
      <c r="F4" s="313"/>
      <c r="G4" s="315"/>
      <c r="H4" s="147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4.6" x14ac:dyDescent="0.45">
      <c r="A5" s="145"/>
      <c r="B5" s="181" t="s">
        <v>17</v>
      </c>
      <c r="C5" s="182"/>
      <c r="D5" s="183"/>
      <c r="E5" s="184"/>
      <c r="F5" s="111"/>
      <c r="G5" s="110"/>
      <c r="H5" s="147"/>
    </row>
    <row r="6" spans="1:18" ht="12.9" x14ac:dyDescent="0.35">
      <c r="B6" s="185" t="s">
        <v>18</v>
      </c>
      <c r="C6" s="182" t="s">
        <v>19</v>
      </c>
      <c r="D6" s="310">
        <f>91191-E6</f>
        <v>35720.33</v>
      </c>
      <c r="E6" s="311">
        <f>55470670/1000</f>
        <v>55470.67</v>
      </c>
      <c r="F6" s="111" t="s">
        <v>20</v>
      </c>
      <c r="G6" s="110" t="s">
        <v>199</v>
      </c>
      <c r="H6" s="147"/>
    </row>
    <row r="7" spans="1:18" ht="12.9" x14ac:dyDescent="0.35">
      <c r="B7" s="181"/>
      <c r="C7" s="182"/>
      <c r="D7" s="186"/>
      <c r="E7" s="187"/>
      <c r="F7" s="111"/>
      <c r="G7" s="110"/>
      <c r="H7" s="147"/>
    </row>
    <row r="8" spans="1:18" ht="14.6" x14ac:dyDescent="0.45">
      <c r="B8" s="181" t="s">
        <v>22</v>
      </c>
      <c r="C8" s="182"/>
      <c r="D8" s="188"/>
      <c r="E8" s="189"/>
      <c r="F8" s="111"/>
      <c r="G8" s="110"/>
      <c r="H8" s="147"/>
    </row>
    <row r="9" spans="1:18" ht="14.6" x14ac:dyDescent="0.45">
      <c r="B9" s="185" t="s">
        <v>23</v>
      </c>
      <c r="C9" s="182" t="s">
        <v>19</v>
      </c>
      <c r="D9" s="188">
        <v>0.31</v>
      </c>
      <c r="E9" s="189">
        <f>D9</f>
        <v>0.31</v>
      </c>
      <c r="F9" s="111" t="s">
        <v>24</v>
      </c>
      <c r="G9" s="110" t="s">
        <v>25</v>
      </c>
      <c r="H9" s="147"/>
    </row>
    <row r="10" spans="1:18" ht="12.9" x14ac:dyDescent="0.35">
      <c r="B10" s="181"/>
      <c r="C10" s="182"/>
      <c r="D10" s="186"/>
      <c r="E10" s="187"/>
      <c r="F10" s="111"/>
      <c r="G10" s="129"/>
    </row>
    <row r="11" spans="1:18" ht="14.6" x14ac:dyDescent="0.45">
      <c r="B11" s="181" t="s">
        <v>26</v>
      </c>
      <c r="C11" s="182"/>
      <c r="D11" s="190"/>
      <c r="E11" s="191"/>
      <c r="F11" s="111"/>
      <c r="G11" s="129"/>
      <c r="J11" s="126"/>
    </row>
    <row r="12" spans="1:18" ht="12.9" x14ac:dyDescent="0.35">
      <c r="B12" s="185" t="s">
        <v>27</v>
      </c>
      <c r="C12" s="182" t="s">
        <v>19</v>
      </c>
      <c r="D12" s="190">
        <f>B74</f>
        <v>0.11650000000000003</v>
      </c>
      <c r="E12" s="191">
        <f>D12*90%</f>
        <v>0.10485000000000003</v>
      </c>
      <c r="F12" s="111" t="s">
        <v>28</v>
      </c>
      <c r="G12" s="129" t="s">
        <v>29</v>
      </c>
      <c r="H12" s="127"/>
      <c r="I12" s="127"/>
      <c r="J12" s="127"/>
    </row>
    <row r="13" spans="1:18" ht="12.9" x14ac:dyDescent="0.35">
      <c r="B13" s="181"/>
      <c r="C13" s="182"/>
      <c r="D13" s="190"/>
      <c r="E13" s="191"/>
      <c r="F13" s="111"/>
      <c r="G13" s="129"/>
      <c r="I13" s="86"/>
      <c r="J13" s="6"/>
      <c r="K13" s="6"/>
      <c r="L13" s="87"/>
    </row>
    <row r="14" spans="1:18" ht="14.6" x14ac:dyDescent="0.45">
      <c r="B14" s="181" t="s">
        <v>30</v>
      </c>
      <c r="C14" s="182"/>
      <c r="D14" s="190"/>
      <c r="E14" s="191"/>
      <c r="F14" s="111"/>
      <c r="G14" s="129"/>
      <c r="I14" s="86"/>
      <c r="J14" s="94"/>
      <c r="K14" s="6"/>
      <c r="L14" s="87"/>
    </row>
    <row r="15" spans="1:18" ht="12.9" x14ac:dyDescent="0.35">
      <c r="B15" s="185" t="s">
        <v>31</v>
      </c>
      <c r="C15" s="182" t="s">
        <v>19</v>
      </c>
      <c r="D15" s="190">
        <f>C74</f>
        <v>0.77286306745217048</v>
      </c>
      <c r="E15" s="191">
        <f>D15*90%</f>
        <v>0.6955767607069534</v>
      </c>
      <c r="F15" s="111" t="s">
        <v>32</v>
      </c>
      <c r="G15" s="129" t="s">
        <v>33</v>
      </c>
      <c r="H15" s="127"/>
      <c r="I15" s="127"/>
      <c r="J15" s="94"/>
      <c r="K15" s="6"/>
      <c r="L15" s="87"/>
      <c r="M15" s="87"/>
    </row>
    <row r="16" spans="1:18" ht="12.9" x14ac:dyDescent="0.35">
      <c r="B16" s="181"/>
      <c r="C16" s="182"/>
      <c r="D16" s="186"/>
      <c r="E16" s="187"/>
      <c r="F16" s="111"/>
      <c r="G16" s="129"/>
    </row>
    <row r="17" spans="2:14" ht="14.6" x14ac:dyDescent="0.45">
      <c r="B17" s="181" t="s">
        <v>34</v>
      </c>
      <c r="C17" s="182"/>
      <c r="D17" s="192"/>
      <c r="E17" s="193"/>
      <c r="F17" s="118"/>
      <c r="G17" s="129"/>
      <c r="H17" s="128"/>
      <c r="L17" s="146"/>
    </row>
    <row r="18" spans="2:14" ht="12.9" x14ac:dyDescent="0.35">
      <c r="B18" s="185" t="s">
        <v>35</v>
      </c>
      <c r="C18" s="182" t="s">
        <v>19</v>
      </c>
      <c r="D18" s="192">
        <v>0.36</v>
      </c>
      <c r="E18" s="193">
        <f>D18</f>
        <v>0.36</v>
      </c>
      <c r="F18" s="118" t="s">
        <v>36</v>
      </c>
      <c r="G18" s="129" t="s">
        <v>25</v>
      </c>
      <c r="H18" s="128"/>
    </row>
    <row r="19" spans="2:14" ht="12.9" x14ac:dyDescent="0.35">
      <c r="B19" s="141"/>
      <c r="C19" s="100"/>
      <c r="D19" s="116"/>
      <c r="E19" s="102"/>
      <c r="F19" s="111"/>
      <c r="G19" s="129"/>
    </row>
    <row r="20" spans="2:14" ht="14.6" x14ac:dyDescent="0.45">
      <c r="B20" s="170" t="s">
        <v>37</v>
      </c>
      <c r="C20" s="171" t="s">
        <v>38</v>
      </c>
      <c r="D20" s="172">
        <v>0.94</v>
      </c>
      <c r="E20" s="173">
        <f>D20</f>
        <v>0.94</v>
      </c>
      <c r="F20" s="111" t="s">
        <v>39</v>
      </c>
      <c r="G20" s="129" t="s">
        <v>40</v>
      </c>
      <c r="H20" s="128"/>
      <c r="L20" s="96"/>
      <c r="M20" s="96"/>
      <c r="N20" s="96"/>
    </row>
    <row r="21" spans="2:14" ht="14.6" x14ac:dyDescent="0.45">
      <c r="B21" s="170" t="s">
        <v>41</v>
      </c>
      <c r="C21" s="171" t="s">
        <v>42</v>
      </c>
      <c r="D21" s="172">
        <v>6.7000000000000002E-4</v>
      </c>
      <c r="E21" s="173">
        <f>D21</f>
        <v>6.7000000000000002E-4</v>
      </c>
      <c r="F21" s="111" t="s">
        <v>43</v>
      </c>
      <c r="G21" s="129" t="s">
        <v>44</v>
      </c>
      <c r="H21" s="128"/>
      <c r="L21" s="4"/>
      <c r="M21" s="4"/>
      <c r="N21" s="4"/>
    </row>
    <row r="22" spans="2:14" ht="14.6" x14ac:dyDescent="0.45">
      <c r="B22" s="170" t="s">
        <v>45</v>
      </c>
      <c r="C22" s="171" t="s">
        <v>46</v>
      </c>
      <c r="D22" s="172">
        <v>28</v>
      </c>
      <c r="E22" s="173">
        <f>D22</f>
        <v>28</v>
      </c>
      <c r="F22" s="111" t="s">
        <v>39</v>
      </c>
      <c r="G22" s="129" t="s">
        <v>47</v>
      </c>
      <c r="H22" s="128"/>
      <c r="L22" s="4"/>
      <c r="M22" s="4"/>
      <c r="N22" s="97"/>
    </row>
    <row r="23" spans="2:14" ht="12.9" x14ac:dyDescent="0.35">
      <c r="B23" s="141"/>
      <c r="C23" s="100"/>
      <c r="D23" s="115"/>
      <c r="E23" s="101"/>
      <c r="F23" s="111"/>
      <c r="G23" s="129"/>
      <c r="L23" s="94"/>
      <c r="M23" s="94"/>
      <c r="N23" s="97"/>
    </row>
    <row r="24" spans="2:14" ht="14.6" x14ac:dyDescent="0.45">
      <c r="B24" s="174" t="s">
        <v>48</v>
      </c>
      <c r="C24" s="175"/>
      <c r="D24" s="176"/>
      <c r="E24" s="177"/>
      <c r="F24" s="111"/>
      <c r="G24" s="129"/>
      <c r="L24" s="4"/>
      <c r="M24" s="4"/>
      <c r="N24" s="4"/>
    </row>
    <row r="25" spans="2:14" ht="12.9" x14ac:dyDescent="0.35">
      <c r="B25" s="178" t="s">
        <v>49</v>
      </c>
      <c r="C25" s="175" t="s">
        <v>19</v>
      </c>
      <c r="D25" s="176">
        <f>D6*D12</f>
        <v>4161.4184450000012</v>
      </c>
      <c r="E25" s="177">
        <f t="shared" ref="E25" si="0">E6*E12</f>
        <v>5816.0997495000011</v>
      </c>
      <c r="F25" s="111" t="s">
        <v>50</v>
      </c>
      <c r="G25" s="129" t="s">
        <v>51</v>
      </c>
      <c r="L25" s="4"/>
      <c r="M25" s="4"/>
      <c r="N25" s="4"/>
    </row>
    <row r="26" spans="2:14" ht="12.9" x14ac:dyDescent="0.35">
      <c r="B26" s="174"/>
      <c r="C26" s="175"/>
      <c r="D26" s="179"/>
      <c r="E26" s="180"/>
      <c r="F26" s="111"/>
      <c r="G26" s="129"/>
    </row>
    <row r="27" spans="2:14" ht="14.6" x14ac:dyDescent="0.45">
      <c r="B27" s="174" t="s">
        <v>52</v>
      </c>
      <c r="C27" s="175"/>
      <c r="D27" s="176"/>
      <c r="E27" s="177"/>
      <c r="F27" s="111"/>
      <c r="G27" s="129"/>
    </row>
    <row r="28" spans="2:14" ht="12.9" x14ac:dyDescent="0.35">
      <c r="B28" s="178" t="s">
        <v>53</v>
      </c>
      <c r="C28" s="175" t="s">
        <v>19</v>
      </c>
      <c r="D28" s="176">
        <f t="shared" ref="D28:E28" si="1">D25*D15</f>
        <v>3216.2066243547424</v>
      </c>
      <c r="E28" s="177">
        <f t="shared" si="1"/>
        <v>4045.5438237057338</v>
      </c>
      <c r="F28" s="111" t="s">
        <v>54</v>
      </c>
      <c r="G28" s="129" t="s">
        <v>51</v>
      </c>
    </row>
    <row r="29" spans="2:14" ht="12.9" x14ac:dyDescent="0.35">
      <c r="B29" s="174"/>
      <c r="C29" s="175"/>
      <c r="D29" s="179"/>
      <c r="E29" s="180"/>
      <c r="F29" s="111"/>
      <c r="G29" s="129"/>
    </row>
    <row r="30" spans="2:14" ht="14.6" x14ac:dyDescent="0.45">
      <c r="B30" s="174" t="s">
        <v>55</v>
      </c>
      <c r="C30" s="175"/>
      <c r="D30" s="176"/>
      <c r="E30" s="177"/>
      <c r="F30" s="111"/>
      <c r="G30" s="129"/>
    </row>
    <row r="31" spans="2:14" ht="14.6" x14ac:dyDescent="0.35">
      <c r="B31" s="178" t="s">
        <v>56</v>
      </c>
      <c r="C31" s="175" t="s">
        <v>19</v>
      </c>
      <c r="D31" s="176">
        <f t="shared" ref="D31:E31" si="2">D28*D9*1000</f>
        <v>997024.05354997015</v>
      </c>
      <c r="E31" s="177">
        <f t="shared" si="2"/>
        <v>1254118.5853487775</v>
      </c>
      <c r="F31" s="111" t="s">
        <v>57</v>
      </c>
      <c r="G31" s="129" t="s">
        <v>51</v>
      </c>
    </row>
    <row r="32" spans="2:14" ht="12.9" x14ac:dyDescent="0.35">
      <c r="B32" s="174"/>
      <c r="C32" s="175"/>
      <c r="D32" s="179"/>
      <c r="E32" s="180"/>
      <c r="F32" s="111"/>
      <c r="G32" s="130"/>
    </row>
    <row r="33" spans="2:11" ht="14.6" x14ac:dyDescent="0.45">
      <c r="B33" s="174" t="s">
        <v>58</v>
      </c>
      <c r="C33" s="175"/>
      <c r="D33" s="176"/>
      <c r="E33" s="177"/>
      <c r="F33" s="111"/>
      <c r="G33" s="129"/>
    </row>
    <row r="34" spans="2:11" ht="14.6" x14ac:dyDescent="0.35">
      <c r="B34" s="178" t="s">
        <v>59</v>
      </c>
      <c r="C34" s="175" t="s">
        <v>19</v>
      </c>
      <c r="D34" s="176">
        <f t="shared" ref="D34:E34" si="3">D$22*D$21*D$20*D31*D18</f>
        <v>6329.491549171772</v>
      </c>
      <c r="E34" s="177">
        <f t="shared" si="3"/>
        <v>7961.626361330812</v>
      </c>
      <c r="F34" s="111" t="s">
        <v>60</v>
      </c>
      <c r="G34" s="129" t="s">
        <v>51</v>
      </c>
    </row>
    <row r="35" spans="2:11" ht="13.3" thickBot="1" x14ac:dyDescent="0.4">
      <c r="B35" s="142"/>
      <c r="C35" s="107"/>
      <c r="D35" s="117"/>
      <c r="E35" s="108"/>
      <c r="F35" s="119"/>
      <c r="G35" s="131"/>
    </row>
    <row r="36" spans="2:11" ht="15.45" thickTop="1" thickBot="1" x14ac:dyDescent="0.5">
      <c r="B36" s="143" t="s">
        <v>61</v>
      </c>
      <c r="C36" s="134"/>
      <c r="D36" s="135">
        <f t="shared" ref="D36:E36" si="4">SUM(D33:D34)</f>
        <v>6329.491549171772</v>
      </c>
      <c r="E36" s="136">
        <f t="shared" si="4"/>
        <v>7961.626361330812</v>
      </c>
      <c r="F36" s="137" t="s">
        <v>62</v>
      </c>
      <c r="G36" s="138"/>
      <c r="H36" s="95"/>
      <c r="I36" s="95"/>
    </row>
    <row r="37" spans="2:11" ht="15" thickTop="1" x14ac:dyDescent="0.35">
      <c r="B37" s="144" t="s">
        <v>63</v>
      </c>
      <c r="C37" s="109"/>
      <c r="D37" s="316">
        <f>(D36+E36)</f>
        <v>14291.117910502584</v>
      </c>
      <c r="E37" s="317"/>
      <c r="F37" s="133" t="s">
        <v>62</v>
      </c>
      <c r="G37" s="132"/>
    </row>
    <row r="38" spans="2:11" s="5" customFormat="1" ht="12.9" x14ac:dyDescent="0.35">
      <c r="B38" s="139"/>
      <c r="C38" s="103"/>
      <c r="D38" s="104"/>
      <c r="E38" s="104"/>
      <c r="F38" s="105"/>
      <c r="G38" s="106"/>
      <c r="H38" s="91"/>
      <c r="I38" s="91"/>
      <c r="J38" s="92"/>
      <c r="K38" s="93"/>
    </row>
    <row r="39" spans="2:11" s="5" customFormat="1" ht="12.9" x14ac:dyDescent="0.35">
      <c r="B39" s="2"/>
    </row>
    <row r="40" spans="2:11" s="5" customFormat="1" ht="12.9" x14ac:dyDescent="0.35">
      <c r="B40" s="2"/>
    </row>
    <row r="42" spans="2:11" ht="12.9" x14ac:dyDescent="0.35">
      <c r="B42" s="271" t="s">
        <v>64</v>
      </c>
    </row>
    <row r="44" spans="2:11" ht="12.9" x14ac:dyDescent="0.3">
      <c r="B44" s="199" t="s">
        <v>65</v>
      </c>
      <c r="C44" s="200" t="s">
        <v>66</v>
      </c>
    </row>
    <row r="45" spans="2:11" ht="12.9" x14ac:dyDescent="0.3">
      <c r="B45" s="201" t="s">
        <v>67</v>
      </c>
      <c r="C45" s="201" t="s">
        <v>68</v>
      </c>
    </row>
    <row r="46" spans="2:11" ht="12.9" x14ac:dyDescent="0.35">
      <c r="B46" s="202">
        <v>0.114</v>
      </c>
      <c r="C46" s="272">
        <v>0.72807017543859653</v>
      </c>
    </row>
    <row r="47" spans="2:11" ht="12.9" x14ac:dyDescent="0.35">
      <c r="B47" s="202">
        <v>0.121</v>
      </c>
      <c r="C47" s="204">
        <v>0.71900826446280985</v>
      </c>
    </row>
    <row r="48" spans="2:11" ht="12.9" x14ac:dyDescent="0.35">
      <c r="B48" s="202">
        <v>0.11799999999999999</v>
      </c>
      <c r="C48" s="204">
        <v>0.72033898305084754</v>
      </c>
    </row>
    <row r="49" spans="2:3" ht="12.9" x14ac:dyDescent="0.35">
      <c r="B49" s="202">
        <v>0.121</v>
      </c>
      <c r="C49" s="204">
        <v>0.71900826446280985</v>
      </c>
    </row>
    <row r="50" spans="2:3" ht="12.9" x14ac:dyDescent="0.35">
      <c r="B50" s="202">
        <v>0.122</v>
      </c>
      <c r="C50" s="204">
        <v>0.72131147540983609</v>
      </c>
    </row>
    <row r="51" spans="2:3" ht="12.9" x14ac:dyDescent="0.35">
      <c r="B51" s="202">
        <v>0.11700000000000001</v>
      </c>
      <c r="C51" s="204">
        <v>0.70940170940170943</v>
      </c>
    </row>
    <row r="52" spans="2:3" ht="12.9" x14ac:dyDescent="0.35">
      <c r="B52" s="202">
        <v>0.12</v>
      </c>
      <c r="C52" s="204">
        <v>0.70833333333333337</v>
      </c>
    </row>
    <row r="53" spans="2:3" ht="12.9" x14ac:dyDescent="0.35">
      <c r="B53" s="202">
        <v>0.126</v>
      </c>
      <c r="C53" s="204">
        <v>0.70634920634920628</v>
      </c>
    </row>
    <row r="54" spans="2:3" ht="12.9" x14ac:dyDescent="0.35">
      <c r="B54" s="202">
        <v>0.125</v>
      </c>
      <c r="C54" s="204">
        <v>0.71199999999999997</v>
      </c>
    </row>
    <row r="55" spans="2:3" ht="12.9" x14ac:dyDescent="0.35">
      <c r="B55" s="202">
        <v>0.11</v>
      </c>
      <c r="C55" s="204">
        <v>0.71818181818181814</v>
      </c>
    </row>
    <row r="56" spans="2:3" ht="12.9" x14ac:dyDescent="0.35">
      <c r="B56" s="202">
        <v>0.108</v>
      </c>
      <c r="C56" s="204">
        <v>0.80555555555555547</v>
      </c>
    </row>
    <row r="57" spans="2:3" ht="12.9" x14ac:dyDescent="0.35">
      <c r="B57" s="202">
        <v>0.121</v>
      </c>
      <c r="C57" s="204">
        <v>0.81818181818181823</v>
      </c>
    </row>
    <row r="58" spans="2:3" ht="12.9" x14ac:dyDescent="0.35">
      <c r="B58" s="202">
        <v>0.107</v>
      </c>
      <c r="C58" s="204">
        <v>0.7850467289719627</v>
      </c>
    </row>
    <row r="59" spans="2:3" ht="12.9" x14ac:dyDescent="0.35">
      <c r="B59" s="202">
        <v>0.108</v>
      </c>
      <c r="C59" s="204">
        <v>0.80555555555555547</v>
      </c>
    </row>
    <row r="60" spans="2:3" ht="12.9" x14ac:dyDescent="0.35">
      <c r="B60" s="202">
        <v>0.121</v>
      </c>
      <c r="C60" s="204">
        <v>0.85950413223140498</v>
      </c>
    </row>
    <row r="61" spans="2:3" ht="12.9" x14ac:dyDescent="0.35">
      <c r="B61" s="202">
        <v>0.114</v>
      </c>
      <c r="C61" s="204">
        <v>0.81578947368421051</v>
      </c>
    </row>
    <row r="62" spans="2:3" ht="12.9" x14ac:dyDescent="0.35">
      <c r="B62" s="202">
        <v>0.13300000000000001</v>
      </c>
      <c r="C62" s="204">
        <v>0.83458646616541354</v>
      </c>
    </row>
    <row r="63" spans="2:3" ht="12.9" x14ac:dyDescent="0.35">
      <c r="B63" s="202">
        <v>0.113</v>
      </c>
      <c r="C63" s="204">
        <v>0.83185840707964598</v>
      </c>
    </row>
    <row r="64" spans="2:3" ht="12.9" x14ac:dyDescent="0.35">
      <c r="B64" s="202">
        <v>0.112</v>
      </c>
      <c r="C64" s="204">
        <v>0.83035714285714279</v>
      </c>
    </row>
    <row r="65" spans="2:3" ht="12.9" x14ac:dyDescent="0.35">
      <c r="B65" s="202">
        <v>0.111</v>
      </c>
      <c r="C65" s="204">
        <v>0.80180180180180172</v>
      </c>
    </row>
    <row r="66" spans="2:3" ht="12.9" x14ac:dyDescent="0.35">
      <c r="B66" s="202">
        <v>0.11899999999999999</v>
      </c>
      <c r="C66" s="204">
        <v>0.84033613445378164</v>
      </c>
    </row>
    <row r="67" spans="2:3" ht="12.9" x14ac:dyDescent="0.35">
      <c r="B67" s="203">
        <v>0.11799999999999999</v>
      </c>
      <c r="C67" s="204">
        <v>0.76271186440677963</v>
      </c>
    </row>
    <row r="68" spans="2:3" ht="12.9" x14ac:dyDescent="0.35">
      <c r="B68" s="203">
        <v>0.11899999999999999</v>
      </c>
      <c r="C68" s="204">
        <v>0.76470588235294124</v>
      </c>
    </row>
    <row r="69" spans="2:3" ht="12.9" x14ac:dyDescent="0.35">
      <c r="B69" s="203">
        <v>0.11700000000000001</v>
      </c>
      <c r="C69" s="204">
        <v>0.75213675213675202</v>
      </c>
    </row>
    <row r="70" spans="2:3" ht="12.9" x14ac:dyDescent="0.35">
      <c r="B70" s="203">
        <v>0.11700000000000001</v>
      </c>
      <c r="C70" s="204">
        <v>0.76068376068376065</v>
      </c>
    </row>
    <row r="71" spans="2:3" ht="12.9" x14ac:dyDescent="0.35">
      <c r="B71" s="203">
        <v>0.111</v>
      </c>
      <c r="C71" s="204">
        <v>0.80180180180180172</v>
      </c>
    </row>
    <row r="72" spans="2:3" ht="12.9" x14ac:dyDescent="0.35">
      <c r="B72" s="203">
        <v>0.11600000000000001</v>
      </c>
      <c r="C72" s="204">
        <v>0.80172413793103448</v>
      </c>
    </row>
    <row r="73" spans="2:3" ht="13.3" thickBot="1" x14ac:dyDescent="0.4">
      <c r="B73" s="273">
        <v>0.10299999999999999</v>
      </c>
      <c r="C73" s="274">
        <v>0.80582524271844669</v>
      </c>
    </row>
    <row r="74" spans="2:3" ht="13.3" thickTop="1" x14ac:dyDescent="0.35">
      <c r="B74" s="275">
        <f>AVERAGE(B46:B73)</f>
        <v>0.11650000000000003</v>
      </c>
      <c r="C74" s="275">
        <f>AVERAGE(C46:C73)</f>
        <v>0.77286306745217048</v>
      </c>
    </row>
    <row r="75" spans="2:3" ht="12.9" x14ac:dyDescent="0.35">
      <c r="B75" s="205"/>
      <c r="C75" s="205"/>
    </row>
  </sheetData>
  <mergeCells count="6">
    <mergeCell ref="F3:F4"/>
    <mergeCell ref="G3:G4"/>
    <mergeCell ref="D37:E37"/>
    <mergeCell ref="B3:B4"/>
    <mergeCell ref="C3:C4"/>
    <mergeCell ref="D3:E3"/>
  </mergeCells>
  <phoneticPr fontId="8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"/>
  <sheetViews>
    <sheetView zoomScaleNormal="100" workbookViewId="0">
      <selection activeCell="D40" sqref="D40"/>
    </sheetView>
  </sheetViews>
  <sheetFormatPr baseColWidth="10" defaultColWidth="10.84375" defaultRowHeight="12.9" x14ac:dyDescent="0.35"/>
  <cols>
    <col min="1" max="1" width="3.84375" style="2" customWidth="1"/>
    <col min="2" max="2" width="44.84375" style="2" customWidth="1"/>
    <col min="3" max="3" width="15.15234375" style="2" customWidth="1"/>
    <col min="4" max="4" width="16.53515625" style="2" bestFit="1" customWidth="1"/>
    <col min="5" max="5" width="14.15234375" style="2" customWidth="1"/>
    <col min="6" max="6" width="47.84375" style="2" customWidth="1"/>
    <col min="7" max="7" width="14.15234375" style="2" customWidth="1"/>
    <col min="8" max="10" width="10.84375" style="241" customWidth="1"/>
    <col min="11" max="11" width="15.23046875" style="2" bestFit="1" customWidth="1"/>
    <col min="12" max="12" width="21.15234375" style="2" customWidth="1"/>
    <col min="13" max="13" width="10.84375" style="2" customWidth="1"/>
    <col min="14" max="14" width="18.84375" style="2" bestFit="1" customWidth="1"/>
    <col min="15" max="15" width="11.15234375" style="2" bestFit="1" customWidth="1"/>
    <col min="16" max="16" width="12.69140625" style="2" bestFit="1" customWidth="1"/>
    <col min="17" max="17" width="15.4609375" style="2" bestFit="1" customWidth="1"/>
    <col min="18" max="18" width="13.53515625" style="2" customWidth="1"/>
    <col min="19" max="19" width="13.15234375" style="2" customWidth="1"/>
    <col min="20" max="20" width="12.15234375" style="2" bestFit="1" customWidth="1"/>
    <col min="21" max="16384" width="10.84375" style="2"/>
  </cols>
  <sheetData>
    <row r="1" spans="1:15" s="74" customFormat="1" ht="18.45" x14ac:dyDescent="0.5">
      <c r="A1" s="112" t="s">
        <v>69</v>
      </c>
      <c r="B1" s="148"/>
      <c r="H1" s="240"/>
      <c r="I1" s="240"/>
      <c r="J1" s="240"/>
      <c r="L1" s="206"/>
      <c r="M1" s="82"/>
      <c r="N1" s="206"/>
      <c r="O1" s="206"/>
    </row>
    <row r="2" spans="1:15" ht="18.45" x14ac:dyDescent="0.5">
      <c r="A2" s="8"/>
      <c r="B2" s="7" t="s">
        <v>70</v>
      </c>
      <c r="I2" s="242"/>
      <c r="M2" s="206"/>
      <c r="N2" s="206"/>
      <c r="O2" s="206"/>
    </row>
    <row r="3" spans="1:15" ht="18.45" x14ac:dyDescent="0.5">
      <c r="A3" s="8"/>
      <c r="B3" s="7" t="s">
        <v>71</v>
      </c>
      <c r="I3" s="242"/>
      <c r="M3" s="206"/>
      <c r="N3" s="206"/>
      <c r="O3" s="206"/>
    </row>
    <row r="4" spans="1:15" ht="13.5" customHeight="1" x14ac:dyDescent="0.5">
      <c r="A4" s="8"/>
      <c r="B4" s="7"/>
      <c r="I4" s="242"/>
      <c r="M4" s="206"/>
      <c r="N4" s="206"/>
      <c r="O4" s="206"/>
    </row>
    <row r="5" spans="1:15" ht="15.9" x14ac:dyDescent="0.45">
      <c r="A5" s="83" t="s">
        <v>72</v>
      </c>
      <c r="E5" s="12"/>
      <c r="M5" s="206"/>
      <c r="N5" s="206"/>
      <c r="O5" s="206"/>
    </row>
    <row r="6" spans="1:15" x14ac:dyDescent="0.35">
      <c r="M6" s="206"/>
      <c r="N6" s="206"/>
      <c r="O6" s="206"/>
    </row>
    <row r="7" spans="1:15" ht="15" thickBot="1" x14ac:dyDescent="0.4">
      <c r="D7" s="15"/>
      <c r="E7" s="15"/>
      <c r="F7" s="16"/>
      <c r="M7" s="206"/>
      <c r="N7" s="206"/>
      <c r="O7" s="206"/>
    </row>
    <row r="8" spans="1:15" ht="16.3" thickBot="1" x14ac:dyDescent="0.5">
      <c r="B8" s="322" t="s">
        <v>73</v>
      </c>
      <c r="C8" s="323"/>
      <c r="D8" s="323"/>
      <c r="E8" s="323"/>
      <c r="F8" s="324"/>
      <c r="H8" s="267" t="s">
        <v>74</v>
      </c>
      <c r="M8" s="206"/>
      <c r="N8" s="206"/>
      <c r="O8" s="206"/>
    </row>
    <row r="9" spans="1:15" ht="14.6" x14ac:dyDescent="0.4">
      <c r="B9" s="37" t="s">
        <v>12</v>
      </c>
      <c r="C9" s="38" t="s">
        <v>11</v>
      </c>
      <c r="D9" s="10">
        <v>2022</v>
      </c>
      <c r="E9" s="38" t="s">
        <v>7</v>
      </c>
      <c r="F9" s="37" t="s">
        <v>75</v>
      </c>
      <c r="M9" s="206"/>
      <c r="N9" s="206"/>
      <c r="O9" s="206"/>
    </row>
    <row r="10" spans="1:15" ht="16.75" x14ac:dyDescent="0.35">
      <c r="B10" s="33" t="s">
        <v>76</v>
      </c>
      <c r="C10" s="34" t="s">
        <v>77</v>
      </c>
      <c r="D10" s="71">
        <f>D32</f>
        <v>18.902803807999998</v>
      </c>
      <c r="E10" s="35" t="s">
        <v>78</v>
      </c>
      <c r="F10" s="36" t="s">
        <v>79</v>
      </c>
      <c r="M10" s="206"/>
      <c r="N10" s="206"/>
      <c r="O10" s="206"/>
    </row>
    <row r="11" spans="1:15" ht="17.149999999999999" x14ac:dyDescent="0.55000000000000004">
      <c r="B11" s="63" t="s">
        <v>80</v>
      </c>
      <c r="C11" s="34" t="s">
        <v>81</v>
      </c>
      <c r="D11" s="195">
        <v>56.4</v>
      </c>
      <c r="E11" s="282" t="s">
        <v>82</v>
      </c>
      <c r="F11" s="36" t="s">
        <v>83</v>
      </c>
      <c r="G11" s="39">
        <v>2</v>
      </c>
      <c r="M11" s="206"/>
      <c r="N11" s="206"/>
      <c r="O11" s="206"/>
    </row>
    <row r="12" spans="1:15" ht="17.149999999999999" thickBot="1" x14ac:dyDescent="0.45">
      <c r="B12" s="43" t="s">
        <v>84</v>
      </c>
      <c r="C12" s="44" t="s">
        <v>85</v>
      </c>
      <c r="D12" s="80">
        <v>100</v>
      </c>
      <c r="E12" s="46" t="s">
        <v>36</v>
      </c>
      <c r="F12" s="47" t="s">
        <v>86</v>
      </c>
      <c r="G12" s="13" t="s">
        <v>87</v>
      </c>
      <c r="M12" s="206"/>
      <c r="N12" s="206"/>
      <c r="O12" s="206"/>
    </row>
    <row r="13" spans="1:15" ht="17.600000000000001" thickTop="1" x14ac:dyDescent="0.55000000000000004">
      <c r="B13" s="52" t="s">
        <v>88</v>
      </c>
      <c r="C13" s="40" t="s">
        <v>89</v>
      </c>
      <c r="D13" s="41">
        <f t="shared" ref="D13" si="0">(D10/D12%)*D11</f>
        <v>1066.1181347711999</v>
      </c>
      <c r="E13" s="42" t="s">
        <v>90</v>
      </c>
      <c r="F13" s="194"/>
      <c r="G13" s="13" t="s">
        <v>87</v>
      </c>
      <c r="H13" s="2">
        <v>1</v>
      </c>
      <c r="I13" s="32" t="s">
        <v>91</v>
      </c>
      <c r="J13" s="32">
        <v>3.5999999999999998E-6</v>
      </c>
      <c r="K13" s="32" t="s">
        <v>92</v>
      </c>
      <c r="L13" s="74"/>
      <c r="M13" s="206"/>
      <c r="N13" s="206"/>
      <c r="O13" s="206"/>
    </row>
    <row r="14" spans="1:15" ht="14.6" x14ac:dyDescent="0.4">
      <c r="B14" s="77"/>
      <c r="C14" s="60"/>
      <c r="D14" s="61"/>
      <c r="E14" s="62"/>
      <c r="F14" s="62"/>
      <c r="G14" s="13"/>
      <c r="H14" s="2">
        <v>1</v>
      </c>
      <c r="I14" s="2" t="s">
        <v>93</v>
      </c>
      <c r="J14" s="2">
        <v>277.77800000000002</v>
      </c>
      <c r="K14" s="2" t="s">
        <v>91</v>
      </c>
      <c r="M14" s="206"/>
      <c r="N14" s="26"/>
    </row>
    <row r="15" spans="1:15" ht="14.6" x14ac:dyDescent="0.4">
      <c r="B15" s="77"/>
      <c r="C15" s="60"/>
      <c r="D15" s="283"/>
      <c r="E15" s="284"/>
      <c r="F15" s="301"/>
      <c r="G15" s="13"/>
      <c r="H15" s="268"/>
      <c r="I15" s="60"/>
      <c r="J15" s="198"/>
      <c r="K15" s="78"/>
      <c r="N15" s="26"/>
    </row>
    <row r="16" spans="1:15" ht="14.6" x14ac:dyDescent="0.4">
      <c r="A16" s="74"/>
      <c r="B16" s="120"/>
      <c r="C16" s="121"/>
      <c r="D16" s="122"/>
      <c r="E16" s="123"/>
      <c r="F16" s="123"/>
      <c r="G16" s="124"/>
      <c r="I16" s="244"/>
      <c r="J16" s="245"/>
      <c r="K16" s="79"/>
      <c r="N16" s="26"/>
    </row>
    <row r="17" spans="1:14" ht="14.6" x14ac:dyDescent="0.4">
      <c r="A17" s="9" t="s">
        <v>94</v>
      </c>
      <c r="G17" s="13"/>
      <c r="I17" s="246"/>
      <c r="J17" s="246"/>
      <c r="K17" s="207"/>
      <c r="L17" s="208"/>
      <c r="N17" s="26"/>
    </row>
    <row r="18" spans="1:14" ht="15" thickBot="1" x14ac:dyDescent="0.45">
      <c r="B18" s="59"/>
      <c r="C18" s="60"/>
      <c r="D18" s="76"/>
      <c r="E18" s="62"/>
      <c r="F18" s="62"/>
      <c r="G18" s="13"/>
      <c r="H18" s="247"/>
      <c r="I18" s="244"/>
      <c r="J18" s="245"/>
      <c r="K18" s="79"/>
      <c r="N18" s="26"/>
    </row>
    <row r="19" spans="1:14" ht="16.3" thickBot="1" x14ac:dyDescent="0.5">
      <c r="B19" s="322" t="s">
        <v>95</v>
      </c>
      <c r="C19" s="323"/>
      <c r="D19" s="323"/>
      <c r="E19" s="323"/>
      <c r="F19" s="324"/>
      <c r="G19" s="13"/>
      <c r="H19" s="269" t="s">
        <v>96</v>
      </c>
      <c r="I19" s="243"/>
      <c r="J19" s="248"/>
      <c r="K19" s="62"/>
    </row>
    <row r="20" spans="1:14" ht="14.6" x14ac:dyDescent="0.4">
      <c r="B20" s="151" t="s">
        <v>12</v>
      </c>
      <c r="C20" s="152" t="s">
        <v>11</v>
      </c>
      <c r="D20" s="10">
        <v>2022</v>
      </c>
      <c r="E20" s="152" t="s">
        <v>7</v>
      </c>
      <c r="F20" s="151" t="s">
        <v>75</v>
      </c>
      <c r="G20" s="13"/>
      <c r="H20" s="249"/>
      <c r="I20" s="243"/>
      <c r="J20" s="248"/>
      <c r="K20" s="62"/>
    </row>
    <row r="21" spans="1:14" ht="14.6" x14ac:dyDescent="0.4">
      <c r="B21" s="33" t="s">
        <v>97</v>
      </c>
      <c r="C21" s="153" t="s">
        <v>98</v>
      </c>
      <c r="D21" s="71">
        <v>105390330</v>
      </c>
      <c r="E21" s="35" t="s">
        <v>99</v>
      </c>
      <c r="F21" s="36" t="s">
        <v>198</v>
      </c>
      <c r="G21" s="13"/>
      <c r="H21" s="249"/>
      <c r="I21" s="243"/>
      <c r="J21" s="248"/>
      <c r="K21" s="62"/>
    </row>
    <row r="22" spans="1:14" s="74" customFormat="1" ht="14.6" x14ac:dyDescent="0.4">
      <c r="A22" s="2"/>
      <c r="B22" s="33" t="s">
        <v>100</v>
      </c>
      <c r="C22" s="153" t="s">
        <v>101</v>
      </c>
      <c r="D22" s="195">
        <v>1.1599999999999999</v>
      </c>
      <c r="E22" s="35" t="s">
        <v>102</v>
      </c>
      <c r="F22" s="51" t="s">
        <v>103</v>
      </c>
      <c r="G22" s="39">
        <v>2</v>
      </c>
      <c r="H22" s="250"/>
      <c r="I22" s="251"/>
      <c r="J22" s="252"/>
      <c r="K22" s="123"/>
    </row>
    <row r="23" spans="1:14" ht="15" x14ac:dyDescent="0.45">
      <c r="B23" s="33" t="s">
        <v>104</v>
      </c>
      <c r="C23" s="35" t="s">
        <v>105</v>
      </c>
      <c r="D23" s="49">
        <v>37</v>
      </c>
      <c r="E23" s="35" t="s">
        <v>106</v>
      </c>
      <c r="F23" s="51" t="s">
        <v>21</v>
      </c>
      <c r="G23" s="39"/>
      <c r="H23" s="249"/>
      <c r="I23" s="243"/>
      <c r="J23" s="248"/>
      <c r="K23" s="62"/>
      <c r="L23" s="23"/>
      <c r="N23" s="26"/>
    </row>
    <row r="24" spans="1:14" ht="15" x14ac:dyDescent="0.45">
      <c r="B24" s="33" t="s">
        <v>107</v>
      </c>
      <c r="C24" s="35" t="s">
        <v>108</v>
      </c>
      <c r="D24" s="50">
        <v>75</v>
      </c>
      <c r="E24" s="35" t="s">
        <v>106</v>
      </c>
      <c r="F24" s="51" t="s">
        <v>21</v>
      </c>
      <c r="G24" s="39"/>
      <c r="H24" s="249"/>
      <c r="I24" s="243"/>
      <c r="J24" s="253"/>
      <c r="K24" s="62"/>
      <c r="L24" s="23"/>
      <c r="N24" s="26"/>
    </row>
    <row r="25" spans="1:14" ht="15.45" thickBot="1" x14ac:dyDescent="0.5">
      <c r="B25" s="154" t="s">
        <v>109</v>
      </c>
      <c r="C25" s="46" t="s">
        <v>110</v>
      </c>
      <c r="D25" s="80">
        <v>87</v>
      </c>
      <c r="E25" s="46" t="s">
        <v>36</v>
      </c>
      <c r="F25" s="47" t="s">
        <v>111</v>
      </c>
      <c r="G25" s="13"/>
      <c r="I25" s="243"/>
      <c r="J25" s="253"/>
      <c r="K25" s="62"/>
      <c r="L25" s="62"/>
    </row>
    <row r="26" spans="1:14" ht="15" thickTop="1" x14ac:dyDescent="0.4">
      <c r="B26" s="155" t="s">
        <v>112</v>
      </c>
      <c r="C26" s="156" t="s">
        <v>113</v>
      </c>
      <c r="D26" s="157">
        <f>D21/1000*D22*(D24-D23)*1/D25%</f>
        <v>5339776.72</v>
      </c>
      <c r="E26" s="158" t="s">
        <v>114</v>
      </c>
      <c r="F26" s="158"/>
      <c r="G26" s="13"/>
      <c r="I26" s="243"/>
      <c r="J26" s="253"/>
      <c r="K26" s="62"/>
      <c r="L26" s="62"/>
    </row>
    <row r="27" spans="1:14" ht="15" thickBot="1" x14ac:dyDescent="0.45">
      <c r="B27" s="59"/>
      <c r="C27" s="60"/>
      <c r="D27" s="76"/>
      <c r="E27" s="62"/>
      <c r="F27" s="62"/>
      <c r="G27" s="13"/>
      <c r="I27" s="243"/>
      <c r="J27" s="253"/>
      <c r="K27" s="62"/>
      <c r="L27" s="62"/>
    </row>
    <row r="28" spans="1:14" ht="16.3" thickBot="1" x14ac:dyDescent="0.5">
      <c r="B28" s="322" t="s">
        <v>73</v>
      </c>
      <c r="C28" s="323"/>
      <c r="D28" s="323"/>
      <c r="E28" s="323"/>
      <c r="F28" s="324"/>
      <c r="G28" s="13"/>
      <c r="H28" s="269" t="s">
        <v>115</v>
      </c>
      <c r="I28" s="243"/>
      <c r="J28" s="253"/>
      <c r="K28" s="62"/>
      <c r="L28" s="62"/>
    </row>
    <row r="29" spans="1:14" ht="14.6" x14ac:dyDescent="0.4">
      <c r="A29" s="74"/>
      <c r="B29" s="151" t="s">
        <v>12</v>
      </c>
      <c r="C29" s="152" t="s">
        <v>11</v>
      </c>
      <c r="D29" s="10">
        <v>2022</v>
      </c>
      <c r="E29" s="152" t="s">
        <v>7</v>
      </c>
      <c r="F29" s="151" t="s">
        <v>75</v>
      </c>
      <c r="G29" s="74"/>
      <c r="H29" s="249"/>
      <c r="I29" s="243"/>
      <c r="J29" s="253"/>
      <c r="K29" s="62"/>
      <c r="L29" s="62"/>
    </row>
    <row r="30" spans="1:14" ht="14.6" x14ac:dyDescent="0.4">
      <c r="B30" s="159" t="s">
        <v>116</v>
      </c>
      <c r="C30" s="153" t="s">
        <v>117</v>
      </c>
      <c r="D30" s="71">
        <f>B64</f>
        <v>38126</v>
      </c>
      <c r="E30" s="35" t="s">
        <v>93</v>
      </c>
      <c r="F30" s="36" t="s">
        <v>197</v>
      </c>
      <c r="H30" s="249"/>
      <c r="I30" s="243"/>
      <c r="J30" s="253"/>
      <c r="K30" s="62"/>
      <c r="L30" s="62"/>
    </row>
    <row r="31" spans="1:14" ht="15" thickBot="1" x14ac:dyDescent="0.45">
      <c r="B31" s="65" t="s">
        <v>118</v>
      </c>
      <c r="C31" s="160" t="s">
        <v>119</v>
      </c>
      <c r="D31" s="80">
        <f>D26</f>
        <v>5339776.72</v>
      </c>
      <c r="E31" s="46" t="s">
        <v>91</v>
      </c>
      <c r="F31" s="47" t="s">
        <v>120</v>
      </c>
      <c r="H31" s="249"/>
      <c r="I31" s="243"/>
      <c r="J31" s="253"/>
      <c r="K31" s="62"/>
      <c r="L31" s="62"/>
    </row>
    <row r="32" spans="1:14" ht="15" thickTop="1" x14ac:dyDescent="0.4">
      <c r="B32" s="81" t="s">
        <v>76</v>
      </c>
      <c r="C32" s="81" t="s">
        <v>121</v>
      </c>
      <c r="D32" s="157">
        <f>(D30/1000)-(D31*$J$13)</f>
        <v>18.902803807999998</v>
      </c>
      <c r="E32" s="158" t="s">
        <v>92</v>
      </c>
      <c r="F32" s="158"/>
      <c r="G32" s="39">
        <v>2</v>
      </c>
      <c r="H32" s="249"/>
      <c r="I32" s="243"/>
      <c r="J32" s="253"/>
      <c r="K32" s="62"/>
      <c r="L32" s="62"/>
    </row>
    <row r="33" spans="1:12" ht="14.6" x14ac:dyDescent="0.4">
      <c r="B33" s="125"/>
      <c r="C33" s="60"/>
      <c r="D33" s="61"/>
      <c r="E33" s="62"/>
      <c r="F33" s="62"/>
      <c r="G33" s="39"/>
      <c r="H33" s="249"/>
      <c r="I33" s="243"/>
      <c r="J33" s="253"/>
      <c r="K33" s="62"/>
      <c r="L33" s="62"/>
    </row>
    <row r="34" spans="1:12" ht="14.6" x14ac:dyDescent="0.4">
      <c r="B34" s="125"/>
      <c r="C34" s="60"/>
      <c r="D34" s="76"/>
      <c r="E34" s="62"/>
      <c r="F34" s="62"/>
      <c r="G34" s="39"/>
      <c r="I34" s="243"/>
      <c r="J34" s="253"/>
      <c r="K34" s="62"/>
      <c r="L34" s="62"/>
    </row>
    <row r="35" spans="1:12" s="74" customFormat="1" x14ac:dyDescent="0.35">
      <c r="A35" s="2"/>
      <c r="B35" s="2"/>
      <c r="C35" s="2"/>
      <c r="D35" s="149"/>
      <c r="E35" s="2"/>
      <c r="F35" s="2"/>
      <c r="G35" s="2"/>
      <c r="H35" s="240"/>
      <c r="I35" s="240"/>
      <c r="J35" s="240"/>
    </row>
    <row r="36" spans="1:12" ht="15.9" x14ac:dyDescent="0.45">
      <c r="A36" s="83" t="s">
        <v>122</v>
      </c>
      <c r="F36" s="26"/>
    </row>
    <row r="37" spans="1:12" ht="13.3" thickBot="1" x14ac:dyDescent="0.4"/>
    <row r="38" spans="1:12" ht="16.3" thickBot="1" x14ac:dyDescent="0.5">
      <c r="B38" s="322" t="s">
        <v>123</v>
      </c>
      <c r="C38" s="323"/>
      <c r="D38" s="323"/>
      <c r="E38" s="323"/>
      <c r="F38" s="324"/>
      <c r="H38" s="269" t="s">
        <v>124</v>
      </c>
    </row>
    <row r="39" spans="1:12" ht="14.6" x14ac:dyDescent="0.4">
      <c r="B39" s="161" t="s">
        <v>12</v>
      </c>
      <c r="C39" s="162" t="s">
        <v>11</v>
      </c>
      <c r="D39" s="10">
        <v>2022</v>
      </c>
      <c r="E39" s="162" t="s">
        <v>7</v>
      </c>
      <c r="F39" s="151" t="s">
        <v>75</v>
      </c>
    </row>
    <row r="40" spans="1:12" ht="14.6" x14ac:dyDescent="0.35">
      <c r="B40" s="33" t="s">
        <v>125</v>
      </c>
      <c r="C40" s="196" t="s">
        <v>126</v>
      </c>
      <c r="D40" s="71">
        <f>('BE Manure - AMS-III D'!D6+'BE Manure - AMS-III D'!E6)*1000</f>
        <v>91191000</v>
      </c>
      <c r="E40" s="35" t="s">
        <v>127</v>
      </c>
      <c r="F40" s="36" t="s">
        <v>196</v>
      </c>
    </row>
    <row r="41" spans="1:12" ht="14.6" x14ac:dyDescent="0.45">
      <c r="B41" s="33" t="s">
        <v>128</v>
      </c>
      <c r="C41" s="35" t="s">
        <v>129</v>
      </c>
      <c r="D41" s="48">
        <v>4.18</v>
      </c>
      <c r="E41" s="35" t="s">
        <v>130</v>
      </c>
      <c r="F41" s="51" t="s">
        <v>131</v>
      </c>
    </row>
    <row r="42" spans="1:12" ht="14.6" x14ac:dyDescent="0.45">
      <c r="B42" s="33" t="s">
        <v>132</v>
      </c>
      <c r="C42" s="35" t="s">
        <v>133</v>
      </c>
      <c r="D42" s="85">
        <v>10.8</v>
      </c>
      <c r="E42" s="35" t="s">
        <v>106</v>
      </c>
      <c r="F42" s="51" t="s">
        <v>134</v>
      </c>
      <c r="G42" s="39">
        <v>2</v>
      </c>
    </row>
    <row r="43" spans="1:12" ht="14.6" x14ac:dyDescent="0.45">
      <c r="B43" s="33" t="s">
        <v>135</v>
      </c>
      <c r="C43" s="35" t="s">
        <v>108</v>
      </c>
      <c r="D43" s="50">
        <v>70</v>
      </c>
      <c r="E43" s="35" t="s">
        <v>106</v>
      </c>
      <c r="F43" s="51" t="s">
        <v>21</v>
      </c>
      <c r="H43" s="254"/>
      <c r="I43" s="254"/>
      <c r="J43" s="254"/>
    </row>
    <row r="44" spans="1:12" ht="15" thickBot="1" x14ac:dyDescent="0.5">
      <c r="B44" s="154" t="s">
        <v>109</v>
      </c>
      <c r="C44" s="46" t="s">
        <v>136</v>
      </c>
      <c r="D44" s="163">
        <v>100</v>
      </c>
      <c r="E44" s="46" t="s">
        <v>36</v>
      </c>
      <c r="F44" s="47" t="s">
        <v>86</v>
      </c>
    </row>
    <row r="45" spans="1:12" ht="15" thickTop="1" x14ac:dyDescent="0.35">
      <c r="B45" s="155" t="s">
        <v>137</v>
      </c>
      <c r="C45" s="164" t="s">
        <v>138</v>
      </c>
      <c r="D45" s="165">
        <f>D40*D41*(D43-D42)*POWER(10,-9)*1/D44%</f>
        <v>22.565760096000002</v>
      </c>
      <c r="E45" s="158" t="s">
        <v>78</v>
      </c>
      <c r="F45" s="53"/>
    </row>
    <row r="46" spans="1:12" ht="13.3" thickBot="1" x14ac:dyDescent="0.4">
      <c r="H46" s="255"/>
    </row>
    <row r="47" spans="1:12" ht="16.3" thickBot="1" x14ac:dyDescent="0.5">
      <c r="B47" s="322" t="s">
        <v>139</v>
      </c>
      <c r="C47" s="323"/>
      <c r="D47" s="323"/>
      <c r="E47" s="323"/>
      <c r="F47" s="324"/>
    </row>
    <row r="48" spans="1:12" ht="14.6" x14ac:dyDescent="0.4">
      <c r="B48" s="161" t="s">
        <v>12</v>
      </c>
      <c r="C48" s="162" t="s">
        <v>11</v>
      </c>
      <c r="D48" s="10">
        <v>2022</v>
      </c>
      <c r="E48" s="162" t="s">
        <v>7</v>
      </c>
      <c r="F48" s="151" t="s">
        <v>75</v>
      </c>
    </row>
    <row r="49" spans="2:18" ht="14.6" x14ac:dyDescent="0.35">
      <c r="B49" s="33" t="s">
        <v>140</v>
      </c>
      <c r="C49" s="153" t="s">
        <v>141</v>
      </c>
      <c r="D49" s="71">
        <f t="shared" ref="D49" si="1">D45</f>
        <v>22.565760096000002</v>
      </c>
      <c r="E49" s="35" t="s">
        <v>78</v>
      </c>
      <c r="F49" s="36" t="s">
        <v>142</v>
      </c>
    </row>
    <row r="50" spans="2:18" ht="14.6" x14ac:dyDescent="0.45">
      <c r="B50" s="63" t="s">
        <v>80</v>
      </c>
      <c r="C50" s="153" t="s">
        <v>143</v>
      </c>
      <c r="D50" s="195">
        <v>56.4</v>
      </c>
      <c r="E50" s="166" t="s">
        <v>144</v>
      </c>
      <c r="F50" s="36" t="s">
        <v>145</v>
      </c>
      <c r="G50" s="39">
        <v>2</v>
      </c>
    </row>
    <row r="51" spans="2:18" ht="15" thickBot="1" x14ac:dyDescent="0.4">
      <c r="B51" s="43" t="s">
        <v>146</v>
      </c>
      <c r="C51" s="160" t="s">
        <v>147</v>
      </c>
      <c r="D51" s="80">
        <v>100</v>
      </c>
      <c r="E51" s="46" t="s">
        <v>36</v>
      </c>
      <c r="F51" s="47" t="s">
        <v>148</v>
      </c>
    </row>
    <row r="52" spans="2:18" ht="15.45" thickTop="1" x14ac:dyDescent="0.45">
      <c r="B52" s="167" t="s">
        <v>149</v>
      </c>
      <c r="C52" s="156" t="s">
        <v>150</v>
      </c>
      <c r="D52" s="157">
        <f t="shared" ref="D52" si="2">(D49/D51%)*D50</f>
        <v>1272.7088694144002</v>
      </c>
      <c r="E52" s="158" t="s">
        <v>151</v>
      </c>
      <c r="F52" s="158"/>
      <c r="G52" s="11">
        <v>0</v>
      </c>
    </row>
    <row r="53" spans="2:18" ht="14.6" x14ac:dyDescent="0.4">
      <c r="B53" s="59"/>
      <c r="C53" s="60"/>
      <c r="D53" s="61"/>
      <c r="E53" s="62"/>
      <c r="F53" s="62"/>
      <c r="G53" s="11"/>
    </row>
    <row r="54" spans="2:18" ht="15" thickBot="1" x14ac:dyDescent="0.45">
      <c r="B54" s="59"/>
      <c r="C54" s="60"/>
      <c r="D54" s="61"/>
      <c r="E54" s="62"/>
      <c r="F54" s="62"/>
      <c r="G54" s="11"/>
    </row>
    <row r="55" spans="2:18" ht="16.3" thickBot="1" x14ac:dyDescent="0.5">
      <c r="B55" s="322" t="s">
        <v>152</v>
      </c>
      <c r="C55" s="323"/>
      <c r="D55" s="323"/>
      <c r="E55" s="323"/>
      <c r="F55" s="324"/>
      <c r="H55" s="269" t="s">
        <v>153</v>
      </c>
    </row>
    <row r="56" spans="2:18" ht="14.6" x14ac:dyDescent="0.4">
      <c r="B56" s="161" t="s">
        <v>12</v>
      </c>
      <c r="C56" s="162" t="s">
        <v>11</v>
      </c>
      <c r="D56" s="10">
        <v>2022</v>
      </c>
      <c r="E56" s="162" t="s">
        <v>7</v>
      </c>
      <c r="F56" s="161" t="s">
        <v>75</v>
      </c>
      <c r="H56" s="256"/>
    </row>
    <row r="57" spans="2:18" ht="14.6" x14ac:dyDescent="0.45">
      <c r="B57" s="58" t="s">
        <v>154</v>
      </c>
      <c r="C57" s="156" t="s">
        <v>155</v>
      </c>
      <c r="D57" s="157">
        <f>(+D13+D52)</f>
        <v>2338.8270041856003</v>
      </c>
      <c r="E57" s="158" t="s">
        <v>151</v>
      </c>
      <c r="F57" s="51"/>
    </row>
    <row r="59" spans="2:18" x14ac:dyDescent="0.35">
      <c r="C59" s="26"/>
      <c r="D59" s="75"/>
      <c r="M59" s="30"/>
    </row>
    <row r="60" spans="2:18" ht="14.6" x14ac:dyDescent="0.35">
      <c r="B60" s="15"/>
      <c r="D60" s="26"/>
    </row>
    <row r="61" spans="2:18" ht="14.6" x14ac:dyDescent="0.35">
      <c r="B61" s="280" t="s">
        <v>156</v>
      </c>
      <c r="E61" s="26"/>
      <c r="O61" s="209"/>
      <c r="P61" s="209"/>
      <c r="Q61" s="209"/>
      <c r="R61" s="209"/>
    </row>
    <row r="62" spans="2:18" x14ac:dyDescent="0.35">
      <c r="O62" s="209"/>
      <c r="P62" s="209"/>
      <c r="Q62" s="209"/>
      <c r="R62" s="209"/>
    </row>
    <row r="63" spans="2:18" x14ac:dyDescent="0.35">
      <c r="B63" s="2">
        <v>2022</v>
      </c>
      <c r="O63" s="209"/>
      <c r="P63" s="209"/>
      <c r="Q63" s="209"/>
      <c r="R63" s="209"/>
    </row>
    <row r="64" spans="2:18" x14ac:dyDescent="0.35">
      <c r="B64" s="208">
        <v>38126</v>
      </c>
      <c r="C64" s="2" t="s">
        <v>157</v>
      </c>
      <c r="H64" s="256"/>
      <c r="O64" s="209"/>
      <c r="P64" s="209"/>
      <c r="Q64" s="209"/>
      <c r="R64" s="209"/>
    </row>
    <row r="65" spans="2:18" x14ac:dyDescent="0.35">
      <c r="H65" s="256"/>
      <c r="N65" s="82"/>
      <c r="O65" s="209"/>
      <c r="P65" s="209"/>
      <c r="Q65" s="209"/>
      <c r="R65" s="209"/>
    </row>
    <row r="66" spans="2:18" ht="14.6" x14ac:dyDescent="0.35">
      <c r="C66" s="27"/>
      <c r="G66" s="25"/>
      <c r="I66" s="257"/>
      <c r="J66" s="257"/>
      <c r="K66" s="15"/>
      <c r="L66" s="16"/>
    </row>
    <row r="67" spans="2:18" ht="14.6" x14ac:dyDescent="0.35">
      <c r="C67" s="27"/>
      <c r="G67" s="25"/>
      <c r="I67" s="257"/>
      <c r="J67" s="257"/>
      <c r="K67" s="15"/>
      <c r="L67" s="16"/>
    </row>
    <row r="68" spans="2:18" ht="14.6" x14ac:dyDescent="0.35">
      <c r="C68" s="27"/>
      <c r="G68" s="25"/>
      <c r="I68" s="257"/>
      <c r="J68" s="257"/>
      <c r="K68" s="15"/>
      <c r="L68" s="16"/>
    </row>
    <row r="69" spans="2:18" ht="14.6" x14ac:dyDescent="0.35">
      <c r="C69" s="27"/>
      <c r="G69" s="25"/>
      <c r="I69" s="257"/>
      <c r="J69" s="257"/>
      <c r="K69" s="15"/>
      <c r="L69" s="16"/>
    </row>
    <row r="70" spans="2:18" ht="14.6" x14ac:dyDescent="0.35">
      <c r="C70" s="27"/>
      <c r="G70" s="25"/>
      <c r="I70" s="257"/>
      <c r="J70" s="257"/>
      <c r="K70" s="15"/>
      <c r="L70" s="16"/>
    </row>
    <row r="71" spans="2:18" ht="14.6" x14ac:dyDescent="0.35">
      <c r="C71" s="27"/>
      <c r="G71" s="25"/>
      <c r="I71" s="257"/>
      <c r="J71" s="257"/>
      <c r="K71" s="15"/>
      <c r="L71" s="16"/>
    </row>
    <row r="72" spans="2:18" ht="14.6" x14ac:dyDescent="0.35">
      <c r="C72" s="27"/>
      <c r="G72" s="25"/>
      <c r="I72" s="257"/>
      <c r="J72" s="257"/>
      <c r="K72" s="15"/>
      <c r="L72" s="16"/>
    </row>
    <row r="73" spans="2:18" ht="14.6" x14ac:dyDescent="0.35">
      <c r="C73" s="27"/>
      <c r="G73" s="25"/>
      <c r="I73" s="257"/>
      <c r="J73" s="257"/>
      <c r="K73" s="15"/>
      <c r="L73" s="16"/>
    </row>
    <row r="74" spans="2:18" ht="14.6" x14ac:dyDescent="0.35">
      <c r="B74" s="31"/>
      <c r="C74" s="27"/>
      <c r="G74" s="25"/>
      <c r="I74" s="257"/>
      <c r="J74" s="257"/>
      <c r="K74" s="15"/>
      <c r="L74" s="16"/>
    </row>
    <row r="75" spans="2:18" ht="14.6" x14ac:dyDescent="0.35">
      <c r="C75" s="24"/>
      <c r="G75" s="25"/>
      <c r="I75" s="257"/>
      <c r="J75" s="257"/>
      <c r="K75" s="15"/>
      <c r="L75" s="16"/>
    </row>
    <row r="76" spans="2:18" ht="14.6" x14ac:dyDescent="0.35">
      <c r="C76" s="24"/>
      <c r="G76" s="25"/>
      <c r="I76" s="257"/>
      <c r="J76" s="257"/>
      <c r="K76" s="15"/>
      <c r="L76" s="16"/>
    </row>
    <row r="77" spans="2:18" ht="14.6" x14ac:dyDescent="0.35">
      <c r="C77" s="24"/>
      <c r="G77" s="25"/>
      <c r="I77" s="257"/>
      <c r="J77" s="257"/>
      <c r="K77" s="15"/>
      <c r="L77" s="16"/>
    </row>
    <row r="78" spans="2:18" ht="14.6" x14ac:dyDescent="0.35">
      <c r="C78" s="24"/>
      <c r="G78" s="25"/>
      <c r="I78" s="257"/>
      <c r="J78" s="257"/>
      <c r="K78" s="15"/>
      <c r="L78" s="16"/>
    </row>
    <row r="79" spans="2:18" ht="14.6" x14ac:dyDescent="0.35">
      <c r="C79" s="24"/>
      <c r="G79" s="25"/>
      <c r="I79" s="257"/>
      <c r="J79" s="257"/>
      <c r="K79" s="15"/>
      <c r="L79" s="16"/>
    </row>
    <row r="80" spans="2:18" ht="14.6" x14ac:dyDescent="0.35">
      <c r="C80" s="24"/>
      <c r="G80" s="25"/>
      <c r="I80" s="257"/>
      <c r="J80" s="257"/>
      <c r="K80" s="15"/>
      <c r="L80" s="16"/>
    </row>
    <row r="81" spans="2:16" ht="14.6" x14ac:dyDescent="0.35">
      <c r="C81" s="24"/>
      <c r="G81" s="25"/>
      <c r="H81" s="258"/>
      <c r="I81" s="257"/>
      <c r="J81" s="257"/>
      <c r="K81" s="15"/>
      <c r="L81" s="20"/>
    </row>
    <row r="82" spans="2:16" ht="14.6" x14ac:dyDescent="0.35">
      <c r="C82" s="24"/>
      <c r="G82" s="25"/>
      <c r="H82" s="258"/>
      <c r="I82" s="257"/>
      <c r="J82" s="257"/>
      <c r="K82" s="15"/>
      <c r="L82" s="20"/>
    </row>
    <row r="83" spans="2:16" ht="14.6" x14ac:dyDescent="0.35">
      <c r="C83" s="24"/>
      <c r="G83" s="25"/>
      <c r="H83" s="258"/>
      <c r="I83" s="257"/>
      <c r="J83" s="257"/>
      <c r="K83" s="15"/>
      <c r="L83" s="20"/>
    </row>
    <row r="84" spans="2:16" ht="14.6" x14ac:dyDescent="0.35">
      <c r="C84" s="24"/>
      <c r="G84" s="25"/>
      <c r="H84" s="258"/>
      <c r="I84" s="257"/>
      <c r="J84" s="257"/>
      <c r="K84" s="15"/>
      <c r="L84" s="20"/>
    </row>
    <row r="85" spans="2:16" ht="14.6" x14ac:dyDescent="0.35">
      <c r="C85" s="24"/>
      <c r="G85" s="25"/>
      <c r="H85" s="258"/>
      <c r="I85" s="257"/>
      <c r="J85" s="257"/>
      <c r="K85" s="15"/>
      <c r="L85" s="20"/>
    </row>
    <row r="86" spans="2:16" ht="14.6" x14ac:dyDescent="0.35">
      <c r="C86" s="24"/>
      <c r="G86" s="25"/>
      <c r="H86" s="258"/>
      <c r="I86" s="257"/>
      <c r="J86" s="257"/>
      <c r="K86" s="15"/>
      <c r="L86" s="20"/>
    </row>
    <row r="87" spans="2:16" ht="14.6" x14ac:dyDescent="0.35">
      <c r="C87" s="28"/>
      <c r="G87" s="25"/>
      <c r="H87" s="258"/>
      <c r="I87" s="257"/>
      <c r="J87" s="257"/>
      <c r="K87" s="15"/>
      <c r="L87" s="20"/>
    </row>
    <row r="88" spans="2:16" ht="14.6" x14ac:dyDescent="0.35">
      <c r="B88" s="30"/>
      <c r="G88" s="25"/>
      <c r="H88" s="258"/>
      <c r="I88" s="257"/>
      <c r="J88" s="257"/>
      <c r="K88" s="15"/>
      <c r="L88" s="20"/>
    </row>
    <row r="89" spans="2:16" ht="14.6" x14ac:dyDescent="0.35">
      <c r="C89" s="24"/>
      <c r="H89" s="258"/>
      <c r="I89" s="257"/>
      <c r="J89" s="257"/>
      <c r="K89" s="15"/>
      <c r="L89" s="20"/>
    </row>
    <row r="90" spans="2:16" ht="14.6" x14ac:dyDescent="0.35">
      <c r="H90" s="258"/>
      <c r="I90" s="257"/>
      <c r="J90" s="257"/>
      <c r="K90" s="15"/>
      <c r="L90" s="20"/>
    </row>
    <row r="91" spans="2:16" ht="14.6" x14ac:dyDescent="0.35">
      <c r="C91" s="24"/>
      <c r="H91" s="258"/>
      <c r="I91" s="257"/>
      <c r="J91" s="257"/>
      <c r="K91" s="15"/>
      <c r="L91" s="20"/>
    </row>
    <row r="92" spans="2:16" ht="14.6" x14ac:dyDescent="0.35">
      <c r="E92" s="29"/>
      <c r="H92" s="258"/>
      <c r="I92" s="257"/>
      <c r="J92" s="257"/>
      <c r="K92" s="15"/>
      <c r="L92" s="20"/>
    </row>
    <row r="93" spans="2:16" ht="14.6" x14ac:dyDescent="0.35">
      <c r="B93" s="15"/>
      <c r="H93" s="258"/>
      <c r="I93" s="257"/>
      <c r="J93" s="257"/>
      <c r="K93" s="15"/>
      <c r="L93" s="16"/>
    </row>
    <row r="94" spans="2:16" ht="14.6" x14ac:dyDescent="0.35">
      <c r="B94" s="19"/>
      <c r="H94" s="259"/>
      <c r="I94" s="259"/>
      <c r="J94" s="259"/>
    </row>
    <row r="95" spans="2:16" ht="14.6" x14ac:dyDescent="0.35">
      <c r="N95" s="14"/>
      <c r="O95" s="17"/>
      <c r="P95" s="25"/>
    </row>
    <row r="96" spans="2:16" ht="14.6" x14ac:dyDescent="0.35">
      <c r="N96" s="14"/>
      <c r="O96" s="17"/>
      <c r="P96" s="25"/>
    </row>
    <row r="97" spans="12:16" ht="14.6" x14ac:dyDescent="0.35">
      <c r="N97" s="21"/>
      <c r="O97" s="17"/>
      <c r="P97" s="25"/>
    </row>
    <row r="98" spans="12:16" ht="14.6" x14ac:dyDescent="0.35">
      <c r="N98" s="22"/>
      <c r="O98" s="17"/>
      <c r="P98" s="25"/>
    </row>
    <row r="100" spans="12:16" x14ac:dyDescent="0.35">
      <c r="L100" s="23"/>
    </row>
  </sheetData>
  <mergeCells count="6">
    <mergeCell ref="B55:F55"/>
    <mergeCell ref="B28:F28"/>
    <mergeCell ref="B8:F8"/>
    <mergeCell ref="B19:F19"/>
    <mergeCell ref="B38:F38"/>
    <mergeCell ref="B47:F47"/>
  </mergeCells>
  <phoneticPr fontId="8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D9" sqref="D9"/>
    </sheetView>
  </sheetViews>
  <sheetFormatPr baseColWidth="10" defaultColWidth="10.84375" defaultRowHeight="12.9" x14ac:dyDescent="0.35"/>
  <cols>
    <col min="1" max="1" width="5.69140625" style="2" customWidth="1"/>
    <col min="2" max="2" width="38.53515625" style="2" customWidth="1"/>
    <col min="3" max="5" width="17.53515625" style="2" customWidth="1"/>
    <col min="6" max="6" width="34.23046875" style="2" customWidth="1"/>
    <col min="7" max="9" width="16.4609375" style="2" customWidth="1"/>
    <col min="10" max="16384" width="10.84375" style="2"/>
  </cols>
  <sheetData>
    <row r="1" spans="1:7" s="74" customFormat="1" ht="18.45" x14ac:dyDescent="0.5">
      <c r="A1" s="112" t="s">
        <v>158</v>
      </c>
    </row>
    <row r="3" spans="1:7" ht="21" x14ac:dyDescent="0.65">
      <c r="A3" s="9" t="s">
        <v>159</v>
      </c>
      <c r="D3" s="64"/>
      <c r="F3" s="68"/>
      <c r="G3" s="69"/>
    </row>
    <row r="8" spans="1:7" ht="14.6" x14ac:dyDescent="0.35">
      <c r="B8" s="236" t="s">
        <v>12</v>
      </c>
      <c r="C8" s="18" t="s">
        <v>11</v>
      </c>
      <c r="D8" s="66">
        <v>2022</v>
      </c>
      <c r="E8" s="18" t="s">
        <v>7</v>
      </c>
      <c r="F8" s="18" t="s">
        <v>160</v>
      </c>
    </row>
    <row r="9" spans="1:7" ht="17.149999999999999" x14ac:dyDescent="0.55000000000000004">
      <c r="B9" s="33" t="s">
        <v>161</v>
      </c>
      <c r="C9" s="67" t="s">
        <v>162</v>
      </c>
      <c r="D9" s="71">
        <f>'Overview '!C7</f>
        <v>14291.117910502584</v>
      </c>
      <c r="E9" s="285" t="s">
        <v>163</v>
      </c>
      <c r="F9" s="36" t="s">
        <v>164</v>
      </c>
    </row>
    <row r="10" spans="1:7" ht="15" thickBot="1" x14ac:dyDescent="0.45">
      <c r="B10" s="65" t="s">
        <v>165</v>
      </c>
      <c r="C10" s="70">
        <v>0.1</v>
      </c>
      <c r="D10" s="45">
        <v>0.1</v>
      </c>
      <c r="E10" s="286" t="s">
        <v>36</v>
      </c>
      <c r="F10" s="47" t="s">
        <v>166</v>
      </c>
    </row>
    <row r="11" spans="1:7" ht="17.600000000000001" thickTop="1" x14ac:dyDescent="0.55000000000000004">
      <c r="B11" s="52" t="s">
        <v>167</v>
      </c>
      <c r="C11" s="40" t="s">
        <v>168</v>
      </c>
      <c r="D11" s="41">
        <f>D9*D10</f>
        <v>1429.1117910502585</v>
      </c>
      <c r="E11" s="42" t="s">
        <v>169</v>
      </c>
      <c r="F11" s="42"/>
    </row>
    <row r="13" spans="1:7" x14ac:dyDescent="0.35">
      <c r="C13" s="26"/>
      <c r="D13" s="75"/>
    </row>
    <row r="14" spans="1:7" ht="13.3" x14ac:dyDescent="0.35">
      <c r="B14" s="84"/>
      <c r="C14" s="84"/>
    </row>
    <row r="15" spans="1:7" ht="13.3" x14ac:dyDescent="0.35">
      <c r="B15" s="84"/>
      <c r="C15"/>
    </row>
  </sheetData>
  <pageMargins left="0.7" right="0.7" top="0.78740157499999996" bottom="0.78740157499999996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1"/>
  <sheetViews>
    <sheetView topLeftCell="C4" zoomScaleNormal="100" workbookViewId="0">
      <selection activeCell="E28" sqref="E28:F28"/>
    </sheetView>
  </sheetViews>
  <sheetFormatPr baseColWidth="10" defaultColWidth="10.84375" defaultRowHeight="12.9" x14ac:dyDescent="0.35"/>
  <cols>
    <col min="1" max="1" width="6.23046875" style="2" customWidth="1"/>
    <col min="2" max="2" width="14.15234375" style="2" customWidth="1"/>
    <col min="3" max="7" width="23.84375" style="2" customWidth="1"/>
    <col min="8" max="8" width="7.4609375" style="2" bestFit="1" customWidth="1"/>
    <col min="9" max="10" width="23.84375" style="2" customWidth="1"/>
    <col min="11" max="11" width="12.15234375" style="2" customWidth="1"/>
    <col min="12" max="15" width="12.15234375" style="24" customWidth="1"/>
    <col min="16" max="16" width="13" style="24" bestFit="1" customWidth="1"/>
    <col min="17" max="20" width="12.15234375" style="24" customWidth="1"/>
    <col min="21" max="21" width="12.15234375" style="2" customWidth="1"/>
    <col min="22" max="22" width="11.15234375" style="2" customWidth="1"/>
    <col min="23" max="16384" width="10.84375" style="2"/>
  </cols>
  <sheetData>
    <row r="1" spans="1:22" ht="18.45" x14ac:dyDescent="0.5">
      <c r="A1" s="270" t="s">
        <v>170</v>
      </c>
    </row>
    <row r="2" spans="1:22" ht="15" customHeight="1" x14ac:dyDescent="0.5">
      <c r="A2" s="7"/>
      <c r="D2" s="23"/>
    </row>
    <row r="3" spans="1:22" ht="15" customHeight="1" x14ac:dyDescent="0.5">
      <c r="A3" s="7"/>
      <c r="G3" s="229"/>
      <c r="H3" s="263"/>
      <c r="K3" s="9"/>
      <c r="L3" s="222"/>
    </row>
    <row r="4" spans="1:22" ht="34.5" customHeight="1" x14ac:dyDescent="0.45">
      <c r="B4" s="237" t="s">
        <v>171</v>
      </c>
      <c r="C4" s="212" t="s">
        <v>172</v>
      </c>
      <c r="D4" s="212" t="s">
        <v>173</v>
      </c>
      <c r="E4" s="234" t="s">
        <v>174</v>
      </c>
      <c r="F4" s="213" t="s">
        <v>175</v>
      </c>
      <c r="I4" s="225" t="s">
        <v>176</v>
      </c>
      <c r="J4" s="238"/>
      <c r="L4" s="222"/>
      <c r="O4" s="214"/>
      <c r="P4" s="214"/>
      <c r="Q4" s="214"/>
      <c r="R4" s="214"/>
      <c r="S4" s="214"/>
      <c r="T4" s="214"/>
      <c r="U4" s="78"/>
      <c r="V4" s="78"/>
    </row>
    <row r="5" spans="1:22" ht="13" customHeight="1" x14ac:dyDescent="0.4">
      <c r="B5" s="66"/>
      <c r="C5" s="210" t="s">
        <v>177</v>
      </c>
      <c r="D5" s="213" t="s">
        <v>178</v>
      </c>
      <c r="E5" s="211" t="s">
        <v>179</v>
      </c>
      <c r="F5" s="213" t="s">
        <v>180</v>
      </c>
      <c r="I5" s="78"/>
      <c r="J5" s="238"/>
      <c r="L5" s="222"/>
      <c r="O5" s="25"/>
      <c r="P5" s="25"/>
      <c r="Q5" s="25"/>
      <c r="R5" s="25"/>
      <c r="S5" s="25"/>
      <c r="T5" s="25"/>
    </row>
    <row r="6" spans="1:22" ht="15" thickBot="1" x14ac:dyDescent="0.45">
      <c r="B6" s="36">
        <v>2022</v>
      </c>
      <c r="C6" s="303">
        <v>8917072</v>
      </c>
      <c r="D6" s="303">
        <f>B36</f>
        <v>4193505</v>
      </c>
      <c r="E6" s="306">
        <f>C6/D6/F6*10</f>
        <v>56.478106447839806</v>
      </c>
      <c r="F6" s="308">
        <f t="shared" ref="F6" si="0">(37.5+37.8)/2/100</f>
        <v>0.3765</v>
      </c>
      <c r="I6" s="57"/>
      <c r="J6" s="239"/>
      <c r="O6" s="217"/>
      <c r="P6" s="25"/>
      <c r="Q6" s="25"/>
      <c r="R6" s="25"/>
      <c r="S6" s="25"/>
      <c r="T6" s="25"/>
      <c r="U6" s="149"/>
      <c r="V6" s="149"/>
    </row>
    <row r="7" spans="1:22" ht="15" thickTop="1" x14ac:dyDescent="0.4">
      <c r="B7" s="261" t="s">
        <v>181</v>
      </c>
      <c r="C7" s="304">
        <f>SUM(C6:C6)</f>
        <v>8917072</v>
      </c>
      <c r="D7" s="305">
        <f>SUM(D6:D6)</f>
        <v>4193505</v>
      </c>
      <c r="E7" s="307">
        <f>AVERAGE(E6:E6)</f>
        <v>56.478106447839806</v>
      </c>
      <c r="F7" s="309">
        <f>AVERAGE(F6:F6)</f>
        <v>0.3765</v>
      </c>
      <c r="G7" s="197"/>
      <c r="K7" s="24"/>
      <c r="O7" s="25"/>
      <c r="P7" s="215"/>
      <c r="Q7" s="215"/>
      <c r="R7" s="215"/>
      <c r="S7" s="215"/>
      <c r="T7" s="215"/>
      <c r="U7" s="216"/>
      <c r="V7" s="216"/>
    </row>
    <row r="8" spans="1:22" ht="14.6" x14ac:dyDescent="0.4">
      <c r="B8" s="231"/>
      <c r="C8" s="218"/>
      <c r="D8" s="276"/>
      <c r="E8" s="219"/>
      <c r="F8" s="220"/>
      <c r="G8" s="221"/>
      <c r="H8" s="232"/>
      <c r="K8" s="24"/>
      <c r="M8" s="2"/>
      <c r="O8" s="25"/>
      <c r="P8" s="215"/>
      <c r="Q8" s="215"/>
      <c r="R8" s="215"/>
      <c r="S8" s="215"/>
      <c r="T8" s="215"/>
      <c r="U8" s="216"/>
      <c r="V8" s="216"/>
    </row>
    <row r="9" spans="1:22" ht="14.6" x14ac:dyDescent="0.4">
      <c r="C9" s="222"/>
      <c r="D9" s="219"/>
      <c r="E9" s="219"/>
      <c r="F9" s="220"/>
      <c r="G9" s="221"/>
      <c r="H9" s="232"/>
      <c r="K9" s="24"/>
      <c r="M9" s="2"/>
      <c r="O9" s="25"/>
      <c r="P9" s="215"/>
      <c r="Q9" s="215"/>
      <c r="R9" s="215"/>
      <c r="S9" s="215"/>
      <c r="T9" s="215"/>
      <c r="U9" s="216"/>
      <c r="V9" s="216"/>
    </row>
    <row r="10" spans="1:22" s="74" customFormat="1" ht="14.6" x14ac:dyDescent="0.4">
      <c r="A10" s="262" t="s">
        <v>182</v>
      </c>
      <c r="C10" s="122"/>
      <c r="E10" s="223"/>
      <c r="F10" s="224"/>
      <c r="K10" s="24"/>
      <c r="L10" s="24"/>
      <c r="N10" s="24"/>
      <c r="O10" s="25"/>
      <c r="P10" s="25"/>
      <c r="Q10" s="25"/>
      <c r="R10" s="25"/>
      <c r="S10" s="25"/>
      <c r="T10" s="25"/>
    </row>
    <row r="11" spans="1:22" s="226" customFormat="1" ht="14.6" x14ac:dyDescent="0.4">
      <c r="K11" s="24"/>
      <c r="L11" s="24"/>
      <c r="N11" s="24"/>
      <c r="O11" s="25"/>
      <c r="P11" s="227"/>
      <c r="Q11" s="227"/>
      <c r="R11" s="227"/>
      <c r="S11" s="227"/>
      <c r="T11" s="227"/>
      <c r="V11" s="228"/>
    </row>
    <row r="12" spans="1:22" ht="14.6" x14ac:dyDescent="0.4">
      <c r="B12" s="287">
        <v>2022</v>
      </c>
      <c r="C12" s="287" t="s">
        <v>203</v>
      </c>
      <c r="D12" s="336" t="s">
        <v>204</v>
      </c>
      <c r="E12" s="337"/>
      <c r="F12" s="337"/>
      <c r="G12" s="292"/>
      <c r="K12" s="24"/>
      <c r="O12" s="25"/>
      <c r="P12" s="25"/>
      <c r="Q12" s="25"/>
      <c r="R12" s="25"/>
      <c r="S12" s="25"/>
      <c r="T12" s="25"/>
      <c r="V12" s="149"/>
    </row>
    <row r="13" spans="1:22" ht="14.6" x14ac:dyDescent="0.4">
      <c r="B13" s="288">
        <v>51750</v>
      </c>
      <c r="C13" s="288">
        <v>111225</v>
      </c>
      <c r="D13" s="197">
        <f>C13/B13</f>
        <v>2.1492753623188405</v>
      </c>
      <c r="E13" s="325"/>
      <c r="F13" s="265"/>
      <c r="G13" s="291"/>
      <c r="I13" s="9" t="s">
        <v>183</v>
      </c>
      <c r="K13" s="26"/>
      <c r="O13" s="25"/>
      <c r="P13" s="25"/>
      <c r="Q13" s="25"/>
      <c r="R13" s="25"/>
      <c r="S13" s="25"/>
      <c r="T13" s="25"/>
      <c r="V13" s="149"/>
    </row>
    <row r="14" spans="1:22" x14ac:dyDescent="0.35">
      <c r="B14" s="288">
        <v>90800</v>
      </c>
      <c r="C14" s="288">
        <v>195154</v>
      </c>
      <c r="D14" s="197">
        <f>C14/B14</f>
        <v>2.1492731277533039</v>
      </c>
      <c r="E14" s="326"/>
      <c r="F14" s="265"/>
      <c r="G14" s="291"/>
      <c r="I14" s="230" t="s">
        <v>178</v>
      </c>
      <c r="J14" s="57" t="s">
        <v>184</v>
      </c>
      <c r="O14" s="25"/>
      <c r="P14" s="25"/>
      <c r="Q14" s="25"/>
      <c r="R14" s="25"/>
      <c r="S14" s="25"/>
      <c r="T14" s="25"/>
      <c r="V14" s="149"/>
    </row>
    <row r="15" spans="1:22" x14ac:dyDescent="0.35">
      <c r="B15" s="288">
        <v>58200</v>
      </c>
      <c r="C15" s="288">
        <f>B15*D14</f>
        <v>125087.69603524229</v>
      </c>
      <c r="D15" s="197">
        <f>C15/B15</f>
        <v>2.1492731277533039</v>
      </c>
      <c r="E15" s="264"/>
      <c r="F15" s="265"/>
      <c r="G15" s="291"/>
      <c r="I15" s="230" t="s">
        <v>177</v>
      </c>
      <c r="J15" s="57" t="s">
        <v>185</v>
      </c>
      <c r="O15" s="25"/>
      <c r="P15" s="25"/>
      <c r="Q15" s="25"/>
      <c r="R15" s="25"/>
      <c r="S15" s="25"/>
      <c r="T15" s="25"/>
      <c r="V15" s="149"/>
    </row>
    <row r="16" spans="1:22" ht="17.149999999999999" x14ac:dyDescent="0.55000000000000004">
      <c r="B16" s="288">
        <v>290000</v>
      </c>
      <c r="C16" s="288"/>
      <c r="D16" s="197"/>
      <c r="E16" s="264"/>
      <c r="F16" s="265"/>
      <c r="G16" s="291"/>
      <c r="I16" s="2" t="s">
        <v>186</v>
      </c>
      <c r="J16" s="57" t="s">
        <v>187</v>
      </c>
      <c r="L16" s="25"/>
      <c r="N16" s="25"/>
      <c r="O16" s="25"/>
      <c r="P16" s="25"/>
      <c r="Q16" s="25"/>
      <c r="R16" s="25"/>
      <c r="S16" s="25"/>
      <c r="T16" s="25"/>
      <c r="V16" s="149"/>
    </row>
    <row r="17" spans="2:22" ht="17.149999999999999" x14ac:dyDescent="0.55000000000000004">
      <c r="B17" s="288">
        <v>468600</v>
      </c>
      <c r="C17" s="288"/>
      <c r="D17" s="197"/>
      <c r="E17" s="264"/>
      <c r="F17" s="327"/>
      <c r="G17" s="291"/>
      <c r="I17" s="2" t="s">
        <v>188</v>
      </c>
      <c r="J17" s="57" t="s">
        <v>189</v>
      </c>
      <c r="L17" s="25"/>
      <c r="N17" s="25"/>
      <c r="O17" s="25"/>
      <c r="P17" s="25"/>
      <c r="Q17" s="25"/>
      <c r="R17" s="25"/>
      <c r="S17" s="25"/>
      <c r="T17" s="25"/>
      <c r="V17" s="149"/>
    </row>
    <row r="18" spans="2:22" ht="17.149999999999999" x14ac:dyDescent="0.55000000000000004">
      <c r="B18" s="288">
        <v>1328250</v>
      </c>
      <c r="C18" s="288"/>
      <c r="D18" s="197"/>
      <c r="E18" s="264"/>
      <c r="F18" s="327"/>
      <c r="G18" s="291"/>
      <c r="I18" s="2" t="s">
        <v>190</v>
      </c>
      <c r="J18" s="57" t="s">
        <v>191</v>
      </c>
      <c r="N18" s="266"/>
      <c r="O18" s="25"/>
      <c r="P18" s="25"/>
      <c r="Q18" s="25"/>
      <c r="R18" s="25"/>
      <c r="S18" s="25"/>
      <c r="T18" s="25"/>
      <c r="V18" s="149"/>
    </row>
    <row r="19" spans="2:22" x14ac:dyDescent="0.35">
      <c r="B19" s="288">
        <v>180000</v>
      </c>
      <c r="C19" s="288"/>
      <c r="D19" s="330"/>
      <c r="E19" s="264"/>
      <c r="F19" s="265"/>
      <c r="G19" s="291"/>
      <c r="N19" s="25"/>
      <c r="O19" s="25"/>
    </row>
    <row r="20" spans="2:22" ht="14.6" x14ac:dyDescent="0.35">
      <c r="B20" s="288" t="s">
        <v>192</v>
      </c>
      <c r="C20" s="288"/>
      <c r="D20" s="330"/>
      <c r="F20" s="265"/>
      <c r="G20" s="291"/>
      <c r="L20" s="25"/>
      <c r="N20" s="214"/>
      <c r="O20" s="25"/>
    </row>
    <row r="21" spans="2:22" x14ac:dyDescent="0.35">
      <c r="B21" s="288">
        <v>15750</v>
      </c>
      <c r="C21" s="288"/>
      <c r="D21" s="330"/>
      <c r="E21" s="264"/>
      <c r="F21" s="265"/>
      <c r="G21" s="291"/>
      <c r="L21" s="25"/>
      <c r="N21" s="25"/>
      <c r="O21" s="25"/>
    </row>
    <row r="22" spans="2:22" ht="15" customHeight="1" x14ac:dyDescent="0.35">
      <c r="B22" s="288">
        <v>20700</v>
      </c>
      <c r="C22" s="288"/>
      <c r="D22" s="330"/>
      <c r="E22" s="264">
        <f>(C36/1000*3600)/(35.9*F6)*E14*E15</f>
        <v>0</v>
      </c>
      <c r="F22" s="265"/>
      <c r="G22" s="291"/>
      <c r="L22" s="25"/>
      <c r="N22" s="25"/>
      <c r="O22" s="25"/>
    </row>
    <row r="23" spans="2:22" ht="15" customHeight="1" x14ac:dyDescent="0.35">
      <c r="B23" s="288">
        <v>93375</v>
      </c>
      <c r="C23" s="288"/>
      <c r="D23" s="330"/>
      <c r="E23" s="329" t="s">
        <v>15</v>
      </c>
      <c r="F23" s="114" t="s">
        <v>16</v>
      </c>
      <c r="G23" s="291"/>
      <c r="L23" s="25"/>
      <c r="N23" s="25"/>
      <c r="O23" s="25"/>
    </row>
    <row r="24" spans="2:22" ht="15" customHeight="1" x14ac:dyDescent="0.35">
      <c r="B24" s="288">
        <v>12200</v>
      </c>
      <c r="C24" s="288"/>
      <c r="D24" s="330"/>
      <c r="E24" s="264">
        <f>'BE Manure - AMS-III D'!D6</f>
        <v>35720.33</v>
      </c>
      <c r="F24" s="265">
        <f>'BE Manure - AMS-III D'!E6</f>
        <v>55470.67</v>
      </c>
      <c r="G24" s="332" t="s">
        <v>200</v>
      </c>
      <c r="O24" s="25"/>
    </row>
    <row r="25" spans="2:22" ht="15" customHeight="1" x14ac:dyDescent="0.35">
      <c r="B25" s="288">
        <v>420120</v>
      </c>
      <c r="C25" s="288"/>
      <c r="D25" s="330"/>
      <c r="E25" s="264">
        <v>20</v>
      </c>
      <c r="F25" s="265">
        <v>20</v>
      </c>
      <c r="G25" s="332" t="s">
        <v>201</v>
      </c>
      <c r="L25" s="233"/>
      <c r="M25" s="233"/>
      <c r="N25" s="233"/>
      <c r="O25" s="25"/>
    </row>
    <row r="26" spans="2:22" ht="15" customHeight="1" x14ac:dyDescent="0.4">
      <c r="B26" s="288">
        <v>16920</v>
      </c>
      <c r="C26" s="288"/>
      <c r="D26" s="330"/>
      <c r="E26" s="264">
        <f>E24*E25</f>
        <v>714406.60000000009</v>
      </c>
      <c r="F26" s="264">
        <f>F24*F25</f>
        <v>1109413.3999999999</v>
      </c>
      <c r="G26" s="332" t="s">
        <v>202</v>
      </c>
      <c r="L26" s="215"/>
      <c r="M26" s="233"/>
      <c r="N26" s="215"/>
      <c r="O26" s="233"/>
      <c r="P26" s="215"/>
    </row>
    <row r="27" spans="2:22" ht="15" customHeight="1" x14ac:dyDescent="0.35">
      <c r="B27" s="288">
        <v>66600</v>
      </c>
      <c r="C27" s="288"/>
      <c r="D27" s="197"/>
      <c r="E27" s="334">
        <f>D15</f>
        <v>2.1492731277533039</v>
      </c>
      <c r="F27" s="331">
        <f>D13</f>
        <v>2.1492753623188405</v>
      </c>
      <c r="G27" s="332" t="s">
        <v>205</v>
      </c>
      <c r="L27" s="233"/>
      <c r="M27" s="233"/>
      <c r="N27" s="233"/>
      <c r="O27" s="233"/>
    </row>
    <row r="28" spans="2:22" ht="15" customHeight="1" x14ac:dyDescent="0.35">
      <c r="B28" s="288">
        <v>349800</v>
      </c>
      <c r="C28" s="288"/>
      <c r="D28" s="333"/>
      <c r="E28" s="335">
        <f>E26*E27</f>
        <v>1535454.9076696036</v>
      </c>
      <c r="F28" s="265">
        <f>F26*F27</f>
        <v>2384434.8872463764</v>
      </c>
      <c r="G28" s="2" t="s">
        <v>206</v>
      </c>
    </row>
    <row r="29" spans="2:22" ht="15" customHeight="1" x14ac:dyDescent="0.35">
      <c r="B29" s="288">
        <v>18550</v>
      </c>
      <c r="C29" s="288"/>
      <c r="D29" s="288"/>
      <c r="E29" s="335">
        <v>35.9</v>
      </c>
      <c r="F29" s="265">
        <v>35.9</v>
      </c>
      <c r="G29" s="2" t="s">
        <v>209</v>
      </c>
    </row>
    <row r="30" spans="2:22" ht="15" customHeight="1" x14ac:dyDescent="0.35">
      <c r="B30" s="288">
        <v>110000</v>
      </c>
      <c r="C30" s="288"/>
      <c r="D30" s="288"/>
      <c r="E30" s="341">
        <v>0.4</v>
      </c>
      <c r="F30" s="341">
        <v>0.4</v>
      </c>
      <c r="G30" s="2" t="s">
        <v>212</v>
      </c>
    </row>
    <row r="31" spans="2:22" ht="15" customHeight="1" x14ac:dyDescent="0.35">
      <c r="B31" s="288">
        <v>5490</v>
      </c>
      <c r="C31" s="288"/>
      <c r="D31" s="288"/>
      <c r="E31" s="338">
        <f>'BE Manure - AMS-III D'!D21</f>
        <v>6.7000000000000002E-4</v>
      </c>
      <c r="F31" s="338">
        <f>'BE Manure - AMS-III D'!E21</f>
        <v>6.7000000000000002E-4</v>
      </c>
      <c r="G31" s="2" t="s">
        <v>207</v>
      </c>
    </row>
    <row r="32" spans="2:22" ht="15" customHeight="1" thickBot="1" x14ac:dyDescent="0.4">
      <c r="B32" s="288">
        <v>31320</v>
      </c>
      <c r="C32" s="288"/>
      <c r="D32" s="288"/>
      <c r="E32" s="339">
        <f>'BE Manure - AMS-III D'!D22</f>
        <v>28</v>
      </c>
      <c r="F32" s="340">
        <f>'BE Manure - AMS-III D'!E22</f>
        <v>28</v>
      </c>
      <c r="G32" s="2" t="s">
        <v>208</v>
      </c>
    </row>
    <row r="33" spans="2:10" ht="13.3" thickTop="1" x14ac:dyDescent="0.35">
      <c r="B33" s="288">
        <v>253080</v>
      </c>
      <c r="C33" s="288"/>
      <c r="D33" s="288"/>
      <c r="E33" s="265">
        <f>(E28/1000*3600)/(E29*E30)*E31*E32</f>
        <v>7221.342802533034</v>
      </c>
      <c r="F33" s="265">
        <f>(F28/1000*3600)/(F29*F30)*F31*F32</f>
        <v>11214.150037957612</v>
      </c>
      <c r="G33" s="2" t="s">
        <v>210</v>
      </c>
    </row>
    <row r="34" spans="2:10" x14ac:dyDescent="0.35">
      <c r="B34" s="288">
        <v>312000</v>
      </c>
      <c r="C34" s="288"/>
      <c r="D34" s="288"/>
      <c r="E34" s="264"/>
      <c r="F34" s="291"/>
    </row>
    <row r="35" spans="2:10" ht="13.3" thickBot="1" x14ac:dyDescent="0.4">
      <c r="B35" s="289"/>
      <c r="C35" s="289"/>
      <c r="D35" s="288"/>
      <c r="E35" s="265">
        <f>E33+F33</f>
        <v>18435.492840490646</v>
      </c>
      <c r="F35" s="291"/>
      <c r="G35" s="2" t="s">
        <v>211</v>
      </c>
      <c r="I35" s="208"/>
    </row>
    <row r="36" spans="2:10" ht="13.3" thickTop="1" x14ac:dyDescent="0.35">
      <c r="B36" s="290">
        <f>SUM(B13:B35)</f>
        <v>4193505</v>
      </c>
      <c r="C36" s="328"/>
      <c r="D36" s="328"/>
      <c r="E36" s="264"/>
      <c r="F36" s="264"/>
      <c r="I36" s="208"/>
    </row>
    <row r="37" spans="2:10" x14ac:dyDescent="0.35">
      <c r="E37" s="208"/>
      <c r="F37" s="208"/>
      <c r="I37" s="208"/>
      <c r="J37" s="208"/>
    </row>
    <row r="38" spans="2:10" x14ac:dyDescent="0.35">
      <c r="E38" s="208"/>
      <c r="F38" s="208"/>
      <c r="G38" s="208"/>
      <c r="I38" s="208"/>
      <c r="J38" s="208"/>
    </row>
    <row r="39" spans="2:10" x14ac:dyDescent="0.35">
      <c r="E39" s="208"/>
      <c r="F39" s="208"/>
      <c r="G39" s="208"/>
      <c r="I39" s="208"/>
      <c r="J39" s="208"/>
    </row>
    <row r="40" spans="2:10" x14ac:dyDescent="0.35">
      <c r="E40" s="208"/>
      <c r="F40" s="208"/>
      <c r="G40" s="208"/>
    </row>
    <row r="41" spans="2:10" x14ac:dyDescent="0.35">
      <c r="E41" s="208"/>
      <c r="F41" s="208"/>
      <c r="G41" s="208"/>
    </row>
    <row r="42" spans="2:10" x14ac:dyDescent="0.35">
      <c r="E42" s="208"/>
      <c r="F42" s="208"/>
      <c r="G42" s="208"/>
    </row>
    <row r="43" spans="2:10" x14ac:dyDescent="0.35">
      <c r="E43" s="208"/>
      <c r="F43" s="208"/>
      <c r="G43" s="208"/>
    </row>
    <row r="44" spans="2:10" x14ac:dyDescent="0.35">
      <c r="E44" s="208"/>
      <c r="F44" s="208"/>
      <c r="G44" s="208"/>
    </row>
    <row r="45" spans="2:10" x14ac:dyDescent="0.35">
      <c r="E45" s="208"/>
      <c r="F45" s="208"/>
      <c r="G45" s="208"/>
    </row>
    <row r="46" spans="2:10" x14ac:dyDescent="0.35">
      <c r="E46" s="208"/>
      <c r="F46" s="208"/>
      <c r="G46" s="208"/>
    </row>
    <row r="47" spans="2:10" x14ac:dyDescent="0.35">
      <c r="E47" s="208"/>
      <c r="F47" s="208"/>
      <c r="G47" s="208"/>
    </row>
    <row r="48" spans="2:10" x14ac:dyDescent="0.35">
      <c r="E48" s="208"/>
      <c r="F48" s="208"/>
      <c r="G48" s="208"/>
    </row>
    <row r="49" spans="5:7" x14ac:dyDescent="0.35">
      <c r="E49" s="208"/>
      <c r="F49" s="208"/>
      <c r="G49" s="208"/>
    </row>
    <row r="50" spans="5:7" x14ac:dyDescent="0.35">
      <c r="E50" s="208"/>
      <c r="F50" s="208"/>
    </row>
    <row r="51" spans="5:7" x14ac:dyDescent="0.35">
      <c r="E51" s="208"/>
      <c r="F51" s="208"/>
    </row>
  </sheetData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4817" r:id="rId4">
          <objectPr defaultSize="0" autoPict="0" r:id="rId5">
            <anchor moveWithCells="1" sizeWithCells="1">
              <from>
                <xdr:col>8</xdr:col>
                <xdr:colOff>76200</xdr:colOff>
                <xdr:row>6</xdr:row>
                <xdr:rowOff>21771</xdr:rowOff>
              </from>
              <to>
                <xdr:col>9</xdr:col>
                <xdr:colOff>1240971</xdr:colOff>
                <xdr:row>10</xdr:row>
                <xdr:rowOff>0</xdr:rowOff>
              </to>
            </anchor>
          </objectPr>
        </oleObject>
      </mc:Choice>
      <mc:Fallback>
        <oleObject progId="Equation.3" shapeId="3481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workbookViewId="0">
      <selection activeCell="H56" sqref="H56"/>
    </sheetView>
  </sheetViews>
  <sheetFormatPr baseColWidth="10" defaultColWidth="11.4609375" defaultRowHeight="12.45" x14ac:dyDescent="0.3"/>
  <cols>
    <col min="1" max="1" width="6.84375" customWidth="1"/>
    <col min="2" max="2" width="16.23046875" customWidth="1"/>
    <col min="3" max="3" width="29.84375" customWidth="1"/>
  </cols>
  <sheetData>
    <row r="1" spans="1:3" ht="18.45" x14ac:dyDescent="0.5">
      <c r="A1" s="7" t="s">
        <v>193</v>
      </c>
    </row>
    <row r="3" spans="1:3" ht="15.9" x14ac:dyDescent="0.3">
      <c r="B3" s="237" t="s">
        <v>171</v>
      </c>
      <c r="C3" s="212" t="s">
        <v>194</v>
      </c>
    </row>
    <row r="4" spans="1:3" ht="17.149999999999999" x14ac:dyDescent="0.3">
      <c r="B4" s="66"/>
      <c r="C4" s="210" t="s">
        <v>195</v>
      </c>
    </row>
    <row r="5" spans="1:3" ht="14.6" x14ac:dyDescent="0.4">
      <c r="B5" s="36">
        <v>2022</v>
      </c>
      <c r="C5" s="235">
        <f>31727-15600-1406-522</f>
        <v>14199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a820af-9c36-47fb-8383-9944acc4573c" xsi:nil="true"/>
    <lcf76f155ced4ddcb4097134ff3c332f xmlns="5944c9fc-9421-4c39-b608-61ce317886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C1F0F2D97C04690DF7AC407C65BA5" ma:contentTypeVersion="19" ma:contentTypeDescription="Create a new document." ma:contentTypeScope="" ma:versionID="138ac169aaadc9c430b97b25b46ecc4e">
  <xsd:schema xmlns:xsd="http://www.w3.org/2001/XMLSchema" xmlns:xs="http://www.w3.org/2001/XMLSchema" xmlns:p="http://schemas.microsoft.com/office/2006/metadata/properties" xmlns:ns2="5944c9fc-9421-4c39-b608-61ce31788618" xmlns:ns3="3ba820af-9c36-47fb-8383-9944acc4573c" targetNamespace="http://schemas.microsoft.com/office/2006/metadata/properties" ma:root="true" ma:fieldsID="4cce58cbed9668fc3dbbcfb9a7470718" ns2:_="" ns3:_="">
    <xsd:import namespace="5944c9fc-9421-4c39-b608-61ce31788618"/>
    <xsd:import namespace="3ba820af-9c36-47fb-8383-9944acc45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4c9fc-9421-4c39-b608-61ce31788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97863a-9c53-4d79-aa62-b4edf9878b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820af-9c36-47fb-8383-9944acc4573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e236bb-6ba1-491a-998c-53c379aa7070}" ma:internalName="TaxCatchAll" ma:showField="CatchAllData" ma:web="3ba820af-9c36-47fb-8383-9944acc45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990282-ACD8-4D4D-957B-8E4316F7191F}">
  <ds:schemaRefs>
    <ds:schemaRef ds:uri="http://schemas.microsoft.com/office/2006/documentManagement/types"/>
    <ds:schemaRef ds:uri="65492df7-a2f5-4e02-a230-4bf94d85bb40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dd1b43a4-58ce-49d2-9fee-203cea7beb2a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f112fe92-de0e-4bc6-9ec2-87a33e4d0d43"/>
    <ds:schemaRef ds:uri="a5322561-a19b-47d7-859c-b977f3e6a72b"/>
    <ds:schemaRef ds:uri="7ca3d383-1f55-45f6-8c4b-700fa9864a4f"/>
    <ds:schemaRef ds:uri="89ba5e8a-041f-419c-8c28-74ac63adf4ea"/>
  </ds:schemaRefs>
</ds:datastoreItem>
</file>

<file path=customXml/itemProps2.xml><?xml version="1.0" encoding="utf-8"?>
<ds:datastoreItem xmlns:ds="http://schemas.openxmlformats.org/officeDocument/2006/customXml" ds:itemID="{5F3CD6EF-3083-4079-A317-6066588F3556}"/>
</file>

<file path=customXml/itemProps3.xml><?xml version="1.0" encoding="utf-8"?>
<ds:datastoreItem xmlns:ds="http://schemas.openxmlformats.org/officeDocument/2006/customXml" ds:itemID="{525C62E9-D064-44BD-951B-A2202E8AB58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D58309C-4BCE-4240-9B90-02DAAFFE07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Overview </vt:lpstr>
      <vt:lpstr>BE Manure - AMS-III D</vt:lpstr>
      <vt:lpstr>BE Heat - AMS-I C</vt:lpstr>
      <vt:lpstr>PE - Physical leakage</vt:lpstr>
      <vt:lpstr>Biogas production</vt:lpstr>
      <vt:lpstr>Co-Substrates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p.kalathas@ges-energie.de</dc:creator>
  <cp:keywords/>
  <dc:description/>
  <cp:lastModifiedBy>Pauline Kalathas</cp:lastModifiedBy>
  <cp:revision/>
  <dcterms:created xsi:type="dcterms:W3CDTF">2017-05-23T08:36:43Z</dcterms:created>
  <dcterms:modified xsi:type="dcterms:W3CDTF">2024-12-19T15:14:48Z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0x010100CDDC1F0F2D97C04690DF7AC407C65BA5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_dlc_DocIdItemGuid">
    <vt:lpwstr>63e47756-4ea1-4369-aaee-fc4603089e18</vt:lpwstr>
  </property>
</Properties>
</file>